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795" windowWidth="14820" windowHeight="8025" tabRatio="894" activeTab="2"/>
  </bookViews>
  <sheets>
    <sheet name="341-CT" sheetId="52" r:id="rId1"/>
    <sheet name="CDPS" sheetId="15" r:id="rId2"/>
    <sheet name="TH" sheetId="34" r:id="rId3"/>
    <sheet name="SC-I" sheetId="48" r:id="rId4"/>
    <sheet name="SC-II" sheetId="49" r:id="rId5"/>
    <sheet name="SC-III" sheetId="50" r:id="rId6"/>
    <sheet name="SC-IV" sheetId="51" r:id="rId7"/>
    <sheet name="CTTK" sheetId="47" r:id="rId8"/>
    <sheet name="IN-TC" sheetId="39" r:id="rId9"/>
    <sheet name="111" sheetId="42" r:id="rId10"/>
    <sheet name="112" sheetId="43" r:id="rId11"/>
    <sheet name="131" sheetId="62" r:id="rId12"/>
    <sheet name="131-CT" sheetId="63" r:id="rId13"/>
    <sheet name="NXT" sheetId="55" r:id="rId14"/>
    <sheet name="152-CT" sheetId="57" r:id="rId15"/>
    <sheet name="331" sheetId="12" r:id="rId16"/>
    <sheet name="331-CT" sheetId="14" r:id="rId17"/>
    <sheet name="341" sheetId="45" r:id="rId18"/>
    <sheet name="411" sheetId="54" r:id="rId19"/>
    <sheet name="IN-NX" sheetId="56" r:id="rId20"/>
    <sheet name="TK" sheetId="58" r:id="rId21"/>
    <sheet name="BK-NL" sheetId="69" r:id="rId22"/>
    <sheet name="BTGT" sheetId="60"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TH!$S$10:$S$3356</definedName>
    <definedName name="_C112">TH!$V$10:$V$3356</definedName>
    <definedName name="_Fill" localSheetId="10" hidden="1">#REF!</definedName>
    <definedName name="_Fill" localSheetId="12" hidden="1">#REF!</definedName>
    <definedName name="_Fill" localSheetId="0" hidden="1">#REF!</definedName>
    <definedName name="_Fill" localSheetId="18" hidden="1">#REF!</definedName>
    <definedName name="_Fill" localSheetId="7" hidden="1">#REF!</definedName>
    <definedName name="_Fill" localSheetId="26" hidden="1">#REF!</definedName>
    <definedName name="_Fill" hidden="1">#REF!</definedName>
    <definedName name="_xlnm._FilterDatabase" localSheetId="9" hidden="1">'111'!$A$12:$J$122</definedName>
    <definedName name="_xlnm._FilterDatabase" localSheetId="10" hidden="1">'112'!$A$10:$K$128</definedName>
    <definedName name="_xlnm._FilterDatabase" localSheetId="11" hidden="1">'131'!$A$1:$N$22</definedName>
    <definedName name="_xlnm._FilterDatabase" localSheetId="15" hidden="1">'331'!$A$3:$I$82</definedName>
    <definedName name="_xlnm._FilterDatabase" localSheetId="16" hidden="1">'331-CT'!$A$12:$J$25</definedName>
    <definedName name="_xlnm._FilterDatabase" localSheetId="7" hidden="1">CTTK!$A$14:$J$210</definedName>
    <definedName name="_xlnm._FilterDatabase" localSheetId="13" hidden="1">NXT!$B$11:$O$11</definedName>
    <definedName name="_xlnm._FilterDatabase" localSheetId="3" hidden="1">'SC-I'!$A$9:$BA$54</definedName>
    <definedName name="_xlnm._FilterDatabase" localSheetId="4" hidden="1">'SC-II'!$A$9:$BA$54</definedName>
    <definedName name="_xlnm._FilterDatabase" localSheetId="5" hidden="1">'SC-III'!$A$9:$BA$54</definedName>
    <definedName name="_xlnm._FilterDatabase" localSheetId="6" hidden="1">'SC-IV'!$A$9:$BA$54</definedName>
    <definedName name="_xlnm._FilterDatabase" localSheetId="2" hidden="1">TH!$A$9:$AF$3356</definedName>
    <definedName name="_xlnm._FilterDatabase" localSheetId="20" hidden="1">TK!$A$1:$J$1</definedName>
    <definedName name="_N111">TH!$R$10:$R$3356</definedName>
    <definedName name="_N112">TH!$U$10:$U$3356</definedName>
    <definedName name="_TH">TH!$K$10:$K$3356</definedName>
    <definedName name="DG">TH!$J$10:$J$3356</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'131'!$B$5:$B$21</definedName>
    <definedName name="DSGT1">BTGT!$B$7:$B$10</definedName>
    <definedName name="DSGT10">BTGT!$B$237:$B$247</definedName>
    <definedName name="DSGT11">BTGT!$B$273:$B$279</definedName>
    <definedName name="DSGT12">BTGT!$B$298:$B$304</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BTGT!$B$202:$B$210</definedName>
    <definedName name="DSKH">'331'!$B$4:$B$79</definedName>
    <definedName name="DSKU">'341'!$B$5:$B$51</definedName>
    <definedName name="DSNL">NXT!$N$12:$S$546</definedName>
    <definedName name="DSSP1">BTGT!$B$7:$P$10</definedName>
    <definedName name="DSSP10">BTGT!$B$237:$P$247</definedName>
    <definedName name="DSSP11">BTGT!$B$273:$P$279</definedName>
    <definedName name="DSSP12">BTGT!$B$298:$P$304</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BTGT!$B$202:$P$210</definedName>
    <definedName name="DSTK">CDPS!$A$10:$D$74</definedName>
    <definedName name="DSTS1">'SO-TS'!$D$14:$D$33</definedName>
    <definedName name="DSTS2">'SO-TS'!$D$64:$D$65</definedName>
    <definedName name="KH">TH!$H$10:$H$3356</definedName>
    <definedName name="KHC">TH!$O$10:$O$3356</definedName>
    <definedName name="KHN">TH!$N$10:$N$3356</definedName>
    <definedName name="Loai">OFFSET(TH!$P$5,,,COUNTA(TH!$P$5:$P$9677))</definedName>
    <definedName name="Loai1">OFFSET(TH!$Q$5,,,COUNTA(TH!$Q$5:$Q$41543))</definedName>
    <definedName name="Loai10">OFFSET(TH!$AD$5,,,COUNTA(TH!$AD$5:$AD$41543))</definedName>
    <definedName name="Loai11">OFFSET(TH!$Y$5,,,COUNTA(TH!$Y$5:$Y$41543))</definedName>
    <definedName name="Loai2">OFFSET(TH!$T$5,,,COUNTA(TH!$T$5:$T$41543))</definedName>
    <definedName name="Loai3">OFFSET('SO-TS'!$P$13,,,COUNTA('SO-TS'!$P$13:$P$3935))</definedName>
    <definedName name="Loai4">OFFSET(TH!$W$5,,,COUNTA(TH!$W$5:$W$41543))</definedName>
    <definedName name="Loai5">OFFSET(TH!$X$5,,,COUNTA(TH!$X$5:$X$41543))</definedName>
    <definedName name="Loai6">OFFSET(TH!$Z$5,,,COUNTA(TH!$Z$5:$Z$41543))</definedName>
    <definedName name="Loai7">OFFSET(TH!$AA$5,,,COUNTA(TH!$AA$5:$AA$41543))</definedName>
    <definedName name="Loai8">OFFSET(TH!$AB$5,,,COUNTA(TH!$AB$5:$AB$41543))</definedName>
    <definedName name="Loai9">OFFSET(TH!$AC$5,,,COUNTA(TH!$AC$5:$AC$41543))</definedName>
    <definedName name="MH">TH!$F$10:$F$3356</definedName>
    <definedName name="NXT">NXT!$A$12:$A$429</definedName>
    <definedName name="_xlnm.Print_Area" localSheetId="9">'111'!$A$1:$J$135</definedName>
    <definedName name="_xlnm.Print_Area" localSheetId="10">'112'!$A$1:$I$138</definedName>
    <definedName name="_xlnm.Print_Area" localSheetId="14">'152-CT'!$B$2:$M$37</definedName>
    <definedName name="_xlnm.Print_Area" localSheetId="15">'331'!$A$1:$H$82</definedName>
    <definedName name="_xlnm.Print_Area" localSheetId="16">'331-CT'!$A$1:$J$54</definedName>
    <definedName name="_xlnm.Print_Area" localSheetId="17">'341'!$A$1:$P$52</definedName>
    <definedName name="_xlnm.Print_Area" localSheetId="0">'341-CT'!$A$1:$N$41</definedName>
    <definedName name="_xlnm.Print_Area" localSheetId="21">'BK-NL'!$A$1:$K$53</definedName>
    <definedName name="_xlnm.Print_Area" localSheetId="22">BTGT!$A$106:$P$176</definedName>
    <definedName name="_xlnm.Print_Area" localSheetId="7">CTTK!$A$2:$I$223</definedName>
    <definedName name="_xlnm.Print_Area" localSheetId="19">'IN-NX'!$A$1:$I$36</definedName>
    <definedName name="_xlnm.Print_Area" localSheetId="8">'IN-TC'!$B$1:$O$28</definedName>
    <definedName name="_xlnm.Print_Area" localSheetId="6">'SC-IV'!$A$1:$BA$65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9">'111'!$10:$12</definedName>
    <definedName name="_xlnm.Print_Titles" localSheetId="10">'112'!$8:$10</definedName>
    <definedName name="_xlnm.Print_Titles" localSheetId="16">'331-CT'!$10:$12</definedName>
    <definedName name="_xlnm.Print_Titles" localSheetId="7">CTTK!$11:$13</definedName>
    <definedName name="_xlnm.Print_Titles" localSheetId="3">'SC-I'!$A:$A,'SC-I'!$7:$9</definedName>
    <definedName name="_xlnm.Print_Titles" localSheetId="4">'SC-II'!$A:$A,'SC-II'!$7:$9</definedName>
    <definedName name="_xlnm.Print_Titles" localSheetId="5">'SC-III'!$A:$A,'SC-III'!$7:$9</definedName>
    <definedName name="_xlnm.Print_Titles" localSheetId="6">'SC-IV'!$A:$A,'SC-IV'!$7:$9</definedName>
    <definedName name="_xlnm.Print_Titles" localSheetId="24">'SO-TS'!$9:$12</definedName>
    <definedName name="SL">TH!$I$10:$I$3356</definedName>
    <definedName name="TH">TH!$M$10:$M$3356</definedName>
    <definedName name="TM">TH!$A$10:$O$3356</definedName>
  </definedNames>
  <calcPr calcId="124519"/>
</workbook>
</file>

<file path=xl/calcChain.xml><?xml version="1.0" encoding="utf-8"?>
<calcChain xmlns="http://schemas.openxmlformats.org/spreadsheetml/2006/main">
  <c r="B254" i="34"/>
  <c r="A254" s="1"/>
  <c r="E254"/>
  <c r="K254"/>
  <c r="M254" s="1"/>
  <c r="P254"/>
  <c r="R254"/>
  <c r="T254"/>
  <c r="U254"/>
  <c r="V254"/>
  <c r="W254"/>
  <c r="X254"/>
  <c r="Y254"/>
  <c r="AA254"/>
  <c r="AB254"/>
  <c r="AC254"/>
  <c r="AD254"/>
  <c r="N248" i="60"/>
  <c r="L237"/>
  <c r="L240"/>
  <c r="L239"/>
  <c r="L238"/>
  <c r="S254" i="34" l="1"/>
  <c r="Q254"/>
  <c r="B3102"/>
  <c r="A3102" s="1"/>
  <c r="E3102"/>
  <c r="M3102"/>
  <c r="P3102"/>
  <c r="Q3102"/>
  <c r="S3102"/>
  <c r="T3102"/>
  <c r="U3102"/>
  <c r="V3102"/>
  <c r="W3102"/>
  <c r="Y3102"/>
  <c r="AA3102"/>
  <c r="AB3102"/>
  <c r="AC3102"/>
  <c r="AD3102"/>
  <c r="B3103"/>
  <c r="A3103" s="1"/>
  <c r="E3103"/>
  <c r="M3103"/>
  <c r="P3103"/>
  <c r="Q3103"/>
  <c r="T3103"/>
  <c r="U3103"/>
  <c r="V3103"/>
  <c r="W3103"/>
  <c r="Y3103"/>
  <c r="AA3103"/>
  <c r="AB3103"/>
  <c r="AC3103"/>
  <c r="AD3103"/>
  <c r="A81" i="12"/>
  <c r="I81"/>
  <c r="B3104" i="34"/>
  <c r="A3104" s="1"/>
  <c r="E3104"/>
  <c r="M3104"/>
  <c r="P3104"/>
  <c r="Q3104"/>
  <c r="T3104"/>
  <c r="U3104"/>
  <c r="V3104"/>
  <c r="W3104"/>
  <c r="Y3104"/>
  <c r="AA3104"/>
  <c r="AB3104"/>
  <c r="AC3104"/>
  <c r="AD3104"/>
  <c r="M3082"/>
  <c r="B3082"/>
  <c r="A3082" s="1"/>
  <c r="E3082"/>
  <c r="AA3082" s="1"/>
  <c r="P3082"/>
  <c r="T3082"/>
  <c r="U3082"/>
  <c r="V3082"/>
  <c r="W3082"/>
  <c r="Y3082"/>
  <c r="AB3082"/>
  <c r="AC3082"/>
  <c r="AD3082"/>
  <c r="B3083"/>
  <c r="A3083" s="1"/>
  <c r="E3083"/>
  <c r="AA3083" s="1"/>
  <c r="P3083"/>
  <c r="T3083"/>
  <c r="U3083"/>
  <c r="V3083"/>
  <c r="W3083"/>
  <c r="Y3083"/>
  <c r="AB3083"/>
  <c r="AC3083"/>
  <c r="AD3083"/>
  <c r="B253"/>
  <c r="A253" s="1"/>
  <c r="E253"/>
  <c r="AA253" s="1"/>
  <c r="K253"/>
  <c r="M253" s="1"/>
  <c r="P253"/>
  <c r="R253"/>
  <c r="T253"/>
  <c r="U253"/>
  <c r="V253"/>
  <c r="W253"/>
  <c r="Y253"/>
  <c r="AB253"/>
  <c r="AC253"/>
  <c r="AD253"/>
  <c r="AD252"/>
  <c r="AC252"/>
  <c r="AB252"/>
  <c r="Y252"/>
  <c r="W252"/>
  <c r="V252"/>
  <c r="U252"/>
  <c r="T252"/>
  <c r="P252"/>
  <c r="K252"/>
  <c r="M252" s="1"/>
  <c r="E252"/>
  <c r="AA252" s="1"/>
  <c r="B252"/>
  <c r="R252" s="1"/>
  <c r="AD251"/>
  <c r="AC251"/>
  <c r="AB251"/>
  <c r="Y251"/>
  <c r="W251"/>
  <c r="V251"/>
  <c r="U251"/>
  <c r="T251"/>
  <c r="P251"/>
  <c r="K251"/>
  <c r="M251" s="1"/>
  <c r="E251"/>
  <c r="AA251" s="1"/>
  <c r="B251"/>
  <c r="R251" s="1"/>
  <c r="AD2867"/>
  <c r="AC2867"/>
  <c r="AB2867"/>
  <c r="Y2867"/>
  <c r="W2867"/>
  <c r="V2867"/>
  <c r="U2867"/>
  <c r="T2867"/>
  <c r="P2867"/>
  <c r="E2867"/>
  <c r="AA2867" s="1"/>
  <c r="B2867"/>
  <c r="S2867" s="1"/>
  <c r="AD2866"/>
  <c r="AC2866"/>
  <c r="AB2866"/>
  <c r="Y2866"/>
  <c r="W2866"/>
  <c r="V2866"/>
  <c r="U2866"/>
  <c r="T2866"/>
  <c r="P2866"/>
  <c r="E2866"/>
  <c r="AA2866" s="1"/>
  <c r="B2866"/>
  <c r="S2866" s="1"/>
  <c r="AD2862"/>
  <c r="AC2862"/>
  <c r="AB2862"/>
  <c r="Y2862"/>
  <c r="W2862"/>
  <c r="V2862"/>
  <c r="U2862"/>
  <c r="T2862"/>
  <c r="P2862"/>
  <c r="E2862"/>
  <c r="AA2862" s="1"/>
  <c r="B2862"/>
  <c r="R2862" s="1"/>
  <c r="AD2861"/>
  <c r="AC2861"/>
  <c r="AB2861"/>
  <c r="Y2861"/>
  <c r="W2861"/>
  <c r="V2861"/>
  <c r="U2861"/>
  <c r="T2861"/>
  <c r="P2861"/>
  <c r="E2861"/>
  <c r="AA2861" s="1"/>
  <c r="B2861"/>
  <c r="S2861" s="1"/>
  <c r="AD2860"/>
  <c r="AC2860"/>
  <c r="AB2860"/>
  <c r="Y2860"/>
  <c r="W2860"/>
  <c r="V2860"/>
  <c r="U2860"/>
  <c r="T2860"/>
  <c r="P2860"/>
  <c r="E2860"/>
  <c r="AA2860" s="1"/>
  <c r="B2860"/>
  <c r="R2860" s="1"/>
  <c r="AD2854"/>
  <c r="AC2854"/>
  <c r="AB2854"/>
  <c r="Y2854"/>
  <c r="W2854"/>
  <c r="V2854"/>
  <c r="U2854"/>
  <c r="T2854"/>
  <c r="P2854"/>
  <c r="E2854"/>
  <c r="AA2854" s="1"/>
  <c r="B2854"/>
  <c r="R2854" s="1"/>
  <c r="AD2848"/>
  <c r="AC2848"/>
  <c r="AB2848"/>
  <c r="Y2848"/>
  <c r="W2848"/>
  <c r="V2848"/>
  <c r="U2848"/>
  <c r="T2848"/>
  <c r="P2848"/>
  <c r="E2848"/>
  <c r="AA2848" s="1"/>
  <c r="B2848"/>
  <c r="R2848" s="1"/>
  <c r="AD2847"/>
  <c r="AC2847"/>
  <c r="AB2847"/>
  <c r="Y2847"/>
  <c r="W2847"/>
  <c r="V2847"/>
  <c r="U2847"/>
  <c r="T2847"/>
  <c r="P2847"/>
  <c r="E2847"/>
  <c r="AA2847" s="1"/>
  <c r="B2847"/>
  <c r="S2847" s="1"/>
  <c r="AD2842"/>
  <c r="AC2842"/>
  <c r="AB2842"/>
  <c r="Y2842"/>
  <c r="W2842"/>
  <c r="V2842"/>
  <c r="U2842"/>
  <c r="T2842"/>
  <c r="P2842"/>
  <c r="E2842"/>
  <c r="AA2842" s="1"/>
  <c r="B2842"/>
  <c r="R2842" s="1"/>
  <c r="AD2841"/>
  <c r="AC2841"/>
  <c r="AB2841"/>
  <c r="Y2841"/>
  <c r="W2841"/>
  <c r="V2841"/>
  <c r="U2841"/>
  <c r="T2841"/>
  <c r="P2841"/>
  <c r="E2841"/>
  <c r="AA2841" s="1"/>
  <c r="B2841"/>
  <c r="R2841" s="1"/>
  <c r="AD2840"/>
  <c r="AC2840"/>
  <c r="AB2840"/>
  <c r="Y2840"/>
  <c r="W2840"/>
  <c r="V2840"/>
  <c r="U2840"/>
  <c r="T2840"/>
  <c r="P2840"/>
  <c r="E2840"/>
  <c r="AA2840" s="1"/>
  <c r="B2840"/>
  <c r="R2840" s="1"/>
  <c r="AD2839"/>
  <c r="AC2839"/>
  <c r="AB2839"/>
  <c r="Y2839"/>
  <c r="W2839"/>
  <c r="V2839"/>
  <c r="U2839"/>
  <c r="T2839"/>
  <c r="P2839"/>
  <c r="E2839"/>
  <c r="AA2839" s="1"/>
  <c r="B2839"/>
  <c r="R2839" s="1"/>
  <c r="AD2827"/>
  <c r="AC2827"/>
  <c r="AB2827"/>
  <c r="Y2827"/>
  <c r="W2827"/>
  <c r="V2827"/>
  <c r="U2827"/>
  <c r="T2827"/>
  <c r="P2827"/>
  <c r="E2827"/>
  <c r="AA2827" s="1"/>
  <c r="B2827"/>
  <c r="R2827" s="1"/>
  <c r="AD2826"/>
  <c r="AC2826"/>
  <c r="AB2826"/>
  <c r="Y2826"/>
  <c r="W2826"/>
  <c r="V2826"/>
  <c r="U2826"/>
  <c r="T2826"/>
  <c r="P2826"/>
  <c r="E2826"/>
  <c r="AA2826" s="1"/>
  <c r="B2826"/>
  <c r="R2826" s="1"/>
  <c r="AD2774"/>
  <c r="AC2774"/>
  <c r="AB2774"/>
  <c r="Y2774"/>
  <c r="W2774"/>
  <c r="V2774"/>
  <c r="U2774"/>
  <c r="T2774"/>
  <c r="P2774"/>
  <c r="E2774"/>
  <c r="AA2774" s="1"/>
  <c r="B2774"/>
  <c r="R2774" s="1"/>
  <c r="AD2773"/>
  <c r="AC2773"/>
  <c r="AB2773"/>
  <c r="Y2773"/>
  <c r="W2773"/>
  <c r="V2773"/>
  <c r="U2773"/>
  <c r="T2773"/>
  <c r="P2773"/>
  <c r="E2773"/>
  <c r="AA2773" s="1"/>
  <c r="B2773"/>
  <c r="R2773" s="1"/>
  <c r="AD2765"/>
  <c r="AC2765"/>
  <c r="AB2765"/>
  <c r="Y2765"/>
  <c r="W2765"/>
  <c r="V2765"/>
  <c r="U2765"/>
  <c r="T2765"/>
  <c r="P2765"/>
  <c r="E2765"/>
  <c r="AA2765" s="1"/>
  <c r="B2765"/>
  <c r="R2765" s="1"/>
  <c r="AD2763"/>
  <c r="AC2763"/>
  <c r="AB2763"/>
  <c r="Y2763"/>
  <c r="W2763"/>
  <c r="V2763"/>
  <c r="U2763"/>
  <c r="T2763"/>
  <c r="P2763"/>
  <c r="E2763"/>
  <c r="AA2763" s="1"/>
  <c r="B2763"/>
  <c r="S2763" s="1"/>
  <c r="AD2755"/>
  <c r="AC2755"/>
  <c r="AB2755"/>
  <c r="Y2755"/>
  <c r="W2755"/>
  <c r="V2755"/>
  <c r="U2755"/>
  <c r="T2755"/>
  <c r="P2755"/>
  <c r="E2755"/>
  <c r="AA2755" s="1"/>
  <c r="B2755"/>
  <c r="R2755" s="1"/>
  <c r="AD2754"/>
  <c r="AC2754"/>
  <c r="AB2754"/>
  <c r="Y2754"/>
  <c r="W2754"/>
  <c r="V2754"/>
  <c r="U2754"/>
  <c r="T2754"/>
  <c r="P2754"/>
  <c r="E2754"/>
  <c r="AA2754" s="1"/>
  <c r="B2754"/>
  <c r="S2754" s="1"/>
  <c r="AD2749"/>
  <c r="AC2749"/>
  <c r="AB2749"/>
  <c r="Y2749"/>
  <c r="W2749"/>
  <c r="V2749"/>
  <c r="U2749"/>
  <c r="T2749"/>
  <c r="P2749"/>
  <c r="E2749"/>
  <c r="AA2749" s="1"/>
  <c r="B2749"/>
  <c r="R2749" s="1"/>
  <c r="AD2748"/>
  <c r="AC2748"/>
  <c r="AB2748"/>
  <c r="Y2748"/>
  <c r="W2748"/>
  <c r="V2748"/>
  <c r="U2748"/>
  <c r="T2748"/>
  <c r="P2748"/>
  <c r="E2748"/>
  <c r="AA2748" s="1"/>
  <c r="B2748"/>
  <c r="S2748" s="1"/>
  <c r="AD2741"/>
  <c r="AC2741"/>
  <c r="AB2741"/>
  <c r="Y2741"/>
  <c r="W2741"/>
  <c r="V2741"/>
  <c r="U2741"/>
  <c r="T2741"/>
  <c r="P2741"/>
  <c r="E2741"/>
  <c r="AA2741" s="1"/>
  <c r="B2741"/>
  <c r="R2741" s="1"/>
  <c r="AD2740"/>
  <c r="AC2740"/>
  <c r="AB2740"/>
  <c r="Y2740"/>
  <c r="W2740"/>
  <c r="V2740"/>
  <c r="U2740"/>
  <c r="T2740"/>
  <c r="P2740"/>
  <c r="E2740"/>
  <c r="AA2740" s="1"/>
  <c r="B2740"/>
  <c r="R2740" s="1"/>
  <c r="K275" i="60"/>
  <c r="K276"/>
  <c r="K277"/>
  <c r="K278"/>
  <c r="K274"/>
  <c r="J275"/>
  <c r="J276"/>
  <c r="J277"/>
  <c r="J278"/>
  <c r="J274"/>
  <c r="I275"/>
  <c r="I276"/>
  <c r="I277"/>
  <c r="I278"/>
  <c r="I274"/>
  <c r="H275"/>
  <c r="H276"/>
  <c r="H277"/>
  <c r="H278"/>
  <c r="H274"/>
  <c r="N273"/>
  <c r="D273"/>
  <c r="M273"/>
  <c r="AD1011" i="34"/>
  <c r="AC1011"/>
  <c r="AB1011"/>
  <c r="Y1011"/>
  <c r="W1011"/>
  <c r="V1011"/>
  <c r="U1011"/>
  <c r="T1011"/>
  <c r="S1011"/>
  <c r="R1011"/>
  <c r="Q1011"/>
  <c r="P1011"/>
  <c r="M1011"/>
  <c r="E1011"/>
  <c r="AA1011" s="1"/>
  <c r="A1011"/>
  <c r="AD1007"/>
  <c r="AC1007"/>
  <c r="AB1007"/>
  <c r="Y1007"/>
  <c r="W1007"/>
  <c r="V1007"/>
  <c r="U1007"/>
  <c r="T1007"/>
  <c r="S1007"/>
  <c r="R1007"/>
  <c r="Q1007"/>
  <c r="P1007"/>
  <c r="M1007"/>
  <c r="E1007"/>
  <c r="AA1007" s="1"/>
  <c r="A1007"/>
  <c r="AD1003"/>
  <c r="AC1003"/>
  <c r="AB1003"/>
  <c r="Y1003"/>
  <c r="W1003"/>
  <c r="V1003"/>
  <c r="U1003"/>
  <c r="T1003"/>
  <c r="S1003"/>
  <c r="R1003"/>
  <c r="Q1003"/>
  <c r="P1003"/>
  <c r="M1003"/>
  <c r="E1003"/>
  <c r="AA1003" s="1"/>
  <c r="A1003"/>
  <c r="AD999"/>
  <c r="AC999"/>
  <c r="AB999"/>
  <c r="Y999"/>
  <c r="W999"/>
  <c r="V999"/>
  <c r="U999"/>
  <c r="T999"/>
  <c r="S999"/>
  <c r="R999"/>
  <c r="Q999"/>
  <c r="P999"/>
  <c r="M999"/>
  <c r="E999"/>
  <c r="AA999" s="1"/>
  <c r="A999"/>
  <c r="AD995"/>
  <c r="AC995"/>
  <c r="AB995"/>
  <c r="Y995"/>
  <c r="W995"/>
  <c r="V995"/>
  <c r="U995"/>
  <c r="T995"/>
  <c r="S995"/>
  <c r="R995"/>
  <c r="Q995"/>
  <c r="P995"/>
  <c r="M995"/>
  <c r="E995"/>
  <c r="AA995" s="1"/>
  <c r="A995"/>
  <c r="AD991"/>
  <c r="AC991"/>
  <c r="AB991"/>
  <c r="Y991"/>
  <c r="W991"/>
  <c r="V991"/>
  <c r="U991"/>
  <c r="T991"/>
  <c r="S991"/>
  <c r="R991"/>
  <c r="Q991"/>
  <c r="P991"/>
  <c r="M991"/>
  <c r="E991"/>
  <c r="AA991" s="1"/>
  <c r="A991"/>
  <c r="AD987"/>
  <c r="AC987"/>
  <c r="AB987"/>
  <c r="Y987"/>
  <c r="W987"/>
  <c r="V987"/>
  <c r="U987"/>
  <c r="T987"/>
  <c r="S987"/>
  <c r="R987"/>
  <c r="Q987"/>
  <c r="P987"/>
  <c r="M987"/>
  <c r="E987"/>
  <c r="AA987" s="1"/>
  <c r="A987"/>
  <c r="AD983"/>
  <c r="AC983"/>
  <c r="AB983"/>
  <c r="Y983"/>
  <c r="W983"/>
  <c r="V983"/>
  <c r="U983"/>
  <c r="T983"/>
  <c r="S983"/>
  <c r="R983"/>
  <c r="Q983"/>
  <c r="P983"/>
  <c r="M983"/>
  <c r="E983"/>
  <c r="AA983" s="1"/>
  <c r="A983"/>
  <c r="AD979"/>
  <c r="AC979"/>
  <c r="AB979"/>
  <c r="Y979"/>
  <c r="W979"/>
  <c r="V979"/>
  <c r="U979"/>
  <c r="T979"/>
  <c r="S979"/>
  <c r="R979"/>
  <c r="Q979"/>
  <c r="P979"/>
  <c r="M979"/>
  <c r="E979"/>
  <c r="AA979" s="1"/>
  <c r="A979"/>
  <c r="AD975"/>
  <c r="AC975"/>
  <c r="AB975"/>
  <c r="Y975"/>
  <c r="W975"/>
  <c r="V975"/>
  <c r="U975"/>
  <c r="T975"/>
  <c r="S975"/>
  <c r="R975"/>
  <c r="Q975"/>
  <c r="P975"/>
  <c r="M975"/>
  <c r="E975"/>
  <c r="AA975" s="1"/>
  <c r="A975"/>
  <c r="AD971"/>
  <c r="AC971"/>
  <c r="AB971"/>
  <c r="Y971"/>
  <c r="W971"/>
  <c r="V971"/>
  <c r="U971"/>
  <c r="T971"/>
  <c r="S971"/>
  <c r="R971"/>
  <c r="Q971"/>
  <c r="P971"/>
  <c r="M971"/>
  <c r="E971"/>
  <c r="AA971" s="1"/>
  <c r="A971"/>
  <c r="AE1015"/>
  <c r="AD1015"/>
  <c r="AC1015"/>
  <c r="AB1015"/>
  <c r="Y1015"/>
  <c r="W1015"/>
  <c r="V1015"/>
  <c r="U1015"/>
  <c r="T1015"/>
  <c r="S1015"/>
  <c r="R1015"/>
  <c r="Q1015"/>
  <c r="P1015"/>
  <c r="M1015"/>
  <c r="E1015"/>
  <c r="AA1015" s="1"/>
  <c r="A1015"/>
  <c r="AE1014"/>
  <c r="AD1014"/>
  <c r="AC1014"/>
  <c r="AB1014"/>
  <c r="Y1014"/>
  <c r="W1014"/>
  <c r="V1014"/>
  <c r="U1014"/>
  <c r="T1014"/>
  <c r="S1014"/>
  <c r="R1014"/>
  <c r="Q1014"/>
  <c r="P1014"/>
  <c r="M1014"/>
  <c r="E1014"/>
  <c r="AA1014" s="1"/>
  <c r="A1014"/>
  <c r="AE1013"/>
  <c r="AD1013"/>
  <c r="AC1013"/>
  <c r="AB1013"/>
  <c r="Y1013"/>
  <c r="W1013"/>
  <c r="V1013"/>
  <c r="U1013"/>
  <c r="T1013"/>
  <c r="S1013"/>
  <c r="R1013"/>
  <c r="Q1013"/>
  <c r="P1013"/>
  <c r="M1013"/>
  <c r="E1013"/>
  <c r="AA1013" s="1"/>
  <c r="A1013"/>
  <c r="AE1012"/>
  <c r="AD1012"/>
  <c r="AC1012"/>
  <c r="AB1012"/>
  <c r="Y1012"/>
  <c r="W1012"/>
  <c r="V1012"/>
  <c r="U1012"/>
  <c r="T1012"/>
  <c r="S1012"/>
  <c r="R1012"/>
  <c r="Q1012"/>
  <c r="P1012"/>
  <c r="M1012"/>
  <c r="E1012"/>
  <c r="AA1012" s="1"/>
  <c r="A1012"/>
  <c r="AE1010"/>
  <c r="AD1010"/>
  <c r="AC1010"/>
  <c r="AB1010"/>
  <c r="Y1010"/>
  <c r="W1010"/>
  <c r="V1010"/>
  <c r="U1010"/>
  <c r="T1010"/>
  <c r="S1010"/>
  <c r="R1010"/>
  <c r="Q1010"/>
  <c r="P1010"/>
  <c r="M1010"/>
  <c r="E1010"/>
  <c r="AA1010" s="1"/>
  <c r="A1010"/>
  <c r="AE1009"/>
  <c r="AD1009"/>
  <c r="AC1009"/>
  <c r="AB1009"/>
  <c r="Y1009"/>
  <c r="W1009"/>
  <c r="V1009"/>
  <c r="U1009"/>
  <c r="T1009"/>
  <c r="S1009"/>
  <c r="R1009"/>
  <c r="Q1009"/>
  <c r="P1009"/>
  <c r="M1009"/>
  <c r="E1009"/>
  <c r="AA1009" s="1"/>
  <c r="A1009"/>
  <c r="AE1008"/>
  <c r="AD1008"/>
  <c r="AC1008"/>
  <c r="AB1008"/>
  <c r="Y1008"/>
  <c r="W1008"/>
  <c r="V1008"/>
  <c r="U1008"/>
  <c r="T1008"/>
  <c r="S1008"/>
  <c r="R1008"/>
  <c r="Q1008"/>
  <c r="P1008"/>
  <c r="M1008"/>
  <c r="E1008"/>
  <c r="AA1008" s="1"/>
  <c r="A1008"/>
  <c r="AE1006"/>
  <c r="AD1006"/>
  <c r="AC1006"/>
  <c r="AB1006"/>
  <c r="Y1006"/>
  <c r="W1006"/>
  <c r="V1006"/>
  <c r="U1006"/>
  <c r="T1006"/>
  <c r="S1006"/>
  <c r="R1006"/>
  <c r="Q1006"/>
  <c r="P1006"/>
  <c r="M1006"/>
  <c r="E1006"/>
  <c r="AA1006" s="1"/>
  <c r="A1006"/>
  <c r="AE1005"/>
  <c r="AD1005"/>
  <c r="AC1005"/>
  <c r="AB1005"/>
  <c r="Y1005"/>
  <c r="W1005"/>
  <c r="V1005"/>
  <c r="U1005"/>
  <c r="T1005"/>
  <c r="S1005"/>
  <c r="R1005"/>
  <c r="Q1005"/>
  <c r="P1005"/>
  <c r="M1005"/>
  <c r="E1005"/>
  <c r="AA1005" s="1"/>
  <c r="A1005"/>
  <c r="M155"/>
  <c r="S3103" l="1"/>
  <c r="R3083"/>
  <c r="S3104"/>
  <c r="R3103"/>
  <c r="R3104"/>
  <c r="R3102"/>
  <c r="S3083"/>
  <c r="Q3083"/>
  <c r="A251"/>
  <c r="Q251"/>
  <c r="R3082"/>
  <c r="S3082"/>
  <c r="Q3082"/>
  <c r="S253"/>
  <c r="Q253"/>
  <c r="S251"/>
  <c r="A252"/>
  <c r="Q252"/>
  <c r="S252"/>
  <c r="A2860"/>
  <c r="A2848"/>
  <c r="A2862"/>
  <c r="A2839"/>
  <c r="Q2839"/>
  <c r="S2841"/>
  <c r="Q2848"/>
  <c r="S2860"/>
  <c r="S2862"/>
  <c r="R2866"/>
  <c r="R2867"/>
  <c r="S2839"/>
  <c r="A2841"/>
  <c r="Q2841"/>
  <c r="S2848"/>
  <c r="Q2860"/>
  <c r="Q2862"/>
  <c r="A2866"/>
  <c r="Q2866"/>
  <c r="A2867"/>
  <c r="Q2867"/>
  <c r="R2861"/>
  <c r="A2861"/>
  <c r="Q2861"/>
  <c r="A2854"/>
  <c r="Q2854"/>
  <c r="S2854"/>
  <c r="R2847"/>
  <c r="A2847"/>
  <c r="Q2847"/>
  <c r="A2842"/>
  <c r="Q2842"/>
  <c r="S2842"/>
  <c r="A2840"/>
  <c r="Q2840"/>
  <c r="S2840"/>
  <c r="A2827"/>
  <c r="Q2827"/>
  <c r="S2827"/>
  <c r="A2826"/>
  <c r="Q2826"/>
  <c r="S2826"/>
  <c r="A2773"/>
  <c r="A2749"/>
  <c r="A2755"/>
  <c r="Q2773"/>
  <c r="S2773"/>
  <c r="A2774"/>
  <c r="Q2774"/>
  <c r="S2774"/>
  <c r="R2763"/>
  <c r="A2765"/>
  <c r="Q2765"/>
  <c r="S2765"/>
  <c r="A2763"/>
  <c r="Q2763"/>
  <c r="S2755"/>
  <c r="Q2755"/>
  <c r="R2754"/>
  <c r="A2754"/>
  <c r="Q2754"/>
  <c r="R2748"/>
  <c r="Q2749"/>
  <c r="S2749"/>
  <c r="A2748"/>
  <c r="Q2748"/>
  <c r="A2741"/>
  <c r="Q2741"/>
  <c r="S2741"/>
  <c r="A2740"/>
  <c r="Q2740"/>
  <c r="S2740"/>
  <c r="B1580"/>
  <c r="A1580" s="1"/>
  <c r="E1580"/>
  <c r="AA1580" s="1"/>
  <c r="P1580"/>
  <c r="T1580"/>
  <c r="U1580"/>
  <c r="V1580"/>
  <c r="W1580"/>
  <c r="Y1580"/>
  <c r="AB1580"/>
  <c r="AC1580"/>
  <c r="AD1580"/>
  <c r="AD3060"/>
  <c r="AC3060"/>
  <c r="AB3060"/>
  <c r="Y3060"/>
  <c r="W3060"/>
  <c r="V3060"/>
  <c r="U3060"/>
  <c r="T3060"/>
  <c r="P3060"/>
  <c r="E3060"/>
  <c r="AA3060" s="1"/>
  <c r="B3060"/>
  <c r="R3060" s="1"/>
  <c r="AD3059"/>
  <c r="AC3059"/>
  <c r="AB3059"/>
  <c r="Y3059"/>
  <c r="W3059"/>
  <c r="V3059"/>
  <c r="U3059"/>
  <c r="T3059"/>
  <c r="P3059"/>
  <c r="M3059"/>
  <c r="E3059"/>
  <c r="AA3059" s="1"/>
  <c r="B3059"/>
  <c r="S3059" s="1"/>
  <c r="AD3099"/>
  <c r="AC3099"/>
  <c r="AB3099"/>
  <c r="Y3099"/>
  <c r="W3099"/>
  <c r="V3099"/>
  <c r="U3099"/>
  <c r="T3099"/>
  <c r="P3099"/>
  <c r="M3099"/>
  <c r="E3099"/>
  <c r="AA3099" s="1"/>
  <c r="B3099"/>
  <c r="R3099" s="1"/>
  <c r="AD3058"/>
  <c r="AC3058"/>
  <c r="AB3058"/>
  <c r="Y3058"/>
  <c r="W3058"/>
  <c r="V3058"/>
  <c r="U3058"/>
  <c r="T3058"/>
  <c r="P3058"/>
  <c r="E3058"/>
  <c r="AA3058" s="1"/>
  <c r="B3058"/>
  <c r="R3058" s="1"/>
  <c r="AD3057"/>
  <c r="AC3057"/>
  <c r="AB3057"/>
  <c r="Y3057"/>
  <c r="W3057"/>
  <c r="V3057"/>
  <c r="U3057"/>
  <c r="T3057"/>
  <c r="P3057"/>
  <c r="M3057"/>
  <c r="E3057"/>
  <c r="AA3057" s="1"/>
  <c r="B3057"/>
  <c r="R3057" s="1"/>
  <c r="B3056"/>
  <c r="A3056" s="1"/>
  <c r="E3056"/>
  <c r="AA3056" s="1"/>
  <c r="P3056"/>
  <c r="T3056"/>
  <c r="U3056"/>
  <c r="V3056"/>
  <c r="W3056"/>
  <c r="Y3056"/>
  <c r="AB3056"/>
  <c r="AC3056"/>
  <c r="AD3056"/>
  <c r="B3055"/>
  <c r="A3055" s="1"/>
  <c r="E3055"/>
  <c r="AA3055" s="1"/>
  <c r="M3055"/>
  <c r="P3055"/>
  <c r="Q3055"/>
  <c r="T3055"/>
  <c r="U3055"/>
  <c r="V3055"/>
  <c r="W3055"/>
  <c r="Y3055"/>
  <c r="AB3055"/>
  <c r="AC3055"/>
  <c r="AD3055"/>
  <c r="B2918"/>
  <c r="A2918" s="1"/>
  <c r="E2918"/>
  <c r="AA2918" s="1"/>
  <c r="M2918"/>
  <c r="P2918"/>
  <c r="Q2918"/>
  <c r="T2918"/>
  <c r="U2918"/>
  <c r="V2918"/>
  <c r="W2918"/>
  <c r="Y2918"/>
  <c r="AB2918"/>
  <c r="AC2918"/>
  <c r="AD2918"/>
  <c r="B3098"/>
  <c r="A3098" s="1"/>
  <c r="E3098"/>
  <c r="AA3098" s="1"/>
  <c r="M3098"/>
  <c r="P3098"/>
  <c r="Q3098"/>
  <c r="T3098"/>
  <c r="U3098"/>
  <c r="V3098"/>
  <c r="W3098"/>
  <c r="Y3098"/>
  <c r="AB3098"/>
  <c r="AC3098"/>
  <c r="AD3098"/>
  <c r="M2917"/>
  <c r="E2917"/>
  <c r="B3101"/>
  <c r="A3101" s="1"/>
  <c r="E3101"/>
  <c r="AA3101" s="1"/>
  <c r="M3101"/>
  <c r="P3101"/>
  <c r="Q3101"/>
  <c r="T3101"/>
  <c r="U3101"/>
  <c r="V3101"/>
  <c r="W3101"/>
  <c r="Y3101"/>
  <c r="AB3101"/>
  <c r="AC3101"/>
  <c r="AD3101"/>
  <c r="AE1710"/>
  <c r="AC1710"/>
  <c r="AB1710"/>
  <c r="AA1710"/>
  <c r="Y1710"/>
  <c r="W1710"/>
  <c r="V1710"/>
  <c r="U1710"/>
  <c r="T1710"/>
  <c r="S1710"/>
  <c r="R1710"/>
  <c r="Q1710"/>
  <c r="P1710"/>
  <c r="C1710"/>
  <c r="AD1710" s="1"/>
  <c r="A1710"/>
  <c r="AE1709"/>
  <c r="AC1709"/>
  <c r="AB1709"/>
  <c r="AA1709"/>
  <c r="Y1709"/>
  <c r="W1709"/>
  <c r="V1709"/>
  <c r="U1709"/>
  <c r="T1709"/>
  <c r="S1709"/>
  <c r="R1709"/>
  <c r="Q1709"/>
  <c r="P1709"/>
  <c r="C1709"/>
  <c r="AD1709" s="1"/>
  <c r="A1709"/>
  <c r="AE1708"/>
  <c r="AC1708"/>
  <c r="AB1708"/>
  <c r="AA1708"/>
  <c r="Y1708"/>
  <c r="W1708"/>
  <c r="V1708"/>
  <c r="U1708"/>
  <c r="T1708"/>
  <c r="S1708"/>
  <c r="R1708"/>
  <c r="Q1708"/>
  <c r="P1708"/>
  <c r="AD1708"/>
  <c r="A1708"/>
  <c r="AE1707"/>
  <c r="AC1707"/>
  <c r="AB1707"/>
  <c r="AA1707"/>
  <c r="Y1707"/>
  <c r="W1707"/>
  <c r="V1707"/>
  <c r="U1707"/>
  <c r="T1707"/>
  <c r="S1707"/>
  <c r="R1707"/>
  <c r="Q1707"/>
  <c r="P1707"/>
  <c r="AD1707"/>
  <c r="A1707"/>
  <c r="AE1695"/>
  <c r="AC1695"/>
  <c r="AB1695"/>
  <c r="AA1695"/>
  <c r="Y1695"/>
  <c r="W1695"/>
  <c r="V1695"/>
  <c r="U1695"/>
  <c r="T1695"/>
  <c r="S1695"/>
  <c r="R1695"/>
  <c r="Q1695"/>
  <c r="P1695"/>
  <c r="AD1695"/>
  <c r="A1695"/>
  <c r="AE1694"/>
  <c r="AC1694"/>
  <c r="AB1694"/>
  <c r="AA1694"/>
  <c r="Y1694"/>
  <c r="W1694"/>
  <c r="V1694"/>
  <c r="U1694"/>
  <c r="T1694"/>
  <c r="S1694"/>
  <c r="R1694"/>
  <c r="Q1694"/>
  <c r="P1694"/>
  <c r="AD1694"/>
  <c r="A1694"/>
  <c r="AE1706"/>
  <c r="AC1706"/>
  <c r="AB1706"/>
  <c r="AA1706"/>
  <c r="Y1706"/>
  <c r="W1706"/>
  <c r="V1706"/>
  <c r="U1706"/>
  <c r="T1706"/>
  <c r="S1706"/>
  <c r="R1706"/>
  <c r="Q1706"/>
  <c r="P1706"/>
  <c r="AD1706"/>
  <c r="A1706"/>
  <c r="AE1705"/>
  <c r="AC1705"/>
  <c r="AB1705"/>
  <c r="AA1705"/>
  <c r="Y1705"/>
  <c r="W1705"/>
  <c r="V1705"/>
  <c r="U1705"/>
  <c r="T1705"/>
  <c r="S1705"/>
  <c r="R1705"/>
  <c r="Q1705"/>
  <c r="P1705"/>
  <c r="AD1705"/>
  <c r="A1705"/>
  <c r="AE1704"/>
  <c r="AC1704"/>
  <c r="AB1704"/>
  <c r="AA1704"/>
  <c r="Y1704"/>
  <c r="W1704"/>
  <c r="V1704"/>
  <c r="U1704"/>
  <c r="T1704"/>
  <c r="S1704"/>
  <c r="R1704"/>
  <c r="Q1704"/>
  <c r="P1704"/>
  <c r="AD1704"/>
  <c r="A1704"/>
  <c r="AE1693"/>
  <c r="AC1693"/>
  <c r="AB1693"/>
  <c r="AA1693"/>
  <c r="Y1693"/>
  <c r="W1693"/>
  <c r="V1693"/>
  <c r="U1693"/>
  <c r="T1693"/>
  <c r="S1693"/>
  <c r="R1693"/>
  <c r="Q1693"/>
  <c r="P1693"/>
  <c r="AD1693"/>
  <c r="A1693"/>
  <c r="AE1692"/>
  <c r="AC1692"/>
  <c r="AB1692"/>
  <c r="AA1692"/>
  <c r="Y1692"/>
  <c r="W1692"/>
  <c r="V1692"/>
  <c r="U1692"/>
  <c r="T1692"/>
  <c r="S1692"/>
  <c r="R1692"/>
  <c r="Q1692"/>
  <c r="P1692"/>
  <c r="AD1692"/>
  <c r="A1692"/>
  <c r="AE1700"/>
  <c r="AC1700"/>
  <c r="AB1700"/>
  <c r="AA1700"/>
  <c r="Y1700"/>
  <c r="W1700"/>
  <c r="V1700"/>
  <c r="U1700"/>
  <c r="T1700"/>
  <c r="S1700"/>
  <c r="R1700"/>
  <c r="Q1700"/>
  <c r="P1700"/>
  <c r="AD1700"/>
  <c r="A1700"/>
  <c r="AE1699"/>
  <c r="AC1699"/>
  <c r="AB1699"/>
  <c r="AA1699"/>
  <c r="Y1699"/>
  <c r="W1699"/>
  <c r="V1699"/>
  <c r="U1699"/>
  <c r="T1699"/>
  <c r="S1699"/>
  <c r="R1699"/>
  <c r="Q1699"/>
  <c r="P1699"/>
  <c r="AD1699"/>
  <c r="A1699"/>
  <c r="AE1698"/>
  <c r="AC1698"/>
  <c r="AB1698"/>
  <c r="AA1698"/>
  <c r="Y1698"/>
  <c r="W1698"/>
  <c r="V1698"/>
  <c r="U1698"/>
  <c r="T1698"/>
  <c r="S1698"/>
  <c r="R1698"/>
  <c r="Q1698"/>
  <c r="P1698"/>
  <c r="AD1698"/>
  <c r="A1698"/>
  <c r="AE1697"/>
  <c r="AC1697"/>
  <c r="AB1697"/>
  <c r="AA1697"/>
  <c r="Y1697"/>
  <c r="W1697"/>
  <c r="V1697"/>
  <c r="U1697"/>
  <c r="T1697"/>
  <c r="S1697"/>
  <c r="R1697"/>
  <c r="Q1697"/>
  <c r="P1697"/>
  <c r="AD1697"/>
  <c r="A1697"/>
  <c r="AE1696"/>
  <c r="AC1696"/>
  <c r="AB1696"/>
  <c r="AA1696"/>
  <c r="Y1696"/>
  <c r="W1696"/>
  <c r="V1696"/>
  <c r="U1696"/>
  <c r="T1696"/>
  <c r="S1696"/>
  <c r="R1696"/>
  <c r="Q1696"/>
  <c r="P1696"/>
  <c r="AD1696"/>
  <c r="A1696"/>
  <c r="AE1691"/>
  <c r="AC1691"/>
  <c r="AB1691"/>
  <c r="AA1691"/>
  <c r="Y1691"/>
  <c r="W1691"/>
  <c r="V1691"/>
  <c r="U1691"/>
  <c r="T1691"/>
  <c r="S1691"/>
  <c r="R1691"/>
  <c r="Q1691"/>
  <c r="P1691"/>
  <c r="AD1691"/>
  <c r="A1691"/>
  <c r="AE1690"/>
  <c r="AC1690"/>
  <c r="AB1690"/>
  <c r="AA1690"/>
  <c r="Y1690"/>
  <c r="W1690"/>
  <c r="V1690"/>
  <c r="U1690"/>
  <c r="T1690"/>
  <c r="S1690"/>
  <c r="R1690"/>
  <c r="Q1690"/>
  <c r="P1690"/>
  <c r="AD1690"/>
  <c r="A1690"/>
  <c r="AE1689"/>
  <c r="AC1689"/>
  <c r="AB1689"/>
  <c r="AA1689"/>
  <c r="Y1689"/>
  <c r="W1689"/>
  <c r="V1689"/>
  <c r="U1689"/>
  <c r="T1689"/>
  <c r="S1689"/>
  <c r="R1689"/>
  <c r="Q1689"/>
  <c r="P1689"/>
  <c r="AD1689"/>
  <c r="A1689"/>
  <c r="AE1703"/>
  <c r="AC1703"/>
  <c r="AB1703"/>
  <c r="AA1703"/>
  <c r="Y1703"/>
  <c r="W1703"/>
  <c r="V1703"/>
  <c r="U1703"/>
  <c r="T1703"/>
  <c r="S1703"/>
  <c r="R1703"/>
  <c r="Q1703"/>
  <c r="P1703"/>
  <c r="AD1703"/>
  <c r="A1703"/>
  <c r="AE1702"/>
  <c r="AC1702"/>
  <c r="AB1702"/>
  <c r="AA1702"/>
  <c r="Y1702"/>
  <c r="W1702"/>
  <c r="V1702"/>
  <c r="U1702"/>
  <c r="T1702"/>
  <c r="S1702"/>
  <c r="R1702"/>
  <c r="Q1702"/>
  <c r="P1702"/>
  <c r="AD1702"/>
  <c r="A1702"/>
  <c r="AE1701"/>
  <c r="AC1701"/>
  <c r="AB1701"/>
  <c r="AA1701"/>
  <c r="Y1701"/>
  <c r="W1701"/>
  <c r="V1701"/>
  <c r="U1701"/>
  <c r="T1701"/>
  <c r="S1701"/>
  <c r="R1701"/>
  <c r="Q1701"/>
  <c r="P1701"/>
  <c r="AD1701"/>
  <c r="A1701"/>
  <c r="AE1688"/>
  <c r="AC1688"/>
  <c r="AB1688"/>
  <c r="AA1688"/>
  <c r="Y1688"/>
  <c r="W1688"/>
  <c r="V1688"/>
  <c r="U1688"/>
  <c r="T1688"/>
  <c r="S1688"/>
  <c r="R1688"/>
  <c r="Q1688"/>
  <c r="P1688"/>
  <c r="AD1688"/>
  <c r="A1688"/>
  <c r="AE1687"/>
  <c r="AC1687"/>
  <c r="AB1687"/>
  <c r="AA1687"/>
  <c r="Y1687"/>
  <c r="W1687"/>
  <c r="V1687"/>
  <c r="U1687"/>
  <c r="T1687"/>
  <c r="S1687"/>
  <c r="R1687"/>
  <c r="Q1687"/>
  <c r="P1687"/>
  <c r="AD1687"/>
  <c r="A1687"/>
  <c r="AE1686"/>
  <c r="AC1686"/>
  <c r="AB1686"/>
  <c r="AA1686"/>
  <c r="Y1686"/>
  <c r="W1686"/>
  <c r="V1686"/>
  <c r="U1686"/>
  <c r="T1686"/>
  <c r="S1686"/>
  <c r="R1686"/>
  <c r="Q1686"/>
  <c r="P1686"/>
  <c r="AD1686"/>
  <c r="A1686"/>
  <c r="AE1676"/>
  <c r="AC1676"/>
  <c r="AB1676"/>
  <c r="AA1676"/>
  <c r="Y1676"/>
  <c r="W1676"/>
  <c r="V1676"/>
  <c r="U1676"/>
  <c r="T1676"/>
  <c r="S1676"/>
  <c r="R1676"/>
  <c r="Q1676"/>
  <c r="P1676"/>
  <c r="AD1676"/>
  <c r="A1676"/>
  <c r="AE1675"/>
  <c r="AC1675"/>
  <c r="AB1675"/>
  <c r="AA1675"/>
  <c r="Y1675"/>
  <c r="W1675"/>
  <c r="V1675"/>
  <c r="U1675"/>
  <c r="T1675"/>
  <c r="S1675"/>
  <c r="R1675"/>
  <c r="Q1675"/>
  <c r="P1675"/>
  <c r="AD1675"/>
  <c r="A1675"/>
  <c r="AE1674"/>
  <c r="AC1674"/>
  <c r="AB1674"/>
  <c r="AA1674"/>
  <c r="Y1674"/>
  <c r="W1674"/>
  <c r="V1674"/>
  <c r="U1674"/>
  <c r="T1674"/>
  <c r="S1674"/>
  <c r="R1674"/>
  <c r="Q1674"/>
  <c r="P1674"/>
  <c r="AD1674"/>
  <c r="A1674"/>
  <c r="AE1685"/>
  <c r="AC1685"/>
  <c r="AB1685"/>
  <c r="AA1685"/>
  <c r="Y1685"/>
  <c r="W1685"/>
  <c r="V1685"/>
  <c r="U1685"/>
  <c r="T1685"/>
  <c r="S1685"/>
  <c r="R1685"/>
  <c r="Q1685"/>
  <c r="P1685"/>
  <c r="AD1685"/>
  <c r="A1685"/>
  <c r="AE1684"/>
  <c r="AC1684"/>
  <c r="AB1684"/>
  <c r="AA1684"/>
  <c r="Y1684"/>
  <c r="W1684"/>
  <c r="V1684"/>
  <c r="U1684"/>
  <c r="T1684"/>
  <c r="S1684"/>
  <c r="R1684"/>
  <c r="Q1684"/>
  <c r="P1684"/>
  <c r="AD1684"/>
  <c r="A1684"/>
  <c r="AE1673"/>
  <c r="AC1673"/>
  <c r="AB1673"/>
  <c r="AA1673"/>
  <c r="Y1673"/>
  <c r="W1673"/>
  <c r="V1673"/>
  <c r="U1673"/>
  <c r="T1673"/>
  <c r="S1673"/>
  <c r="R1673"/>
  <c r="Q1673"/>
  <c r="P1673"/>
  <c r="AD1673"/>
  <c r="A1673"/>
  <c r="M893"/>
  <c r="I78" i="12"/>
  <c r="A78"/>
  <c r="I77"/>
  <c r="A77"/>
  <c r="I76"/>
  <c r="A76"/>
  <c r="I75"/>
  <c r="A75"/>
  <c r="I73"/>
  <c r="A73"/>
  <c r="I74"/>
  <c r="A74"/>
  <c r="I71"/>
  <c r="A71"/>
  <c r="AD54" i="34"/>
  <c r="AC54"/>
  <c r="AB54"/>
  <c r="Y54"/>
  <c r="W54"/>
  <c r="V54"/>
  <c r="U54"/>
  <c r="T54"/>
  <c r="P54"/>
  <c r="E54"/>
  <c r="AA54" s="1"/>
  <c r="R54"/>
  <c r="AD53"/>
  <c r="AC53"/>
  <c r="AB53"/>
  <c r="Y53"/>
  <c r="W53"/>
  <c r="V53"/>
  <c r="U53"/>
  <c r="T53"/>
  <c r="P53"/>
  <c r="E53"/>
  <c r="AA53" s="1"/>
  <c r="S53"/>
  <c r="AD52"/>
  <c r="AC52"/>
  <c r="AB52"/>
  <c r="Y52"/>
  <c r="W52"/>
  <c r="V52"/>
  <c r="U52"/>
  <c r="T52"/>
  <c r="P52"/>
  <c r="E52"/>
  <c r="AA52" s="1"/>
  <c r="R52"/>
  <c r="AD51"/>
  <c r="AC51"/>
  <c r="AB51"/>
  <c r="Y51"/>
  <c r="W51"/>
  <c r="V51"/>
  <c r="U51"/>
  <c r="T51"/>
  <c r="P51"/>
  <c r="E51"/>
  <c r="AA51" s="1"/>
  <c r="R51"/>
  <c r="AD50"/>
  <c r="AC50"/>
  <c r="AB50"/>
  <c r="Y50"/>
  <c r="W50"/>
  <c r="V50"/>
  <c r="U50"/>
  <c r="T50"/>
  <c r="P50"/>
  <c r="E50"/>
  <c r="AA50" s="1"/>
  <c r="S50"/>
  <c r="A50"/>
  <c r="AD49"/>
  <c r="AC49"/>
  <c r="AB49"/>
  <c r="Y49"/>
  <c r="W49"/>
  <c r="V49"/>
  <c r="U49"/>
  <c r="T49"/>
  <c r="P49"/>
  <c r="E49"/>
  <c r="AA49" s="1"/>
  <c r="R49"/>
  <c r="AD194"/>
  <c r="AC194"/>
  <c r="AB194"/>
  <c r="Y194"/>
  <c r="W194"/>
  <c r="V194"/>
  <c r="U194"/>
  <c r="T194"/>
  <c r="S194"/>
  <c r="R194"/>
  <c r="Q194"/>
  <c r="P194"/>
  <c r="E194"/>
  <c r="AA194" s="1"/>
  <c r="A194"/>
  <c r="AD193"/>
  <c r="AC193"/>
  <c r="AB193"/>
  <c r="Y193"/>
  <c r="W193"/>
  <c r="V193"/>
  <c r="U193"/>
  <c r="T193"/>
  <c r="S193"/>
  <c r="R193"/>
  <c r="Q193"/>
  <c r="P193"/>
  <c r="E193"/>
  <c r="AA193" s="1"/>
  <c r="A193"/>
  <c r="AD192"/>
  <c r="AC192"/>
  <c r="AB192"/>
  <c r="Y192"/>
  <c r="W192"/>
  <c r="V192"/>
  <c r="U192"/>
  <c r="T192"/>
  <c r="S192"/>
  <c r="R192"/>
  <c r="Q192"/>
  <c r="P192"/>
  <c r="E192"/>
  <c r="AA192" s="1"/>
  <c r="A192"/>
  <c r="AD191"/>
  <c r="AC191"/>
  <c r="AB191"/>
  <c r="Y191"/>
  <c r="W191"/>
  <c r="V191"/>
  <c r="U191"/>
  <c r="T191"/>
  <c r="S191"/>
  <c r="R191"/>
  <c r="Q191"/>
  <c r="P191"/>
  <c r="M191"/>
  <c r="M193" s="1"/>
  <c r="E191"/>
  <c r="AA191" s="1"/>
  <c r="A191"/>
  <c r="AD190"/>
  <c r="AC190"/>
  <c r="AB190"/>
  <c r="Y190"/>
  <c r="W190"/>
  <c r="V190"/>
  <c r="U190"/>
  <c r="T190"/>
  <c r="S190"/>
  <c r="R190"/>
  <c r="Q190"/>
  <c r="P190"/>
  <c r="E190"/>
  <c r="AA190" s="1"/>
  <c r="A190"/>
  <c r="AD189"/>
  <c r="AC189"/>
  <c r="AB189"/>
  <c r="Y189"/>
  <c r="W189"/>
  <c r="V189"/>
  <c r="U189"/>
  <c r="T189"/>
  <c r="S189"/>
  <c r="R189"/>
  <c r="Q189"/>
  <c r="P189"/>
  <c r="M189"/>
  <c r="E189"/>
  <c r="AA189" s="1"/>
  <c r="A189"/>
  <c r="AD188"/>
  <c r="AC188"/>
  <c r="AB188"/>
  <c r="Y188"/>
  <c r="W188"/>
  <c r="V188"/>
  <c r="U188"/>
  <c r="T188"/>
  <c r="S188"/>
  <c r="R188"/>
  <c r="Q188"/>
  <c r="P188"/>
  <c r="E188"/>
  <c r="AA188" s="1"/>
  <c r="A188"/>
  <c r="AD187"/>
  <c r="AC187"/>
  <c r="AB187"/>
  <c r="Y187"/>
  <c r="W187"/>
  <c r="V187"/>
  <c r="U187"/>
  <c r="T187"/>
  <c r="S187"/>
  <c r="R187"/>
  <c r="Q187"/>
  <c r="P187"/>
  <c r="M187"/>
  <c r="E187"/>
  <c r="AA187" s="1"/>
  <c r="A187"/>
  <c r="AD186"/>
  <c r="AC186"/>
  <c r="AB186"/>
  <c r="Y186"/>
  <c r="W186"/>
  <c r="V186"/>
  <c r="U186"/>
  <c r="T186"/>
  <c r="S186"/>
  <c r="R186"/>
  <c r="Q186"/>
  <c r="P186"/>
  <c r="E186"/>
  <c r="AA186" s="1"/>
  <c r="A186"/>
  <c r="AD185"/>
  <c r="AC185"/>
  <c r="AB185"/>
  <c r="Y185"/>
  <c r="W185"/>
  <c r="V185"/>
  <c r="U185"/>
  <c r="T185"/>
  <c r="S185"/>
  <c r="R185"/>
  <c r="Q185"/>
  <c r="P185"/>
  <c r="M185"/>
  <c r="E185"/>
  <c r="AA185" s="1"/>
  <c r="A185"/>
  <c r="AD184"/>
  <c r="AC184"/>
  <c r="AB184"/>
  <c r="Y184"/>
  <c r="W184"/>
  <c r="V184"/>
  <c r="U184"/>
  <c r="T184"/>
  <c r="S184"/>
  <c r="R184"/>
  <c r="Q184"/>
  <c r="P184"/>
  <c r="E184"/>
  <c r="AA184" s="1"/>
  <c r="A184"/>
  <c r="AD183"/>
  <c r="AC183"/>
  <c r="AB183"/>
  <c r="Y183"/>
  <c r="W183"/>
  <c r="V183"/>
  <c r="U183"/>
  <c r="T183"/>
  <c r="S183"/>
  <c r="R183"/>
  <c r="Q183"/>
  <c r="P183"/>
  <c r="M183"/>
  <c r="E183"/>
  <c r="AA183" s="1"/>
  <c r="A183"/>
  <c r="AD182"/>
  <c r="AC182"/>
  <c r="AB182"/>
  <c r="Y182"/>
  <c r="W182"/>
  <c r="S182"/>
  <c r="R182"/>
  <c r="Q182"/>
  <c r="P182"/>
  <c r="G182"/>
  <c r="V182" s="1"/>
  <c r="E182"/>
  <c r="AA182" s="1"/>
  <c r="A182"/>
  <c r="AD181"/>
  <c r="AC181"/>
  <c r="AB181"/>
  <c r="Y181"/>
  <c r="W181"/>
  <c r="V181"/>
  <c r="U181"/>
  <c r="T181"/>
  <c r="S181"/>
  <c r="R181"/>
  <c r="Q181"/>
  <c r="P181"/>
  <c r="E181"/>
  <c r="AA181" s="1"/>
  <c r="A181"/>
  <c r="AD180"/>
  <c r="AC180"/>
  <c r="AB180"/>
  <c r="Y180"/>
  <c r="W180"/>
  <c r="V180"/>
  <c r="U180"/>
  <c r="T180"/>
  <c r="P180"/>
  <c r="E180"/>
  <c r="AA180" s="1"/>
  <c r="R180"/>
  <c r="A180"/>
  <c r="AD179"/>
  <c r="AC179"/>
  <c r="AB179"/>
  <c r="Y179"/>
  <c r="W179"/>
  <c r="V179"/>
  <c r="U179"/>
  <c r="T179"/>
  <c r="P179"/>
  <c r="E179"/>
  <c r="AA179" s="1"/>
  <c r="R179"/>
  <c r="A179"/>
  <c r="AD178"/>
  <c r="AC178"/>
  <c r="AB178"/>
  <c r="Y178"/>
  <c r="W178"/>
  <c r="V178"/>
  <c r="U178"/>
  <c r="T178"/>
  <c r="P178"/>
  <c r="E178"/>
  <c r="AA178" s="1"/>
  <c r="R178"/>
  <c r="A178"/>
  <c r="AD177"/>
  <c r="AC177"/>
  <c r="AB177"/>
  <c r="Y177"/>
  <c r="W177"/>
  <c r="V177"/>
  <c r="U177"/>
  <c r="T177"/>
  <c r="P177"/>
  <c r="M177"/>
  <c r="M179" s="1"/>
  <c r="E177"/>
  <c r="AA177" s="1"/>
  <c r="R177"/>
  <c r="AD176"/>
  <c r="AC176"/>
  <c r="AB176"/>
  <c r="Y176"/>
  <c r="W176"/>
  <c r="V176"/>
  <c r="U176"/>
  <c r="T176"/>
  <c r="P176"/>
  <c r="E176"/>
  <c r="AA176" s="1"/>
  <c r="R176"/>
  <c r="AD175"/>
  <c r="AC175"/>
  <c r="AB175"/>
  <c r="Y175"/>
  <c r="W175"/>
  <c r="V175"/>
  <c r="U175"/>
  <c r="T175"/>
  <c r="P175"/>
  <c r="M175"/>
  <c r="E175"/>
  <c r="AA175" s="1"/>
  <c r="R175"/>
  <c r="AD174"/>
  <c r="AC174"/>
  <c r="AB174"/>
  <c r="Y174"/>
  <c r="W174"/>
  <c r="V174"/>
  <c r="U174"/>
  <c r="T174"/>
  <c r="P174"/>
  <c r="E174"/>
  <c r="AA174" s="1"/>
  <c r="R174"/>
  <c r="AD173"/>
  <c r="AC173"/>
  <c r="AB173"/>
  <c r="Y173"/>
  <c r="W173"/>
  <c r="V173"/>
  <c r="U173"/>
  <c r="T173"/>
  <c r="P173"/>
  <c r="M173"/>
  <c r="E173"/>
  <c r="AA173" s="1"/>
  <c r="R173"/>
  <c r="AD172"/>
  <c r="AC172"/>
  <c r="AB172"/>
  <c r="Y172"/>
  <c r="W172"/>
  <c r="V172"/>
  <c r="U172"/>
  <c r="T172"/>
  <c r="P172"/>
  <c r="E172"/>
  <c r="AA172" s="1"/>
  <c r="R172"/>
  <c r="AD171"/>
  <c r="AC171"/>
  <c r="AB171"/>
  <c r="Y171"/>
  <c r="W171"/>
  <c r="V171"/>
  <c r="U171"/>
  <c r="T171"/>
  <c r="P171"/>
  <c r="M171"/>
  <c r="E171"/>
  <c r="AA171" s="1"/>
  <c r="R171"/>
  <c r="AD170"/>
  <c r="AC170"/>
  <c r="AB170"/>
  <c r="Y170"/>
  <c r="W170"/>
  <c r="V170"/>
  <c r="U170"/>
  <c r="T170"/>
  <c r="P170"/>
  <c r="E170"/>
  <c r="AA170" s="1"/>
  <c r="R170"/>
  <c r="AD169"/>
  <c r="AC169"/>
  <c r="AB169"/>
  <c r="Y169"/>
  <c r="W169"/>
  <c r="V169"/>
  <c r="U169"/>
  <c r="T169"/>
  <c r="P169"/>
  <c r="M169"/>
  <c r="E169"/>
  <c r="AA169" s="1"/>
  <c r="R169"/>
  <c r="AD168"/>
  <c r="AC168"/>
  <c r="AB168"/>
  <c r="Y168"/>
  <c r="W168"/>
  <c r="P168"/>
  <c r="G168"/>
  <c r="V168" s="1"/>
  <c r="E168"/>
  <c r="AA168" s="1"/>
  <c r="R168"/>
  <c r="AD167"/>
  <c r="AC167"/>
  <c r="AB167"/>
  <c r="Y167"/>
  <c r="W167"/>
  <c r="V167"/>
  <c r="U167"/>
  <c r="T167"/>
  <c r="P167"/>
  <c r="E167"/>
  <c r="AA167" s="1"/>
  <c r="R167"/>
  <c r="M935"/>
  <c r="M920"/>
  <c r="AD920"/>
  <c r="AC920"/>
  <c r="AB920"/>
  <c r="Y920"/>
  <c r="W920"/>
  <c r="V920"/>
  <c r="U920"/>
  <c r="T920"/>
  <c r="S920"/>
  <c r="R920"/>
  <c r="Q920"/>
  <c r="P920"/>
  <c r="E920"/>
  <c r="AA920" s="1"/>
  <c r="A920"/>
  <c r="AD935"/>
  <c r="AC935"/>
  <c r="AB935"/>
  <c r="Y935"/>
  <c r="W935"/>
  <c r="V935"/>
  <c r="U935"/>
  <c r="T935"/>
  <c r="S935"/>
  <c r="R935"/>
  <c r="Q935"/>
  <c r="P935"/>
  <c r="E935"/>
  <c r="AA935" s="1"/>
  <c r="A935"/>
  <c r="AE934"/>
  <c r="AD934"/>
  <c r="AC934"/>
  <c r="AB934"/>
  <c r="Y934"/>
  <c r="W934"/>
  <c r="V934"/>
  <c r="U934"/>
  <c r="T934"/>
  <c r="S934"/>
  <c r="R934"/>
  <c r="Q934"/>
  <c r="P934"/>
  <c r="M934"/>
  <c r="E934"/>
  <c r="AA934" s="1"/>
  <c r="A934"/>
  <c r="AE933"/>
  <c r="AD933"/>
  <c r="AC933"/>
  <c r="AB933"/>
  <c r="Y933"/>
  <c r="W933"/>
  <c r="V933"/>
  <c r="U933"/>
  <c r="T933"/>
  <c r="S933"/>
  <c r="R933"/>
  <c r="Q933"/>
  <c r="P933"/>
  <c r="M933"/>
  <c r="E933"/>
  <c r="AA933" s="1"/>
  <c r="A933"/>
  <c r="AE932"/>
  <c r="AD932"/>
  <c r="AC932"/>
  <c r="AB932"/>
  <c r="Y932"/>
  <c r="W932"/>
  <c r="V932"/>
  <c r="U932"/>
  <c r="T932"/>
  <c r="S932"/>
  <c r="R932"/>
  <c r="Q932"/>
  <c r="P932"/>
  <c r="M932"/>
  <c r="E932"/>
  <c r="AA932" s="1"/>
  <c r="A932"/>
  <c r="AE931"/>
  <c r="AD931"/>
  <c r="AC931"/>
  <c r="AB931"/>
  <c r="Y931"/>
  <c r="W931"/>
  <c r="V931"/>
  <c r="U931"/>
  <c r="T931"/>
  <c r="S931"/>
  <c r="R931"/>
  <c r="Q931"/>
  <c r="P931"/>
  <c r="M931"/>
  <c r="E931"/>
  <c r="AA931" s="1"/>
  <c r="A931"/>
  <c r="AE919"/>
  <c r="AD919"/>
  <c r="AC919"/>
  <c r="AB919"/>
  <c r="Y919"/>
  <c r="W919"/>
  <c r="V919"/>
  <c r="U919"/>
  <c r="T919"/>
  <c r="S919"/>
  <c r="R919"/>
  <c r="Q919"/>
  <c r="P919"/>
  <c r="M919"/>
  <c r="E919"/>
  <c r="AA919" s="1"/>
  <c r="A919"/>
  <c r="AE918"/>
  <c r="AD918"/>
  <c r="AC918"/>
  <c r="AB918"/>
  <c r="Y918"/>
  <c r="W918"/>
  <c r="V918"/>
  <c r="U918"/>
  <c r="T918"/>
  <c r="S918"/>
  <c r="R918"/>
  <c r="Q918"/>
  <c r="P918"/>
  <c r="M918"/>
  <c r="E918"/>
  <c r="AA918" s="1"/>
  <c r="A918"/>
  <c r="AE917"/>
  <c r="AD917"/>
  <c r="AC917"/>
  <c r="AB917"/>
  <c r="Y917"/>
  <c r="W917"/>
  <c r="V917"/>
  <c r="U917"/>
  <c r="T917"/>
  <c r="S917"/>
  <c r="R917"/>
  <c r="Q917"/>
  <c r="P917"/>
  <c r="M917"/>
  <c r="E917"/>
  <c r="AA917" s="1"/>
  <c r="A917"/>
  <c r="AE916"/>
  <c r="AD916"/>
  <c r="AC916"/>
  <c r="AB916"/>
  <c r="Y916"/>
  <c r="W916"/>
  <c r="V916"/>
  <c r="U916"/>
  <c r="T916"/>
  <c r="S916"/>
  <c r="R916"/>
  <c r="Q916"/>
  <c r="P916"/>
  <c r="M916"/>
  <c r="E916"/>
  <c r="AA916" s="1"/>
  <c r="A916"/>
  <c r="AE1002"/>
  <c r="AD1002"/>
  <c r="AC1002"/>
  <c r="AB1002"/>
  <c r="Y1002"/>
  <c r="W1002"/>
  <c r="V1002"/>
  <c r="U1002"/>
  <c r="T1002"/>
  <c r="S1002"/>
  <c r="R1002"/>
  <c r="Q1002"/>
  <c r="P1002"/>
  <c r="M1002"/>
  <c r="E1002"/>
  <c r="AA1002" s="1"/>
  <c r="A1002"/>
  <c r="AE1001"/>
  <c r="AD1001"/>
  <c r="AC1001"/>
  <c r="AB1001"/>
  <c r="Y1001"/>
  <c r="W1001"/>
  <c r="V1001"/>
  <c r="U1001"/>
  <c r="T1001"/>
  <c r="S1001"/>
  <c r="R1001"/>
  <c r="Q1001"/>
  <c r="P1001"/>
  <c r="M1001"/>
  <c r="E1001"/>
  <c r="AA1001" s="1"/>
  <c r="A1001"/>
  <c r="AE1000"/>
  <c r="AD1000"/>
  <c r="AC1000"/>
  <c r="AB1000"/>
  <c r="Y1000"/>
  <c r="W1000"/>
  <c r="V1000"/>
  <c r="U1000"/>
  <c r="T1000"/>
  <c r="S1000"/>
  <c r="R1000"/>
  <c r="Q1000"/>
  <c r="P1000"/>
  <c r="M1000"/>
  <c r="E1000"/>
  <c r="AA1000" s="1"/>
  <c r="A1000"/>
  <c r="AE998"/>
  <c r="AD998"/>
  <c r="AC998"/>
  <c r="AB998"/>
  <c r="Y998"/>
  <c r="W998"/>
  <c r="V998"/>
  <c r="U998"/>
  <c r="T998"/>
  <c r="S998"/>
  <c r="R998"/>
  <c r="Q998"/>
  <c r="P998"/>
  <c r="M998"/>
  <c r="E998"/>
  <c r="AA998" s="1"/>
  <c r="A998"/>
  <c r="AE997"/>
  <c r="AD997"/>
  <c r="AC997"/>
  <c r="AB997"/>
  <c r="Y997"/>
  <c r="W997"/>
  <c r="V997"/>
  <c r="U997"/>
  <c r="T997"/>
  <c r="S997"/>
  <c r="R997"/>
  <c r="Q997"/>
  <c r="P997"/>
  <c r="M997"/>
  <c r="E997"/>
  <c r="AA997" s="1"/>
  <c r="A997"/>
  <c r="AE996"/>
  <c r="AD996"/>
  <c r="AC996"/>
  <c r="AB996"/>
  <c r="Y996"/>
  <c r="W996"/>
  <c r="V996"/>
  <c r="U996"/>
  <c r="T996"/>
  <c r="S996"/>
  <c r="R996"/>
  <c r="Q996"/>
  <c r="P996"/>
  <c r="M996"/>
  <c r="E996"/>
  <c r="AA996" s="1"/>
  <c r="A996"/>
  <c r="AE994"/>
  <c r="AD994"/>
  <c r="AC994"/>
  <c r="AB994"/>
  <c r="Y994"/>
  <c r="W994"/>
  <c r="V994"/>
  <c r="U994"/>
  <c r="T994"/>
  <c r="S994"/>
  <c r="R994"/>
  <c r="Q994"/>
  <c r="P994"/>
  <c r="M994"/>
  <c r="E994"/>
  <c r="AA994" s="1"/>
  <c r="A994"/>
  <c r="AE993"/>
  <c r="AD993"/>
  <c r="AC993"/>
  <c r="AB993"/>
  <c r="Y993"/>
  <c r="W993"/>
  <c r="V993"/>
  <c r="U993"/>
  <c r="T993"/>
  <c r="S993"/>
  <c r="R993"/>
  <c r="Q993"/>
  <c r="P993"/>
  <c r="M993"/>
  <c r="E993"/>
  <c r="AA993" s="1"/>
  <c r="A993"/>
  <c r="AE992"/>
  <c r="AD992"/>
  <c r="AC992"/>
  <c r="AB992"/>
  <c r="Y992"/>
  <c r="W992"/>
  <c r="V992"/>
  <c r="U992"/>
  <c r="T992"/>
  <c r="S992"/>
  <c r="R992"/>
  <c r="Q992"/>
  <c r="P992"/>
  <c r="M992"/>
  <c r="E992"/>
  <c r="AA992" s="1"/>
  <c r="A992"/>
  <c r="AE990"/>
  <c r="AD990"/>
  <c r="AC990"/>
  <c r="AB990"/>
  <c r="Y990"/>
  <c r="W990"/>
  <c r="V990"/>
  <c r="U990"/>
  <c r="T990"/>
  <c r="S990"/>
  <c r="R990"/>
  <c r="Q990"/>
  <c r="P990"/>
  <c r="M990"/>
  <c r="E990"/>
  <c r="AA990" s="1"/>
  <c r="A990"/>
  <c r="AE989"/>
  <c r="AD989"/>
  <c r="AC989"/>
  <c r="AB989"/>
  <c r="Y989"/>
  <c r="W989"/>
  <c r="V989"/>
  <c r="U989"/>
  <c r="T989"/>
  <c r="S989"/>
  <c r="R989"/>
  <c r="Q989"/>
  <c r="P989"/>
  <c r="M989"/>
  <c r="E989"/>
  <c r="AA989" s="1"/>
  <c r="A989"/>
  <c r="AE988"/>
  <c r="AD988"/>
  <c r="AC988"/>
  <c r="AB988"/>
  <c r="Y988"/>
  <c r="W988"/>
  <c r="V988"/>
  <c r="U988"/>
  <c r="T988"/>
  <c r="S988"/>
  <c r="R988"/>
  <c r="Q988"/>
  <c r="P988"/>
  <c r="M988"/>
  <c r="E988"/>
  <c r="AA988" s="1"/>
  <c r="A988"/>
  <c r="AE986"/>
  <c r="AD986"/>
  <c r="AC986"/>
  <c r="AB986"/>
  <c r="Y986"/>
  <c r="W986"/>
  <c r="V986"/>
  <c r="U986"/>
  <c r="T986"/>
  <c r="S986"/>
  <c r="R986"/>
  <c r="Q986"/>
  <c r="P986"/>
  <c r="M986"/>
  <c r="E986"/>
  <c r="AA986" s="1"/>
  <c r="A986"/>
  <c r="AE985"/>
  <c r="AD985"/>
  <c r="AC985"/>
  <c r="AB985"/>
  <c r="Y985"/>
  <c r="W985"/>
  <c r="V985"/>
  <c r="U985"/>
  <c r="T985"/>
  <c r="S985"/>
  <c r="R985"/>
  <c r="Q985"/>
  <c r="P985"/>
  <c r="M985"/>
  <c r="E985"/>
  <c r="AA985" s="1"/>
  <c r="A985"/>
  <c r="AE984"/>
  <c r="AD984"/>
  <c r="AC984"/>
  <c r="AB984"/>
  <c r="Y984"/>
  <c r="W984"/>
  <c r="V984"/>
  <c r="U984"/>
  <c r="T984"/>
  <c r="S984"/>
  <c r="R984"/>
  <c r="Q984"/>
  <c r="P984"/>
  <c r="M984"/>
  <c r="E984"/>
  <c r="AA984" s="1"/>
  <c r="A984"/>
  <c r="AD962"/>
  <c r="AC962"/>
  <c r="AB962"/>
  <c r="Y962"/>
  <c r="W962"/>
  <c r="V962"/>
  <c r="U962"/>
  <c r="T962"/>
  <c r="S962"/>
  <c r="R962"/>
  <c r="Q962"/>
  <c r="P962"/>
  <c r="M962"/>
  <c r="E962"/>
  <c r="AA962" s="1"/>
  <c r="A962"/>
  <c r="AD958"/>
  <c r="AC958"/>
  <c r="AB958"/>
  <c r="Y958"/>
  <c r="W958"/>
  <c r="V958"/>
  <c r="U958"/>
  <c r="T958"/>
  <c r="S958"/>
  <c r="R958"/>
  <c r="Q958"/>
  <c r="P958"/>
  <c r="M958"/>
  <c r="E958"/>
  <c r="AA958" s="1"/>
  <c r="A958"/>
  <c r="AD953"/>
  <c r="AC953"/>
  <c r="AB953"/>
  <c r="Y953"/>
  <c r="W953"/>
  <c r="V953"/>
  <c r="U953"/>
  <c r="T953"/>
  <c r="S953"/>
  <c r="R953"/>
  <c r="Q953"/>
  <c r="P953"/>
  <c r="M953"/>
  <c r="E953"/>
  <c r="AA953" s="1"/>
  <c r="A953"/>
  <c r="AD949"/>
  <c r="AC949"/>
  <c r="AB949"/>
  <c r="Y949"/>
  <c r="W949"/>
  <c r="V949"/>
  <c r="U949"/>
  <c r="T949"/>
  <c r="S949"/>
  <c r="R949"/>
  <c r="Q949"/>
  <c r="P949"/>
  <c r="M949"/>
  <c r="E949"/>
  <c r="AA949" s="1"/>
  <c r="A949"/>
  <c r="AD944"/>
  <c r="AC944"/>
  <c r="AB944"/>
  <c r="Y944"/>
  <c r="W944"/>
  <c r="V944"/>
  <c r="U944"/>
  <c r="T944"/>
  <c r="S944"/>
  <c r="R944"/>
  <c r="Q944"/>
  <c r="P944"/>
  <c r="M944"/>
  <c r="E944"/>
  <c r="AA944" s="1"/>
  <c r="A944"/>
  <c r="AD940"/>
  <c r="AC940"/>
  <c r="AB940"/>
  <c r="Y940"/>
  <c r="W940"/>
  <c r="V940"/>
  <c r="U940"/>
  <c r="T940"/>
  <c r="S940"/>
  <c r="R940"/>
  <c r="Q940"/>
  <c r="P940"/>
  <c r="M940"/>
  <c r="E940"/>
  <c r="AA940" s="1"/>
  <c r="A940"/>
  <c r="AD930"/>
  <c r="AC930"/>
  <c r="AB930"/>
  <c r="Y930"/>
  <c r="W930"/>
  <c r="V930"/>
  <c r="U930"/>
  <c r="T930"/>
  <c r="S930"/>
  <c r="R930"/>
  <c r="Q930"/>
  <c r="P930"/>
  <c r="M930"/>
  <c r="E930"/>
  <c r="AA930" s="1"/>
  <c r="A930"/>
  <c r="AD925"/>
  <c r="AC925"/>
  <c r="AB925"/>
  <c r="Y925"/>
  <c r="W925"/>
  <c r="V925"/>
  <c r="U925"/>
  <c r="T925"/>
  <c r="S925"/>
  <c r="R925"/>
  <c r="Q925"/>
  <c r="P925"/>
  <c r="M925"/>
  <c r="E925"/>
  <c r="AA925" s="1"/>
  <c r="A925"/>
  <c r="R1580" l="1"/>
  <c r="A3099"/>
  <c r="S1580"/>
  <c r="Q1580"/>
  <c r="S3098"/>
  <c r="S2918"/>
  <c r="S3055"/>
  <c r="S3056"/>
  <c r="Q3056"/>
  <c r="A3057"/>
  <c r="A3058"/>
  <c r="A3059"/>
  <c r="R3059"/>
  <c r="A3060"/>
  <c r="Q3060"/>
  <c r="S3060"/>
  <c r="Q3059"/>
  <c r="Q3099"/>
  <c r="S3099"/>
  <c r="Q3057"/>
  <c r="S3057"/>
  <c r="Q3058"/>
  <c r="S3058"/>
  <c r="R3056"/>
  <c r="R3055"/>
  <c r="R3098"/>
  <c r="R2918"/>
  <c r="S3101"/>
  <c r="R3101"/>
  <c r="A52"/>
  <c r="Q52"/>
  <c r="S52"/>
  <c r="R53"/>
  <c r="A54"/>
  <c r="Q54"/>
  <c r="S54"/>
  <c r="A53"/>
  <c r="Q53"/>
  <c r="A49"/>
  <c r="Q49"/>
  <c r="S49"/>
  <c r="R50"/>
  <c r="A51"/>
  <c r="Q51"/>
  <c r="S51"/>
  <c r="Q50"/>
  <c r="U182"/>
  <c r="M184"/>
  <c r="M186"/>
  <c r="M188"/>
  <c r="M190"/>
  <c r="M192"/>
  <c r="M194" s="1"/>
  <c r="T182"/>
  <c r="A167"/>
  <c r="Q167"/>
  <c r="S167"/>
  <c r="Q168"/>
  <c r="S168"/>
  <c r="U168"/>
  <c r="Q169"/>
  <c r="S169"/>
  <c r="M170"/>
  <c r="Q170"/>
  <c r="S170"/>
  <c r="Q171"/>
  <c r="S171"/>
  <c r="M172"/>
  <c r="Q172"/>
  <c r="S172"/>
  <c r="Q173"/>
  <c r="S173"/>
  <c r="M174"/>
  <c r="Q174"/>
  <c r="S174"/>
  <c r="Q175"/>
  <c r="S175"/>
  <c r="M176"/>
  <c r="Q176"/>
  <c r="S176"/>
  <c r="Q177"/>
  <c r="S177"/>
  <c r="M178"/>
  <c r="M180" s="1"/>
  <c r="Q178"/>
  <c r="S178"/>
  <c r="Q179"/>
  <c r="S179"/>
  <c r="Q180"/>
  <c r="S180"/>
  <c r="A168"/>
  <c r="T168"/>
  <c r="A169"/>
  <c r="A170"/>
  <c r="A171"/>
  <c r="A172"/>
  <c r="A173"/>
  <c r="A174"/>
  <c r="A175"/>
  <c r="A176"/>
  <c r="A177"/>
  <c r="AD967" l="1"/>
  <c r="AC967"/>
  <c r="AB967"/>
  <c r="Y967"/>
  <c r="W967"/>
  <c r="V967"/>
  <c r="U967"/>
  <c r="T967"/>
  <c r="S967"/>
  <c r="R967"/>
  <c r="Q967"/>
  <c r="P967"/>
  <c r="M967"/>
  <c r="E967"/>
  <c r="AA967" s="1"/>
  <c r="A967"/>
  <c r="AE982"/>
  <c r="AD982"/>
  <c r="AC982"/>
  <c r="AB982"/>
  <c r="Y982"/>
  <c r="W982"/>
  <c r="V982"/>
  <c r="U982"/>
  <c r="T982"/>
  <c r="S982"/>
  <c r="R982"/>
  <c r="Q982"/>
  <c r="P982"/>
  <c r="M982"/>
  <c r="E982"/>
  <c r="AA982" s="1"/>
  <c r="A982"/>
  <c r="AE981"/>
  <c r="AD981"/>
  <c r="AC981"/>
  <c r="AB981"/>
  <c r="Y981"/>
  <c r="W981"/>
  <c r="V981"/>
  <c r="U981"/>
  <c r="T981"/>
  <c r="S981"/>
  <c r="R981"/>
  <c r="Q981"/>
  <c r="P981"/>
  <c r="M981"/>
  <c r="E981"/>
  <c r="AA981" s="1"/>
  <c r="A981"/>
  <c r="AE980"/>
  <c r="AD980"/>
  <c r="AC980"/>
  <c r="AB980"/>
  <c r="Y980"/>
  <c r="W980"/>
  <c r="V980"/>
  <c r="U980"/>
  <c r="T980"/>
  <c r="S980"/>
  <c r="R980"/>
  <c r="Q980"/>
  <c r="P980"/>
  <c r="M980"/>
  <c r="E980"/>
  <c r="AA980" s="1"/>
  <c r="A980"/>
  <c r="AE978"/>
  <c r="AD978"/>
  <c r="AC978"/>
  <c r="AB978"/>
  <c r="Y978"/>
  <c r="W978"/>
  <c r="V978"/>
  <c r="U978"/>
  <c r="T978"/>
  <c r="S978"/>
  <c r="R978"/>
  <c r="Q978"/>
  <c r="P978"/>
  <c r="M978"/>
  <c r="E978"/>
  <c r="AA978" s="1"/>
  <c r="A978"/>
  <c r="AE977"/>
  <c r="AD977"/>
  <c r="AC977"/>
  <c r="AB977"/>
  <c r="Y977"/>
  <c r="W977"/>
  <c r="V977"/>
  <c r="U977"/>
  <c r="T977"/>
  <c r="S977"/>
  <c r="R977"/>
  <c r="Q977"/>
  <c r="P977"/>
  <c r="M977"/>
  <c r="E977"/>
  <c r="AA977" s="1"/>
  <c r="A977"/>
  <c r="AE976"/>
  <c r="AD976"/>
  <c r="AC976"/>
  <c r="AB976"/>
  <c r="Y976"/>
  <c r="W976"/>
  <c r="V976"/>
  <c r="U976"/>
  <c r="T976"/>
  <c r="S976"/>
  <c r="R976"/>
  <c r="Q976"/>
  <c r="P976"/>
  <c r="M976"/>
  <c r="E976"/>
  <c r="AA976" s="1"/>
  <c r="A976"/>
  <c r="AE974"/>
  <c r="AD974"/>
  <c r="AC974"/>
  <c r="AB974"/>
  <c r="Y974"/>
  <c r="W974"/>
  <c r="V974"/>
  <c r="U974"/>
  <c r="T974"/>
  <c r="S974"/>
  <c r="R974"/>
  <c r="Q974"/>
  <c r="P974"/>
  <c r="M974"/>
  <c r="E974"/>
  <c r="AA974" s="1"/>
  <c r="A974"/>
  <c r="AE972"/>
  <c r="AD972"/>
  <c r="AC972"/>
  <c r="AB972"/>
  <c r="Y972"/>
  <c r="W972"/>
  <c r="V972"/>
  <c r="U972"/>
  <c r="T972"/>
  <c r="S972"/>
  <c r="R972"/>
  <c r="Q972"/>
  <c r="P972"/>
  <c r="M972"/>
  <c r="E972"/>
  <c r="AA972" s="1"/>
  <c r="A972"/>
  <c r="AE970"/>
  <c r="AD970"/>
  <c r="AC970"/>
  <c r="AB970"/>
  <c r="Y970"/>
  <c r="W970"/>
  <c r="V970"/>
  <c r="U970"/>
  <c r="T970"/>
  <c r="S970"/>
  <c r="R970"/>
  <c r="Q970"/>
  <c r="P970"/>
  <c r="M970"/>
  <c r="E970"/>
  <c r="AA970" s="1"/>
  <c r="A970"/>
  <c r="AE969"/>
  <c r="AD969"/>
  <c r="AC969"/>
  <c r="AB969"/>
  <c r="Y969"/>
  <c r="W969"/>
  <c r="V969"/>
  <c r="U969"/>
  <c r="T969"/>
  <c r="S969"/>
  <c r="R969"/>
  <c r="Q969"/>
  <c r="P969"/>
  <c r="M969"/>
  <c r="E969"/>
  <c r="AA969" s="1"/>
  <c r="A969"/>
  <c r="AE968"/>
  <c r="AD968"/>
  <c r="AC968"/>
  <c r="AB968"/>
  <c r="Y968"/>
  <c r="W968"/>
  <c r="V968"/>
  <c r="U968"/>
  <c r="T968"/>
  <c r="S968"/>
  <c r="R968"/>
  <c r="Q968"/>
  <c r="P968"/>
  <c r="M968"/>
  <c r="E968"/>
  <c r="AA968" s="1"/>
  <c r="A968"/>
  <c r="AE966"/>
  <c r="AD966"/>
  <c r="AC966"/>
  <c r="AB966"/>
  <c r="Y966"/>
  <c r="W966"/>
  <c r="V966"/>
  <c r="U966"/>
  <c r="T966"/>
  <c r="S966"/>
  <c r="R966"/>
  <c r="Q966"/>
  <c r="P966"/>
  <c r="M966"/>
  <c r="E966"/>
  <c r="AA966" s="1"/>
  <c r="A966"/>
  <c r="AE965"/>
  <c r="AD965"/>
  <c r="AC965"/>
  <c r="AB965"/>
  <c r="Y965"/>
  <c r="W965"/>
  <c r="V965"/>
  <c r="U965"/>
  <c r="T965"/>
  <c r="S965"/>
  <c r="R965"/>
  <c r="Q965"/>
  <c r="P965"/>
  <c r="M965"/>
  <c r="E965"/>
  <c r="AA965" s="1"/>
  <c r="A965"/>
  <c r="AE964"/>
  <c r="AD964"/>
  <c r="AC964"/>
  <c r="AB964"/>
  <c r="Y964"/>
  <c r="W964"/>
  <c r="V964"/>
  <c r="U964"/>
  <c r="T964"/>
  <c r="S964"/>
  <c r="R964"/>
  <c r="Q964"/>
  <c r="P964"/>
  <c r="M964"/>
  <c r="E964"/>
  <c r="AA964" s="1"/>
  <c r="A964"/>
  <c r="AE959"/>
  <c r="AD959"/>
  <c r="AC959"/>
  <c r="AB959"/>
  <c r="Y959"/>
  <c r="W959"/>
  <c r="V959"/>
  <c r="U959"/>
  <c r="T959"/>
  <c r="S959"/>
  <c r="R959"/>
  <c r="Q959"/>
  <c r="P959"/>
  <c r="M959"/>
  <c r="E959"/>
  <c r="AA959" s="1"/>
  <c r="A959"/>
  <c r="AE957"/>
  <c r="AD957"/>
  <c r="AC957"/>
  <c r="AB957"/>
  <c r="Y957"/>
  <c r="W957"/>
  <c r="V957"/>
  <c r="U957"/>
  <c r="T957"/>
  <c r="S957"/>
  <c r="R957"/>
  <c r="Q957"/>
  <c r="P957"/>
  <c r="M957"/>
  <c r="E957"/>
  <c r="AA957" s="1"/>
  <c r="A957"/>
  <c r="AE956"/>
  <c r="AD956"/>
  <c r="AC956"/>
  <c r="AB956"/>
  <c r="Y956"/>
  <c r="W956"/>
  <c r="V956"/>
  <c r="U956"/>
  <c r="T956"/>
  <c r="S956"/>
  <c r="R956"/>
  <c r="Q956"/>
  <c r="P956"/>
  <c r="M956"/>
  <c r="E956"/>
  <c r="AA956" s="1"/>
  <c r="A956"/>
  <c r="AE955"/>
  <c r="AD955"/>
  <c r="AC955"/>
  <c r="AB955"/>
  <c r="Y955"/>
  <c r="W955"/>
  <c r="V955"/>
  <c r="U955"/>
  <c r="T955"/>
  <c r="S955"/>
  <c r="R955"/>
  <c r="Q955"/>
  <c r="P955"/>
  <c r="M955"/>
  <c r="E955"/>
  <c r="AA955" s="1"/>
  <c r="A955"/>
  <c r="AE954"/>
  <c r="AD954"/>
  <c r="AC954"/>
  <c r="AB954"/>
  <c r="Y954"/>
  <c r="W954"/>
  <c r="V954"/>
  <c r="U954"/>
  <c r="T954"/>
  <c r="S954"/>
  <c r="R954"/>
  <c r="Q954"/>
  <c r="P954"/>
  <c r="M954"/>
  <c r="E954"/>
  <c r="AA954" s="1"/>
  <c r="A954"/>
  <c r="AE963"/>
  <c r="AD963"/>
  <c r="AC963"/>
  <c r="AB963"/>
  <c r="Y963"/>
  <c r="W963"/>
  <c r="V963"/>
  <c r="U963"/>
  <c r="T963"/>
  <c r="S963"/>
  <c r="R963"/>
  <c r="Q963"/>
  <c r="P963"/>
  <c r="M963"/>
  <c r="E963"/>
  <c r="AA963" s="1"/>
  <c r="A963"/>
  <c r="AE961"/>
  <c r="AD961"/>
  <c r="AC961"/>
  <c r="AB961"/>
  <c r="Y961"/>
  <c r="W961"/>
  <c r="V961"/>
  <c r="U961"/>
  <c r="T961"/>
  <c r="S961"/>
  <c r="R961"/>
  <c r="Q961"/>
  <c r="P961"/>
  <c r="M961"/>
  <c r="E961"/>
  <c r="AA961" s="1"/>
  <c r="A961"/>
  <c r="AE960"/>
  <c r="AD960"/>
  <c r="AC960"/>
  <c r="AB960"/>
  <c r="Y960"/>
  <c r="W960"/>
  <c r="V960"/>
  <c r="U960"/>
  <c r="T960"/>
  <c r="S960"/>
  <c r="R960"/>
  <c r="Q960"/>
  <c r="P960"/>
  <c r="M960"/>
  <c r="E960"/>
  <c r="AA960" s="1"/>
  <c r="A960"/>
  <c r="AE952"/>
  <c r="AD952"/>
  <c r="AC952"/>
  <c r="AB952"/>
  <c r="Y952"/>
  <c r="W952"/>
  <c r="V952"/>
  <c r="U952"/>
  <c r="T952"/>
  <c r="S952"/>
  <c r="R952"/>
  <c r="Q952"/>
  <c r="P952"/>
  <c r="M952"/>
  <c r="E952"/>
  <c r="AA952" s="1"/>
  <c r="A952"/>
  <c r="AE951"/>
  <c r="AD951"/>
  <c r="AC951"/>
  <c r="AB951"/>
  <c r="Y951"/>
  <c r="W951"/>
  <c r="V951"/>
  <c r="U951"/>
  <c r="T951"/>
  <c r="S951"/>
  <c r="R951"/>
  <c r="Q951"/>
  <c r="P951"/>
  <c r="M951"/>
  <c r="E951"/>
  <c r="AA951" s="1"/>
  <c r="A951"/>
  <c r="AE950"/>
  <c r="AD950"/>
  <c r="AC950"/>
  <c r="AB950"/>
  <c r="Y950"/>
  <c r="W950"/>
  <c r="V950"/>
  <c r="U950"/>
  <c r="T950"/>
  <c r="S950"/>
  <c r="R950"/>
  <c r="Q950"/>
  <c r="P950"/>
  <c r="M950"/>
  <c r="E950"/>
  <c r="AA950" s="1"/>
  <c r="A950"/>
  <c r="AE948"/>
  <c r="AD948"/>
  <c r="AC948"/>
  <c r="AB948"/>
  <c r="Y948"/>
  <c r="W948"/>
  <c r="V948"/>
  <c r="U948"/>
  <c r="T948"/>
  <c r="S948"/>
  <c r="R948"/>
  <c r="Q948"/>
  <c r="P948"/>
  <c r="M948"/>
  <c r="E948"/>
  <c r="AA948" s="1"/>
  <c r="A948"/>
  <c r="AE947"/>
  <c r="AD947"/>
  <c r="AC947"/>
  <c r="AB947"/>
  <c r="Y947"/>
  <c r="W947"/>
  <c r="V947"/>
  <c r="U947"/>
  <c r="T947"/>
  <c r="S947"/>
  <c r="R947"/>
  <c r="Q947"/>
  <c r="P947"/>
  <c r="M947"/>
  <c r="E947"/>
  <c r="AA947" s="1"/>
  <c r="A947"/>
  <c r="AE946"/>
  <c r="AD946"/>
  <c r="AC946"/>
  <c r="AB946"/>
  <c r="Y946"/>
  <c r="W946"/>
  <c r="V946"/>
  <c r="U946"/>
  <c r="T946"/>
  <c r="S946"/>
  <c r="R946"/>
  <c r="Q946"/>
  <c r="P946"/>
  <c r="M946"/>
  <c r="E946"/>
  <c r="AA946" s="1"/>
  <c r="A946"/>
  <c r="AE945"/>
  <c r="AD945"/>
  <c r="AC945"/>
  <c r="AB945"/>
  <c r="Y945"/>
  <c r="W945"/>
  <c r="V945"/>
  <c r="U945"/>
  <c r="T945"/>
  <c r="S945"/>
  <c r="R945"/>
  <c r="Q945"/>
  <c r="P945"/>
  <c r="M945"/>
  <c r="E945"/>
  <c r="AA945" s="1"/>
  <c r="A945"/>
  <c r="AE943"/>
  <c r="AD943"/>
  <c r="AC943"/>
  <c r="AB943"/>
  <c r="Y943"/>
  <c r="W943"/>
  <c r="V943"/>
  <c r="U943"/>
  <c r="T943"/>
  <c r="S943"/>
  <c r="R943"/>
  <c r="Q943"/>
  <c r="P943"/>
  <c r="M943"/>
  <c r="E943"/>
  <c r="AA943" s="1"/>
  <c r="A943"/>
  <c r="AD911"/>
  <c r="AC911"/>
  <c r="AB911"/>
  <c r="Y911"/>
  <c r="W911"/>
  <c r="V911"/>
  <c r="U911"/>
  <c r="T911"/>
  <c r="S911"/>
  <c r="R911"/>
  <c r="Q911"/>
  <c r="P911"/>
  <c r="M911"/>
  <c r="E911"/>
  <c r="AA911" s="1"/>
  <c r="A911"/>
  <c r="AD915"/>
  <c r="AC915"/>
  <c r="AB915"/>
  <c r="Y915"/>
  <c r="W915"/>
  <c r="V915"/>
  <c r="U915"/>
  <c r="T915"/>
  <c r="S915"/>
  <c r="R915"/>
  <c r="Q915"/>
  <c r="P915"/>
  <c r="M915"/>
  <c r="E915"/>
  <c r="AA915" s="1"/>
  <c r="A915"/>
  <c r="AD903"/>
  <c r="AC903"/>
  <c r="AB903"/>
  <c r="Y903"/>
  <c r="W903"/>
  <c r="V903"/>
  <c r="U903"/>
  <c r="T903"/>
  <c r="S903"/>
  <c r="R903"/>
  <c r="Q903"/>
  <c r="P903"/>
  <c r="M903"/>
  <c r="E903"/>
  <c r="AA903" s="1"/>
  <c r="A903"/>
  <c r="AD907"/>
  <c r="AC907"/>
  <c r="AB907"/>
  <c r="Y907"/>
  <c r="W907"/>
  <c r="V907"/>
  <c r="U907"/>
  <c r="T907"/>
  <c r="S907"/>
  <c r="R907"/>
  <c r="Q907"/>
  <c r="P907"/>
  <c r="M907"/>
  <c r="E907"/>
  <c r="AA907" s="1"/>
  <c r="A907"/>
  <c r="AD895"/>
  <c r="AC895"/>
  <c r="AB895"/>
  <c r="Y895"/>
  <c r="W895"/>
  <c r="V895"/>
  <c r="U895"/>
  <c r="T895"/>
  <c r="S895"/>
  <c r="R895"/>
  <c r="Q895"/>
  <c r="P895"/>
  <c r="M895"/>
  <c r="E895"/>
  <c r="AA895" s="1"/>
  <c r="A895"/>
  <c r="AD899"/>
  <c r="AC899"/>
  <c r="AB899"/>
  <c r="Y899"/>
  <c r="W899"/>
  <c r="V899"/>
  <c r="U899"/>
  <c r="T899"/>
  <c r="S899"/>
  <c r="R899"/>
  <c r="Q899"/>
  <c r="P899"/>
  <c r="M899"/>
  <c r="E899"/>
  <c r="AA899" s="1"/>
  <c r="A899"/>
  <c r="AD889"/>
  <c r="AC889"/>
  <c r="AB889"/>
  <c r="Y889"/>
  <c r="W889"/>
  <c r="V889"/>
  <c r="U889"/>
  <c r="T889"/>
  <c r="S889"/>
  <c r="R889"/>
  <c r="Q889"/>
  <c r="P889"/>
  <c r="M889"/>
  <c r="E889"/>
  <c r="AA889" s="1"/>
  <c r="A889"/>
  <c r="AD885"/>
  <c r="AC885"/>
  <c r="AB885"/>
  <c r="Y885"/>
  <c r="W885"/>
  <c r="V885"/>
  <c r="U885"/>
  <c r="T885"/>
  <c r="S885"/>
  <c r="R885"/>
  <c r="Q885"/>
  <c r="P885"/>
  <c r="M885"/>
  <c r="E885"/>
  <c r="AA885" s="1"/>
  <c r="A885"/>
  <c r="AD881"/>
  <c r="AC881"/>
  <c r="AB881"/>
  <c r="Y881"/>
  <c r="W881"/>
  <c r="V881"/>
  <c r="U881"/>
  <c r="T881"/>
  <c r="S881"/>
  <c r="R881"/>
  <c r="Q881"/>
  <c r="P881"/>
  <c r="M881"/>
  <c r="E881"/>
  <c r="AA881" s="1"/>
  <c r="A881"/>
  <c r="AD880"/>
  <c r="AC880"/>
  <c r="AB880"/>
  <c r="Y880"/>
  <c r="W880"/>
  <c r="V880"/>
  <c r="U880"/>
  <c r="T880"/>
  <c r="S880"/>
  <c r="R880"/>
  <c r="Q880"/>
  <c r="P880"/>
  <c r="M880"/>
  <c r="E880"/>
  <c r="AA880" s="1"/>
  <c r="A880"/>
  <c r="AE879"/>
  <c r="AD879"/>
  <c r="AC879"/>
  <c r="AB879"/>
  <c r="Y879"/>
  <c r="W879"/>
  <c r="V879"/>
  <c r="U879"/>
  <c r="T879"/>
  <c r="S879"/>
  <c r="R879"/>
  <c r="Q879"/>
  <c r="P879"/>
  <c r="M879"/>
  <c r="E879"/>
  <c r="AA879" s="1"/>
  <c r="A879"/>
  <c r="AE878"/>
  <c r="AD878"/>
  <c r="AC878"/>
  <c r="AB878"/>
  <c r="Y878"/>
  <c r="W878"/>
  <c r="V878"/>
  <c r="U878"/>
  <c r="T878"/>
  <c r="S878"/>
  <c r="R878"/>
  <c r="Q878"/>
  <c r="P878"/>
  <c r="M878"/>
  <c r="E878"/>
  <c r="AA878" s="1"/>
  <c r="A878"/>
  <c r="AE877"/>
  <c r="AD877"/>
  <c r="AC877"/>
  <c r="AB877"/>
  <c r="Y877"/>
  <c r="W877"/>
  <c r="V877"/>
  <c r="U877"/>
  <c r="T877"/>
  <c r="S877"/>
  <c r="R877"/>
  <c r="Q877"/>
  <c r="P877"/>
  <c r="M877"/>
  <c r="E877"/>
  <c r="AA877" s="1"/>
  <c r="A877"/>
  <c r="AE876"/>
  <c r="AD876"/>
  <c r="AC876"/>
  <c r="AB876"/>
  <c r="Y876"/>
  <c r="W876"/>
  <c r="V876"/>
  <c r="U876"/>
  <c r="T876"/>
  <c r="S876"/>
  <c r="R876"/>
  <c r="Q876"/>
  <c r="P876"/>
  <c r="M876"/>
  <c r="E876"/>
  <c r="AA876" s="1"/>
  <c r="A876"/>
  <c r="AE875"/>
  <c r="AD875"/>
  <c r="AC875"/>
  <c r="AB875"/>
  <c r="Y875"/>
  <c r="W875"/>
  <c r="V875"/>
  <c r="U875"/>
  <c r="T875"/>
  <c r="S875"/>
  <c r="R875"/>
  <c r="Q875"/>
  <c r="P875"/>
  <c r="M875"/>
  <c r="E875"/>
  <c r="AA875" s="1"/>
  <c r="A875"/>
  <c r="AE874"/>
  <c r="AD874"/>
  <c r="AC874"/>
  <c r="AB874"/>
  <c r="Y874"/>
  <c r="W874"/>
  <c r="V874"/>
  <c r="U874"/>
  <c r="T874"/>
  <c r="S874"/>
  <c r="R874"/>
  <c r="Q874"/>
  <c r="P874"/>
  <c r="M874"/>
  <c r="E874"/>
  <c r="AA874" s="1"/>
  <c r="A874"/>
  <c r="AE873"/>
  <c r="AD873"/>
  <c r="AC873"/>
  <c r="AB873"/>
  <c r="Y873"/>
  <c r="W873"/>
  <c r="V873"/>
  <c r="U873"/>
  <c r="T873"/>
  <c r="S873"/>
  <c r="R873"/>
  <c r="Q873"/>
  <c r="P873"/>
  <c r="M873"/>
  <c r="E873"/>
  <c r="AA873" s="1"/>
  <c r="A873"/>
  <c r="AE872"/>
  <c r="AD872"/>
  <c r="AC872"/>
  <c r="AB872"/>
  <c r="Y872"/>
  <c r="W872"/>
  <c r="V872"/>
  <c r="U872"/>
  <c r="T872"/>
  <c r="S872"/>
  <c r="R872"/>
  <c r="Q872"/>
  <c r="P872"/>
  <c r="M872"/>
  <c r="E872"/>
  <c r="AA872" s="1"/>
  <c r="A872"/>
  <c r="AE871"/>
  <c r="AD871"/>
  <c r="AC871"/>
  <c r="AB871"/>
  <c r="Y871"/>
  <c r="W871"/>
  <c r="V871"/>
  <c r="U871"/>
  <c r="T871"/>
  <c r="S871"/>
  <c r="R871"/>
  <c r="Q871"/>
  <c r="P871"/>
  <c r="M871"/>
  <c r="E871"/>
  <c r="AA871" s="1"/>
  <c r="A871"/>
  <c r="AE870"/>
  <c r="AD870"/>
  <c r="AC870"/>
  <c r="AB870"/>
  <c r="Y870"/>
  <c r="W870"/>
  <c r="V870"/>
  <c r="U870"/>
  <c r="T870"/>
  <c r="S870"/>
  <c r="R870"/>
  <c r="Q870"/>
  <c r="P870"/>
  <c r="M870"/>
  <c r="E870"/>
  <c r="AA870" s="1"/>
  <c r="A870"/>
  <c r="AE869"/>
  <c r="AD869"/>
  <c r="AC869"/>
  <c r="AB869"/>
  <c r="Y869"/>
  <c r="W869"/>
  <c r="V869"/>
  <c r="U869"/>
  <c r="T869"/>
  <c r="S869"/>
  <c r="R869"/>
  <c r="Q869"/>
  <c r="P869"/>
  <c r="M869"/>
  <c r="E869"/>
  <c r="AA869" s="1"/>
  <c r="A869"/>
  <c r="AE868"/>
  <c r="AD868"/>
  <c r="AC868"/>
  <c r="AB868"/>
  <c r="Y868"/>
  <c r="W868"/>
  <c r="V868"/>
  <c r="U868"/>
  <c r="T868"/>
  <c r="S868"/>
  <c r="R868"/>
  <c r="Q868"/>
  <c r="P868"/>
  <c r="M868"/>
  <c r="E868"/>
  <c r="AA868" s="1"/>
  <c r="A868"/>
  <c r="AE867"/>
  <c r="AD867"/>
  <c r="AC867"/>
  <c r="AB867"/>
  <c r="Y867"/>
  <c r="W867"/>
  <c r="V867"/>
  <c r="U867"/>
  <c r="T867"/>
  <c r="S867"/>
  <c r="R867"/>
  <c r="Q867"/>
  <c r="P867"/>
  <c r="M867"/>
  <c r="E867"/>
  <c r="AA867" s="1"/>
  <c r="A867"/>
  <c r="AE910" l="1"/>
  <c r="AD910"/>
  <c r="AC910"/>
  <c r="AB910"/>
  <c r="Y910"/>
  <c r="W910"/>
  <c r="V910"/>
  <c r="U910"/>
  <c r="T910"/>
  <c r="S910"/>
  <c r="R910"/>
  <c r="Q910"/>
  <c r="P910"/>
  <c r="M910"/>
  <c r="E910"/>
  <c r="AA910" s="1"/>
  <c r="A910"/>
  <c r="AE909"/>
  <c r="AD909"/>
  <c r="AC909"/>
  <c r="AB909"/>
  <c r="Y909"/>
  <c r="W909"/>
  <c r="V909"/>
  <c r="U909"/>
  <c r="T909"/>
  <c r="S909"/>
  <c r="R909"/>
  <c r="Q909"/>
  <c r="P909"/>
  <c r="M909"/>
  <c r="E909"/>
  <c r="AA909" s="1"/>
  <c r="A909"/>
  <c r="AE908"/>
  <c r="AD908"/>
  <c r="AC908"/>
  <c r="AB908"/>
  <c r="Y908"/>
  <c r="W908"/>
  <c r="V908"/>
  <c r="U908"/>
  <c r="T908"/>
  <c r="S908"/>
  <c r="R908"/>
  <c r="Q908"/>
  <c r="P908"/>
  <c r="M908"/>
  <c r="E908"/>
  <c r="AA908" s="1"/>
  <c r="A908"/>
  <c r="AE902"/>
  <c r="AD902"/>
  <c r="AC902"/>
  <c r="AB902"/>
  <c r="Y902"/>
  <c r="W902"/>
  <c r="V902"/>
  <c r="U902"/>
  <c r="T902"/>
  <c r="S902"/>
  <c r="R902"/>
  <c r="Q902"/>
  <c r="P902"/>
  <c r="M902"/>
  <c r="E902"/>
  <c r="AA902" s="1"/>
  <c r="A902"/>
  <c r="AE901"/>
  <c r="AD901"/>
  <c r="AC901"/>
  <c r="AB901"/>
  <c r="Y901"/>
  <c r="W901"/>
  <c r="V901"/>
  <c r="U901"/>
  <c r="T901"/>
  <c r="S901"/>
  <c r="R901"/>
  <c r="Q901"/>
  <c r="P901"/>
  <c r="M901"/>
  <c r="E901"/>
  <c r="AA901" s="1"/>
  <c r="A901"/>
  <c r="AE900"/>
  <c r="AD900"/>
  <c r="AC900"/>
  <c r="AB900"/>
  <c r="Y900"/>
  <c r="W900"/>
  <c r="V900"/>
  <c r="U900"/>
  <c r="T900"/>
  <c r="S900"/>
  <c r="R900"/>
  <c r="Q900"/>
  <c r="P900"/>
  <c r="M900"/>
  <c r="E900"/>
  <c r="AA900" s="1"/>
  <c r="A900"/>
  <c r="AE894"/>
  <c r="AD894"/>
  <c r="AC894"/>
  <c r="AB894"/>
  <c r="Y894"/>
  <c r="W894"/>
  <c r="V894"/>
  <c r="U894"/>
  <c r="T894"/>
  <c r="S894"/>
  <c r="R894"/>
  <c r="Q894"/>
  <c r="P894"/>
  <c r="M894"/>
  <c r="E894"/>
  <c r="AA894" s="1"/>
  <c r="A894"/>
  <c r="AE893"/>
  <c r="AD893"/>
  <c r="AC893"/>
  <c r="AB893"/>
  <c r="Y893"/>
  <c r="W893"/>
  <c r="V893"/>
  <c r="U893"/>
  <c r="T893"/>
  <c r="S893"/>
  <c r="R893"/>
  <c r="Q893"/>
  <c r="P893"/>
  <c r="E893"/>
  <c r="AA893" s="1"/>
  <c r="A893"/>
  <c r="AE892"/>
  <c r="AD892"/>
  <c r="AC892"/>
  <c r="AB892"/>
  <c r="Y892"/>
  <c r="W892"/>
  <c r="V892"/>
  <c r="U892"/>
  <c r="T892"/>
  <c r="S892"/>
  <c r="R892"/>
  <c r="Q892"/>
  <c r="P892"/>
  <c r="M892"/>
  <c r="E892"/>
  <c r="AA892" s="1"/>
  <c r="A892"/>
  <c r="AE888"/>
  <c r="AD888"/>
  <c r="AC888"/>
  <c r="AB888"/>
  <c r="Y888"/>
  <c r="W888"/>
  <c r="V888"/>
  <c r="U888"/>
  <c r="T888"/>
  <c r="S888"/>
  <c r="R888"/>
  <c r="Q888"/>
  <c r="P888"/>
  <c r="M888"/>
  <c r="E888"/>
  <c r="AA888" s="1"/>
  <c r="A888"/>
  <c r="AE887"/>
  <c r="AD887"/>
  <c r="AC887"/>
  <c r="AB887"/>
  <c r="Y887"/>
  <c r="W887"/>
  <c r="V887"/>
  <c r="U887"/>
  <c r="T887"/>
  <c r="S887"/>
  <c r="R887"/>
  <c r="Q887"/>
  <c r="P887"/>
  <c r="M887"/>
  <c r="E887"/>
  <c r="AA887" s="1"/>
  <c r="A887"/>
  <c r="AE886"/>
  <c r="AD886"/>
  <c r="AC886"/>
  <c r="AB886"/>
  <c r="Y886"/>
  <c r="W886"/>
  <c r="V886"/>
  <c r="U886"/>
  <c r="T886"/>
  <c r="S886"/>
  <c r="R886"/>
  <c r="Q886"/>
  <c r="P886"/>
  <c r="M886"/>
  <c r="E886"/>
  <c r="AA886" s="1"/>
  <c r="A886"/>
  <c r="AD866"/>
  <c r="AC866"/>
  <c r="AB866"/>
  <c r="Y866"/>
  <c r="W866"/>
  <c r="V866"/>
  <c r="U866"/>
  <c r="T866"/>
  <c r="S866"/>
  <c r="R866"/>
  <c r="Q866"/>
  <c r="P866"/>
  <c r="M866"/>
  <c r="E866"/>
  <c r="AA866" s="1"/>
  <c r="A866"/>
  <c r="AD862"/>
  <c r="AC862"/>
  <c r="AB862"/>
  <c r="Y862"/>
  <c r="W862"/>
  <c r="V862"/>
  <c r="U862"/>
  <c r="T862"/>
  <c r="S862"/>
  <c r="R862"/>
  <c r="Q862"/>
  <c r="P862"/>
  <c r="M862"/>
  <c r="E862"/>
  <c r="AA862" s="1"/>
  <c r="A862"/>
  <c r="AD860"/>
  <c r="AC860"/>
  <c r="AB860"/>
  <c r="Y860"/>
  <c r="W860"/>
  <c r="V860"/>
  <c r="U860"/>
  <c r="T860"/>
  <c r="S860"/>
  <c r="R860"/>
  <c r="Q860"/>
  <c r="P860"/>
  <c r="M860"/>
  <c r="E860"/>
  <c r="AA860" s="1"/>
  <c r="A860"/>
  <c r="AD857"/>
  <c r="AC857"/>
  <c r="AB857"/>
  <c r="Y857"/>
  <c r="W857"/>
  <c r="V857"/>
  <c r="U857"/>
  <c r="T857"/>
  <c r="S857"/>
  <c r="R857"/>
  <c r="Q857"/>
  <c r="P857"/>
  <c r="M857"/>
  <c r="E857"/>
  <c r="AA857" s="1"/>
  <c r="A857"/>
  <c r="AD852"/>
  <c r="AC852"/>
  <c r="AB852"/>
  <c r="Y852"/>
  <c r="W852"/>
  <c r="V852"/>
  <c r="U852"/>
  <c r="T852"/>
  <c r="S852"/>
  <c r="R852"/>
  <c r="Q852"/>
  <c r="P852"/>
  <c r="M852"/>
  <c r="E852"/>
  <c r="AA852" s="1"/>
  <c r="A852"/>
  <c r="AD841"/>
  <c r="AC841"/>
  <c r="AB841"/>
  <c r="Y841"/>
  <c r="W841"/>
  <c r="V841"/>
  <c r="U841"/>
  <c r="T841"/>
  <c r="S841"/>
  <c r="R841"/>
  <c r="Q841"/>
  <c r="P841"/>
  <c r="M841"/>
  <c r="E841"/>
  <c r="AA841" s="1"/>
  <c r="A841"/>
  <c r="AE838"/>
  <c r="AE1390"/>
  <c r="AE839"/>
  <c r="AE827"/>
  <c r="AE804"/>
  <c r="E839" l="1"/>
  <c r="E840"/>
  <c r="E842"/>
  <c r="E843"/>
  <c r="E844"/>
  <c r="E845"/>
  <c r="E846"/>
  <c r="E847"/>
  <c r="E848"/>
  <c r="E849"/>
  <c r="E850"/>
  <c r="E851"/>
  <c r="E853"/>
  <c r="E854"/>
  <c r="E855"/>
  <c r="E856"/>
  <c r="E858"/>
  <c r="E859"/>
  <c r="E861"/>
  <c r="E863"/>
  <c r="E864"/>
  <c r="E865"/>
  <c r="E882"/>
  <c r="E883"/>
  <c r="E884"/>
  <c r="E890"/>
  <c r="E891"/>
  <c r="AA891" s="1"/>
  <c r="E896"/>
  <c r="AA896" s="1"/>
  <c r="E897"/>
  <c r="AA897" s="1"/>
  <c r="E898"/>
  <c r="E904"/>
  <c r="AA904" s="1"/>
  <c r="E905"/>
  <c r="AA905" s="1"/>
  <c r="E906"/>
  <c r="AA906" s="1"/>
  <c r="E912"/>
  <c r="AA912" s="1"/>
  <c r="E913"/>
  <c r="AA913" s="1"/>
  <c r="E914"/>
  <c r="E921"/>
  <c r="AA921" s="1"/>
  <c r="E922"/>
  <c r="AA922" s="1"/>
  <c r="E923"/>
  <c r="AA923" s="1"/>
  <c r="E924"/>
  <c r="AA924" s="1"/>
  <c r="E926"/>
  <c r="AA926" s="1"/>
  <c r="E927"/>
  <c r="AA927" s="1"/>
  <c r="E928"/>
  <c r="AA928" s="1"/>
  <c r="E929"/>
  <c r="AA929" s="1"/>
  <c r="E936"/>
  <c r="AA936" s="1"/>
  <c r="E937"/>
  <c r="AA937" s="1"/>
  <c r="E938"/>
  <c r="AA938" s="1"/>
  <c r="E939"/>
  <c r="AA939" s="1"/>
  <c r="E941"/>
  <c r="AA941" s="1"/>
  <c r="E942"/>
  <c r="AA942" s="1"/>
  <c r="E973"/>
  <c r="AA973" s="1"/>
  <c r="E1004"/>
  <c r="E1016"/>
  <c r="E838"/>
  <c r="AC1016"/>
  <c r="AB1016"/>
  <c r="AA1016"/>
  <c r="Y1016"/>
  <c r="W1016"/>
  <c r="V1016"/>
  <c r="U1016"/>
  <c r="T1016"/>
  <c r="P1016"/>
  <c r="M1016"/>
  <c r="AD1016"/>
  <c r="AE1004"/>
  <c r="AD1004"/>
  <c r="AC1004"/>
  <c r="AB1004"/>
  <c r="AA1004"/>
  <c r="Y1004"/>
  <c r="W1004"/>
  <c r="V1004"/>
  <c r="U1004"/>
  <c r="T1004"/>
  <c r="S1004"/>
  <c r="R1004"/>
  <c r="Q1004"/>
  <c r="P1004"/>
  <c r="M1004"/>
  <c r="A1004"/>
  <c r="AE973"/>
  <c r="AD973"/>
  <c r="AC973"/>
  <c r="AB973"/>
  <c r="Y973"/>
  <c r="W973"/>
  <c r="V973"/>
  <c r="U973"/>
  <c r="T973"/>
  <c r="S973"/>
  <c r="R973"/>
  <c r="Q973"/>
  <c r="P973"/>
  <c r="M973"/>
  <c r="A973"/>
  <c r="AE942"/>
  <c r="AD942"/>
  <c r="AC942"/>
  <c r="AB942"/>
  <c r="Y942"/>
  <c r="W942"/>
  <c r="V942"/>
  <c r="U942"/>
  <c r="T942"/>
  <c r="S942"/>
  <c r="R942"/>
  <c r="Q942"/>
  <c r="P942"/>
  <c r="M942"/>
  <c r="A942"/>
  <c r="AE941"/>
  <c r="AD941"/>
  <c r="AC941"/>
  <c r="AB941"/>
  <c r="Y941"/>
  <c r="W941"/>
  <c r="V941"/>
  <c r="U941"/>
  <c r="T941"/>
  <c r="S941"/>
  <c r="R941"/>
  <c r="Q941"/>
  <c r="P941"/>
  <c r="M941"/>
  <c r="A941"/>
  <c r="AE939"/>
  <c r="AD939"/>
  <c r="AC939"/>
  <c r="AB939"/>
  <c r="Y939"/>
  <c r="W939"/>
  <c r="V939"/>
  <c r="U939"/>
  <c r="T939"/>
  <c r="S939"/>
  <c r="R939"/>
  <c r="Q939"/>
  <c r="P939"/>
  <c r="M939"/>
  <c r="A939"/>
  <c r="AE938"/>
  <c r="AD938"/>
  <c r="AC938"/>
  <c r="AB938"/>
  <c r="Y938"/>
  <c r="W938"/>
  <c r="V938"/>
  <c r="U938"/>
  <c r="T938"/>
  <c r="S938"/>
  <c r="R938"/>
  <c r="Q938"/>
  <c r="P938"/>
  <c r="M938"/>
  <c r="A938"/>
  <c r="AE937"/>
  <c r="AD937"/>
  <c r="AC937"/>
  <c r="AB937"/>
  <c r="Y937"/>
  <c r="W937"/>
  <c r="V937"/>
  <c r="U937"/>
  <c r="T937"/>
  <c r="S937"/>
  <c r="R937"/>
  <c r="Q937"/>
  <c r="P937"/>
  <c r="M937"/>
  <c r="A937"/>
  <c r="AE936"/>
  <c r="AD936"/>
  <c r="AC936"/>
  <c r="AB936"/>
  <c r="Y936"/>
  <c r="W936"/>
  <c r="V936"/>
  <c r="U936"/>
  <c r="T936"/>
  <c r="S936"/>
  <c r="R936"/>
  <c r="Q936"/>
  <c r="P936"/>
  <c r="M936"/>
  <c r="A936"/>
  <c r="AE929"/>
  <c r="AD929"/>
  <c r="AC929"/>
  <c r="AB929"/>
  <c r="Y929"/>
  <c r="W929"/>
  <c r="V929"/>
  <c r="U929"/>
  <c r="T929"/>
  <c r="S929"/>
  <c r="R929"/>
  <c r="Q929"/>
  <c r="P929"/>
  <c r="M929"/>
  <c r="A929"/>
  <c r="AE928"/>
  <c r="AD928"/>
  <c r="AC928"/>
  <c r="AB928"/>
  <c r="Y928"/>
  <c r="W928"/>
  <c r="V928"/>
  <c r="U928"/>
  <c r="T928"/>
  <c r="S928"/>
  <c r="R928"/>
  <c r="Q928"/>
  <c r="P928"/>
  <c r="M928"/>
  <c r="A928"/>
  <c r="AE927"/>
  <c r="AD927"/>
  <c r="AC927"/>
  <c r="AB927"/>
  <c r="Y927"/>
  <c r="W927"/>
  <c r="V927"/>
  <c r="U927"/>
  <c r="T927"/>
  <c r="S927"/>
  <c r="R927"/>
  <c r="Q927"/>
  <c r="P927"/>
  <c r="M927"/>
  <c r="A927"/>
  <c r="AE926"/>
  <c r="AD926"/>
  <c r="AC926"/>
  <c r="AB926"/>
  <c r="Y926"/>
  <c r="W926"/>
  <c r="V926"/>
  <c r="U926"/>
  <c r="T926"/>
  <c r="S926"/>
  <c r="R926"/>
  <c r="Q926"/>
  <c r="P926"/>
  <c r="M926"/>
  <c r="A926"/>
  <c r="AE924"/>
  <c r="AD924"/>
  <c r="AC924"/>
  <c r="AB924"/>
  <c r="Y924"/>
  <c r="W924"/>
  <c r="V924"/>
  <c r="U924"/>
  <c r="T924"/>
  <c r="S924"/>
  <c r="R924"/>
  <c r="Q924"/>
  <c r="P924"/>
  <c r="M924"/>
  <c r="A924"/>
  <c r="AE923"/>
  <c r="AD923"/>
  <c r="AC923"/>
  <c r="AB923"/>
  <c r="Y923"/>
  <c r="W923"/>
  <c r="V923"/>
  <c r="U923"/>
  <c r="T923"/>
  <c r="S923"/>
  <c r="R923"/>
  <c r="Q923"/>
  <c r="P923"/>
  <c r="M923"/>
  <c r="A923"/>
  <c r="AE922"/>
  <c r="AD922"/>
  <c r="AC922"/>
  <c r="AB922"/>
  <c r="Y922"/>
  <c r="W922"/>
  <c r="V922"/>
  <c r="U922"/>
  <c r="T922"/>
  <c r="S922"/>
  <c r="R922"/>
  <c r="Q922"/>
  <c r="P922"/>
  <c r="M922"/>
  <c r="A922"/>
  <c r="AE921"/>
  <c r="AD921"/>
  <c r="AC921"/>
  <c r="AB921"/>
  <c r="Y921"/>
  <c r="W921"/>
  <c r="V921"/>
  <c r="U921"/>
  <c r="T921"/>
  <c r="S921"/>
  <c r="R921"/>
  <c r="Q921"/>
  <c r="P921"/>
  <c r="M921"/>
  <c r="A921"/>
  <c r="AE914"/>
  <c r="AD914"/>
  <c r="AC914"/>
  <c r="AB914"/>
  <c r="AA914"/>
  <c r="Y914"/>
  <c r="W914"/>
  <c r="V914"/>
  <c r="U914"/>
  <c r="T914"/>
  <c r="S914"/>
  <c r="R914"/>
  <c r="Q914"/>
  <c r="P914"/>
  <c r="M914"/>
  <c r="A914"/>
  <c r="AE913"/>
  <c r="AD913"/>
  <c r="AC913"/>
  <c r="AB913"/>
  <c r="Y913"/>
  <c r="W913"/>
  <c r="V913"/>
  <c r="U913"/>
  <c r="T913"/>
  <c r="S913"/>
  <c r="R913"/>
  <c r="Q913"/>
  <c r="P913"/>
  <c r="M913"/>
  <c r="A913"/>
  <c r="AE912"/>
  <c r="AD912"/>
  <c r="AC912"/>
  <c r="AB912"/>
  <c r="Y912"/>
  <c r="W912"/>
  <c r="V912"/>
  <c r="U912"/>
  <c r="T912"/>
  <c r="S912"/>
  <c r="R912"/>
  <c r="Q912"/>
  <c r="P912"/>
  <c r="M912"/>
  <c r="A912"/>
  <c r="AE906"/>
  <c r="AD906"/>
  <c r="AC906"/>
  <c r="AB906"/>
  <c r="Y906"/>
  <c r="W906"/>
  <c r="V906"/>
  <c r="U906"/>
  <c r="T906"/>
  <c r="S906"/>
  <c r="R906"/>
  <c r="Q906"/>
  <c r="P906"/>
  <c r="M906"/>
  <c r="A906"/>
  <c r="AE905"/>
  <c r="AD905"/>
  <c r="AC905"/>
  <c r="AB905"/>
  <c r="Y905"/>
  <c r="W905"/>
  <c r="V905"/>
  <c r="U905"/>
  <c r="T905"/>
  <c r="S905"/>
  <c r="R905"/>
  <c r="Q905"/>
  <c r="P905"/>
  <c r="M905"/>
  <c r="A905"/>
  <c r="AE904"/>
  <c r="AD904"/>
  <c r="AC904"/>
  <c r="AB904"/>
  <c r="Y904"/>
  <c r="W904"/>
  <c r="V904"/>
  <c r="U904"/>
  <c r="T904"/>
  <c r="S904"/>
  <c r="R904"/>
  <c r="Q904"/>
  <c r="P904"/>
  <c r="M904"/>
  <c r="A904"/>
  <c r="AE898"/>
  <c r="AD898"/>
  <c r="AC898"/>
  <c r="AB898"/>
  <c r="AA898"/>
  <c r="Y898"/>
  <c r="W898"/>
  <c r="V898"/>
  <c r="U898"/>
  <c r="T898"/>
  <c r="S898"/>
  <c r="R898"/>
  <c r="Q898"/>
  <c r="P898"/>
  <c r="M898"/>
  <c r="A898"/>
  <c r="AE897"/>
  <c r="AD897"/>
  <c r="AC897"/>
  <c r="AB897"/>
  <c r="Y897"/>
  <c r="W897"/>
  <c r="V897"/>
  <c r="U897"/>
  <c r="T897"/>
  <c r="S897"/>
  <c r="R897"/>
  <c r="Q897"/>
  <c r="P897"/>
  <c r="M897"/>
  <c r="A897"/>
  <c r="AE896"/>
  <c r="AD896"/>
  <c r="AC896"/>
  <c r="AB896"/>
  <c r="Y896"/>
  <c r="W896"/>
  <c r="V896"/>
  <c r="U896"/>
  <c r="T896"/>
  <c r="S896"/>
  <c r="R896"/>
  <c r="Q896"/>
  <c r="P896"/>
  <c r="M896"/>
  <c r="A896"/>
  <c r="AE891"/>
  <c r="AD891"/>
  <c r="AC891"/>
  <c r="AB891"/>
  <c r="Y891"/>
  <c r="W891"/>
  <c r="V891"/>
  <c r="U891"/>
  <c r="T891"/>
  <c r="S891"/>
  <c r="R891"/>
  <c r="Q891"/>
  <c r="P891"/>
  <c r="M891"/>
  <c r="A891"/>
  <c r="AE890"/>
  <c r="AD890"/>
  <c r="AC890"/>
  <c r="AB890"/>
  <c r="AA890"/>
  <c r="Y890"/>
  <c r="W890"/>
  <c r="V890"/>
  <c r="U890"/>
  <c r="T890"/>
  <c r="S890"/>
  <c r="R890"/>
  <c r="Q890"/>
  <c r="P890"/>
  <c r="M890"/>
  <c r="A890"/>
  <c r="AE884"/>
  <c r="AD884"/>
  <c r="AC884"/>
  <c r="AB884"/>
  <c r="AA884"/>
  <c r="Y884"/>
  <c r="W884"/>
  <c r="V884"/>
  <c r="U884"/>
  <c r="T884"/>
  <c r="S884"/>
  <c r="R884"/>
  <c r="Q884"/>
  <c r="P884"/>
  <c r="M884"/>
  <c r="A884"/>
  <c r="AE883"/>
  <c r="AD883"/>
  <c r="AC883"/>
  <c r="AB883"/>
  <c r="AA883"/>
  <c r="Y883"/>
  <c r="W883"/>
  <c r="V883"/>
  <c r="U883"/>
  <c r="T883"/>
  <c r="S883"/>
  <c r="R883"/>
  <c r="Q883"/>
  <c r="P883"/>
  <c r="M883"/>
  <c r="A883"/>
  <c r="AE882"/>
  <c r="AD882"/>
  <c r="AC882"/>
  <c r="AB882"/>
  <c r="AA882"/>
  <c r="Y882"/>
  <c r="W882"/>
  <c r="V882"/>
  <c r="U882"/>
  <c r="T882"/>
  <c r="S882"/>
  <c r="R882"/>
  <c r="Q882"/>
  <c r="P882"/>
  <c r="M882"/>
  <c r="A882"/>
  <c r="AE865"/>
  <c r="AD865"/>
  <c r="AC865"/>
  <c r="AB865"/>
  <c r="AA865"/>
  <c r="Y865"/>
  <c r="W865"/>
  <c r="V865"/>
  <c r="U865"/>
  <c r="T865"/>
  <c r="S865"/>
  <c r="R865"/>
  <c r="Q865"/>
  <c r="P865"/>
  <c r="M865"/>
  <c r="A865"/>
  <c r="AE864"/>
  <c r="AD864"/>
  <c r="AC864"/>
  <c r="AB864"/>
  <c r="AA864"/>
  <c r="Y864"/>
  <c r="W864"/>
  <c r="V864"/>
  <c r="U864"/>
  <c r="T864"/>
  <c r="S864"/>
  <c r="R864"/>
  <c r="Q864"/>
  <c r="P864"/>
  <c r="M864"/>
  <c r="A864"/>
  <c r="AE863"/>
  <c r="AD863"/>
  <c r="AC863"/>
  <c r="AB863"/>
  <c r="AA863"/>
  <c r="Y863"/>
  <c r="W863"/>
  <c r="V863"/>
  <c r="U863"/>
  <c r="T863"/>
  <c r="S863"/>
  <c r="R863"/>
  <c r="Q863"/>
  <c r="P863"/>
  <c r="M863"/>
  <c r="A863"/>
  <c r="AE861"/>
  <c r="AD861"/>
  <c r="AC861"/>
  <c r="AB861"/>
  <c r="AA861"/>
  <c r="Y861"/>
  <c r="W861"/>
  <c r="V861"/>
  <c r="U861"/>
  <c r="T861"/>
  <c r="S861"/>
  <c r="R861"/>
  <c r="Q861"/>
  <c r="P861"/>
  <c r="M861"/>
  <c r="A861"/>
  <c r="AE859"/>
  <c r="AD859"/>
  <c r="AC859"/>
  <c r="AB859"/>
  <c r="AA859"/>
  <c r="Y859"/>
  <c r="W859"/>
  <c r="V859"/>
  <c r="U859"/>
  <c r="T859"/>
  <c r="S859"/>
  <c r="R859"/>
  <c r="Q859"/>
  <c r="P859"/>
  <c r="M859"/>
  <c r="A859"/>
  <c r="AE858"/>
  <c r="AD858"/>
  <c r="AC858"/>
  <c r="AB858"/>
  <c r="AA858"/>
  <c r="Y858"/>
  <c r="W858"/>
  <c r="V858"/>
  <c r="U858"/>
  <c r="T858"/>
  <c r="S858"/>
  <c r="R858"/>
  <c r="Q858"/>
  <c r="P858"/>
  <c r="M858"/>
  <c r="A858"/>
  <c r="AE856"/>
  <c r="AD856"/>
  <c r="AC856"/>
  <c r="AB856"/>
  <c r="AA856"/>
  <c r="Y856"/>
  <c r="W856"/>
  <c r="V856"/>
  <c r="U856"/>
  <c r="T856"/>
  <c r="S856"/>
  <c r="R856"/>
  <c r="Q856"/>
  <c r="P856"/>
  <c r="M856"/>
  <c r="A856"/>
  <c r="AD855"/>
  <c r="AC855"/>
  <c r="AB855"/>
  <c r="AA855"/>
  <c r="Y855"/>
  <c r="W855"/>
  <c r="V855"/>
  <c r="U855"/>
  <c r="T855"/>
  <c r="S855"/>
  <c r="R855"/>
  <c r="Q855"/>
  <c r="P855"/>
  <c r="M855"/>
  <c r="A855"/>
  <c r="AD854"/>
  <c r="AC854"/>
  <c r="AB854"/>
  <c r="AA854"/>
  <c r="Y854"/>
  <c r="W854"/>
  <c r="V854"/>
  <c r="U854"/>
  <c r="T854"/>
  <c r="S854"/>
  <c r="R854"/>
  <c r="Q854"/>
  <c r="P854"/>
  <c r="M854"/>
  <c r="A854"/>
  <c r="AD853"/>
  <c r="AC853"/>
  <c r="AB853"/>
  <c r="AA853"/>
  <c r="Y853"/>
  <c r="W853"/>
  <c r="V853"/>
  <c r="U853"/>
  <c r="T853"/>
  <c r="S853"/>
  <c r="R853"/>
  <c r="Q853"/>
  <c r="P853"/>
  <c r="M853"/>
  <c r="A853"/>
  <c r="AE851"/>
  <c r="AD851"/>
  <c r="AC851"/>
  <c r="AB851"/>
  <c r="AA851"/>
  <c r="Y851"/>
  <c r="W851"/>
  <c r="V851"/>
  <c r="U851"/>
  <c r="T851"/>
  <c r="S851"/>
  <c r="R851"/>
  <c r="Q851"/>
  <c r="P851"/>
  <c r="M851"/>
  <c r="A851"/>
  <c r="AE850"/>
  <c r="AD850"/>
  <c r="AC850"/>
  <c r="AB850"/>
  <c r="AA850"/>
  <c r="Y850"/>
  <c r="W850"/>
  <c r="V850"/>
  <c r="U850"/>
  <c r="T850"/>
  <c r="S850"/>
  <c r="R850"/>
  <c r="Q850"/>
  <c r="P850"/>
  <c r="M850"/>
  <c r="A850"/>
  <c r="AE849"/>
  <c r="AD849"/>
  <c r="AC849"/>
  <c r="AB849"/>
  <c r="AA849"/>
  <c r="Y849"/>
  <c r="W849"/>
  <c r="V849"/>
  <c r="U849"/>
  <c r="T849"/>
  <c r="S849"/>
  <c r="R849"/>
  <c r="Q849"/>
  <c r="P849"/>
  <c r="M849"/>
  <c r="A849"/>
  <c r="AE848"/>
  <c r="AD848"/>
  <c r="AC848"/>
  <c r="AB848"/>
  <c r="AA848"/>
  <c r="Y848"/>
  <c r="W848"/>
  <c r="V848"/>
  <c r="U848"/>
  <c r="T848"/>
  <c r="S848"/>
  <c r="R848"/>
  <c r="Q848"/>
  <c r="P848"/>
  <c r="M848"/>
  <c r="A848"/>
  <c r="AE847"/>
  <c r="AD847"/>
  <c r="AC847"/>
  <c r="AB847"/>
  <c r="AA847"/>
  <c r="Y847"/>
  <c r="W847"/>
  <c r="V847"/>
  <c r="U847"/>
  <c r="T847"/>
  <c r="S847"/>
  <c r="R847"/>
  <c r="Q847"/>
  <c r="P847"/>
  <c r="M847"/>
  <c r="A847"/>
  <c r="AE846"/>
  <c r="AD846"/>
  <c r="AC846"/>
  <c r="AB846"/>
  <c r="AA846"/>
  <c r="Y846"/>
  <c r="W846"/>
  <c r="V846"/>
  <c r="U846"/>
  <c r="T846"/>
  <c r="S846"/>
  <c r="R846"/>
  <c r="Q846"/>
  <c r="P846"/>
  <c r="M846"/>
  <c r="A846"/>
  <c r="AE845"/>
  <c r="AD845"/>
  <c r="AC845"/>
  <c r="AB845"/>
  <c r="AA845"/>
  <c r="Y845"/>
  <c r="W845"/>
  <c r="V845"/>
  <c r="U845"/>
  <c r="T845"/>
  <c r="S845"/>
  <c r="R845"/>
  <c r="Q845"/>
  <c r="P845"/>
  <c r="M845"/>
  <c r="A845"/>
  <c r="AE844"/>
  <c r="AD844"/>
  <c r="AC844"/>
  <c r="AB844"/>
  <c r="AA844"/>
  <c r="Y844"/>
  <c r="W844"/>
  <c r="V844"/>
  <c r="U844"/>
  <c r="T844"/>
  <c r="S844"/>
  <c r="R844"/>
  <c r="Q844"/>
  <c r="P844"/>
  <c r="M844"/>
  <c r="A844"/>
  <c r="AE843"/>
  <c r="AD843"/>
  <c r="AC843"/>
  <c r="AB843"/>
  <c r="AA843"/>
  <c r="Y843"/>
  <c r="W843"/>
  <c r="V843"/>
  <c r="U843"/>
  <c r="T843"/>
  <c r="S843"/>
  <c r="R843"/>
  <c r="Q843"/>
  <c r="P843"/>
  <c r="M843"/>
  <c r="A843"/>
  <c r="AE842"/>
  <c r="AD842"/>
  <c r="AC842"/>
  <c r="AB842"/>
  <c r="AA842"/>
  <c r="Y842"/>
  <c r="W842"/>
  <c r="V842"/>
  <c r="U842"/>
  <c r="T842"/>
  <c r="S842"/>
  <c r="R842"/>
  <c r="Q842"/>
  <c r="P842"/>
  <c r="M842"/>
  <c r="A842"/>
  <c r="AE840"/>
  <c r="AD840"/>
  <c r="AC840"/>
  <c r="AB840"/>
  <c r="AA840"/>
  <c r="Y840"/>
  <c r="W840"/>
  <c r="V840"/>
  <c r="U840"/>
  <c r="T840"/>
  <c r="S840"/>
  <c r="R840"/>
  <c r="Q840"/>
  <c r="P840"/>
  <c r="M840"/>
  <c r="A840"/>
  <c r="AD839"/>
  <c r="AC839"/>
  <c r="AB839"/>
  <c r="AA839"/>
  <c r="Y839"/>
  <c r="W839"/>
  <c r="V839"/>
  <c r="U839"/>
  <c r="T839"/>
  <c r="S839"/>
  <c r="R839"/>
  <c r="Q839"/>
  <c r="P839"/>
  <c r="M839"/>
  <c r="A839"/>
  <c r="AD838"/>
  <c r="AC838"/>
  <c r="AB838"/>
  <c r="AA838"/>
  <c r="Y838"/>
  <c r="W838"/>
  <c r="V838"/>
  <c r="U838"/>
  <c r="T838"/>
  <c r="S838"/>
  <c r="R838"/>
  <c r="Q838"/>
  <c r="P838"/>
  <c r="M838"/>
  <c r="A838"/>
  <c r="AD597"/>
  <c r="AC597"/>
  <c r="AB597"/>
  <c r="Y597"/>
  <c r="W597"/>
  <c r="V597"/>
  <c r="U597"/>
  <c r="T597"/>
  <c r="S597"/>
  <c r="R597"/>
  <c r="Q597"/>
  <c r="P597"/>
  <c r="M597"/>
  <c r="E597"/>
  <c r="AA597" s="1"/>
  <c r="A597"/>
  <c r="AD596"/>
  <c r="AC596"/>
  <c r="AB596"/>
  <c r="Y596"/>
  <c r="W596"/>
  <c r="V596"/>
  <c r="U596"/>
  <c r="T596"/>
  <c r="S596"/>
  <c r="R596"/>
  <c r="Q596"/>
  <c r="P596"/>
  <c r="M596"/>
  <c r="E596"/>
  <c r="AA596" s="1"/>
  <c r="A596"/>
  <c r="AD595"/>
  <c r="AC595"/>
  <c r="AB595"/>
  <c r="Y595"/>
  <c r="W595"/>
  <c r="V595"/>
  <c r="U595"/>
  <c r="T595"/>
  <c r="S595"/>
  <c r="R595"/>
  <c r="Q595"/>
  <c r="P595"/>
  <c r="M595"/>
  <c r="E595"/>
  <c r="AA595" s="1"/>
  <c r="A595"/>
  <c r="AD594"/>
  <c r="AC594"/>
  <c r="AB594"/>
  <c r="Y594"/>
  <c r="W594"/>
  <c r="V594"/>
  <c r="U594"/>
  <c r="T594"/>
  <c r="S594"/>
  <c r="R594"/>
  <c r="Q594"/>
  <c r="P594"/>
  <c r="M594"/>
  <c r="E594"/>
  <c r="AA594" s="1"/>
  <c r="A594"/>
  <c r="AD593"/>
  <c r="AC593"/>
  <c r="AB593"/>
  <c r="Y593"/>
  <c r="W593"/>
  <c r="V593"/>
  <c r="U593"/>
  <c r="T593"/>
  <c r="S593"/>
  <c r="R593"/>
  <c r="Q593"/>
  <c r="P593"/>
  <c r="M593"/>
  <c r="E593"/>
  <c r="AA593" s="1"/>
  <c r="A593"/>
  <c r="AD592"/>
  <c r="AC592"/>
  <c r="AB592"/>
  <c r="Y592"/>
  <c r="W592"/>
  <c r="V592"/>
  <c r="U592"/>
  <c r="T592"/>
  <c r="S592"/>
  <c r="R592"/>
  <c r="Q592"/>
  <c r="P592"/>
  <c r="M592"/>
  <c r="E592"/>
  <c r="AA592" s="1"/>
  <c r="A592"/>
  <c r="AD591"/>
  <c r="AC591"/>
  <c r="AB591"/>
  <c r="Y591"/>
  <c r="W591"/>
  <c r="V591"/>
  <c r="U591"/>
  <c r="T591"/>
  <c r="S591"/>
  <c r="R591"/>
  <c r="Q591"/>
  <c r="P591"/>
  <c r="M591"/>
  <c r="E591"/>
  <c r="AA591" s="1"/>
  <c r="A591"/>
  <c r="AD590"/>
  <c r="AC590"/>
  <c r="AB590"/>
  <c r="Y590"/>
  <c r="W590"/>
  <c r="V590"/>
  <c r="U590"/>
  <c r="T590"/>
  <c r="S590"/>
  <c r="R590"/>
  <c r="Q590"/>
  <c r="P590"/>
  <c r="M590"/>
  <c r="E590"/>
  <c r="AA590" s="1"/>
  <c r="A590"/>
  <c r="AD589"/>
  <c r="AC589"/>
  <c r="AB589"/>
  <c r="Y589"/>
  <c r="W589"/>
  <c r="V589"/>
  <c r="U589"/>
  <c r="T589"/>
  <c r="S589"/>
  <c r="R589"/>
  <c r="Q589"/>
  <c r="P589"/>
  <c r="M589"/>
  <c r="E589"/>
  <c r="AA589" s="1"/>
  <c r="A589"/>
  <c r="AD588"/>
  <c r="AC588"/>
  <c r="AB588"/>
  <c r="Y588"/>
  <c r="W588"/>
  <c r="V588"/>
  <c r="U588"/>
  <c r="T588"/>
  <c r="S588"/>
  <c r="R588"/>
  <c r="Q588"/>
  <c r="P588"/>
  <c r="M588"/>
  <c r="E588"/>
  <c r="AA588" s="1"/>
  <c r="A588"/>
  <c r="AD587"/>
  <c r="AC587"/>
  <c r="AB587"/>
  <c r="Y587"/>
  <c r="W587"/>
  <c r="V587"/>
  <c r="U587"/>
  <c r="T587"/>
  <c r="S587"/>
  <c r="R587"/>
  <c r="Q587"/>
  <c r="P587"/>
  <c r="M587"/>
  <c r="E587"/>
  <c r="AA587" s="1"/>
  <c r="A587"/>
  <c r="AD586"/>
  <c r="AC586"/>
  <c r="AB586"/>
  <c r="Y586"/>
  <c r="W586"/>
  <c r="V586"/>
  <c r="U586"/>
  <c r="T586"/>
  <c r="S586"/>
  <c r="R586"/>
  <c r="Q586"/>
  <c r="P586"/>
  <c r="M586"/>
  <c r="E586"/>
  <c r="AA586" s="1"/>
  <c r="A586"/>
  <c r="AD585"/>
  <c r="AC585"/>
  <c r="AB585"/>
  <c r="Y585"/>
  <c r="W585"/>
  <c r="V585"/>
  <c r="U585"/>
  <c r="T585"/>
  <c r="S585"/>
  <c r="R585"/>
  <c r="Q585"/>
  <c r="P585"/>
  <c r="M585"/>
  <c r="E585"/>
  <c r="AA585" s="1"/>
  <c r="A585"/>
  <c r="AD584"/>
  <c r="AC584"/>
  <c r="AB584"/>
  <c r="Y584"/>
  <c r="W584"/>
  <c r="V584"/>
  <c r="U584"/>
  <c r="T584"/>
  <c r="S584"/>
  <c r="R584"/>
  <c r="Q584"/>
  <c r="P584"/>
  <c r="M584"/>
  <c r="E584"/>
  <c r="AA584" s="1"/>
  <c r="A584"/>
  <c r="AD583"/>
  <c r="AC583"/>
  <c r="AB583"/>
  <c r="Y583"/>
  <c r="W583"/>
  <c r="V583"/>
  <c r="U583"/>
  <c r="T583"/>
  <c r="S583"/>
  <c r="R583"/>
  <c r="Q583"/>
  <c r="P583"/>
  <c r="M583"/>
  <c r="E583"/>
  <c r="AA583" s="1"/>
  <c r="A583"/>
  <c r="AD582"/>
  <c r="AC582"/>
  <c r="AB582"/>
  <c r="Y582"/>
  <c r="W582"/>
  <c r="V582"/>
  <c r="U582"/>
  <c r="T582"/>
  <c r="S582"/>
  <c r="R582"/>
  <c r="Q582"/>
  <c r="P582"/>
  <c r="M582"/>
  <c r="E582"/>
  <c r="AA582" s="1"/>
  <c r="A582"/>
  <c r="AD581"/>
  <c r="AC581"/>
  <c r="AB581"/>
  <c r="Y581"/>
  <c r="W581"/>
  <c r="V581"/>
  <c r="U581"/>
  <c r="T581"/>
  <c r="S581"/>
  <c r="R581"/>
  <c r="Q581"/>
  <c r="P581"/>
  <c r="M581"/>
  <c r="E581"/>
  <c r="AA581" s="1"/>
  <c r="A581"/>
  <c r="AD579"/>
  <c r="AC579"/>
  <c r="AB579"/>
  <c r="Y579"/>
  <c r="W579"/>
  <c r="V579"/>
  <c r="U579"/>
  <c r="T579"/>
  <c r="S579"/>
  <c r="R579"/>
  <c r="Q579"/>
  <c r="P579"/>
  <c r="M579"/>
  <c r="E579"/>
  <c r="AA579" s="1"/>
  <c r="A579"/>
  <c r="AD578"/>
  <c r="AC578"/>
  <c r="AB578"/>
  <c r="Y578"/>
  <c r="W578"/>
  <c r="V578"/>
  <c r="U578"/>
  <c r="T578"/>
  <c r="S578"/>
  <c r="R578"/>
  <c r="Q578"/>
  <c r="P578"/>
  <c r="M578"/>
  <c r="E578"/>
  <c r="AA578" s="1"/>
  <c r="A578"/>
  <c r="AD580"/>
  <c r="AC580"/>
  <c r="AB580"/>
  <c r="Y580"/>
  <c r="W580"/>
  <c r="V580"/>
  <c r="U580"/>
  <c r="T580"/>
  <c r="S580"/>
  <c r="R580"/>
  <c r="Q580"/>
  <c r="P580"/>
  <c r="M580"/>
  <c r="E580"/>
  <c r="AA580" s="1"/>
  <c r="A580"/>
  <c r="AD577"/>
  <c r="AC577"/>
  <c r="AB577"/>
  <c r="Y577"/>
  <c r="W577"/>
  <c r="V577"/>
  <c r="U577"/>
  <c r="T577"/>
  <c r="S577"/>
  <c r="R577"/>
  <c r="Q577"/>
  <c r="P577"/>
  <c r="M577"/>
  <c r="E577"/>
  <c r="AA577" s="1"/>
  <c r="A577"/>
  <c r="AD576"/>
  <c r="AC576"/>
  <c r="AB576"/>
  <c r="Y576"/>
  <c r="W576"/>
  <c r="V576"/>
  <c r="U576"/>
  <c r="T576"/>
  <c r="S576"/>
  <c r="R576"/>
  <c r="Q576"/>
  <c r="P576"/>
  <c r="M576"/>
  <c r="E576"/>
  <c r="AA576" s="1"/>
  <c r="A576"/>
  <c r="AD575"/>
  <c r="AC575"/>
  <c r="AB575"/>
  <c r="Y575"/>
  <c r="W575"/>
  <c r="V575"/>
  <c r="U575"/>
  <c r="T575"/>
  <c r="S575"/>
  <c r="R575"/>
  <c r="Q575"/>
  <c r="P575"/>
  <c r="M575"/>
  <c r="E575"/>
  <c r="AA575" s="1"/>
  <c r="A575"/>
  <c r="AD574"/>
  <c r="AC574"/>
  <c r="AB574"/>
  <c r="Y574"/>
  <c r="W574"/>
  <c r="V574"/>
  <c r="U574"/>
  <c r="T574"/>
  <c r="S574"/>
  <c r="R574"/>
  <c r="Q574"/>
  <c r="P574"/>
  <c r="M574"/>
  <c r="E574"/>
  <c r="AA574" s="1"/>
  <c r="A574"/>
  <c r="AD573"/>
  <c r="AC573"/>
  <c r="AB573"/>
  <c r="Y573"/>
  <c r="W573"/>
  <c r="V573"/>
  <c r="U573"/>
  <c r="T573"/>
  <c r="S573"/>
  <c r="R573"/>
  <c r="Q573"/>
  <c r="P573"/>
  <c r="M573"/>
  <c r="E573"/>
  <c r="AA573" s="1"/>
  <c r="A573"/>
  <c r="AD572"/>
  <c r="AC572"/>
  <c r="AB572"/>
  <c r="Y572"/>
  <c r="W572"/>
  <c r="V572"/>
  <c r="U572"/>
  <c r="T572"/>
  <c r="S572"/>
  <c r="R572"/>
  <c r="Q572"/>
  <c r="P572"/>
  <c r="M572"/>
  <c r="E572"/>
  <c r="AA572" s="1"/>
  <c r="A572"/>
  <c r="AD571"/>
  <c r="AC571"/>
  <c r="AB571"/>
  <c r="Y571"/>
  <c r="W571"/>
  <c r="V571"/>
  <c r="U571"/>
  <c r="T571"/>
  <c r="S571"/>
  <c r="R571"/>
  <c r="Q571"/>
  <c r="P571"/>
  <c r="M571"/>
  <c r="E571"/>
  <c r="AA571" s="1"/>
  <c r="A571"/>
  <c r="AD570"/>
  <c r="AC570"/>
  <c r="AB570"/>
  <c r="Y570"/>
  <c r="W570"/>
  <c r="V570"/>
  <c r="U570"/>
  <c r="T570"/>
  <c r="S570"/>
  <c r="R570"/>
  <c r="Q570"/>
  <c r="P570"/>
  <c r="M570"/>
  <c r="E570"/>
  <c r="AA570" s="1"/>
  <c r="A570"/>
  <c r="AD569"/>
  <c r="AC569"/>
  <c r="AB569"/>
  <c r="Y569"/>
  <c r="W569"/>
  <c r="V569"/>
  <c r="U569"/>
  <c r="T569"/>
  <c r="S569"/>
  <c r="R569"/>
  <c r="Q569"/>
  <c r="P569"/>
  <c r="M569"/>
  <c r="E569"/>
  <c r="AA569" s="1"/>
  <c r="A569"/>
  <c r="AD568"/>
  <c r="AC568"/>
  <c r="AB568"/>
  <c r="Y568"/>
  <c r="W568"/>
  <c r="V568"/>
  <c r="U568"/>
  <c r="T568"/>
  <c r="S568"/>
  <c r="R568"/>
  <c r="Q568"/>
  <c r="P568"/>
  <c r="M568"/>
  <c r="E568"/>
  <c r="AA568" s="1"/>
  <c r="A568"/>
  <c r="AD567"/>
  <c r="AC567"/>
  <c r="AB567"/>
  <c r="Y567"/>
  <c r="W567"/>
  <c r="V567"/>
  <c r="U567"/>
  <c r="T567"/>
  <c r="S567"/>
  <c r="R567"/>
  <c r="Q567"/>
  <c r="P567"/>
  <c r="M567"/>
  <c r="E567"/>
  <c r="AA567" s="1"/>
  <c r="A567"/>
  <c r="AD566"/>
  <c r="AC566"/>
  <c r="AB566"/>
  <c r="Y566"/>
  <c r="W566"/>
  <c r="V566"/>
  <c r="U566"/>
  <c r="T566"/>
  <c r="S566"/>
  <c r="R566"/>
  <c r="Q566"/>
  <c r="P566"/>
  <c r="M566"/>
  <c r="E566"/>
  <c r="AA566" s="1"/>
  <c r="A566"/>
  <c r="AD565"/>
  <c r="AC565"/>
  <c r="AB565"/>
  <c r="Y565"/>
  <c r="W565"/>
  <c r="V565"/>
  <c r="U565"/>
  <c r="T565"/>
  <c r="S565"/>
  <c r="R565"/>
  <c r="Q565"/>
  <c r="P565"/>
  <c r="M565"/>
  <c r="E565"/>
  <c r="AA565" s="1"/>
  <c r="A565"/>
  <c r="AD564"/>
  <c r="AC564"/>
  <c r="AB564"/>
  <c r="Y564"/>
  <c r="W564"/>
  <c r="V564"/>
  <c r="U564"/>
  <c r="T564"/>
  <c r="S564"/>
  <c r="R564"/>
  <c r="Q564"/>
  <c r="P564"/>
  <c r="M564"/>
  <c r="E564"/>
  <c r="AA564" s="1"/>
  <c r="A564"/>
  <c r="AD563"/>
  <c r="AC563"/>
  <c r="AB563"/>
  <c r="Y563"/>
  <c r="W563"/>
  <c r="V563"/>
  <c r="U563"/>
  <c r="T563"/>
  <c r="S563"/>
  <c r="R563"/>
  <c r="Q563"/>
  <c r="P563"/>
  <c r="M563"/>
  <c r="E563"/>
  <c r="AA563" s="1"/>
  <c r="A563"/>
  <c r="AD562"/>
  <c r="AC562"/>
  <c r="AB562"/>
  <c r="Y562"/>
  <c r="W562"/>
  <c r="V562"/>
  <c r="U562"/>
  <c r="T562"/>
  <c r="P562"/>
  <c r="M562"/>
  <c r="E562"/>
  <c r="AA562" s="1"/>
  <c r="R562"/>
  <c r="M358"/>
  <c r="L207" i="60"/>
  <c r="L206"/>
  <c r="L205"/>
  <c r="L204"/>
  <c r="L203"/>
  <c r="L202"/>
  <c r="V229"/>
  <c r="V252"/>
  <c r="V266"/>
  <c r="V258"/>
  <c r="V257"/>
  <c r="V256"/>
  <c r="V255"/>
  <c r="V254"/>
  <c r="V253"/>
  <c r="V220"/>
  <c r="V221"/>
  <c r="V222"/>
  <c r="V223"/>
  <c r="V224"/>
  <c r="V225"/>
  <c r="V226"/>
  <c r="A80" i="12"/>
  <c r="I80"/>
  <c r="M3100" i="34"/>
  <c r="B3100"/>
  <c r="A3100" s="1"/>
  <c r="E3100"/>
  <c r="AA3100" s="1"/>
  <c r="P3100"/>
  <c r="T3100"/>
  <c r="U3100"/>
  <c r="V3100"/>
  <c r="W3100"/>
  <c r="Y3100"/>
  <c r="AB3100"/>
  <c r="AC3100"/>
  <c r="AD3100"/>
  <c r="B3079"/>
  <c r="A3079" s="1"/>
  <c r="E3079"/>
  <c r="AA3079" s="1"/>
  <c r="M3079"/>
  <c r="P3079"/>
  <c r="Q3079"/>
  <c r="T3079"/>
  <c r="U3079"/>
  <c r="V3079"/>
  <c r="W3079"/>
  <c r="Y3079"/>
  <c r="AB3079"/>
  <c r="AC3079"/>
  <c r="AD3079"/>
  <c r="B3080"/>
  <c r="A3080" s="1"/>
  <c r="E3080"/>
  <c r="AA3080" s="1"/>
  <c r="M3080"/>
  <c r="P3080"/>
  <c r="Q3080"/>
  <c r="T3080"/>
  <c r="U3080"/>
  <c r="V3080"/>
  <c r="W3080"/>
  <c r="Y3080"/>
  <c r="AB3080"/>
  <c r="AC3080"/>
  <c r="AD3080"/>
  <c r="B3081"/>
  <c r="A3081" s="1"/>
  <c r="E3081"/>
  <c r="AA3081" s="1"/>
  <c r="P3081"/>
  <c r="T3081"/>
  <c r="U3081"/>
  <c r="V3081"/>
  <c r="W3081"/>
  <c r="Y3081"/>
  <c r="AB3081"/>
  <c r="AC3081"/>
  <c r="AD3081"/>
  <c r="AD3078"/>
  <c r="AC3078"/>
  <c r="AB3078"/>
  <c r="Y3078"/>
  <c r="W3078"/>
  <c r="V3078"/>
  <c r="U3078"/>
  <c r="T3078"/>
  <c r="P3078"/>
  <c r="M3078"/>
  <c r="E3078"/>
  <c r="AA3078" s="1"/>
  <c r="B3078"/>
  <c r="S3078" s="1"/>
  <c r="B2475"/>
  <c r="A2475" s="1"/>
  <c r="E2475"/>
  <c r="AA2475" s="1"/>
  <c r="P2475"/>
  <c r="T2475"/>
  <c r="U2475"/>
  <c r="V2475"/>
  <c r="W2475"/>
  <c r="Y2475"/>
  <c r="AB2475"/>
  <c r="AC2475"/>
  <c r="AD2475"/>
  <c r="B2497"/>
  <c r="A2497" s="1"/>
  <c r="E2497"/>
  <c r="AA2497" s="1"/>
  <c r="P2497"/>
  <c r="T2497"/>
  <c r="U2497"/>
  <c r="V2497"/>
  <c r="W2497"/>
  <c r="Y2497"/>
  <c r="AB2497"/>
  <c r="AC2497"/>
  <c r="AD2497"/>
  <c r="B2515"/>
  <c r="A2515" s="1"/>
  <c r="E2515"/>
  <c r="AA2515" s="1"/>
  <c r="P2515"/>
  <c r="T2515"/>
  <c r="U2515"/>
  <c r="V2515"/>
  <c r="W2515"/>
  <c r="Y2515"/>
  <c r="AB2515"/>
  <c r="AC2515"/>
  <c r="AD2515"/>
  <c r="B2198"/>
  <c r="A2198" s="1"/>
  <c r="E2198"/>
  <c r="AA2198" s="1"/>
  <c r="P2198"/>
  <c r="T2198"/>
  <c r="U2198"/>
  <c r="V2198"/>
  <c r="W2198"/>
  <c r="Y2198"/>
  <c r="AB2198"/>
  <c r="AC2198"/>
  <c r="AD2198"/>
  <c r="B1962"/>
  <c r="A1962" s="1"/>
  <c r="E1962"/>
  <c r="AA1962" s="1"/>
  <c r="P1962"/>
  <c r="T1962"/>
  <c r="U1962"/>
  <c r="V1962"/>
  <c r="W1962"/>
  <c r="Y1962"/>
  <c r="AB1962"/>
  <c r="AC1962"/>
  <c r="AD1962"/>
  <c r="B2000"/>
  <c r="A2000" s="1"/>
  <c r="E2000"/>
  <c r="AA2000" s="1"/>
  <c r="P2000"/>
  <c r="T2000"/>
  <c r="U2000"/>
  <c r="V2000"/>
  <c r="W2000"/>
  <c r="Y2000"/>
  <c r="AB2000"/>
  <c r="AC2000"/>
  <c r="AD2000"/>
  <c r="B2037"/>
  <c r="A2037" s="1"/>
  <c r="E2037"/>
  <c r="AA2037" s="1"/>
  <c r="P2037"/>
  <c r="T2037"/>
  <c r="U2037"/>
  <c r="V2037"/>
  <c r="W2037"/>
  <c r="Y2037"/>
  <c r="AB2037"/>
  <c r="AC2037"/>
  <c r="AD2037"/>
  <c r="B2259"/>
  <c r="A2259" s="1"/>
  <c r="E2259"/>
  <c r="AA2259" s="1"/>
  <c r="P2259"/>
  <c r="T2259"/>
  <c r="U2259"/>
  <c r="V2259"/>
  <c r="W2259"/>
  <c r="Y2259"/>
  <c r="AB2259"/>
  <c r="AC2259"/>
  <c r="AD2259"/>
  <c r="B2313"/>
  <c r="A2313" s="1"/>
  <c r="E2313"/>
  <c r="AA2313" s="1"/>
  <c r="P2313"/>
  <c r="T2313"/>
  <c r="U2313"/>
  <c r="V2313"/>
  <c r="W2313"/>
  <c r="Y2313"/>
  <c r="AB2313"/>
  <c r="AC2313"/>
  <c r="AD2313"/>
  <c r="B2332"/>
  <c r="A2332" s="1"/>
  <c r="E2332"/>
  <c r="AA2332" s="1"/>
  <c r="P2332"/>
  <c r="T2332"/>
  <c r="U2332"/>
  <c r="V2332"/>
  <c r="W2332"/>
  <c r="Y2332"/>
  <c r="AB2332"/>
  <c r="AC2332"/>
  <c r="AD2332"/>
  <c r="B2274"/>
  <c r="A2274" s="1"/>
  <c r="E2274"/>
  <c r="AA2274" s="1"/>
  <c r="P2274"/>
  <c r="T2274"/>
  <c r="U2274"/>
  <c r="V2274"/>
  <c r="W2274"/>
  <c r="Y2274"/>
  <c r="AB2274"/>
  <c r="AC2274"/>
  <c r="AD2274"/>
  <c r="B2314"/>
  <c r="A2314" s="1"/>
  <c r="E2314"/>
  <c r="AA2314" s="1"/>
  <c r="P2314"/>
  <c r="T2314"/>
  <c r="U2314"/>
  <c r="V2314"/>
  <c r="W2314"/>
  <c r="Y2314"/>
  <c r="AB2314"/>
  <c r="AC2314"/>
  <c r="AD2314"/>
  <c r="B2350"/>
  <c r="A2350" s="1"/>
  <c r="E2350"/>
  <c r="AA2350" s="1"/>
  <c r="P2350"/>
  <c r="T2350"/>
  <c r="U2350"/>
  <c r="V2350"/>
  <c r="W2350"/>
  <c r="Y2350"/>
  <c r="AB2350"/>
  <c r="AC2350"/>
  <c r="AD2350"/>
  <c r="B1576"/>
  <c r="A1576" s="1"/>
  <c r="E1576"/>
  <c r="AA1576" s="1"/>
  <c r="P1576"/>
  <c r="T1576"/>
  <c r="U1576"/>
  <c r="V1576"/>
  <c r="W1576"/>
  <c r="Y1576"/>
  <c r="AB1576"/>
  <c r="AC1576"/>
  <c r="AD1576"/>
  <c r="B1821"/>
  <c r="A1821" s="1"/>
  <c r="E1821"/>
  <c r="AA1821" s="1"/>
  <c r="P1821"/>
  <c r="T1821"/>
  <c r="U1821"/>
  <c r="V1821"/>
  <c r="W1821"/>
  <c r="Y1821"/>
  <c r="AB1821"/>
  <c r="AC1821"/>
  <c r="AD1821"/>
  <c r="B1828"/>
  <c r="A1828" s="1"/>
  <c r="E1828"/>
  <c r="AA1828" s="1"/>
  <c r="P1828"/>
  <c r="T1828"/>
  <c r="U1828"/>
  <c r="V1828"/>
  <c r="W1828"/>
  <c r="Y1828"/>
  <c r="AB1828"/>
  <c r="AC1828"/>
  <c r="AD1828"/>
  <c r="B1834"/>
  <c r="A1834" s="1"/>
  <c r="E1834"/>
  <c r="AA1834" s="1"/>
  <c r="P1834"/>
  <c r="T1834"/>
  <c r="U1834"/>
  <c r="V1834"/>
  <c r="W1834"/>
  <c r="Y1834"/>
  <c r="AB1834"/>
  <c r="AC1834"/>
  <c r="AD1834"/>
  <c r="B1822"/>
  <c r="A1822" s="1"/>
  <c r="E1822"/>
  <c r="AA1822" s="1"/>
  <c r="P1822"/>
  <c r="T1822"/>
  <c r="U1822"/>
  <c r="V1822"/>
  <c r="W1822"/>
  <c r="Y1822"/>
  <c r="AB1822"/>
  <c r="AC1822"/>
  <c r="AD1822"/>
  <c r="B1829"/>
  <c r="A1829" s="1"/>
  <c r="E1829"/>
  <c r="AA1829" s="1"/>
  <c r="P1829"/>
  <c r="T1829"/>
  <c r="U1829"/>
  <c r="V1829"/>
  <c r="W1829"/>
  <c r="Y1829"/>
  <c r="AB1829"/>
  <c r="AC1829"/>
  <c r="AD1829"/>
  <c r="B1835"/>
  <c r="A1835" s="1"/>
  <c r="E1835"/>
  <c r="AA1835" s="1"/>
  <c r="P1835"/>
  <c r="T1835"/>
  <c r="U1835"/>
  <c r="V1835"/>
  <c r="W1835"/>
  <c r="Y1835"/>
  <c r="AB1835"/>
  <c r="AC1835"/>
  <c r="AD1835"/>
  <c r="B1561"/>
  <c r="A1561" s="1"/>
  <c r="E1561"/>
  <c r="AA1561" s="1"/>
  <c r="P1561"/>
  <c r="T1561"/>
  <c r="U1561"/>
  <c r="V1561"/>
  <c r="W1561"/>
  <c r="Y1561"/>
  <c r="AB1561"/>
  <c r="AC1561"/>
  <c r="AD1561"/>
  <c r="B1961"/>
  <c r="A1961" s="1"/>
  <c r="E1961"/>
  <c r="AA1961" s="1"/>
  <c r="P1961"/>
  <c r="T1961"/>
  <c r="U1961"/>
  <c r="V1961"/>
  <c r="W1961"/>
  <c r="Y1961"/>
  <c r="AB1961"/>
  <c r="AC1961"/>
  <c r="AD1961"/>
  <c r="B1989"/>
  <c r="A1989" s="1"/>
  <c r="E1989"/>
  <c r="AA1989" s="1"/>
  <c r="P1989"/>
  <c r="T1989"/>
  <c r="U1989"/>
  <c r="V1989"/>
  <c r="W1989"/>
  <c r="Y1989"/>
  <c r="AB1989"/>
  <c r="AC1989"/>
  <c r="AD1989"/>
  <c r="B2036"/>
  <c r="A2036" s="1"/>
  <c r="E2036"/>
  <c r="AA2036" s="1"/>
  <c r="P2036"/>
  <c r="T2036"/>
  <c r="U2036"/>
  <c r="V2036"/>
  <c r="W2036"/>
  <c r="Y2036"/>
  <c r="AB2036"/>
  <c r="AC2036"/>
  <c r="AD2036"/>
  <c r="B2174"/>
  <c r="A2174" s="1"/>
  <c r="E2174"/>
  <c r="AA2174" s="1"/>
  <c r="P2174"/>
  <c r="T2174"/>
  <c r="U2174"/>
  <c r="V2174"/>
  <c r="W2174"/>
  <c r="Y2174"/>
  <c r="AB2174"/>
  <c r="AC2174"/>
  <c r="AD2174"/>
  <c r="B1234"/>
  <c r="A1234" s="1"/>
  <c r="B1278"/>
  <c r="A1278" s="1"/>
  <c r="B1313"/>
  <c r="A1313" s="1"/>
  <c r="B1344"/>
  <c r="A1344" s="1"/>
  <c r="B1418"/>
  <c r="A1418" s="1"/>
  <c r="B1552"/>
  <c r="A1552" s="1"/>
  <c r="B1726"/>
  <c r="A1726" s="1"/>
  <c r="B1553"/>
  <c r="A1553" s="1"/>
  <c r="B1727"/>
  <c r="A1727" s="1"/>
  <c r="B1554"/>
  <c r="A1554" s="1"/>
  <c r="E1233"/>
  <c r="AA1233" s="1"/>
  <c r="E1183"/>
  <c r="E1234"/>
  <c r="AA1234" s="1"/>
  <c r="E1278"/>
  <c r="AA1278" s="1"/>
  <c r="E1182"/>
  <c r="AA1182" s="1"/>
  <c r="B1233"/>
  <c r="A1233" s="1"/>
  <c r="P1233"/>
  <c r="R1233"/>
  <c r="T1233"/>
  <c r="U1233"/>
  <c r="V1233"/>
  <c r="W1233"/>
  <c r="Y1233"/>
  <c r="AB1233"/>
  <c r="AC1233"/>
  <c r="AD1233"/>
  <c r="B1183"/>
  <c r="A1183" s="1"/>
  <c r="P1183"/>
  <c r="T1183"/>
  <c r="U1183"/>
  <c r="V1183"/>
  <c r="W1183"/>
  <c r="Y1183"/>
  <c r="AA1183"/>
  <c r="AB1183"/>
  <c r="AC1183"/>
  <c r="AD1183"/>
  <c r="P1234"/>
  <c r="T1234"/>
  <c r="U1234"/>
  <c r="V1234"/>
  <c r="W1234"/>
  <c r="Y1234"/>
  <c r="AB1234"/>
  <c r="AC1234"/>
  <c r="AD1234"/>
  <c r="P1278"/>
  <c r="T1278"/>
  <c r="U1278"/>
  <c r="V1278"/>
  <c r="W1278"/>
  <c r="Y1278"/>
  <c r="AB1278"/>
  <c r="AC1278"/>
  <c r="AD1278"/>
  <c r="P1313"/>
  <c r="T1313"/>
  <c r="U1313"/>
  <c r="V1313"/>
  <c r="W1313"/>
  <c r="Y1313"/>
  <c r="AB1313"/>
  <c r="AC1313"/>
  <c r="P1344"/>
  <c r="T1344"/>
  <c r="U1344"/>
  <c r="V1344"/>
  <c r="W1344"/>
  <c r="Y1344"/>
  <c r="AB1344"/>
  <c r="AC1344"/>
  <c r="P1418"/>
  <c r="T1418"/>
  <c r="U1418"/>
  <c r="V1418"/>
  <c r="W1418"/>
  <c r="Y1418"/>
  <c r="AB1418"/>
  <c r="AC1418"/>
  <c r="P1552"/>
  <c r="T1552"/>
  <c r="U1552"/>
  <c r="V1552"/>
  <c r="W1552"/>
  <c r="Y1552"/>
  <c r="AB1552"/>
  <c r="AC1552"/>
  <c r="P1726"/>
  <c r="T1726"/>
  <c r="U1726"/>
  <c r="V1726"/>
  <c r="W1726"/>
  <c r="Y1726"/>
  <c r="AB1726"/>
  <c r="AC1726"/>
  <c r="P1553"/>
  <c r="T1553"/>
  <c r="U1553"/>
  <c r="V1553"/>
  <c r="W1553"/>
  <c r="Y1553"/>
  <c r="AB1553"/>
  <c r="AC1553"/>
  <c r="P1727"/>
  <c r="T1727"/>
  <c r="U1727"/>
  <c r="V1727"/>
  <c r="W1727"/>
  <c r="Y1727"/>
  <c r="AB1727"/>
  <c r="AC1727"/>
  <c r="P1554"/>
  <c r="T1554"/>
  <c r="U1554"/>
  <c r="V1554"/>
  <c r="W1554"/>
  <c r="Y1554"/>
  <c r="AB1554"/>
  <c r="AC1554"/>
  <c r="AC1182"/>
  <c r="AB1182"/>
  <c r="Y1182"/>
  <c r="W1182"/>
  <c r="V1182"/>
  <c r="U1182"/>
  <c r="T1182"/>
  <c r="P1182"/>
  <c r="AD1182"/>
  <c r="B1182"/>
  <c r="R1182" s="1"/>
  <c r="C1662"/>
  <c r="B1662" s="1"/>
  <c r="A1662" s="1"/>
  <c r="P1662"/>
  <c r="T1662"/>
  <c r="U1662"/>
  <c r="V1662"/>
  <c r="W1662"/>
  <c r="Y1662"/>
  <c r="AA1662"/>
  <c r="AB1662"/>
  <c r="AC1662"/>
  <c r="AD1662"/>
  <c r="AE1662"/>
  <c r="B2816"/>
  <c r="A2816" s="1"/>
  <c r="E2816"/>
  <c r="P2816"/>
  <c r="T2816"/>
  <c r="V2816"/>
  <c r="W2816"/>
  <c r="Y2816"/>
  <c r="AA2816"/>
  <c r="AB2816"/>
  <c r="AC2816"/>
  <c r="AD2816"/>
  <c r="B2686"/>
  <c r="A2686" s="1"/>
  <c r="E2686"/>
  <c r="P2686"/>
  <c r="T2686"/>
  <c r="V2686"/>
  <c r="W2686"/>
  <c r="Y2686"/>
  <c r="AA2686"/>
  <c r="AB2686"/>
  <c r="AC2686"/>
  <c r="AD2686"/>
  <c r="B2605"/>
  <c r="A2605" s="1"/>
  <c r="E2605"/>
  <c r="P2605"/>
  <c r="T2605"/>
  <c r="V2605"/>
  <c r="W2605"/>
  <c r="Y2605"/>
  <c r="AA2605"/>
  <c r="AB2605"/>
  <c r="AC2605"/>
  <c r="AD2605"/>
  <c r="B2331"/>
  <c r="A2331" s="1"/>
  <c r="E2331"/>
  <c r="AA2331" s="1"/>
  <c r="P2331"/>
  <c r="T2331"/>
  <c r="U2331"/>
  <c r="V2331"/>
  <c r="W2331"/>
  <c r="Y2331"/>
  <c r="AB2331"/>
  <c r="AC2331"/>
  <c r="AD2331"/>
  <c r="B2224"/>
  <c r="A2224" s="1"/>
  <c r="E2224"/>
  <c r="AA2224" s="1"/>
  <c r="P2224"/>
  <c r="T2224"/>
  <c r="U2224"/>
  <c r="V2224"/>
  <c r="W2224"/>
  <c r="Y2224"/>
  <c r="AB2224"/>
  <c r="AC2224"/>
  <c r="AD2224"/>
  <c r="B1947"/>
  <c r="A1947" s="1"/>
  <c r="P1947"/>
  <c r="T1947"/>
  <c r="U1947"/>
  <c r="V1947"/>
  <c r="W1947"/>
  <c r="Y1947"/>
  <c r="AA1947"/>
  <c r="AB1947"/>
  <c r="AC1947"/>
  <c r="AD1947"/>
  <c r="B1291"/>
  <c r="A1291" s="1"/>
  <c r="P1291"/>
  <c r="T1291"/>
  <c r="U1291"/>
  <c r="V1291"/>
  <c r="W1291"/>
  <c r="Y1291"/>
  <c r="AA1291"/>
  <c r="AB1291"/>
  <c r="AC1291"/>
  <c r="AD1291"/>
  <c r="B1169"/>
  <c r="A1169" s="1"/>
  <c r="P1169"/>
  <c r="T1169"/>
  <c r="U1169"/>
  <c r="V1169"/>
  <c r="W1169"/>
  <c r="Y1169"/>
  <c r="AA1169"/>
  <c r="AB1169"/>
  <c r="AC1169"/>
  <c r="AD1169"/>
  <c r="R1947" l="1"/>
  <c r="Q562"/>
  <c r="S562"/>
  <c r="A562"/>
  <c r="S3081"/>
  <c r="Q3081"/>
  <c r="S3080"/>
  <c r="S3079"/>
  <c r="R3100"/>
  <c r="S3100"/>
  <c r="Q3100"/>
  <c r="R3081"/>
  <c r="R3080"/>
  <c r="R3079"/>
  <c r="A3078"/>
  <c r="R3078"/>
  <c r="Q3078"/>
  <c r="R2037"/>
  <c r="S2037"/>
  <c r="Q2037"/>
  <c r="R2515"/>
  <c r="R1835"/>
  <c r="R2350"/>
  <c r="R2036"/>
  <c r="R1828"/>
  <c r="S2350"/>
  <c r="Q2350"/>
  <c r="R2475"/>
  <c r="R2313"/>
  <c r="R1961"/>
  <c r="R2274"/>
  <c r="R1962"/>
  <c r="A1182"/>
  <c r="R2497"/>
  <c r="S2036"/>
  <c r="Q2036"/>
  <c r="R1989"/>
  <c r="R1561"/>
  <c r="S1835"/>
  <c r="Q1835"/>
  <c r="R1822"/>
  <c r="R2332"/>
  <c r="R2198"/>
  <c r="S2497"/>
  <c r="Q2497"/>
  <c r="R1576"/>
  <c r="S2515"/>
  <c r="Q2515"/>
  <c r="S2475"/>
  <c r="Q2475"/>
  <c r="R2314"/>
  <c r="S2274"/>
  <c r="Q2274"/>
  <c r="S2313"/>
  <c r="Q2313"/>
  <c r="R2259"/>
  <c r="R2000"/>
  <c r="S1962"/>
  <c r="Q1962"/>
  <c r="R2174"/>
  <c r="S1961"/>
  <c r="Q1961"/>
  <c r="S1576"/>
  <c r="Q1576"/>
  <c r="S2314"/>
  <c r="Q2314"/>
  <c r="S2332"/>
  <c r="Q2332"/>
  <c r="S2259"/>
  <c r="Q2259"/>
  <c r="S2000"/>
  <c r="Q2000"/>
  <c r="S2198"/>
  <c r="Q2198"/>
  <c r="R1829"/>
  <c r="S1822"/>
  <c r="Q1822"/>
  <c r="R1834"/>
  <c r="S1828"/>
  <c r="Q1828"/>
  <c r="R1821"/>
  <c r="S2174"/>
  <c r="Q2174"/>
  <c r="S1989"/>
  <c r="Q1989"/>
  <c r="S1561"/>
  <c r="Q1561"/>
  <c r="S1829"/>
  <c r="Q1829"/>
  <c r="S1834"/>
  <c r="Q1834"/>
  <c r="S1821"/>
  <c r="Q1821"/>
  <c r="R1234"/>
  <c r="Q1278"/>
  <c r="S1278"/>
  <c r="R1278"/>
  <c r="Q1183"/>
  <c r="S1183"/>
  <c r="R1183"/>
  <c r="S1234"/>
  <c r="Q1234"/>
  <c r="S1233"/>
  <c r="Q1233"/>
  <c r="Q1182"/>
  <c r="S1182"/>
  <c r="Q1291"/>
  <c r="R1662"/>
  <c r="S1662"/>
  <c r="Q1662"/>
  <c r="Q1169"/>
  <c r="S1169"/>
  <c r="S1291"/>
  <c r="S2224"/>
  <c r="Q2224"/>
  <c r="R2816"/>
  <c r="R2331"/>
  <c r="R2605"/>
  <c r="R2686"/>
  <c r="U2816"/>
  <c r="S2816"/>
  <c r="Q2816"/>
  <c r="U2686"/>
  <c r="S2686"/>
  <c r="Q2686"/>
  <c r="U2605"/>
  <c r="S2605"/>
  <c r="Q2605"/>
  <c r="S2331"/>
  <c r="Q2331"/>
  <c r="R2224"/>
  <c r="S1947"/>
  <c r="Q1947"/>
  <c r="R1291"/>
  <c r="R1169"/>
  <c r="AE1659"/>
  <c r="AC1659"/>
  <c r="AB1659"/>
  <c r="AA1659"/>
  <c r="Y1659"/>
  <c r="W1659"/>
  <c r="V1659"/>
  <c r="U1659"/>
  <c r="T1659"/>
  <c r="P1659"/>
  <c r="C1659"/>
  <c r="B1659" s="1"/>
  <c r="AE1658"/>
  <c r="AC1658"/>
  <c r="AB1658"/>
  <c r="AA1658"/>
  <c r="Y1658"/>
  <c r="W1658"/>
  <c r="V1658"/>
  <c r="U1658"/>
  <c r="T1658"/>
  <c r="P1658"/>
  <c r="C1658"/>
  <c r="B1658" s="1"/>
  <c r="AE1657"/>
  <c r="AC1657"/>
  <c r="AB1657"/>
  <c r="AA1657"/>
  <c r="Y1657"/>
  <c r="W1657"/>
  <c r="V1657"/>
  <c r="U1657"/>
  <c r="T1657"/>
  <c r="P1657"/>
  <c r="C1657"/>
  <c r="B1657" s="1"/>
  <c r="AE1656"/>
  <c r="AC1656"/>
  <c r="AB1656"/>
  <c r="AA1656"/>
  <c r="Y1656"/>
  <c r="W1656"/>
  <c r="V1656"/>
  <c r="U1656"/>
  <c r="T1656"/>
  <c r="P1656"/>
  <c r="C1656"/>
  <c r="AD1656" s="1"/>
  <c r="AE1655"/>
  <c r="AC1655"/>
  <c r="AB1655"/>
  <c r="AA1655"/>
  <c r="Y1655"/>
  <c r="W1655"/>
  <c r="V1655"/>
  <c r="U1655"/>
  <c r="T1655"/>
  <c r="P1655"/>
  <c r="C1655"/>
  <c r="B1655" s="1"/>
  <c r="AE1654"/>
  <c r="AC1654"/>
  <c r="AB1654"/>
  <c r="AA1654"/>
  <c r="Y1654"/>
  <c r="W1654"/>
  <c r="V1654"/>
  <c r="U1654"/>
  <c r="T1654"/>
  <c r="P1654"/>
  <c r="C1654"/>
  <c r="AD1654" s="1"/>
  <c r="AE1653"/>
  <c r="AC1653"/>
  <c r="AB1653"/>
  <c r="AA1653"/>
  <c r="Y1653"/>
  <c r="W1653"/>
  <c r="V1653"/>
  <c r="U1653"/>
  <c r="T1653"/>
  <c r="P1653"/>
  <c r="C1653"/>
  <c r="B1653" s="1"/>
  <c r="AE1652"/>
  <c r="AC1652"/>
  <c r="AB1652"/>
  <c r="AA1652"/>
  <c r="Y1652"/>
  <c r="W1652"/>
  <c r="V1652"/>
  <c r="U1652"/>
  <c r="T1652"/>
  <c r="P1652"/>
  <c r="C1652"/>
  <c r="AD1652" s="1"/>
  <c r="AE1651"/>
  <c r="AC1651"/>
  <c r="AB1651"/>
  <c r="AA1651"/>
  <c r="Y1651"/>
  <c r="W1651"/>
  <c r="V1651"/>
  <c r="U1651"/>
  <c r="T1651"/>
  <c r="P1651"/>
  <c r="C1651"/>
  <c r="B1651" s="1"/>
  <c r="AE1650"/>
  <c r="AC1650"/>
  <c r="AB1650"/>
  <c r="AA1650"/>
  <c r="Y1650"/>
  <c r="W1650"/>
  <c r="V1650"/>
  <c r="U1650"/>
  <c r="T1650"/>
  <c r="P1650"/>
  <c r="C1650"/>
  <c r="AD1650" s="1"/>
  <c r="AE1649"/>
  <c r="AC1649"/>
  <c r="AB1649"/>
  <c r="AA1649"/>
  <c r="Y1649"/>
  <c r="W1649"/>
  <c r="V1649"/>
  <c r="U1649"/>
  <c r="T1649"/>
  <c r="P1649"/>
  <c r="C1649"/>
  <c r="B1649" s="1"/>
  <c r="AE1671"/>
  <c r="AC1671"/>
  <c r="AB1671"/>
  <c r="AA1671"/>
  <c r="Y1671"/>
  <c r="W1671"/>
  <c r="V1671"/>
  <c r="U1671"/>
  <c r="T1671"/>
  <c r="P1671"/>
  <c r="AD1671"/>
  <c r="AE1670"/>
  <c r="AC1670"/>
  <c r="AB1670"/>
  <c r="AA1670"/>
  <c r="Y1670"/>
  <c r="W1670"/>
  <c r="V1670"/>
  <c r="U1670"/>
  <c r="T1670"/>
  <c r="P1670"/>
  <c r="AD1670"/>
  <c r="AE1669"/>
  <c r="AC1669"/>
  <c r="AB1669"/>
  <c r="AA1669"/>
  <c r="Y1669"/>
  <c r="W1669"/>
  <c r="V1669"/>
  <c r="U1669"/>
  <c r="T1669"/>
  <c r="P1669"/>
  <c r="R1669"/>
  <c r="AE1668"/>
  <c r="AC1668"/>
  <c r="AB1668"/>
  <c r="AA1668"/>
  <c r="Y1668"/>
  <c r="W1668"/>
  <c r="V1668"/>
  <c r="U1668"/>
  <c r="T1668"/>
  <c r="P1668"/>
  <c r="AD1668"/>
  <c r="AE1667"/>
  <c r="AC1667"/>
  <c r="AB1667"/>
  <c r="AA1667"/>
  <c r="Y1667"/>
  <c r="W1667"/>
  <c r="V1667"/>
  <c r="U1667"/>
  <c r="T1667"/>
  <c r="P1667"/>
  <c r="B1667"/>
  <c r="R1667" s="1"/>
  <c r="AE1666"/>
  <c r="AC1666"/>
  <c r="AB1666"/>
  <c r="AA1666"/>
  <c r="Y1666"/>
  <c r="W1666"/>
  <c r="V1666"/>
  <c r="U1666"/>
  <c r="T1666"/>
  <c r="P1666"/>
  <c r="AD1666"/>
  <c r="AE1665"/>
  <c r="AC1665"/>
  <c r="AB1665"/>
  <c r="AA1665"/>
  <c r="Y1665"/>
  <c r="W1665"/>
  <c r="V1665"/>
  <c r="U1665"/>
  <c r="T1665"/>
  <c r="P1665"/>
  <c r="B1665"/>
  <c r="R1665" s="1"/>
  <c r="AE1664"/>
  <c r="AC1664"/>
  <c r="AB1664"/>
  <c r="AA1664"/>
  <c r="Y1664"/>
  <c r="W1664"/>
  <c r="V1664"/>
  <c r="U1664"/>
  <c r="T1664"/>
  <c r="P1664"/>
  <c r="AD1664"/>
  <c r="AE1663"/>
  <c r="AC1663"/>
  <c r="AB1663"/>
  <c r="AA1663"/>
  <c r="Y1663"/>
  <c r="W1663"/>
  <c r="V1663"/>
  <c r="U1663"/>
  <c r="T1663"/>
  <c r="P1663"/>
  <c r="AD1663"/>
  <c r="AE1661"/>
  <c r="AC1661"/>
  <c r="AB1661"/>
  <c r="AA1661"/>
  <c r="Y1661"/>
  <c r="W1661"/>
  <c r="V1661"/>
  <c r="U1661"/>
  <c r="T1661"/>
  <c r="P1661"/>
  <c r="C1661"/>
  <c r="AD1661" s="1"/>
  <c r="AE1660"/>
  <c r="AC1660"/>
  <c r="AB1660"/>
  <c r="AA1660"/>
  <c r="Y1660"/>
  <c r="W1660"/>
  <c r="V1660"/>
  <c r="U1660"/>
  <c r="T1660"/>
  <c r="P1660"/>
  <c r="C1660"/>
  <c r="B1660" s="1"/>
  <c r="R1660" s="1"/>
  <c r="AE1641"/>
  <c r="AC1641"/>
  <c r="AB1641"/>
  <c r="AA1641"/>
  <c r="Y1641"/>
  <c r="W1641"/>
  <c r="V1641"/>
  <c r="U1641"/>
  <c r="T1641"/>
  <c r="P1641"/>
  <c r="C1641"/>
  <c r="B1641" s="1"/>
  <c r="AE1640"/>
  <c r="AC1640"/>
  <c r="AB1640"/>
  <c r="AA1640"/>
  <c r="Y1640"/>
  <c r="W1640"/>
  <c r="V1640"/>
  <c r="U1640"/>
  <c r="T1640"/>
  <c r="P1640"/>
  <c r="C1640"/>
  <c r="B1640" s="1"/>
  <c r="AE1639"/>
  <c r="AC1639"/>
  <c r="AB1639"/>
  <c r="AA1639"/>
  <c r="Y1639"/>
  <c r="W1639"/>
  <c r="V1639"/>
  <c r="U1639"/>
  <c r="T1639"/>
  <c r="P1639"/>
  <c r="C1639"/>
  <c r="B1639" s="1"/>
  <c r="AE1638"/>
  <c r="AC1638"/>
  <c r="AB1638"/>
  <c r="AA1638"/>
  <c r="Y1638"/>
  <c r="W1638"/>
  <c r="V1638"/>
  <c r="U1638"/>
  <c r="T1638"/>
  <c r="P1638"/>
  <c r="C1638"/>
  <c r="B1638" s="1"/>
  <c r="AE1637"/>
  <c r="AC1637"/>
  <c r="AB1637"/>
  <c r="AA1637"/>
  <c r="Y1637"/>
  <c r="W1637"/>
  <c r="V1637"/>
  <c r="U1637"/>
  <c r="T1637"/>
  <c r="P1637"/>
  <c r="C1637"/>
  <c r="B1637" s="1"/>
  <c r="AE1636"/>
  <c r="AC1636"/>
  <c r="AB1636"/>
  <c r="AA1636"/>
  <c r="Y1636"/>
  <c r="W1636"/>
  <c r="V1636"/>
  <c r="U1636"/>
  <c r="T1636"/>
  <c r="P1636"/>
  <c r="C1636"/>
  <c r="B1636" s="1"/>
  <c r="AE1635"/>
  <c r="AC1635"/>
  <c r="AB1635"/>
  <c r="AA1635"/>
  <c r="Y1635"/>
  <c r="W1635"/>
  <c r="V1635"/>
  <c r="U1635"/>
  <c r="T1635"/>
  <c r="P1635"/>
  <c r="C1635"/>
  <c r="B1635" s="1"/>
  <c r="AE1634"/>
  <c r="AC1634"/>
  <c r="AB1634"/>
  <c r="AA1634"/>
  <c r="Y1634"/>
  <c r="W1634"/>
  <c r="V1634"/>
  <c r="U1634"/>
  <c r="T1634"/>
  <c r="P1634"/>
  <c r="C1634"/>
  <c r="B1634" s="1"/>
  <c r="AE1633"/>
  <c r="AC1633"/>
  <c r="AB1633"/>
  <c r="AA1633"/>
  <c r="Y1633"/>
  <c r="W1633"/>
  <c r="V1633"/>
  <c r="U1633"/>
  <c r="T1633"/>
  <c r="P1633"/>
  <c r="C1633"/>
  <c r="B1633" s="1"/>
  <c r="AE1678"/>
  <c r="AC1678"/>
  <c r="AB1678"/>
  <c r="AA1678"/>
  <c r="Y1678"/>
  <c r="W1678"/>
  <c r="V1678"/>
  <c r="U1678"/>
  <c r="T1678"/>
  <c r="P1678"/>
  <c r="AD1678"/>
  <c r="AE1677"/>
  <c r="AC1677"/>
  <c r="AB1677"/>
  <c r="AA1677"/>
  <c r="Y1677"/>
  <c r="W1677"/>
  <c r="V1677"/>
  <c r="U1677"/>
  <c r="T1677"/>
  <c r="P1677"/>
  <c r="AD1677"/>
  <c r="AE1648"/>
  <c r="AC1648"/>
  <c r="AB1648"/>
  <c r="AA1648"/>
  <c r="Y1648"/>
  <c r="W1648"/>
  <c r="V1648"/>
  <c r="U1648"/>
  <c r="T1648"/>
  <c r="P1648"/>
  <c r="C1648"/>
  <c r="AD1648" s="1"/>
  <c r="AE1647"/>
  <c r="AC1647"/>
  <c r="AB1647"/>
  <c r="AA1647"/>
  <c r="Y1647"/>
  <c r="W1647"/>
  <c r="V1647"/>
  <c r="U1647"/>
  <c r="T1647"/>
  <c r="P1647"/>
  <c r="C1647"/>
  <c r="AD1647" s="1"/>
  <c r="AE1646"/>
  <c r="AC1646"/>
  <c r="AB1646"/>
  <c r="AA1646"/>
  <c r="Y1646"/>
  <c r="W1646"/>
  <c r="V1646"/>
  <c r="U1646"/>
  <c r="T1646"/>
  <c r="P1646"/>
  <c r="C1646"/>
  <c r="AD1646" s="1"/>
  <c r="AE1645"/>
  <c r="AC1645"/>
  <c r="AB1645"/>
  <c r="AA1645"/>
  <c r="Y1645"/>
  <c r="W1645"/>
  <c r="V1645"/>
  <c r="U1645"/>
  <c r="T1645"/>
  <c r="P1645"/>
  <c r="C1645"/>
  <c r="AD1645" s="1"/>
  <c r="AE1644"/>
  <c r="AC1644"/>
  <c r="AB1644"/>
  <c r="AA1644"/>
  <c r="Y1644"/>
  <c r="W1644"/>
  <c r="V1644"/>
  <c r="U1644"/>
  <c r="T1644"/>
  <c r="P1644"/>
  <c r="C1644"/>
  <c r="AD1644" s="1"/>
  <c r="AE1643"/>
  <c r="AC1643"/>
  <c r="AB1643"/>
  <c r="AA1643"/>
  <c r="Y1643"/>
  <c r="W1643"/>
  <c r="V1643"/>
  <c r="U1643"/>
  <c r="T1643"/>
  <c r="P1643"/>
  <c r="C1643"/>
  <c r="AD1643" s="1"/>
  <c r="AE1642"/>
  <c r="AC1642"/>
  <c r="AB1642"/>
  <c r="AA1642"/>
  <c r="Y1642"/>
  <c r="W1642"/>
  <c r="V1642"/>
  <c r="U1642"/>
  <c r="T1642"/>
  <c r="P1642"/>
  <c r="C1642"/>
  <c r="AD1642" s="1"/>
  <c r="AE1615"/>
  <c r="AC1615"/>
  <c r="AB1615"/>
  <c r="AA1615"/>
  <c r="Y1615"/>
  <c r="W1615"/>
  <c r="V1615"/>
  <c r="U1615"/>
  <c r="T1615"/>
  <c r="P1615"/>
  <c r="C1615"/>
  <c r="AD1615" s="1"/>
  <c r="AE1614"/>
  <c r="AC1614"/>
  <c r="AB1614"/>
  <c r="AA1614"/>
  <c r="Y1614"/>
  <c r="W1614"/>
  <c r="V1614"/>
  <c r="U1614"/>
  <c r="T1614"/>
  <c r="P1614"/>
  <c r="C1614"/>
  <c r="AD1614" s="1"/>
  <c r="AE1613"/>
  <c r="AC1613"/>
  <c r="AB1613"/>
  <c r="AA1613"/>
  <c r="Y1613"/>
  <c r="W1613"/>
  <c r="V1613"/>
  <c r="U1613"/>
  <c r="T1613"/>
  <c r="P1613"/>
  <c r="C1613"/>
  <c r="AD1613" s="1"/>
  <c r="AE1612"/>
  <c r="AC1612"/>
  <c r="AB1612"/>
  <c r="AA1612"/>
  <c r="Y1612"/>
  <c r="W1612"/>
  <c r="V1612"/>
  <c r="U1612"/>
  <c r="T1612"/>
  <c r="P1612"/>
  <c r="C1612"/>
  <c r="AD1612" s="1"/>
  <c r="AE1611"/>
  <c r="AC1611"/>
  <c r="AB1611"/>
  <c r="AA1611"/>
  <c r="Y1611"/>
  <c r="W1611"/>
  <c r="V1611"/>
  <c r="U1611"/>
  <c r="T1611"/>
  <c r="P1611"/>
  <c r="C1611"/>
  <c r="B1611" s="1"/>
  <c r="R1611" s="1"/>
  <c r="AE1610"/>
  <c r="AC1610"/>
  <c r="AB1610"/>
  <c r="AA1610"/>
  <c r="Y1610"/>
  <c r="W1610"/>
  <c r="V1610"/>
  <c r="U1610"/>
  <c r="T1610"/>
  <c r="P1610"/>
  <c r="C1610"/>
  <c r="AD1610" s="1"/>
  <c r="AE1609"/>
  <c r="AC1609"/>
  <c r="AB1609"/>
  <c r="AA1609"/>
  <c r="Y1609"/>
  <c r="W1609"/>
  <c r="V1609"/>
  <c r="U1609"/>
  <c r="T1609"/>
  <c r="P1609"/>
  <c r="C1609"/>
  <c r="AD1609" s="1"/>
  <c r="AE1608"/>
  <c r="AC1608"/>
  <c r="AB1608"/>
  <c r="AA1608"/>
  <c r="Y1608"/>
  <c r="W1608"/>
  <c r="V1608"/>
  <c r="U1608"/>
  <c r="T1608"/>
  <c r="P1608"/>
  <c r="C1608"/>
  <c r="AD1608" s="1"/>
  <c r="AE1607"/>
  <c r="AC1607"/>
  <c r="AB1607"/>
  <c r="AA1607"/>
  <c r="Y1607"/>
  <c r="W1607"/>
  <c r="V1607"/>
  <c r="U1607"/>
  <c r="T1607"/>
  <c r="P1607"/>
  <c r="C1607"/>
  <c r="B1607" s="1"/>
  <c r="R1607" s="1"/>
  <c r="AE1606"/>
  <c r="AC1606"/>
  <c r="AB1606"/>
  <c r="AA1606"/>
  <c r="Y1606"/>
  <c r="W1606"/>
  <c r="V1606"/>
  <c r="U1606"/>
  <c r="T1606"/>
  <c r="P1606"/>
  <c r="C1606"/>
  <c r="AD1606" s="1"/>
  <c r="AE1605"/>
  <c r="AC1605"/>
  <c r="AB1605"/>
  <c r="AA1605"/>
  <c r="Y1605"/>
  <c r="W1605"/>
  <c r="V1605"/>
  <c r="U1605"/>
  <c r="T1605"/>
  <c r="P1605"/>
  <c r="C1605"/>
  <c r="AD1605" s="1"/>
  <c r="AE1604"/>
  <c r="AC1604"/>
  <c r="AB1604"/>
  <c r="AA1604"/>
  <c r="Y1604"/>
  <c r="W1604"/>
  <c r="V1604"/>
  <c r="U1604"/>
  <c r="T1604"/>
  <c r="P1604"/>
  <c r="C1604"/>
  <c r="AD1604" s="1"/>
  <c r="AE1603"/>
  <c r="AC1603"/>
  <c r="AB1603"/>
  <c r="AA1603"/>
  <c r="Y1603"/>
  <c r="W1603"/>
  <c r="V1603"/>
  <c r="U1603"/>
  <c r="T1603"/>
  <c r="P1603"/>
  <c r="C1603"/>
  <c r="AD1603" s="1"/>
  <c r="AE1628"/>
  <c r="AC1628"/>
  <c r="AB1628"/>
  <c r="AA1628"/>
  <c r="Y1628"/>
  <c r="W1628"/>
  <c r="V1628"/>
  <c r="U1628"/>
  <c r="T1628"/>
  <c r="P1628"/>
  <c r="C1628"/>
  <c r="AD1628" s="1"/>
  <c r="AE1627"/>
  <c r="AC1627"/>
  <c r="AB1627"/>
  <c r="AA1627"/>
  <c r="Y1627"/>
  <c r="W1627"/>
  <c r="V1627"/>
  <c r="U1627"/>
  <c r="T1627"/>
  <c r="P1627"/>
  <c r="C1627"/>
  <c r="AD1627" s="1"/>
  <c r="AE1626"/>
  <c r="AC1626"/>
  <c r="AB1626"/>
  <c r="AA1626"/>
  <c r="Y1626"/>
  <c r="W1626"/>
  <c r="V1626"/>
  <c r="U1626"/>
  <c r="T1626"/>
  <c r="P1626"/>
  <c r="C1626"/>
  <c r="AD1626" s="1"/>
  <c r="AE1625"/>
  <c r="AC1625"/>
  <c r="AB1625"/>
  <c r="AA1625"/>
  <c r="Y1625"/>
  <c r="W1625"/>
  <c r="V1625"/>
  <c r="U1625"/>
  <c r="T1625"/>
  <c r="P1625"/>
  <c r="C1625"/>
  <c r="AD1625" s="1"/>
  <c r="AE1624"/>
  <c r="AC1624"/>
  <c r="AB1624"/>
  <c r="AA1624"/>
  <c r="Y1624"/>
  <c r="W1624"/>
  <c r="V1624"/>
  <c r="U1624"/>
  <c r="T1624"/>
  <c r="P1624"/>
  <c r="C1624"/>
  <c r="AD1624" s="1"/>
  <c r="AE1623"/>
  <c r="AC1623"/>
  <c r="AB1623"/>
  <c r="AA1623"/>
  <c r="Y1623"/>
  <c r="W1623"/>
  <c r="V1623"/>
  <c r="U1623"/>
  <c r="T1623"/>
  <c r="P1623"/>
  <c r="C1623"/>
  <c r="AD1623" s="1"/>
  <c r="AE1622"/>
  <c r="AC1622"/>
  <c r="AB1622"/>
  <c r="AA1622"/>
  <c r="Y1622"/>
  <c r="W1622"/>
  <c r="V1622"/>
  <c r="U1622"/>
  <c r="T1622"/>
  <c r="P1622"/>
  <c r="C1622"/>
  <c r="AD1622" s="1"/>
  <c r="AE1621"/>
  <c r="AC1621"/>
  <c r="AB1621"/>
  <c r="AA1621"/>
  <c r="Y1621"/>
  <c r="W1621"/>
  <c r="V1621"/>
  <c r="U1621"/>
  <c r="T1621"/>
  <c r="P1621"/>
  <c r="C1621"/>
  <c r="AD1621" s="1"/>
  <c r="AE1620"/>
  <c r="AC1620"/>
  <c r="AB1620"/>
  <c r="AA1620"/>
  <c r="Y1620"/>
  <c r="W1620"/>
  <c r="V1620"/>
  <c r="U1620"/>
  <c r="T1620"/>
  <c r="P1620"/>
  <c r="C1620"/>
  <c r="B1620" s="1"/>
  <c r="R1620" s="1"/>
  <c r="AE1619"/>
  <c r="AC1619"/>
  <c r="AB1619"/>
  <c r="AA1619"/>
  <c r="Y1619"/>
  <c r="W1619"/>
  <c r="V1619"/>
  <c r="U1619"/>
  <c r="T1619"/>
  <c r="P1619"/>
  <c r="C1619"/>
  <c r="AD1619" s="1"/>
  <c r="AE1618"/>
  <c r="AC1618"/>
  <c r="AB1618"/>
  <c r="AA1618"/>
  <c r="Y1618"/>
  <c r="W1618"/>
  <c r="V1618"/>
  <c r="U1618"/>
  <c r="T1618"/>
  <c r="P1618"/>
  <c r="C1618"/>
  <c r="AD1618" s="1"/>
  <c r="AE1617"/>
  <c r="AC1617"/>
  <c r="AB1617"/>
  <c r="AA1617"/>
  <c r="Y1617"/>
  <c r="W1617"/>
  <c r="V1617"/>
  <c r="U1617"/>
  <c r="T1617"/>
  <c r="P1617"/>
  <c r="C1617"/>
  <c r="AD1617" s="1"/>
  <c r="AE1616"/>
  <c r="AC1616"/>
  <c r="AB1616"/>
  <c r="AA1616"/>
  <c r="Y1616"/>
  <c r="W1616"/>
  <c r="V1616"/>
  <c r="U1616"/>
  <c r="T1616"/>
  <c r="P1616"/>
  <c r="C1616"/>
  <c r="B1616" s="1"/>
  <c r="R1616" s="1"/>
  <c r="AE1631"/>
  <c r="AC1631"/>
  <c r="AB1631"/>
  <c r="AA1631"/>
  <c r="Y1631"/>
  <c r="W1631"/>
  <c r="V1631"/>
  <c r="U1631"/>
  <c r="T1631"/>
  <c r="P1631"/>
  <c r="C1631"/>
  <c r="AD1631" s="1"/>
  <c r="AE1630"/>
  <c r="AC1630"/>
  <c r="AB1630"/>
  <c r="AA1630"/>
  <c r="Y1630"/>
  <c r="W1630"/>
  <c r="V1630"/>
  <c r="U1630"/>
  <c r="T1630"/>
  <c r="P1630"/>
  <c r="C1630"/>
  <c r="B1630" s="1"/>
  <c r="AE1629"/>
  <c r="AC1629"/>
  <c r="AB1629"/>
  <c r="AA1629"/>
  <c r="Y1629"/>
  <c r="W1629"/>
  <c r="V1629"/>
  <c r="U1629"/>
  <c r="T1629"/>
  <c r="P1629"/>
  <c r="C1629"/>
  <c r="AD1629" s="1"/>
  <c r="AE1602"/>
  <c r="AC1602"/>
  <c r="AB1602"/>
  <c r="AA1602"/>
  <c r="Y1602"/>
  <c r="W1602"/>
  <c r="V1602"/>
  <c r="U1602"/>
  <c r="T1602"/>
  <c r="P1602"/>
  <c r="C1602"/>
  <c r="B1602" s="1"/>
  <c r="AE1601"/>
  <c r="AC1601"/>
  <c r="AB1601"/>
  <c r="AA1601"/>
  <c r="Y1601"/>
  <c r="W1601"/>
  <c r="V1601"/>
  <c r="U1601"/>
  <c r="T1601"/>
  <c r="P1601"/>
  <c r="C1601"/>
  <c r="AD1601" s="1"/>
  <c r="AE1600"/>
  <c r="AC1600"/>
  <c r="AB1600"/>
  <c r="AA1600"/>
  <c r="Y1600"/>
  <c r="W1600"/>
  <c r="V1600"/>
  <c r="U1600"/>
  <c r="T1600"/>
  <c r="P1600"/>
  <c r="C1600"/>
  <c r="B1600" s="1"/>
  <c r="AE1599"/>
  <c r="AC1599"/>
  <c r="AB1599"/>
  <c r="AA1599"/>
  <c r="Y1599"/>
  <c r="W1599"/>
  <c r="V1599"/>
  <c r="U1599"/>
  <c r="T1599"/>
  <c r="P1599"/>
  <c r="C1599"/>
  <c r="AD1599" s="1"/>
  <c r="AE1598"/>
  <c r="AC1598"/>
  <c r="AB1598"/>
  <c r="AA1598"/>
  <c r="Y1598"/>
  <c r="W1598"/>
  <c r="V1598"/>
  <c r="U1598"/>
  <c r="T1598"/>
  <c r="P1598"/>
  <c r="C1598"/>
  <c r="B1598" s="1"/>
  <c r="AE1597"/>
  <c r="AC1597"/>
  <c r="AB1597"/>
  <c r="AA1597"/>
  <c r="Y1597"/>
  <c r="W1597"/>
  <c r="V1597"/>
  <c r="U1597"/>
  <c r="T1597"/>
  <c r="P1597"/>
  <c r="C1597"/>
  <c r="AD1597" s="1"/>
  <c r="AE1596"/>
  <c r="AC1596"/>
  <c r="AB1596"/>
  <c r="AA1596"/>
  <c r="Y1596"/>
  <c r="W1596"/>
  <c r="V1596"/>
  <c r="U1596"/>
  <c r="T1596"/>
  <c r="P1596"/>
  <c r="C1596"/>
  <c r="B1596" s="1"/>
  <c r="AE1682"/>
  <c r="AC1682"/>
  <c r="AB1682"/>
  <c r="AA1682"/>
  <c r="Y1682"/>
  <c r="W1682"/>
  <c r="V1682"/>
  <c r="U1682"/>
  <c r="T1682"/>
  <c r="P1682"/>
  <c r="AD1682"/>
  <c r="AE1681"/>
  <c r="AC1681"/>
  <c r="AB1681"/>
  <c r="AA1681"/>
  <c r="Y1681"/>
  <c r="W1681"/>
  <c r="V1681"/>
  <c r="U1681"/>
  <c r="T1681"/>
  <c r="P1681"/>
  <c r="AD1681"/>
  <c r="AE1680"/>
  <c r="AC1680"/>
  <c r="AB1680"/>
  <c r="AA1680"/>
  <c r="Y1680"/>
  <c r="W1680"/>
  <c r="V1680"/>
  <c r="U1680"/>
  <c r="T1680"/>
  <c r="P1680"/>
  <c r="AD1680"/>
  <c r="AE1679"/>
  <c r="AC1679"/>
  <c r="AB1679"/>
  <c r="AA1679"/>
  <c r="Y1679"/>
  <c r="W1679"/>
  <c r="V1679"/>
  <c r="U1679"/>
  <c r="T1679"/>
  <c r="P1679"/>
  <c r="AD1679"/>
  <c r="AE1632"/>
  <c r="AC1632"/>
  <c r="AB1632"/>
  <c r="AA1632"/>
  <c r="Y1632"/>
  <c r="W1632"/>
  <c r="V1632"/>
  <c r="U1632"/>
  <c r="T1632"/>
  <c r="P1632"/>
  <c r="C1632"/>
  <c r="AD1632" s="1"/>
  <c r="I41" i="12"/>
  <c r="I42"/>
  <c r="I43"/>
  <c r="I44"/>
  <c r="I45"/>
  <c r="I46"/>
  <c r="I47"/>
  <c r="I48"/>
  <c r="I49"/>
  <c r="I50"/>
  <c r="I51"/>
  <c r="I53"/>
  <c r="I54"/>
  <c r="I55"/>
  <c r="I56"/>
  <c r="I57"/>
  <c r="I58"/>
  <c r="I59"/>
  <c r="I60"/>
  <c r="I61"/>
  <c r="I62"/>
  <c r="I63"/>
  <c r="I64"/>
  <c r="I65"/>
  <c r="I66"/>
  <c r="I67"/>
  <c r="I68"/>
  <c r="I69"/>
  <c r="I70"/>
  <c r="I72"/>
  <c r="I40"/>
  <c r="R1016" i="34" l="1"/>
  <c r="A1016"/>
  <c r="S1016"/>
  <c r="Q1016"/>
  <c r="B1650"/>
  <c r="S1650" s="1"/>
  <c r="AD1665"/>
  <c r="B1654"/>
  <c r="S1654" s="1"/>
  <c r="B1661"/>
  <c r="S1661" s="1"/>
  <c r="B1663"/>
  <c r="R1663" s="1"/>
  <c r="B1664"/>
  <c r="S1664" s="1"/>
  <c r="AD1667"/>
  <c r="S1670"/>
  <c r="R1671"/>
  <c r="AD1660"/>
  <c r="B1666"/>
  <c r="S1666" s="1"/>
  <c r="AD1669"/>
  <c r="B1652"/>
  <c r="B1656"/>
  <c r="R1656" s="1"/>
  <c r="B1668"/>
  <c r="S1668" s="1"/>
  <c r="AD1658"/>
  <c r="R1653"/>
  <c r="Q1653"/>
  <c r="A1653"/>
  <c r="S1653"/>
  <c r="R1651"/>
  <c r="Q1651"/>
  <c r="A1651"/>
  <c r="S1651"/>
  <c r="R1655"/>
  <c r="Q1655"/>
  <c r="A1655"/>
  <c r="S1655"/>
  <c r="S1658"/>
  <c r="R1658"/>
  <c r="Q1658"/>
  <c r="A1658"/>
  <c r="R1659"/>
  <c r="Q1659"/>
  <c r="A1659"/>
  <c r="S1659"/>
  <c r="R1649"/>
  <c r="Q1649"/>
  <c r="A1649"/>
  <c r="S1649"/>
  <c r="R1657"/>
  <c r="Q1657"/>
  <c r="A1657"/>
  <c r="S1657"/>
  <c r="R1652"/>
  <c r="AD1649"/>
  <c r="AD1651"/>
  <c r="AD1653"/>
  <c r="AD1655"/>
  <c r="AD1657"/>
  <c r="AD1659"/>
  <c r="S1660"/>
  <c r="S1663"/>
  <c r="Q1664"/>
  <c r="S1665"/>
  <c r="S1667"/>
  <c r="S1669"/>
  <c r="R1661"/>
  <c r="A1660"/>
  <c r="Q1660"/>
  <c r="A1665"/>
  <c r="Q1665"/>
  <c r="A1667"/>
  <c r="Q1667"/>
  <c r="A1669"/>
  <c r="Q1669"/>
  <c r="A1671"/>
  <c r="AD1634"/>
  <c r="AD1638"/>
  <c r="B1642"/>
  <c r="R1642" s="1"/>
  <c r="B1643"/>
  <c r="S1643" s="1"/>
  <c r="B1644"/>
  <c r="R1644" s="1"/>
  <c r="B1645"/>
  <c r="S1645" s="1"/>
  <c r="B1646"/>
  <c r="R1646" s="1"/>
  <c r="B1647"/>
  <c r="S1647" s="1"/>
  <c r="B1648"/>
  <c r="R1648" s="1"/>
  <c r="S1677"/>
  <c r="R1678"/>
  <c r="AD1636"/>
  <c r="AD1640"/>
  <c r="S1638"/>
  <c r="R1638"/>
  <c r="Q1638"/>
  <c r="A1638"/>
  <c r="S1636"/>
  <c r="R1636"/>
  <c r="Q1636"/>
  <c r="A1636"/>
  <c r="S1634"/>
  <c r="R1634"/>
  <c r="Q1634"/>
  <c r="A1634"/>
  <c r="R1635"/>
  <c r="Q1635"/>
  <c r="A1635"/>
  <c r="S1635"/>
  <c r="R1639"/>
  <c r="Q1639"/>
  <c r="A1639"/>
  <c r="S1639"/>
  <c r="R1633"/>
  <c r="Q1633"/>
  <c r="A1633"/>
  <c r="S1633"/>
  <c r="S1640"/>
  <c r="R1640"/>
  <c r="Q1640"/>
  <c r="A1640"/>
  <c r="R1641"/>
  <c r="Q1641"/>
  <c r="A1641"/>
  <c r="S1641"/>
  <c r="R1637"/>
  <c r="Q1637"/>
  <c r="A1637"/>
  <c r="S1637"/>
  <c r="AD1633"/>
  <c r="AD1635"/>
  <c r="AD1637"/>
  <c r="AD1639"/>
  <c r="AD1641"/>
  <c r="S1642"/>
  <c r="A1643"/>
  <c r="S1644"/>
  <c r="A1645"/>
  <c r="B1621"/>
  <c r="S1621" s="1"/>
  <c r="B1622"/>
  <c r="R1622" s="1"/>
  <c r="B1623"/>
  <c r="S1623" s="1"/>
  <c r="B1624"/>
  <c r="R1624" s="1"/>
  <c r="AD1616"/>
  <c r="AD1611"/>
  <c r="AD1607"/>
  <c r="B1617"/>
  <c r="S1617" s="1"/>
  <c r="B1618"/>
  <c r="R1618" s="1"/>
  <c r="AD1620"/>
  <c r="B1625"/>
  <c r="S1625" s="1"/>
  <c r="B1626"/>
  <c r="R1626" s="1"/>
  <c r="B1608"/>
  <c r="S1608" s="1"/>
  <c r="B1619"/>
  <c r="S1619" s="1"/>
  <c r="B1627"/>
  <c r="S1627" s="1"/>
  <c r="B1628"/>
  <c r="R1628" s="1"/>
  <c r="B1603"/>
  <c r="R1603" s="1"/>
  <c r="B1604"/>
  <c r="S1604" s="1"/>
  <c r="B1612"/>
  <c r="S1612" s="1"/>
  <c r="B1606"/>
  <c r="S1606" s="1"/>
  <c r="A1607"/>
  <c r="Q1607"/>
  <c r="B1609"/>
  <c r="S1609" s="1"/>
  <c r="B1614"/>
  <c r="S1614" s="1"/>
  <c r="B1615"/>
  <c r="R1615" s="1"/>
  <c r="B1605"/>
  <c r="S1605" s="1"/>
  <c r="B1610"/>
  <c r="S1610" s="1"/>
  <c r="A1611"/>
  <c r="Q1611"/>
  <c r="B1613"/>
  <c r="S1613" s="1"/>
  <c r="S1607"/>
  <c r="S1611"/>
  <c r="S1616"/>
  <c r="S1620"/>
  <c r="A1616"/>
  <c r="Q1616"/>
  <c r="A1620"/>
  <c r="Q1620"/>
  <c r="S1679"/>
  <c r="B1597"/>
  <c r="R1597" s="1"/>
  <c r="R1682"/>
  <c r="R1680"/>
  <c r="B1601"/>
  <c r="R1601" s="1"/>
  <c r="B1629"/>
  <c r="S1629" s="1"/>
  <c r="B1631"/>
  <c r="S1631" s="1"/>
  <c r="B1599"/>
  <c r="S1599" s="1"/>
  <c r="R1596"/>
  <c r="Q1596"/>
  <c r="A1596"/>
  <c r="S1596"/>
  <c r="S1600"/>
  <c r="R1600"/>
  <c r="Q1600"/>
  <c r="A1600"/>
  <c r="S1598"/>
  <c r="R1598"/>
  <c r="Q1598"/>
  <c r="A1598"/>
  <c r="S1602"/>
  <c r="R1602"/>
  <c r="Q1602"/>
  <c r="A1602"/>
  <c r="S1630"/>
  <c r="R1630"/>
  <c r="Q1630"/>
  <c r="A1630"/>
  <c r="AD1596"/>
  <c r="AD1598"/>
  <c r="AD1600"/>
  <c r="AD1602"/>
  <c r="AD1630"/>
  <c r="B1632"/>
  <c r="Q1632" s="1"/>
  <c r="R1681"/>
  <c r="S1680"/>
  <c r="AC835"/>
  <c r="AB835"/>
  <c r="AA835"/>
  <c r="Y835"/>
  <c r="W835"/>
  <c r="V835"/>
  <c r="U835"/>
  <c r="T835"/>
  <c r="P835"/>
  <c r="M835"/>
  <c r="C835"/>
  <c r="AD835" s="1"/>
  <c r="AC834"/>
  <c r="AB834"/>
  <c r="AA834"/>
  <c r="Y834"/>
  <c r="W834"/>
  <c r="V834"/>
  <c r="U834"/>
  <c r="T834"/>
  <c r="P834"/>
  <c r="M834"/>
  <c r="C834"/>
  <c r="AD834" s="1"/>
  <c r="AC833"/>
  <c r="AB833"/>
  <c r="AA833"/>
  <c r="Y833"/>
  <c r="W833"/>
  <c r="V833"/>
  <c r="U833"/>
  <c r="T833"/>
  <c r="P833"/>
  <c r="M833"/>
  <c r="C833"/>
  <c r="AD833" s="1"/>
  <c r="C824"/>
  <c r="B824" s="1"/>
  <c r="M824"/>
  <c r="P824"/>
  <c r="T824"/>
  <c r="U824"/>
  <c r="V824"/>
  <c r="W824"/>
  <c r="Y824"/>
  <c r="AA824"/>
  <c r="AB824"/>
  <c r="AC824"/>
  <c r="AE824"/>
  <c r="C825"/>
  <c r="B825" s="1"/>
  <c r="M825"/>
  <c r="P825"/>
  <c r="T825"/>
  <c r="U825"/>
  <c r="V825"/>
  <c r="W825"/>
  <c r="Y825"/>
  <c r="AA825"/>
  <c r="AB825"/>
  <c r="AC825"/>
  <c r="AE825"/>
  <c r="C826"/>
  <c r="B826" s="1"/>
  <c r="M826"/>
  <c r="P826"/>
  <c r="T826"/>
  <c r="U826"/>
  <c r="V826"/>
  <c r="W826"/>
  <c r="Y826"/>
  <c r="AA826"/>
  <c r="AB826"/>
  <c r="AC826"/>
  <c r="AE826"/>
  <c r="C827"/>
  <c r="B827" s="1"/>
  <c r="M827"/>
  <c r="P827"/>
  <c r="T827"/>
  <c r="U827"/>
  <c r="V827"/>
  <c r="W827"/>
  <c r="Y827"/>
  <c r="AA827"/>
  <c r="AB827"/>
  <c r="AC827"/>
  <c r="C828"/>
  <c r="B828" s="1"/>
  <c r="M828"/>
  <c r="P828"/>
  <c r="T828"/>
  <c r="U828"/>
  <c r="V828"/>
  <c r="W828"/>
  <c r="Y828"/>
  <c r="AA828"/>
  <c r="AB828"/>
  <c r="AC828"/>
  <c r="AE828"/>
  <c r="C829"/>
  <c r="AD829" s="1"/>
  <c r="M829"/>
  <c r="P829"/>
  <c r="T829"/>
  <c r="U829"/>
  <c r="V829"/>
  <c r="W829"/>
  <c r="Y829"/>
  <c r="AA829"/>
  <c r="AB829"/>
  <c r="AC829"/>
  <c r="AE829"/>
  <c r="C830"/>
  <c r="B830" s="1"/>
  <c r="M830"/>
  <c r="P830"/>
  <c r="T830"/>
  <c r="U830"/>
  <c r="V830"/>
  <c r="W830"/>
  <c r="Y830"/>
  <c r="AA830"/>
  <c r="AB830"/>
  <c r="AC830"/>
  <c r="AE830"/>
  <c r="C831"/>
  <c r="B831" s="1"/>
  <c r="M831"/>
  <c r="P831"/>
  <c r="T831"/>
  <c r="U831"/>
  <c r="V831"/>
  <c r="W831"/>
  <c r="Y831"/>
  <c r="AA831"/>
  <c r="AB831"/>
  <c r="AC831"/>
  <c r="AE831"/>
  <c r="C832"/>
  <c r="B832" s="1"/>
  <c r="M832"/>
  <c r="P832"/>
  <c r="T832"/>
  <c r="U832"/>
  <c r="V832"/>
  <c r="W832"/>
  <c r="Y832"/>
  <c r="AA832"/>
  <c r="AB832"/>
  <c r="AC832"/>
  <c r="AE832"/>
  <c r="A1663" l="1"/>
  <c r="S1671"/>
  <c r="Q1671"/>
  <c r="Q1663"/>
  <c r="R1664"/>
  <c r="Q1670"/>
  <c r="A1666"/>
  <c r="A1661"/>
  <c r="R1654"/>
  <c r="A1670"/>
  <c r="Q1654"/>
  <c r="R1668"/>
  <c r="Q1666"/>
  <c r="A1664"/>
  <c r="R1650"/>
  <c r="Q1650"/>
  <c r="A1654"/>
  <c r="A1650"/>
  <c r="R1670"/>
  <c r="Q1668"/>
  <c r="Q1661"/>
  <c r="R1666"/>
  <c r="A1668"/>
  <c r="S1652"/>
  <c r="Q1652"/>
  <c r="A1652"/>
  <c r="S1656"/>
  <c r="Q1656"/>
  <c r="A1656"/>
  <c r="R1647"/>
  <c r="Q1644"/>
  <c r="A1647"/>
  <c r="S1678"/>
  <c r="S1626"/>
  <c r="A1624"/>
  <c r="R1614"/>
  <c r="Q1677"/>
  <c r="A1644"/>
  <c r="S1648"/>
  <c r="A1648"/>
  <c r="Q1645"/>
  <c r="Q1648"/>
  <c r="A1642"/>
  <c r="R1677"/>
  <c r="A1628"/>
  <c r="R1617"/>
  <c r="Q1617"/>
  <c r="R1606"/>
  <c r="A1626"/>
  <c r="A1618"/>
  <c r="S1628"/>
  <c r="A1617"/>
  <c r="Q1614"/>
  <c r="Q1608"/>
  <c r="A1646"/>
  <c r="A1678"/>
  <c r="A1623"/>
  <c r="Q1628"/>
  <c r="A1606"/>
  <c r="R1643"/>
  <c r="Q1647"/>
  <c r="R1621"/>
  <c r="Q1678"/>
  <c r="Q1646"/>
  <c r="Q1642"/>
  <c r="R1645"/>
  <c r="A1677"/>
  <c r="S1646"/>
  <c r="Q1643"/>
  <c r="Q1627"/>
  <c r="Q1621"/>
  <c r="Q1622"/>
  <c r="S1622"/>
  <c r="R1619"/>
  <c r="A1604"/>
  <c r="A1622"/>
  <c r="A1625"/>
  <c r="A1621"/>
  <c r="Q1623"/>
  <c r="Q1624"/>
  <c r="S1624"/>
  <c r="R1623"/>
  <c r="R1612"/>
  <c r="Q1682"/>
  <c r="A1619"/>
  <c r="A1612"/>
  <c r="R1625"/>
  <c r="Q1625"/>
  <c r="Q1610"/>
  <c r="S1682"/>
  <c r="R1610"/>
  <c r="A1682"/>
  <c r="Q1626"/>
  <c r="Q1618"/>
  <c r="R1627"/>
  <c r="A1627"/>
  <c r="S1618"/>
  <c r="A1615"/>
  <c r="R1608"/>
  <c r="Q1612"/>
  <c r="A1610"/>
  <c r="Q1606"/>
  <c r="A1614"/>
  <c r="S1603"/>
  <c r="Q1619"/>
  <c r="R1604"/>
  <c r="Q1604"/>
  <c r="A1603"/>
  <c r="Q1679"/>
  <c r="S1601"/>
  <c r="A1608"/>
  <c r="Q1603"/>
  <c r="Q1615"/>
  <c r="S1615"/>
  <c r="R1609"/>
  <c r="Q1609"/>
  <c r="A1609"/>
  <c r="R1613"/>
  <c r="Q1613"/>
  <c r="A1613"/>
  <c r="R1605"/>
  <c r="Q1605"/>
  <c r="A1605"/>
  <c r="A1601"/>
  <c r="R1632"/>
  <c r="S1632"/>
  <c r="R1679"/>
  <c r="A1679"/>
  <c r="A1597"/>
  <c r="A1632"/>
  <c r="A1680"/>
  <c r="S1597"/>
  <c r="Q1597"/>
  <c r="Q1680"/>
  <c r="Q1601"/>
  <c r="R1631"/>
  <c r="Q1631"/>
  <c r="A1631"/>
  <c r="R1629"/>
  <c r="Q1629"/>
  <c r="A1629"/>
  <c r="R1599"/>
  <c r="Q1599"/>
  <c r="A1599"/>
  <c r="S1681"/>
  <c r="Q1681"/>
  <c r="A1681"/>
  <c r="AD825"/>
  <c r="AD827"/>
  <c r="AD824"/>
  <c r="AD831"/>
  <c r="B829"/>
  <c r="S827"/>
  <c r="Q827"/>
  <c r="S831"/>
  <c r="Q831"/>
  <c r="B834"/>
  <c r="B833"/>
  <c r="B835"/>
  <c r="S829"/>
  <c r="R830"/>
  <c r="S830"/>
  <c r="A830"/>
  <c r="Q830"/>
  <c r="Q825"/>
  <c r="R825"/>
  <c r="S825"/>
  <c r="A825"/>
  <c r="A832"/>
  <c r="Q832"/>
  <c r="R832"/>
  <c r="S832"/>
  <c r="A824"/>
  <c r="Q824"/>
  <c r="R824"/>
  <c r="S824"/>
  <c r="R826"/>
  <c r="S826"/>
  <c r="A826"/>
  <c r="Q826"/>
  <c r="A828"/>
  <c r="Q828"/>
  <c r="R828"/>
  <c r="S828"/>
  <c r="R831"/>
  <c r="AD830"/>
  <c r="R827"/>
  <c r="AD826"/>
  <c r="AD832"/>
  <c r="A831"/>
  <c r="AD828"/>
  <c r="A827"/>
  <c r="I79" i="12"/>
  <c r="G170" i="60"/>
  <c r="G171"/>
  <c r="G172"/>
  <c r="G173"/>
  <c r="G169"/>
  <c r="AC650" i="34"/>
  <c r="AB650"/>
  <c r="AA650"/>
  <c r="Y650"/>
  <c r="W650"/>
  <c r="V650"/>
  <c r="U650"/>
  <c r="T650"/>
  <c r="P650"/>
  <c r="M650"/>
  <c r="C650"/>
  <c r="AD650" s="1"/>
  <c r="AC649"/>
  <c r="AB649"/>
  <c r="AA649"/>
  <c r="Y649"/>
  <c r="W649"/>
  <c r="V649"/>
  <c r="U649"/>
  <c r="T649"/>
  <c r="P649"/>
  <c r="M649"/>
  <c r="C649"/>
  <c r="AD649" s="1"/>
  <c r="AC648"/>
  <c r="AB648"/>
  <c r="AA648"/>
  <c r="Y648"/>
  <c r="W648"/>
  <c r="V648"/>
  <c r="U648"/>
  <c r="T648"/>
  <c r="P648"/>
  <c r="M648"/>
  <c r="C648"/>
  <c r="AD648" s="1"/>
  <c r="AC647"/>
  <c r="AB647"/>
  <c r="AA647"/>
  <c r="Y647"/>
  <c r="W647"/>
  <c r="V647"/>
  <c r="U647"/>
  <c r="T647"/>
  <c r="P647"/>
  <c r="M647"/>
  <c r="C647"/>
  <c r="AD647" s="1"/>
  <c r="AE646"/>
  <c r="AC646"/>
  <c r="AB646"/>
  <c r="AA646"/>
  <c r="Y646"/>
  <c r="W646"/>
  <c r="V646"/>
  <c r="U646"/>
  <c r="T646"/>
  <c r="P646"/>
  <c r="M646"/>
  <c r="C646"/>
  <c r="AD646" s="1"/>
  <c r="AE645"/>
  <c r="AC645"/>
  <c r="AB645"/>
  <c r="AA645"/>
  <c r="Y645"/>
  <c r="W645"/>
  <c r="V645"/>
  <c r="U645"/>
  <c r="T645"/>
  <c r="P645"/>
  <c r="M645"/>
  <c r="C645"/>
  <c r="AD645" s="1"/>
  <c r="AE644"/>
  <c r="AC644"/>
  <c r="AB644"/>
  <c r="AA644"/>
  <c r="Y644"/>
  <c r="W644"/>
  <c r="V644"/>
  <c r="U644"/>
  <c r="T644"/>
  <c r="P644"/>
  <c r="M644"/>
  <c r="C644"/>
  <c r="AD644" s="1"/>
  <c r="AE643"/>
  <c r="AC643"/>
  <c r="AB643"/>
  <c r="AA643"/>
  <c r="Y643"/>
  <c r="W643"/>
  <c r="V643"/>
  <c r="U643"/>
  <c r="T643"/>
  <c r="P643"/>
  <c r="M643"/>
  <c r="C643"/>
  <c r="AD643" s="1"/>
  <c r="AE642"/>
  <c r="AC642"/>
  <c r="AB642"/>
  <c r="AA642"/>
  <c r="Y642"/>
  <c r="W642"/>
  <c r="V642"/>
  <c r="U642"/>
  <c r="T642"/>
  <c r="P642"/>
  <c r="M642"/>
  <c r="C642"/>
  <c r="AD642" s="1"/>
  <c r="AE641"/>
  <c r="AC641"/>
  <c r="AB641"/>
  <c r="AA641"/>
  <c r="Y641"/>
  <c r="W641"/>
  <c r="V641"/>
  <c r="U641"/>
  <c r="T641"/>
  <c r="P641"/>
  <c r="M641"/>
  <c r="C641"/>
  <c r="AD641" s="1"/>
  <c r="AE640"/>
  <c r="AC640"/>
  <c r="AB640"/>
  <c r="AA640"/>
  <c r="Y640"/>
  <c r="W640"/>
  <c r="V640"/>
  <c r="U640"/>
  <c r="T640"/>
  <c r="P640"/>
  <c r="M640"/>
  <c r="C640"/>
  <c r="AD640" s="1"/>
  <c r="AE639"/>
  <c r="AC639"/>
  <c r="AB639"/>
  <c r="AA639"/>
  <c r="Y639"/>
  <c r="W639"/>
  <c r="V639"/>
  <c r="U639"/>
  <c r="T639"/>
  <c r="P639"/>
  <c r="M639"/>
  <c r="C639"/>
  <c r="AD639" s="1"/>
  <c r="AE638"/>
  <c r="AC638"/>
  <c r="AB638"/>
  <c r="AA638"/>
  <c r="Y638"/>
  <c r="W638"/>
  <c r="V638"/>
  <c r="U638"/>
  <c r="T638"/>
  <c r="P638"/>
  <c r="M638"/>
  <c r="C638"/>
  <c r="AD638" s="1"/>
  <c r="AE637"/>
  <c r="AC637"/>
  <c r="AB637"/>
  <c r="AA637"/>
  <c r="Y637"/>
  <c r="W637"/>
  <c r="V637"/>
  <c r="U637"/>
  <c r="T637"/>
  <c r="P637"/>
  <c r="M637"/>
  <c r="C637"/>
  <c r="AD637" s="1"/>
  <c r="AE636"/>
  <c r="AC636"/>
  <c r="AB636"/>
  <c r="AA636"/>
  <c r="Y636"/>
  <c r="W636"/>
  <c r="V636"/>
  <c r="U636"/>
  <c r="T636"/>
  <c r="P636"/>
  <c r="M636"/>
  <c r="C636"/>
  <c r="AD636" s="1"/>
  <c r="AE635"/>
  <c r="AC635"/>
  <c r="AB635"/>
  <c r="AA635"/>
  <c r="Y635"/>
  <c r="W635"/>
  <c r="V635"/>
  <c r="U635"/>
  <c r="T635"/>
  <c r="P635"/>
  <c r="M635"/>
  <c r="C635"/>
  <c r="B635" s="1"/>
  <c r="M669"/>
  <c r="AC685"/>
  <c r="AB685"/>
  <c r="AA685"/>
  <c r="Y685"/>
  <c r="W685"/>
  <c r="V685"/>
  <c r="U685"/>
  <c r="T685"/>
  <c r="P685"/>
  <c r="M685"/>
  <c r="C685"/>
  <c r="AD685" s="1"/>
  <c r="AC684"/>
  <c r="AB684"/>
  <c r="AA684"/>
  <c r="Y684"/>
  <c r="W684"/>
  <c r="V684"/>
  <c r="U684"/>
  <c r="T684"/>
  <c r="P684"/>
  <c r="M684"/>
  <c r="C684"/>
  <c r="AD684" s="1"/>
  <c r="AE677"/>
  <c r="AC677"/>
  <c r="AB677"/>
  <c r="AA677"/>
  <c r="Y677"/>
  <c r="W677"/>
  <c r="V677"/>
  <c r="U677"/>
  <c r="T677"/>
  <c r="P677"/>
  <c r="M677"/>
  <c r="C677"/>
  <c r="AD677" s="1"/>
  <c r="AE676"/>
  <c r="AC676"/>
  <c r="AB676"/>
  <c r="AA676"/>
  <c r="Y676"/>
  <c r="W676"/>
  <c r="V676"/>
  <c r="U676"/>
  <c r="T676"/>
  <c r="P676"/>
  <c r="M676"/>
  <c r="C676"/>
  <c r="AD676" s="1"/>
  <c r="AE675"/>
  <c r="AC675"/>
  <c r="AB675"/>
  <c r="AA675"/>
  <c r="Y675"/>
  <c r="W675"/>
  <c r="V675"/>
  <c r="U675"/>
  <c r="T675"/>
  <c r="P675"/>
  <c r="M675"/>
  <c r="C675"/>
  <c r="AD675" s="1"/>
  <c r="AE674"/>
  <c r="AC674"/>
  <c r="AB674"/>
  <c r="AA674"/>
  <c r="Y674"/>
  <c r="W674"/>
  <c r="V674"/>
  <c r="U674"/>
  <c r="T674"/>
  <c r="P674"/>
  <c r="M674"/>
  <c r="C674"/>
  <c r="AD674" s="1"/>
  <c r="AE673"/>
  <c r="AC673"/>
  <c r="AB673"/>
  <c r="AA673"/>
  <c r="Y673"/>
  <c r="W673"/>
  <c r="V673"/>
  <c r="U673"/>
  <c r="T673"/>
  <c r="P673"/>
  <c r="M673"/>
  <c r="C673"/>
  <c r="AD673" s="1"/>
  <c r="AE672"/>
  <c r="AC672"/>
  <c r="AB672"/>
  <c r="AA672"/>
  <c r="Y672"/>
  <c r="W672"/>
  <c r="V672"/>
  <c r="U672"/>
  <c r="T672"/>
  <c r="P672"/>
  <c r="M672"/>
  <c r="C672"/>
  <c r="AD672" s="1"/>
  <c r="AC687"/>
  <c r="AB687"/>
  <c r="AA687"/>
  <c r="Y687"/>
  <c r="W687"/>
  <c r="V687"/>
  <c r="U687"/>
  <c r="T687"/>
  <c r="P687"/>
  <c r="M687"/>
  <c r="C687"/>
  <c r="AD687" s="1"/>
  <c r="AC686"/>
  <c r="AB686"/>
  <c r="AA686"/>
  <c r="Y686"/>
  <c r="W686"/>
  <c r="V686"/>
  <c r="U686"/>
  <c r="T686"/>
  <c r="P686"/>
  <c r="M686"/>
  <c r="C686"/>
  <c r="AD686" s="1"/>
  <c r="AE683"/>
  <c r="AC683"/>
  <c r="AB683"/>
  <c r="AA683"/>
  <c r="Y683"/>
  <c r="W683"/>
  <c r="V683"/>
  <c r="U683"/>
  <c r="T683"/>
  <c r="P683"/>
  <c r="M683"/>
  <c r="C683"/>
  <c r="AD683" s="1"/>
  <c r="AE682"/>
  <c r="AC682"/>
  <c r="AB682"/>
  <c r="AA682"/>
  <c r="Y682"/>
  <c r="W682"/>
  <c r="V682"/>
  <c r="U682"/>
  <c r="T682"/>
  <c r="P682"/>
  <c r="M682"/>
  <c r="C682"/>
  <c r="AD682" s="1"/>
  <c r="AE681"/>
  <c r="AC681"/>
  <c r="AB681"/>
  <c r="AA681"/>
  <c r="Y681"/>
  <c r="W681"/>
  <c r="V681"/>
  <c r="U681"/>
  <c r="T681"/>
  <c r="P681"/>
  <c r="M681"/>
  <c r="C681"/>
  <c r="AD681" s="1"/>
  <c r="AE680"/>
  <c r="AC680"/>
  <c r="AB680"/>
  <c r="AA680"/>
  <c r="Y680"/>
  <c r="W680"/>
  <c r="V680"/>
  <c r="U680"/>
  <c r="T680"/>
  <c r="P680"/>
  <c r="M680"/>
  <c r="C680"/>
  <c r="AD680" s="1"/>
  <c r="AE679"/>
  <c r="AC679"/>
  <c r="AB679"/>
  <c r="AA679"/>
  <c r="Y679"/>
  <c r="W679"/>
  <c r="V679"/>
  <c r="U679"/>
  <c r="T679"/>
  <c r="P679"/>
  <c r="M679"/>
  <c r="C679"/>
  <c r="AD679" s="1"/>
  <c r="AE678"/>
  <c r="AC678"/>
  <c r="AB678"/>
  <c r="AA678"/>
  <c r="Y678"/>
  <c r="W678"/>
  <c r="V678"/>
  <c r="U678"/>
  <c r="T678"/>
  <c r="P678"/>
  <c r="M678"/>
  <c r="C678"/>
  <c r="AD678" s="1"/>
  <c r="C669"/>
  <c r="AD669" s="1"/>
  <c r="AE669"/>
  <c r="AC669"/>
  <c r="AB669"/>
  <c r="AA669"/>
  <c r="Y669"/>
  <c r="W669"/>
  <c r="V669"/>
  <c r="U669"/>
  <c r="T669"/>
  <c r="P669"/>
  <c r="AD338"/>
  <c r="AC338"/>
  <c r="AB338"/>
  <c r="Y338"/>
  <c r="W338"/>
  <c r="V338"/>
  <c r="U338"/>
  <c r="T338"/>
  <c r="P338"/>
  <c r="M338"/>
  <c r="E338"/>
  <c r="AA338" s="1"/>
  <c r="B338"/>
  <c r="Q338" s="1"/>
  <c r="AD337"/>
  <c r="AC337"/>
  <c r="AB337"/>
  <c r="Y337"/>
  <c r="W337"/>
  <c r="V337"/>
  <c r="U337"/>
  <c r="T337"/>
  <c r="P337"/>
  <c r="M337"/>
  <c r="E337"/>
  <c r="AA337" s="1"/>
  <c r="B337"/>
  <c r="Q337" s="1"/>
  <c r="E267"/>
  <c r="AA267" s="1"/>
  <c r="AC267"/>
  <c r="AB267"/>
  <c r="Y267"/>
  <c r="W267"/>
  <c r="V267"/>
  <c r="U267"/>
  <c r="T267"/>
  <c r="P267"/>
  <c r="M267"/>
  <c r="AD267"/>
  <c r="AC262"/>
  <c r="AB262"/>
  <c r="AA262"/>
  <c r="Y262"/>
  <c r="W262"/>
  <c r="V262"/>
  <c r="U262"/>
  <c r="T262"/>
  <c r="P262"/>
  <c r="M262"/>
  <c r="C262"/>
  <c r="AD262" s="1"/>
  <c r="AE609"/>
  <c r="AC609"/>
  <c r="AB609"/>
  <c r="AA609"/>
  <c r="Y609"/>
  <c r="W609"/>
  <c r="V609"/>
  <c r="U609"/>
  <c r="T609"/>
  <c r="P609"/>
  <c r="M609"/>
  <c r="C609"/>
  <c r="AD609" s="1"/>
  <c r="AD377"/>
  <c r="AC377"/>
  <c r="AB377"/>
  <c r="Y377"/>
  <c r="W377"/>
  <c r="V377"/>
  <c r="U377"/>
  <c r="T377"/>
  <c r="P377"/>
  <c r="M377"/>
  <c r="E377"/>
  <c r="AA377" s="1"/>
  <c r="B377"/>
  <c r="Q377" s="1"/>
  <c r="AD376"/>
  <c r="AC376"/>
  <c r="AB376"/>
  <c r="Y376"/>
  <c r="W376"/>
  <c r="V376"/>
  <c r="U376"/>
  <c r="T376"/>
  <c r="P376"/>
  <c r="M376"/>
  <c r="E376"/>
  <c r="AA376" s="1"/>
  <c r="B376"/>
  <c r="S376" s="1"/>
  <c r="AD375"/>
  <c r="AC375"/>
  <c r="AB375"/>
  <c r="Y375"/>
  <c r="W375"/>
  <c r="V375"/>
  <c r="U375"/>
  <c r="T375"/>
  <c r="P375"/>
  <c r="M375"/>
  <c r="E375"/>
  <c r="AA375" s="1"/>
  <c r="B375"/>
  <c r="Q375" s="1"/>
  <c r="AD374"/>
  <c r="AC374"/>
  <c r="AB374"/>
  <c r="Y374"/>
  <c r="W374"/>
  <c r="V374"/>
  <c r="U374"/>
  <c r="T374"/>
  <c r="P374"/>
  <c r="M374"/>
  <c r="E374"/>
  <c r="AA374" s="1"/>
  <c r="B374"/>
  <c r="S374" s="1"/>
  <c r="AD373"/>
  <c r="AC373"/>
  <c r="AB373"/>
  <c r="Y373"/>
  <c r="W373"/>
  <c r="V373"/>
  <c r="U373"/>
  <c r="T373"/>
  <c r="P373"/>
  <c r="M373"/>
  <c r="E373"/>
  <c r="AA373" s="1"/>
  <c r="B373"/>
  <c r="Q373" s="1"/>
  <c r="AD372"/>
  <c r="AC372"/>
  <c r="AB372"/>
  <c r="Y372"/>
  <c r="W372"/>
  <c r="V372"/>
  <c r="U372"/>
  <c r="T372"/>
  <c r="P372"/>
  <c r="M372"/>
  <c r="E372"/>
  <c r="AA372" s="1"/>
  <c r="B372"/>
  <c r="S372" s="1"/>
  <c r="AD371"/>
  <c r="AC371"/>
  <c r="AB371"/>
  <c r="Y371"/>
  <c r="W371"/>
  <c r="V371"/>
  <c r="U371"/>
  <c r="T371"/>
  <c r="P371"/>
  <c r="M371"/>
  <c r="E371"/>
  <c r="AA371" s="1"/>
  <c r="B371"/>
  <c r="Q371" s="1"/>
  <c r="AD370"/>
  <c r="AC370"/>
  <c r="AB370"/>
  <c r="Y370"/>
  <c r="W370"/>
  <c r="V370"/>
  <c r="U370"/>
  <c r="T370"/>
  <c r="P370"/>
  <c r="M370"/>
  <c r="E370"/>
  <c r="AA370" s="1"/>
  <c r="B370"/>
  <c r="S370" s="1"/>
  <c r="AD369"/>
  <c r="AC369"/>
  <c r="AB369"/>
  <c r="Y369"/>
  <c r="W369"/>
  <c r="V369"/>
  <c r="U369"/>
  <c r="T369"/>
  <c r="P369"/>
  <c r="M369"/>
  <c r="E369"/>
  <c r="AA369" s="1"/>
  <c r="B369"/>
  <c r="Q369" s="1"/>
  <c r="AD368"/>
  <c r="AC368"/>
  <c r="AB368"/>
  <c r="Y368"/>
  <c r="W368"/>
  <c r="V368"/>
  <c r="U368"/>
  <c r="T368"/>
  <c r="P368"/>
  <c r="M368"/>
  <c r="E368"/>
  <c r="AA368" s="1"/>
  <c r="B368"/>
  <c r="S368" s="1"/>
  <c r="AD367"/>
  <c r="AC367"/>
  <c r="AB367"/>
  <c r="Y367"/>
  <c r="W367"/>
  <c r="V367"/>
  <c r="U367"/>
  <c r="T367"/>
  <c r="P367"/>
  <c r="M367"/>
  <c r="E367"/>
  <c r="AA367" s="1"/>
  <c r="B367"/>
  <c r="Q367" s="1"/>
  <c r="AD366"/>
  <c r="AC366"/>
  <c r="AB366"/>
  <c r="Y366"/>
  <c r="W366"/>
  <c r="V366"/>
  <c r="U366"/>
  <c r="T366"/>
  <c r="P366"/>
  <c r="M366"/>
  <c r="E366"/>
  <c r="AA366" s="1"/>
  <c r="B366"/>
  <c r="Q366" s="1"/>
  <c r="AD365"/>
  <c r="AC365"/>
  <c r="AB365"/>
  <c r="Y365"/>
  <c r="W365"/>
  <c r="V365"/>
  <c r="U365"/>
  <c r="T365"/>
  <c r="P365"/>
  <c r="M365"/>
  <c r="E365"/>
  <c r="AA365" s="1"/>
  <c r="B365"/>
  <c r="Q365" s="1"/>
  <c r="AD364"/>
  <c r="AC364"/>
  <c r="AB364"/>
  <c r="Y364"/>
  <c r="W364"/>
  <c r="V364"/>
  <c r="U364"/>
  <c r="T364"/>
  <c r="P364"/>
  <c r="M364"/>
  <c r="E364"/>
  <c r="AA364" s="1"/>
  <c r="B364"/>
  <c r="Q364" s="1"/>
  <c r="AD363"/>
  <c r="AC363"/>
  <c r="AB363"/>
  <c r="Y363"/>
  <c r="W363"/>
  <c r="V363"/>
  <c r="U363"/>
  <c r="T363"/>
  <c r="P363"/>
  <c r="M363"/>
  <c r="E363"/>
  <c r="AA363" s="1"/>
  <c r="B363"/>
  <c r="Q363" s="1"/>
  <c r="AD362"/>
  <c r="AC362"/>
  <c r="AB362"/>
  <c r="Y362"/>
  <c r="W362"/>
  <c r="V362"/>
  <c r="U362"/>
  <c r="T362"/>
  <c r="P362"/>
  <c r="M362"/>
  <c r="E362"/>
  <c r="AA362" s="1"/>
  <c r="B362"/>
  <c r="Q362" s="1"/>
  <c r="AD361"/>
  <c r="AC361"/>
  <c r="AB361"/>
  <c r="Y361"/>
  <c r="W361"/>
  <c r="V361"/>
  <c r="U361"/>
  <c r="T361"/>
  <c r="P361"/>
  <c r="M361"/>
  <c r="E361"/>
  <c r="AA361" s="1"/>
  <c r="B361"/>
  <c r="S361" s="1"/>
  <c r="AD360"/>
  <c r="AC360"/>
  <c r="AB360"/>
  <c r="Y360"/>
  <c r="W360"/>
  <c r="V360"/>
  <c r="U360"/>
  <c r="T360"/>
  <c r="P360"/>
  <c r="M360"/>
  <c r="E360"/>
  <c r="AA360" s="1"/>
  <c r="B360"/>
  <c r="Q360" s="1"/>
  <c r="AD359"/>
  <c r="AC359"/>
  <c r="AB359"/>
  <c r="Y359"/>
  <c r="W359"/>
  <c r="V359"/>
  <c r="U359"/>
  <c r="T359"/>
  <c r="P359"/>
  <c r="M359"/>
  <c r="E359"/>
  <c r="AA359" s="1"/>
  <c r="B359"/>
  <c r="S359" s="1"/>
  <c r="AD358"/>
  <c r="AC358"/>
  <c r="AB358"/>
  <c r="Y358"/>
  <c r="W358"/>
  <c r="V358"/>
  <c r="U358"/>
  <c r="T358"/>
  <c r="P358"/>
  <c r="E358"/>
  <c r="AA358" s="1"/>
  <c r="B358"/>
  <c r="Q358" s="1"/>
  <c r="A241" i="60"/>
  <c r="A242"/>
  <c r="A243"/>
  <c r="A244"/>
  <c r="A245"/>
  <c r="A246"/>
  <c r="V242"/>
  <c r="C242"/>
  <c r="D242" s="1"/>
  <c r="G242" s="1"/>
  <c r="V241"/>
  <c r="C241"/>
  <c r="D241" s="1"/>
  <c r="G241" s="1"/>
  <c r="V240"/>
  <c r="D240"/>
  <c r="G240" s="1"/>
  <c r="V239"/>
  <c r="D239"/>
  <c r="G239" s="1"/>
  <c r="E352" i="34"/>
  <c r="AA352" s="1"/>
  <c r="E353"/>
  <c r="AA353" s="1"/>
  <c r="M353"/>
  <c r="E354"/>
  <c r="AA354" s="1"/>
  <c r="M354"/>
  <c r="E355"/>
  <c r="AA355" s="1"/>
  <c r="M355"/>
  <c r="E356"/>
  <c r="AA356" s="1"/>
  <c r="M356"/>
  <c r="E357"/>
  <c r="AA357" s="1"/>
  <c r="M357"/>
  <c r="E347"/>
  <c r="AA347" s="1"/>
  <c r="E348"/>
  <c r="AA348" s="1"/>
  <c r="E349"/>
  <c r="AA349" s="1"/>
  <c r="AD379"/>
  <c r="AC379"/>
  <c r="AB379"/>
  <c r="Y379"/>
  <c r="W379"/>
  <c r="V379"/>
  <c r="U379"/>
  <c r="T379"/>
  <c r="P379"/>
  <c r="M379"/>
  <c r="E379"/>
  <c r="AA379" s="1"/>
  <c r="B379"/>
  <c r="Q379" s="1"/>
  <c r="AD378"/>
  <c r="AC378"/>
  <c r="AB378"/>
  <c r="Y378"/>
  <c r="W378"/>
  <c r="V378"/>
  <c r="U378"/>
  <c r="T378"/>
  <c r="P378"/>
  <c r="M378"/>
  <c r="E378"/>
  <c r="AA378" s="1"/>
  <c r="B378"/>
  <c r="S378" s="1"/>
  <c r="AD357"/>
  <c r="AC357"/>
  <c r="AB357"/>
  <c r="Y357"/>
  <c r="W357"/>
  <c r="V357"/>
  <c r="U357"/>
  <c r="T357"/>
  <c r="P357"/>
  <c r="B357"/>
  <c r="Q357" s="1"/>
  <c r="AD356"/>
  <c r="AC356"/>
  <c r="AB356"/>
  <c r="Y356"/>
  <c r="W356"/>
  <c r="V356"/>
  <c r="U356"/>
  <c r="T356"/>
  <c r="P356"/>
  <c r="B356"/>
  <c r="S356" s="1"/>
  <c r="AD355"/>
  <c r="AC355"/>
  <c r="AB355"/>
  <c r="Y355"/>
  <c r="W355"/>
  <c r="V355"/>
  <c r="U355"/>
  <c r="T355"/>
  <c r="P355"/>
  <c r="B355"/>
  <c r="Q355" s="1"/>
  <c r="AD354"/>
  <c r="AC354"/>
  <c r="AB354"/>
  <c r="Y354"/>
  <c r="W354"/>
  <c r="V354"/>
  <c r="U354"/>
  <c r="T354"/>
  <c r="P354"/>
  <c r="B354"/>
  <c r="S354" s="1"/>
  <c r="AD353"/>
  <c r="AC353"/>
  <c r="AB353"/>
  <c r="Y353"/>
  <c r="W353"/>
  <c r="V353"/>
  <c r="U353"/>
  <c r="T353"/>
  <c r="P353"/>
  <c r="B353"/>
  <c r="Q353" s="1"/>
  <c r="AD352"/>
  <c r="AC352"/>
  <c r="AB352"/>
  <c r="Y352"/>
  <c r="W352"/>
  <c r="V352"/>
  <c r="U352"/>
  <c r="T352"/>
  <c r="P352"/>
  <c r="M352"/>
  <c r="B352"/>
  <c r="S352" s="1"/>
  <c r="AD351"/>
  <c r="AC351"/>
  <c r="AB351"/>
  <c r="Y351"/>
  <c r="W351"/>
  <c r="V351"/>
  <c r="U351"/>
  <c r="T351"/>
  <c r="P351"/>
  <c r="M351"/>
  <c r="E351"/>
  <c r="AA351" s="1"/>
  <c r="B351"/>
  <c r="Q351" s="1"/>
  <c r="AD350"/>
  <c r="AC350"/>
  <c r="AB350"/>
  <c r="Y350"/>
  <c r="W350"/>
  <c r="V350"/>
  <c r="U350"/>
  <c r="T350"/>
  <c r="P350"/>
  <c r="M350"/>
  <c r="E350"/>
  <c r="AA350" s="1"/>
  <c r="B350"/>
  <c r="S350" s="1"/>
  <c r="AD349"/>
  <c r="AC349"/>
  <c r="AB349"/>
  <c r="Y349"/>
  <c r="W349"/>
  <c r="V349"/>
  <c r="U349"/>
  <c r="T349"/>
  <c r="P349"/>
  <c r="M349"/>
  <c r="B349"/>
  <c r="R349" s="1"/>
  <c r="AD348"/>
  <c r="AC348"/>
  <c r="AB348"/>
  <c r="Y348"/>
  <c r="W348"/>
  <c r="V348"/>
  <c r="U348"/>
  <c r="T348"/>
  <c r="P348"/>
  <c r="M348"/>
  <c r="B348"/>
  <c r="Q348" s="1"/>
  <c r="AD347"/>
  <c r="AC347"/>
  <c r="AB347"/>
  <c r="Y347"/>
  <c r="W347"/>
  <c r="V347"/>
  <c r="U347"/>
  <c r="T347"/>
  <c r="P347"/>
  <c r="M347"/>
  <c r="B347"/>
  <c r="Q347" s="1"/>
  <c r="AD346"/>
  <c r="AC346"/>
  <c r="AB346"/>
  <c r="Y346"/>
  <c r="W346"/>
  <c r="V346"/>
  <c r="U346"/>
  <c r="T346"/>
  <c r="P346"/>
  <c r="M346"/>
  <c r="E346"/>
  <c r="AA346" s="1"/>
  <c r="B346"/>
  <c r="R346" s="1"/>
  <c r="AD345"/>
  <c r="AC345"/>
  <c r="AB345"/>
  <c r="Y345"/>
  <c r="W345"/>
  <c r="V345"/>
  <c r="U345"/>
  <c r="T345"/>
  <c r="P345"/>
  <c r="M345"/>
  <c r="E345"/>
  <c r="AA345" s="1"/>
  <c r="B345"/>
  <c r="Q345" s="1"/>
  <c r="AD344"/>
  <c r="AC344"/>
  <c r="AB344"/>
  <c r="Y344"/>
  <c r="W344"/>
  <c r="V344"/>
  <c r="U344"/>
  <c r="T344"/>
  <c r="P344"/>
  <c r="M344"/>
  <c r="E344"/>
  <c r="AA344" s="1"/>
  <c r="B344"/>
  <c r="R344" s="1"/>
  <c r="A208" i="60"/>
  <c r="A209"/>
  <c r="A210"/>
  <c r="A202"/>
  <c r="A203" s="1"/>
  <c r="A204" s="1"/>
  <c r="A205" s="1"/>
  <c r="A206" s="1"/>
  <c r="A207" s="1"/>
  <c r="V206"/>
  <c r="D206"/>
  <c r="G206" s="1"/>
  <c r="V205"/>
  <c r="D205"/>
  <c r="G205" s="1"/>
  <c r="V204"/>
  <c r="D204"/>
  <c r="G204" s="1"/>
  <c r="D50"/>
  <c r="G50" s="1"/>
  <c r="M286" i="34"/>
  <c r="M287"/>
  <c r="M288"/>
  <c r="M289"/>
  <c r="M285"/>
  <c r="M276"/>
  <c r="M277"/>
  <c r="M278"/>
  <c r="M279"/>
  <c r="M275"/>
  <c r="M386"/>
  <c r="M384"/>
  <c r="M382"/>
  <c r="M380"/>
  <c r="M328"/>
  <c r="M329"/>
  <c r="M330"/>
  <c r="M331"/>
  <c r="M327"/>
  <c r="M317"/>
  <c r="M318"/>
  <c r="M319"/>
  <c r="M320"/>
  <c r="M321"/>
  <c r="M322"/>
  <c r="M323"/>
  <c r="M316"/>
  <c r="M297"/>
  <c r="M298"/>
  <c r="M299"/>
  <c r="M300"/>
  <c r="M301"/>
  <c r="M302"/>
  <c r="M303"/>
  <c r="M304"/>
  <c r="M305"/>
  <c r="M296"/>
  <c r="M306"/>
  <c r="AD2830"/>
  <c r="AC2830"/>
  <c r="AB2830"/>
  <c r="Y2830"/>
  <c r="W2830"/>
  <c r="P2830"/>
  <c r="E2830"/>
  <c r="AA2830" s="1"/>
  <c r="B2830"/>
  <c r="R2830" s="1"/>
  <c r="R829" l="1"/>
  <c r="Q829"/>
  <c r="A829"/>
  <c r="Q835"/>
  <c r="A835"/>
  <c r="S835"/>
  <c r="R835"/>
  <c r="Q833"/>
  <c r="A833"/>
  <c r="S833"/>
  <c r="R833"/>
  <c r="S834"/>
  <c r="R834"/>
  <c r="Q834"/>
  <c r="A834"/>
  <c r="B643"/>
  <c r="R643" s="1"/>
  <c r="B639"/>
  <c r="R639" s="1"/>
  <c r="B644"/>
  <c r="A644" s="1"/>
  <c r="B640"/>
  <c r="A640" s="1"/>
  <c r="B636"/>
  <c r="A636" s="1"/>
  <c r="R635"/>
  <c r="S635"/>
  <c r="A635"/>
  <c r="AD635"/>
  <c r="Q635"/>
  <c r="B647"/>
  <c r="B649"/>
  <c r="B638"/>
  <c r="B642"/>
  <c r="B646"/>
  <c r="B637"/>
  <c r="B641"/>
  <c r="B645"/>
  <c r="B648"/>
  <c r="B650"/>
  <c r="B684"/>
  <c r="B685"/>
  <c r="A337"/>
  <c r="A338"/>
  <c r="S337"/>
  <c r="B676"/>
  <c r="A676" s="1"/>
  <c r="S338"/>
  <c r="B673"/>
  <c r="A673" s="1"/>
  <c r="B682"/>
  <c r="Q682" s="1"/>
  <c r="B672"/>
  <c r="B675"/>
  <c r="B674"/>
  <c r="B677"/>
  <c r="B679"/>
  <c r="B681"/>
  <c r="B678"/>
  <c r="B686"/>
  <c r="B683"/>
  <c r="B680"/>
  <c r="B687"/>
  <c r="B669"/>
  <c r="R338"/>
  <c r="R337"/>
  <c r="B267"/>
  <c r="B262"/>
  <c r="A367"/>
  <c r="B609"/>
  <c r="S369"/>
  <c r="A375"/>
  <c r="S371"/>
  <c r="S375"/>
  <c r="A373"/>
  <c r="A377"/>
  <c r="S373"/>
  <c r="S377"/>
  <c r="A368"/>
  <c r="R369"/>
  <c r="A370"/>
  <c r="R371"/>
  <c r="A372"/>
  <c r="R373"/>
  <c r="A374"/>
  <c r="R375"/>
  <c r="A376"/>
  <c r="R377"/>
  <c r="Q368"/>
  <c r="Q370"/>
  <c r="Q372"/>
  <c r="Q374"/>
  <c r="Q376"/>
  <c r="R368"/>
  <c r="A369"/>
  <c r="R370"/>
  <c r="A371"/>
  <c r="R372"/>
  <c r="R374"/>
  <c r="R376"/>
  <c r="S358"/>
  <c r="A365"/>
  <c r="A360"/>
  <c r="A363"/>
  <c r="R366"/>
  <c r="R361"/>
  <c r="R364"/>
  <c r="S366"/>
  <c r="A358"/>
  <c r="A362"/>
  <c r="S364"/>
  <c r="R358"/>
  <c r="A359"/>
  <c r="R360"/>
  <c r="A361"/>
  <c r="R362"/>
  <c r="R363"/>
  <c r="A364"/>
  <c r="R365"/>
  <c r="A366"/>
  <c r="R367"/>
  <c r="Q359"/>
  <c r="S360"/>
  <c r="Q361"/>
  <c r="S362"/>
  <c r="S363"/>
  <c r="S365"/>
  <c r="S367"/>
  <c r="R359"/>
  <c r="A349"/>
  <c r="Q349"/>
  <c r="R345"/>
  <c r="R347"/>
  <c r="A345"/>
  <c r="A347"/>
  <c r="R348"/>
  <c r="S351"/>
  <c r="A357"/>
  <c r="S353"/>
  <c r="S357"/>
  <c r="S345"/>
  <c r="S347"/>
  <c r="S349"/>
  <c r="A355"/>
  <c r="A379"/>
  <c r="A344"/>
  <c r="A346"/>
  <c r="A348"/>
  <c r="S355"/>
  <c r="S379"/>
  <c r="S344"/>
  <c r="S346"/>
  <c r="S348"/>
  <c r="A350"/>
  <c r="R351"/>
  <c r="A352"/>
  <c r="R353"/>
  <c r="A354"/>
  <c r="R355"/>
  <c r="A356"/>
  <c r="R357"/>
  <c r="A378"/>
  <c r="R379"/>
  <c r="Q350"/>
  <c r="Q352"/>
  <c r="Q354"/>
  <c r="Q356"/>
  <c r="Q378"/>
  <c r="Q344"/>
  <c r="Q346"/>
  <c r="R350"/>
  <c r="A351"/>
  <c r="R352"/>
  <c r="A353"/>
  <c r="R354"/>
  <c r="R356"/>
  <c r="R378"/>
  <c r="U2830"/>
  <c r="S2830"/>
  <c r="T2830"/>
  <c r="A2830"/>
  <c r="Q2830"/>
  <c r="V2830"/>
  <c r="E2955"/>
  <c r="E2956"/>
  <c r="AA2956" s="1"/>
  <c r="AD2956"/>
  <c r="AC2956"/>
  <c r="AB2956"/>
  <c r="Y2956"/>
  <c r="W2956"/>
  <c r="P2956"/>
  <c r="B2956"/>
  <c r="V2956" s="1"/>
  <c r="AD2955"/>
  <c r="AC2955"/>
  <c r="AB2955"/>
  <c r="AA2955"/>
  <c r="Y2955"/>
  <c r="W2955"/>
  <c r="U2955"/>
  <c r="P2955"/>
  <c r="B2955"/>
  <c r="V2955" s="1"/>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A200"/>
  <c r="AB200"/>
  <c r="AC200"/>
  <c r="P201"/>
  <c r="T201"/>
  <c r="U201"/>
  <c r="V201"/>
  <c r="W201"/>
  <c r="Y201"/>
  <c r="AA201"/>
  <c r="AB201"/>
  <c r="AC201"/>
  <c r="P202"/>
  <c r="T202"/>
  <c r="U202"/>
  <c r="V202"/>
  <c r="W202"/>
  <c r="Y202"/>
  <c r="AA202"/>
  <c r="AB202"/>
  <c r="AC202"/>
  <c r="P203"/>
  <c r="T203"/>
  <c r="U203"/>
  <c r="V203"/>
  <c r="W203"/>
  <c r="Y203"/>
  <c r="AA203"/>
  <c r="AB203"/>
  <c r="AC203"/>
  <c r="P204"/>
  <c r="T204"/>
  <c r="U204"/>
  <c r="V204"/>
  <c r="W204"/>
  <c r="Y204"/>
  <c r="AA204"/>
  <c r="AB204"/>
  <c r="AC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5"/>
  <c r="T255"/>
  <c r="U255"/>
  <c r="V255"/>
  <c r="W255"/>
  <c r="Y255"/>
  <c r="AA255"/>
  <c r="AB255"/>
  <c r="AC255"/>
  <c r="P256"/>
  <c r="T256"/>
  <c r="U256"/>
  <c r="V256"/>
  <c r="W256"/>
  <c r="Y256"/>
  <c r="AA256"/>
  <c r="AB256"/>
  <c r="AC256"/>
  <c r="P257"/>
  <c r="T257"/>
  <c r="U257"/>
  <c r="V257"/>
  <c r="W257"/>
  <c r="Y257"/>
  <c r="AA257"/>
  <c r="AB257"/>
  <c r="AC257"/>
  <c r="P258"/>
  <c r="T258"/>
  <c r="U258"/>
  <c r="V258"/>
  <c r="W258"/>
  <c r="Y258"/>
  <c r="AA258"/>
  <c r="AB258"/>
  <c r="AC258"/>
  <c r="P259"/>
  <c r="T259"/>
  <c r="U259"/>
  <c r="V259"/>
  <c r="W259"/>
  <c r="Y259"/>
  <c r="AA259"/>
  <c r="AB259"/>
  <c r="AC259"/>
  <c r="P260"/>
  <c r="T260"/>
  <c r="U260"/>
  <c r="V260"/>
  <c r="W260"/>
  <c r="Y260"/>
  <c r="AA260"/>
  <c r="AB260"/>
  <c r="AC260"/>
  <c r="P261"/>
  <c r="T261"/>
  <c r="U261"/>
  <c r="V261"/>
  <c r="W261"/>
  <c r="Y261"/>
  <c r="AA261"/>
  <c r="AB261"/>
  <c r="AC261"/>
  <c r="P263"/>
  <c r="T263"/>
  <c r="U263"/>
  <c r="V263"/>
  <c r="W263"/>
  <c r="Y263"/>
  <c r="AA263"/>
  <c r="AB263"/>
  <c r="AC263"/>
  <c r="P264"/>
  <c r="T264"/>
  <c r="U264"/>
  <c r="V264"/>
  <c r="W264"/>
  <c r="Y264"/>
  <c r="AA264"/>
  <c r="AB264"/>
  <c r="AC264"/>
  <c r="P265"/>
  <c r="T265"/>
  <c r="U265"/>
  <c r="V265"/>
  <c r="W265"/>
  <c r="Y265"/>
  <c r="AA265"/>
  <c r="AB265"/>
  <c r="AC265"/>
  <c r="P266"/>
  <c r="T266"/>
  <c r="U266"/>
  <c r="V266"/>
  <c r="W266"/>
  <c r="Y266"/>
  <c r="AB266"/>
  <c r="AC266"/>
  <c r="AD266"/>
  <c r="P268"/>
  <c r="T268"/>
  <c r="U268"/>
  <c r="V268"/>
  <c r="W268"/>
  <c r="Y268"/>
  <c r="AA268"/>
  <c r="AB268"/>
  <c r="AC268"/>
  <c r="P269"/>
  <c r="T269"/>
  <c r="U269"/>
  <c r="V269"/>
  <c r="W269"/>
  <c r="Y269"/>
  <c r="AA269"/>
  <c r="AB269"/>
  <c r="AC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A275"/>
  <c r="AB275"/>
  <c r="AC275"/>
  <c r="P276"/>
  <c r="T276"/>
  <c r="U276"/>
  <c r="V276"/>
  <c r="W276"/>
  <c r="Y276"/>
  <c r="AA276"/>
  <c r="AB276"/>
  <c r="AC276"/>
  <c r="P277"/>
  <c r="T277"/>
  <c r="U277"/>
  <c r="V277"/>
  <c r="W277"/>
  <c r="Y277"/>
  <c r="AA277"/>
  <c r="AB277"/>
  <c r="AC277"/>
  <c r="P278"/>
  <c r="T278"/>
  <c r="U278"/>
  <c r="V278"/>
  <c r="W278"/>
  <c r="Y278"/>
  <c r="AA278"/>
  <c r="AB278"/>
  <c r="AC278"/>
  <c r="P279"/>
  <c r="T279"/>
  <c r="U279"/>
  <c r="V279"/>
  <c r="W279"/>
  <c r="Y279"/>
  <c r="AA279"/>
  <c r="AB279"/>
  <c r="AC279"/>
  <c r="P280"/>
  <c r="T280"/>
  <c r="U280"/>
  <c r="V280"/>
  <c r="W280"/>
  <c r="Y280"/>
  <c r="AA280"/>
  <c r="AB280"/>
  <c r="AC280"/>
  <c r="P281"/>
  <c r="T281"/>
  <c r="U281"/>
  <c r="V281"/>
  <c r="W281"/>
  <c r="Y281"/>
  <c r="AA281"/>
  <c r="AB281"/>
  <c r="AC281"/>
  <c r="P282"/>
  <c r="T282"/>
  <c r="U282"/>
  <c r="V282"/>
  <c r="W282"/>
  <c r="Y282"/>
  <c r="AA282"/>
  <c r="AB282"/>
  <c r="AC282"/>
  <c r="P283"/>
  <c r="T283"/>
  <c r="U283"/>
  <c r="V283"/>
  <c r="W283"/>
  <c r="Y283"/>
  <c r="AA283"/>
  <c r="AB283"/>
  <c r="AC283"/>
  <c r="P284"/>
  <c r="T284"/>
  <c r="U284"/>
  <c r="V284"/>
  <c r="W284"/>
  <c r="Y284"/>
  <c r="AA284"/>
  <c r="AB284"/>
  <c r="AC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80"/>
  <c r="T380"/>
  <c r="U380"/>
  <c r="V380"/>
  <c r="W380"/>
  <c r="Y380"/>
  <c r="AA380"/>
  <c r="AB380"/>
  <c r="AC380"/>
  <c r="P381"/>
  <c r="T381"/>
  <c r="U381"/>
  <c r="V381"/>
  <c r="W381"/>
  <c r="Y381"/>
  <c r="AA381"/>
  <c r="AB381"/>
  <c r="AC381"/>
  <c r="P382"/>
  <c r="T382"/>
  <c r="U382"/>
  <c r="V382"/>
  <c r="W382"/>
  <c r="Y382"/>
  <c r="AA382"/>
  <c r="AB382"/>
  <c r="AC382"/>
  <c r="P383"/>
  <c r="T383"/>
  <c r="U383"/>
  <c r="V383"/>
  <c r="W383"/>
  <c r="Y383"/>
  <c r="AA383"/>
  <c r="AB383"/>
  <c r="AC383"/>
  <c r="P384"/>
  <c r="T384"/>
  <c r="U384"/>
  <c r="V384"/>
  <c r="W384"/>
  <c r="Y384"/>
  <c r="AA384"/>
  <c r="AB384"/>
  <c r="AC384"/>
  <c r="P385"/>
  <c r="T385"/>
  <c r="U385"/>
  <c r="V385"/>
  <c r="W385"/>
  <c r="Y385"/>
  <c r="AA385"/>
  <c r="AB385"/>
  <c r="AC385"/>
  <c r="P386"/>
  <c r="T386"/>
  <c r="U386"/>
  <c r="V386"/>
  <c r="W386"/>
  <c r="Y386"/>
  <c r="AA386"/>
  <c r="AB386"/>
  <c r="AC386"/>
  <c r="P387"/>
  <c r="T387"/>
  <c r="U387"/>
  <c r="V387"/>
  <c r="W387"/>
  <c r="Y387"/>
  <c r="AA387"/>
  <c r="AB387"/>
  <c r="AC387"/>
  <c r="P388"/>
  <c r="T388"/>
  <c r="U388"/>
  <c r="V388"/>
  <c r="W388"/>
  <c r="Y388"/>
  <c r="AA388"/>
  <c r="AB388"/>
  <c r="AC388"/>
  <c r="P389"/>
  <c r="T389"/>
  <c r="U389"/>
  <c r="V389"/>
  <c r="W389"/>
  <c r="Y389"/>
  <c r="AA389"/>
  <c r="AB389"/>
  <c r="AC389"/>
  <c r="P390"/>
  <c r="T390"/>
  <c r="U390"/>
  <c r="V390"/>
  <c r="W390"/>
  <c r="Y390"/>
  <c r="AA390"/>
  <c r="AB390"/>
  <c r="AC390"/>
  <c r="P391"/>
  <c r="T391"/>
  <c r="U391"/>
  <c r="V391"/>
  <c r="W391"/>
  <c r="Y391"/>
  <c r="AA391"/>
  <c r="AB391"/>
  <c r="AC391"/>
  <c r="P392"/>
  <c r="T392"/>
  <c r="U392"/>
  <c r="V392"/>
  <c r="W392"/>
  <c r="Y392"/>
  <c r="AA392"/>
  <c r="AB392"/>
  <c r="AC392"/>
  <c r="P393"/>
  <c r="T393"/>
  <c r="U393"/>
  <c r="V393"/>
  <c r="W393"/>
  <c r="Y393"/>
  <c r="AA393"/>
  <c r="AB393"/>
  <c r="AC393"/>
  <c r="P394"/>
  <c r="T394"/>
  <c r="U394"/>
  <c r="V394"/>
  <c r="W394"/>
  <c r="Y394"/>
  <c r="AA394"/>
  <c r="AB394"/>
  <c r="AC394"/>
  <c r="P395"/>
  <c r="T395"/>
  <c r="U395"/>
  <c r="V395"/>
  <c r="W395"/>
  <c r="Y395"/>
  <c r="AA395"/>
  <c r="AB395"/>
  <c r="AC395"/>
  <c r="P396"/>
  <c r="T396"/>
  <c r="U396"/>
  <c r="V396"/>
  <c r="W396"/>
  <c r="Y396"/>
  <c r="AA396"/>
  <c r="AB396"/>
  <c r="AC396"/>
  <c r="P397"/>
  <c r="T397"/>
  <c r="U397"/>
  <c r="V397"/>
  <c r="W397"/>
  <c r="Y397"/>
  <c r="AA397"/>
  <c r="AB397"/>
  <c r="AC397"/>
  <c r="P398"/>
  <c r="T398"/>
  <c r="U398"/>
  <c r="V398"/>
  <c r="W398"/>
  <c r="Y398"/>
  <c r="AA398"/>
  <c r="AB398"/>
  <c r="AC398"/>
  <c r="P399"/>
  <c r="T399"/>
  <c r="U399"/>
  <c r="V399"/>
  <c r="W399"/>
  <c r="Y399"/>
  <c r="AA399"/>
  <c r="AB399"/>
  <c r="AC399"/>
  <c r="P400"/>
  <c r="T400"/>
  <c r="U400"/>
  <c r="V400"/>
  <c r="W400"/>
  <c r="Y400"/>
  <c r="AA400"/>
  <c r="AB400"/>
  <c r="AC400"/>
  <c r="P401"/>
  <c r="T401"/>
  <c r="U401"/>
  <c r="V401"/>
  <c r="W401"/>
  <c r="Y401"/>
  <c r="AA401"/>
  <c r="AB401"/>
  <c r="AC401"/>
  <c r="P402"/>
  <c r="T402"/>
  <c r="U402"/>
  <c r="V402"/>
  <c r="W402"/>
  <c r="Y402"/>
  <c r="AA402"/>
  <c r="AB402"/>
  <c r="AC402"/>
  <c r="P403"/>
  <c r="T403"/>
  <c r="U403"/>
  <c r="V403"/>
  <c r="W403"/>
  <c r="Y403"/>
  <c r="AA403"/>
  <c r="AB403"/>
  <c r="AC403"/>
  <c r="P404"/>
  <c r="T404"/>
  <c r="U404"/>
  <c r="V404"/>
  <c r="W404"/>
  <c r="Y404"/>
  <c r="AA404"/>
  <c r="AB404"/>
  <c r="AC404"/>
  <c r="P405"/>
  <c r="T405"/>
  <c r="U405"/>
  <c r="V405"/>
  <c r="W405"/>
  <c r="Y405"/>
  <c r="AA405"/>
  <c r="AB405"/>
  <c r="AC405"/>
  <c r="P406"/>
  <c r="T406"/>
  <c r="U406"/>
  <c r="V406"/>
  <c r="W406"/>
  <c r="Y406"/>
  <c r="AA406"/>
  <c r="AB406"/>
  <c r="AC406"/>
  <c r="P407"/>
  <c r="T407"/>
  <c r="U407"/>
  <c r="V407"/>
  <c r="W407"/>
  <c r="Y407"/>
  <c r="AA407"/>
  <c r="AB407"/>
  <c r="AC407"/>
  <c r="P408"/>
  <c r="T408"/>
  <c r="U408"/>
  <c r="V408"/>
  <c r="W408"/>
  <c r="Y408"/>
  <c r="AA408"/>
  <c r="AB408"/>
  <c r="AC408"/>
  <c r="P409"/>
  <c r="T409"/>
  <c r="U409"/>
  <c r="V409"/>
  <c r="W409"/>
  <c r="Y409"/>
  <c r="AA409"/>
  <c r="AB409"/>
  <c r="AC409"/>
  <c r="P410"/>
  <c r="T410"/>
  <c r="U410"/>
  <c r="V410"/>
  <c r="W410"/>
  <c r="Y410"/>
  <c r="AA410"/>
  <c r="AB410"/>
  <c r="AC410"/>
  <c r="P411"/>
  <c r="T411"/>
  <c r="U411"/>
  <c r="V411"/>
  <c r="W411"/>
  <c r="Y411"/>
  <c r="AA411"/>
  <c r="AB411"/>
  <c r="AC411"/>
  <c r="P412"/>
  <c r="T412"/>
  <c r="U412"/>
  <c r="V412"/>
  <c r="W412"/>
  <c r="Y412"/>
  <c r="AA412"/>
  <c r="AB412"/>
  <c r="AC412"/>
  <c r="P413"/>
  <c r="T413"/>
  <c r="U413"/>
  <c r="V413"/>
  <c r="W413"/>
  <c r="Y413"/>
  <c r="AA413"/>
  <c r="AB413"/>
  <c r="AC413"/>
  <c r="P414"/>
  <c r="T414"/>
  <c r="U414"/>
  <c r="V414"/>
  <c r="W414"/>
  <c r="Y414"/>
  <c r="AA414"/>
  <c r="AB414"/>
  <c r="AC414"/>
  <c r="P415"/>
  <c r="T415"/>
  <c r="U415"/>
  <c r="V415"/>
  <c r="W415"/>
  <c r="Y415"/>
  <c r="AA415"/>
  <c r="AB415"/>
  <c r="AC415"/>
  <c r="P416"/>
  <c r="T416"/>
  <c r="U416"/>
  <c r="V416"/>
  <c r="W416"/>
  <c r="Y416"/>
  <c r="AA416"/>
  <c r="AB416"/>
  <c r="AC416"/>
  <c r="P417"/>
  <c r="T417"/>
  <c r="U417"/>
  <c r="V417"/>
  <c r="W417"/>
  <c r="Y417"/>
  <c r="AA417"/>
  <c r="AB417"/>
  <c r="AC417"/>
  <c r="AD417"/>
  <c r="P418"/>
  <c r="T418"/>
  <c r="U418"/>
  <c r="V418"/>
  <c r="W418"/>
  <c r="Y418"/>
  <c r="AA418"/>
  <c r="AB418"/>
  <c r="AC418"/>
  <c r="AD418"/>
  <c r="P419"/>
  <c r="T419"/>
  <c r="U419"/>
  <c r="V419"/>
  <c r="W419"/>
  <c r="Y419"/>
  <c r="AA419"/>
  <c r="AB419"/>
  <c r="AC419"/>
  <c r="AD419"/>
  <c r="P420"/>
  <c r="T420"/>
  <c r="U420"/>
  <c r="V420"/>
  <c r="W420"/>
  <c r="Y420"/>
  <c r="AA420"/>
  <c r="AB420"/>
  <c r="AC420"/>
  <c r="AD420"/>
  <c r="P421"/>
  <c r="T421"/>
  <c r="U421"/>
  <c r="V421"/>
  <c r="W421"/>
  <c r="Y421"/>
  <c r="AA421"/>
  <c r="AB421"/>
  <c r="AC421"/>
  <c r="AD421"/>
  <c r="P422"/>
  <c r="T422"/>
  <c r="U422"/>
  <c r="V422"/>
  <c r="W422"/>
  <c r="Y422"/>
  <c r="AA422"/>
  <c r="AB422"/>
  <c r="AC422"/>
  <c r="AD422"/>
  <c r="P423"/>
  <c r="T423"/>
  <c r="U423"/>
  <c r="V423"/>
  <c r="W423"/>
  <c r="Y423"/>
  <c r="AA423"/>
  <c r="AB423"/>
  <c r="AC423"/>
  <c r="AD423"/>
  <c r="P424"/>
  <c r="T424"/>
  <c r="U424"/>
  <c r="V424"/>
  <c r="W424"/>
  <c r="Y424"/>
  <c r="AA424"/>
  <c r="AB424"/>
  <c r="AC424"/>
  <c r="AD424"/>
  <c r="P425"/>
  <c r="T425"/>
  <c r="U425"/>
  <c r="V425"/>
  <c r="W425"/>
  <c r="Y425"/>
  <c r="AA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A461"/>
  <c r="AB461"/>
  <c r="AC461"/>
  <c r="AD461"/>
  <c r="P462"/>
  <c r="T462"/>
  <c r="U462"/>
  <c r="V462"/>
  <c r="W462"/>
  <c r="Y462"/>
  <c r="AA462"/>
  <c r="AB462"/>
  <c r="AC462"/>
  <c r="AD462"/>
  <c r="P463"/>
  <c r="T463"/>
  <c r="U463"/>
  <c r="V463"/>
  <c r="W463"/>
  <c r="Y463"/>
  <c r="AA463"/>
  <c r="AB463"/>
  <c r="AC463"/>
  <c r="AD463"/>
  <c r="P464"/>
  <c r="T464"/>
  <c r="U464"/>
  <c r="V464"/>
  <c r="W464"/>
  <c r="Y464"/>
  <c r="AA464"/>
  <c r="AB464"/>
  <c r="AC464"/>
  <c r="AD464"/>
  <c r="P465"/>
  <c r="T465"/>
  <c r="U465"/>
  <c r="V465"/>
  <c r="W465"/>
  <c r="Y465"/>
  <c r="AA465"/>
  <c r="AB465"/>
  <c r="AC465"/>
  <c r="AD465"/>
  <c r="P466"/>
  <c r="T466"/>
  <c r="U466"/>
  <c r="V466"/>
  <c r="W466"/>
  <c r="Y466"/>
  <c r="AA466"/>
  <c r="AB466"/>
  <c r="AC466"/>
  <c r="AD466"/>
  <c r="P467"/>
  <c r="T467"/>
  <c r="U467"/>
  <c r="V467"/>
  <c r="W467"/>
  <c r="Y467"/>
  <c r="AA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A483"/>
  <c r="AB483"/>
  <c r="AC483"/>
  <c r="AD483"/>
  <c r="P484"/>
  <c r="T484"/>
  <c r="U484"/>
  <c r="V484"/>
  <c r="W484"/>
  <c r="Y484"/>
  <c r="AA484"/>
  <c r="AB484"/>
  <c r="AC484"/>
  <c r="AD484"/>
  <c r="P485"/>
  <c r="T485"/>
  <c r="U485"/>
  <c r="V485"/>
  <c r="W485"/>
  <c r="Y485"/>
  <c r="AA485"/>
  <c r="AB485"/>
  <c r="AC485"/>
  <c r="AD485"/>
  <c r="P486"/>
  <c r="T486"/>
  <c r="U486"/>
  <c r="V486"/>
  <c r="W486"/>
  <c r="Y486"/>
  <c r="AA486"/>
  <c r="AB486"/>
  <c r="AC486"/>
  <c r="AD486"/>
  <c r="P487"/>
  <c r="T487"/>
  <c r="U487"/>
  <c r="V487"/>
  <c r="W487"/>
  <c r="Y487"/>
  <c r="AA487"/>
  <c r="AB487"/>
  <c r="AC487"/>
  <c r="AD487"/>
  <c r="P488"/>
  <c r="T488"/>
  <c r="U488"/>
  <c r="V488"/>
  <c r="W488"/>
  <c r="Y488"/>
  <c r="AA488"/>
  <c r="AB488"/>
  <c r="AC488"/>
  <c r="AD488"/>
  <c r="P489"/>
  <c r="T489"/>
  <c r="U489"/>
  <c r="V489"/>
  <c r="W489"/>
  <c r="Y489"/>
  <c r="AA489"/>
  <c r="AB489"/>
  <c r="AC489"/>
  <c r="AD489"/>
  <c r="P490"/>
  <c r="T490"/>
  <c r="U490"/>
  <c r="V490"/>
  <c r="W490"/>
  <c r="Y490"/>
  <c r="AA490"/>
  <c r="AB490"/>
  <c r="AC490"/>
  <c r="AD490"/>
  <c r="P491"/>
  <c r="T491"/>
  <c r="U491"/>
  <c r="V491"/>
  <c r="W491"/>
  <c r="Y491"/>
  <c r="AA491"/>
  <c r="AB491"/>
  <c r="AC491"/>
  <c r="AD491"/>
  <c r="P492"/>
  <c r="T492"/>
  <c r="U492"/>
  <c r="V492"/>
  <c r="W492"/>
  <c r="Y492"/>
  <c r="AA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AD508"/>
  <c r="P509"/>
  <c r="T509"/>
  <c r="U509"/>
  <c r="V509"/>
  <c r="W509"/>
  <c r="Y509"/>
  <c r="AB509"/>
  <c r="AC509"/>
  <c r="AD509"/>
  <c r="P510"/>
  <c r="T510"/>
  <c r="U510"/>
  <c r="V510"/>
  <c r="W510"/>
  <c r="Y510"/>
  <c r="AB510"/>
  <c r="AC510"/>
  <c r="AD510"/>
  <c r="P511"/>
  <c r="T511"/>
  <c r="U511"/>
  <c r="V511"/>
  <c r="W511"/>
  <c r="Y511"/>
  <c r="AB511"/>
  <c r="AC511"/>
  <c r="AD511"/>
  <c r="P512"/>
  <c r="T512"/>
  <c r="U512"/>
  <c r="V512"/>
  <c r="W512"/>
  <c r="Y512"/>
  <c r="AB512"/>
  <c r="AC512"/>
  <c r="AD512"/>
  <c r="P513"/>
  <c r="T513"/>
  <c r="U513"/>
  <c r="V513"/>
  <c r="W513"/>
  <c r="Y513"/>
  <c r="AB513"/>
  <c r="AC513"/>
  <c r="AD513"/>
  <c r="P514"/>
  <c r="T514"/>
  <c r="U514"/>
  <c r="V514"/>
  <c r="W514"/>
  <c r="Y514"/>
  <c r="AB514"/>
  <c r="AC514"/>
  <c r="AD514"/>
  <c r="P515"/>
  <c r="T515"/>
  <c r="U515"/>
  <c r="V515"/>
  <c r="W515"/>
  <c r="Y515"/>
  <c r="AB515"/>
  <c r="AC515"/>
  <c r="AD515"/>
  <c r="P516"/>
  <c r="T516"/>
  <c r="U516"/>
  <c r="V516"/>
  <c r="W516"/>
  <c r="Y516"/>
  <c r="AB516"/>
  <c r="AC516"/>
  <c r="AD516"/>
  <c r="P517"/>
  <c r="T517"/>
  <c r="U517"/>
  <c r="V517"/>
  <c r="W517"/>
  <c r="Y517"/>
  <c r="AB517"/>
  <c r="AC517"/>
  <c r="AD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AD523"/>
  <c r="P524"/>
  <c r="T524"/>
  <c r="U524"/>
  <c r="V524"/>
  <c r="W524"/>
  <c r="Y524"/>
  <c r="AB524"/>
  <c r="AC524"/>
  <c r="AD524"/>
  <c r="P525"/>
  <c r="T525"/>
  <c r="U525"/>
  <c r="V525"/>
  <c r="W525"/>
  <c r="Y525"/>
  <c r="AB525"/>
  <c r="AC525"/>
  <c r="AD525"/>
  <c r="P526"/>
  <c r="T526"/>
  <c r="U526"/>
  <c r="V526"/>
  <c r="W526"/>
  <c r="Y526"/>
  <c r="AB526"/>
  <c r="AC526"/>
  <c r="AD526"/>
  <c r="P527"/>
  <c r="T527"/>
  <c r="U527"/>
  <c r="V527"/>
  <c r="W527"/>
  <c r="Y527"/>
  <c r="AB527"/>
  <c r="AC527"/>
  <c r="AD527"/>
  <c r="P528"/>
  <c r="T528"/>
  <c r="U528"/>
  <c r="V528"/>
  <c r="W528"/>
  <c r="Y528"/>
  <c r="AB528"/>
  <c r="AC528"/>
  <c r="AD528"/>
  <c r="P529"/>
  <c r="T529"/>
  <c r="U529"/>
  <c r="V529"/>
  <c r="W529"/>
  <c r="Y529"/>
  <c r="AB529"/>
  <c r="AC529"/>
  <c r="AD529"/>
  <c r="P530"/>
  <c r="T530"/>
  <c r="U530"/>
  <c r="V530"/>
  <c r="W530"/>
  <c r="Y530"/>
  <c r="AB530"/>
  <c r="AC530"/>
  <c r="AD530"/>
  <c r="P531"/>
  <c r="T531"/>
  <c r="U531"/>
  <c r="V531"/>
  <c r="W531"/>
  <c r="Y531"/>
  <c r="AB531"/>
  <c r="AC531"/>
  <c r="AD531"/>
  <c r="P532"/>
  <c r="T532"/>
  <c r="U532"/>
  <c r="V532"/>
  <c r="W532"/>
  <c r="Y532"/>
  <c r="AB532"/>
  <c r="AC532"/>
  <c r="AD532"/>
  <c r="P533"/>
  <c r="T533"/>
  <c r="U533"/>
  <c r="V533"/>
  <c r="W533"/>
  <c r="Y533"/>
  <c r="AB533"/>
  <c r="AC533"/>
  <c r="AD533"/>
  <c r="P534"/>
  <c r="T534"/>
  <c r="U534"/>
  <c r="V534"/>
  <c r="W534"/>
  <c r="Y534"/>
  <c r="AB534"/>
  <c r="AC534"/>
  <c r="AD534"/>
  <c r="P535"/>
  <c r="T535"/>
  <c r="U535"/>
  <c r="V535"/>
  <c r="W535"/>
  <c r="Y535"/>
  <c r="AB535"/>
  <c r="AC535"/>
  <c r="AD535"/>
  <c r="P536"/>
  <c r="T536"/>
  <c r="U536"/>
  <c r="V536"/>
  <c r="W536"/>
  <c r="Y536"/>
  <c r="AB536"/>
  <c r="AC536"/>
  <c r="AD536"/>
  <c r="P537"/>
  <c r="T537"/>
  <c r="U537"/>
  <c r="V537"/>
  <c r="W537"/>
  <c r="Y537"/>
  <c r="AB537"/>
  <c r="AC537"/>
  <c r="AD537"/>
  <c r="P538"/>
  <c r="T538"/>
  <c r="U538"/>
  <c r="V538"/>
  <c r="W538"/>
  <c r="Y538"/>
  <c r="AB538"/>
  <c r="AC538"/>
  <c r="AD538"/>
  <c r="P539"/>
  <c r="T539"/>
  <c r="U539"/>
  <c r="V539"/>
  <c r="W539"/>
  <c r="Y539"/>
  <c r="AB539"/>
  <c r="AC539"/>
  <c r="AD539"/>
  <c r="P540"/>
  <c r="T540"/>
  <c r="U540"/>
  <c r="V540"/>
  <c r="W540"/>
  <c r="Y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0"/>
  <c r="T550"/>
  <c r="U550"/>
  <c r="V550"/>
  <c r="W550"/>
  <c r="Y550"/>
  <c r="AB550"/>
  <c r="AC550"/>
  <c r="AD550"/>
  <c r="P551"/>
  <c r="T551"/>
  <c r="U551"/>
  <c r="V551"/>
  <c r="W551"/>
  <c r="Y551"/>
  <c r="AB551"/>
  <c r="AC551"/>
  <c r="AD551"/>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98"/>
  <c r="T598"/>
  <c r="U598"/>
  <c r="V598"/>
  <c r="W598"/>
  <c r="Y598"/>
  <c r="AA598"/>
  <c r="AB598"/>
  <c r="AC598"/>
  <c r="P599"/>
  <c r="T599"/>
  <c r="U599"/>
  <c r="V599"/>
  <c r="W599"/>
  <c r="Y599"/>
  <c r="AA599"/>
  <c r="AB599"/>
  <c r="AC599"/>
  <c r="P600"/>
  <c r="T600"/>
  <c r="U600"/>
  <c r="V600"/>
  <c r="W600"/>
  <c r="Y600"/>
  <c r="AA600"/>
  <c r="AB600"/>
  <c r="AC600"/>
  <c r="P601"/>
  <c r="T601"/>
  <c r="U601"/>
  <c r="V601"/>
  <c r="W601"/>
  <c r="Y601"/>
  <c r="AA601"/>
  <c r="AB601"/>
  <c r="AC601"/>
  <c r="P602"/>
  <c r="T602"/>
  <c r="U602"/>
  <c r="V602"/>
  <c r="W602"/>
  <c r="Y602"/>
  <c r="AA602"/>
  <c r="AB602"/>
  <c r="AC602"/>
  <c r="P603"/>
  <c r="T603"/>
  <c r="U603"/>
  <c r="V603"/>
  <c r="W603"/>
  <c r="Y603"/>
  <c r="AA603"/>
  <c r="AB603"/>
  <c r="AC603"/>
  <c r="P604"/>
  <c r="T604"/>
  <c r="U604"/>
  <c r="V604"/>
  <c r="W604"/>
  <c r="Y604"/>
  <c r="AA604"/>
  <c r="AB604"/>
  <c r="AC604"/>
  <c r="P605"/>
  <c r="T605"/>
  <c r="U605"/>
  <c r="V605"/>
  <c r="W605"/>
  <c r="Y605"/>
  <c r="AA605"/>
  <c r="AB605"/>
  <c r="AC605"/>
  <c r="P606"/>
  <c r="T606"/>
  <c r="U606"/>
  <c r="V606"/>
  <c r="W606"/>
  <c r="Y606"/>
  <c r="AA606"/>
  <c r="AB606"/>
  <c r="AC606"/>
  <c r="P607"/>
  <c r="T607"/>
  <c r="U607"/>
  <c r="V607"/>
  <c r="W607"/>
  <c r="Y607"/>
  <c r="AA607"/>
  <c r="AB607"/>
  <c r="AC607"/>
  <c r="P608"/>
  <c r="T608"/>
  <c r="U608"/>
  <c r="V608"/>
  <c r="W608"/>
  <c r="Y608"/>
  <c r="AA608"/>
  <c r="AB608"/>
  <c r="AC608"/>
  <c r="P610"/>
  <c r="T610"/>
  <c r="U610"/>
  <c r="V610"/>
  <c r="W610"/>
  <c r="Y610"/>
  <c r="AA610"/>
  <c r="AB610"/>
  <c r="AC610"/>
  <c r="P611"/>
  <c r="T611"/>
  <c r="U611"/>
  <c r="V611"/>
  <c r="W611"/>
  <c r="Y611"/>
  <c r="AA611"/>
  <c r="AB611"/>
  <c r="AC611"/>
  <c r="P612"/>
  <c r="T612"/>
  <c r="U612"/>
  <c r="V612"/>
  <c r="W612"/>
  <c r="Y612"/>
  <c r="AA612"/>
  <c r="AB612"/>
  <c r="AC612"/>
  <c r="P613"/>
  <c r="T613"/>
  <c r="U613"/>
  <c r="V613"/>
  <c r="W613"/>
  <c r="Y613"/>
  <c r="AA613"/>
  <c r="AB613"/>
  <c r="AC613"/>
  <c r="P614"/>
  <c r="T614"/>
  <c r="U614"/>
  <c r="V614"/>
  <c r="W614"/>
  <c r="Y614"/>
  <c r="AA614"/>
  <c r="AB614"/>
  <c r="AC614"/>
  <c r="P615"/>
  <c r="T615"/>
  <c r="U615"/>
  <c r="V615"/>
  <c r="W615"/>
  <c r="Y615"/>
  <c r="AA615"/>
  <c r="AB615"/>
  <c r="AC615"/>
  <c r="P616"/>
  <c r="T616"/>
  <c r="U616"/>
  <c r="V616"/>
  <c r="W616"/>
  <c r="Y616"/>
  <c r="AA616"/>
  <c r="AB616"/>
  <c r="AC616"/>
  <c r="P617"/>
  <c r="T617"/>
  <c r="U617"/>
  <c r="V617"/>
  <c r="W617"/>
  <c r="Y617"/>
  <c r="AA617"/>
  <c r="AB617"/>
  <c r="AC617"/>
  <c r="P618"/>
  <c r="T618"/>
  <c r="U618"/>
  <c r="V618"/>
  <c r="W618"/>
  <c r="Y618"/>
  <c r="AA618"/>
  <c r="AB618"/>
  <c r="AC618"/>
  <c r="P619"/>
  <c r="T619"/>
  <c r="U619"/>
  <c r="V619"/>
  <c r="W619"/>
  <c r="Y619"/>
  <c r="AA619"/>
  <c r="AB619"/>
  <c r="AC619"/>
  <c r="P620"/>
  <c r="T620"/>
  <c r="U620"/>
  <c r="V620"/>
  <c r="W620"/>
  <c r="Y620"/>
  <c r="AA620"/>
  <c r="AB620"/>
  <c r="AC620"/>
  <c r="P621"/>
  <c r="T621"/>
  <c r="U621"/>
  <c r="V621"/>
  <c r="W621"/>
  <c r="Y621"/>
  <c r="AA621"/>
  <c r="AB621"/>
  <c r="AC621"/>
  <c r="P622"/>
  <c r="T622"/>
  <c r="U622"/>
  <c r="V622"/>
  <c r="W622"/>
  <c r="Y622"/>
  <c r="AA622"/>
  <c r="AB622"/>
  <c r="AC622"/>
  <c r="P623"/>
  <c r="T623"/>
  <c r="U623"/>
  <c r="V623"/>
  <c r="W623"/>
  <c r="Y623"/>
  <c r="AA623"/>
  <c r="AB623"/>
  <c r="AC623"/>
  <c r="P624"/>
  <c r="T624"/>
  <c r="U624"/>
  <c r="V624"/>
  <c r="W624"/>
  <c r="Y624"/>
  <c r="AA624"/>
  <c r="AB624"/>
  <c r="AC624"/>
  <c r="P625"/>
  <c r="T625"/>
  <c r="U625"/>
  <c r="V625"/>
  <c r="W625"/>
  <c r="Y625"/>
  <c r="AA625"/>
  <c r="AB625"/>
  <c r="AC625"/>
  <c r="P626"/>
  <c r="T626"/>
  <c r="U626"/>
  <c r="V626"/>
  <c r="W626"/>
  <c r="Y626"/>
  <c r="AA626"/>
  <c r="AB626"/>
  <c r="AC626"/>
  <c r="P627"/>
  <c r="T627"/>
  <c r="U627"/>
  <c r="V627"/>
  <c r="W627"/>
  <c r="Y627"/>
  <c r="AA627"/>
  <c r="AB627"/>
  <c r="AC627"/>
  <c r="P628"/>
  <c r="T628"/>
  <c r="U628"/>
  <c r="V628"/>
  <c r="W628"/>
  <c r="Y628"/>
  <c r="AA628"/>
  <c r="AB628"/>
  <c r="AC628"/>
  <c r="P629"/>
  <c r="T629"/>
  <c r="U629"/>
  <c r="V629"/>
  <c r="W629"/>
  <c r="Y629"/>
  <c r="AA629"/>
  <c r="AB629"/>
  <c r="AC629"/>
  <c r="P630"/>
  <c r="T630"/>
  <c r="U630"/>
  <c r="V630"/>
  <c r="W630"/>
  <c r="Y630"/>
  <c r="AA630"/>
  <c r="AB630"/>
  <c r="AC630"/>
  <c r="P631"/>
  <c r="T631"/>
  <c r="U631"/>
  <c r="V631"/>
  <c r="W631"/>
  <c r="Y631"/>
  <c r="AA631"/>
  <c r="AB631"/>
  <c r="AC631"/>
  <c r="P632"/>
  <c r="T632"/>
  <c r="U632"/>
  <c r="V632"/>
  <c r="W632"/>
  <c r="Y632"/>
  <c r="AA632"/>
  <c r="AB632"/>
  <c r="AC632"/>
  <c r="P633"/>
  <c r="T633"/>
  <c r="U633"/>
  <c r="V633"/>
  <c r="W633"/>
  <c r="Y633"/>
  <c r="AA633"/>
  <c r="AB633"/>
  <c r="AC633"/>
  <c r="P634"/>
  <c r="T634"/>
  <c r="U634"/>
  <c r="V634"/>
  <c r="W634"/>
  <c r="Y634"/>
  <c r="AA634"/>
  <c r="AB634"/>
  <c r="AC634"/>
  <c r="P651"/>
  <c r="T651"/>
  <c r="U651"/>
  <c r="V651"/>
  <c r="W651"/>
  <c r="Y651"/>
  <c r="AA651"/>
  <c r="AB651"/>
  <c r="AC651"/>
  <c r="P652"/>
  <c r="T652"/>
  <c r="U652"/>
  <c r="V652"/>
  <c r="W652"/>
  <c r="Y652"/>
  <c r="AA652"/>
  <c r="AB652"/>
  <c r="AC652"/>
  <c r="P653"/>
  <c r="T653"/>
  <c r="U653"/>
  <c r="V653"/>
  <c r="W653"/>
  <c r="Y653"/>
  <c r="AA653"/>
  <c r="AB653"/>
  <c r="AC653"/>
  <c r="P654"/>
  <c r="T654"/>
  <c r="U654"/>
  <c r="V654"/>
  <c r="W654"/>
  <c r="Y654"/>
  <c r="AA654"/>
  <c r="AB654"/>
  <c r="AC654"/>
  <c r="P655"/>
  <c r="T655"/>
  <c r="U655"/>
  <c r="V655"/>
  <c r="W655"/>
  <c r="Y655"/>
  <c r="AA655"/>
  <c r="AB655"/>
  <c r="AC655"/>
  <c r="P656"/>
  <c r="T656"/>
  <c r="U656"/>
  <c r="V656"/>
  <c r="W656"/>
  <c r="Y656"/>
  <c r="AA656"/>
  <c r="AB656"/>
  <c r="AC656"/>
  <c r="P657"/>
  <c r="T657"/>
  <c r="U657"/>
  <c r="V657"/>
  <c r="W657"/>
  <c r="Y657"/>
  <c r="AA657"/>
  <c r="AB657"/>
  <c r="AC657"/>
  <c r="P658"/>
  <c r="T658"/>
  <c r="U658"/>
  <c r="V658"/>
  <c r="W658"/>
  <c r="Y658"/>
  <c r="AA658"/>
  <c r="AB658"/>
  <c r="AC658"/>
  <c r="P659"/>
  <c r="T659"/>
  <c r="U659"/>
  <c r="V659"/>
  <c r="W659"/>
  <c r="Y659"/>
  <c r="AA659"/>
  <c r="AB659"/>
  <c r="AC659"/>
  <c r="P660"/>
  <c r="T660"/>
  <c r="U660"/>
  <c r="V660"/>
  <c r="W660"/>
  <c r="Y660"/>
  <c r="AA660"/>
  <c r="AB660"/>
  <c r="AC660"/>
  <c r="P661"/>
  <c r="T661"/>
  <c r="U661"/>
  <c r="V661"/>
  <c r="W661"/>
  <c r="Y661"/>
  <c r="AA661"/>
  <c r="AB661"/>
  <c r="AC661"/>
  <c r="P662"/>
  <c r="T662"/>
  <c r="U662"/>
  <c r="V662"/>
  <c r="W662"/>
  <c r="Y662"/>
  <c r="AA662"/>
  <c r="AB662"/>
  <c r="AC662"/>
  <c r="P663"/>
  <c r="T663"/>
  <c r="U663"/>
  <c r="V663"/>
  <c r="W663"/>
  <c r="Y663"/>
  <c r="AA663"/>
  <c r="AB663"/>
  <c r="AC663"/>
  <c r="P664"/>
  <c r="T664"/>
  <c r="U664"/>
  <c r="V664"/>
  <c r="W664"/>
  <c r="Y664"/>
  <c r="AA664"/>
  <c r="AB664"/>
  <c r="AC664"/>
  <c r="P665"/>
  <c r="T665"/>
  <c r="U665"/>
  <c r="V665"/>
  <c r="W665"/>
  <c r="Y665"/>
  <c r="AA665"/>
  <c r="AB665"/>
  <c r="AC665"/>
  <c r="P666"/>
  <c r="T666"/>
  <c r="U666"/>
  <c r="V666"/>
  <c r="W666"/>
  <c r="Y666"/>
  <c r="AA666"/>
  <c r="AB666"/>
  <c r="AC666"/>
  <c r="P667"/>
  <c r="T667"/>
  <c r="U667"/>
  <c r="V667"/>
  <c r="W667"/>
  <c r="Y667"/>
  <c r="AA667"/>
  <c r="AB667"/>
  <c r="AC667"/>
  <c r="P668"/>
  <c r="T668"/>
  <c r="U668"/>
  <c r="V668"/>
  <c r="W668"/>
  <c r="Y668"/>
  <c r="AA668"/>
  <c r="AB668"/>
  <c r="AC668"/>
  <c r="P670"/>
  <c r="T670"/>
  <c r="U670"/>
  <c r="V670"/>
  <c r="W670"/>
  <c r="Y670"/>
  <c r="AA670"/>
  <c r="AB670"/>
  <c r="AC670"/>
  <c r="P671"/>
  <c r="T671"/>
  <c r="U671"/>
  <c r="V671"/>
  <c r="W671"/>
  <c r="Y671"/>
  <c r="AA671"/>
  <c r="AB671"/>
  <c r="AC671"/>
  <c r="P688"/>
  <c r="T688"/>
  <c r="U688"/>
  <c r="V688"/>
  <c r="W688"/>
  <c r="Y688"/>
  <c r="AA688"/>
  <c r="AB688"/>
  <c r="AC688"/>
  <c r="P689"/>
  <c r="T689"/>
  <c r="U689"/>
  <c r="V689"/>
  <c r="W689"/>
  <c r="Y689"/>
  <c r="AA689"/>
  <c r="AB689"/>
  <c r="AC689"/>
  <c r="P690"/>
  <c r="T690"/>
  <c r="U690"/>
  <c r="V690"/>
  <c r="W690"/>
  <c r="Y690"/>
  <c r="AA690"/>
  <c r="AB690"/>
  <c r="AC690"/>
  <c r="P691"/>
  <c r="T691"/>
  <c r="U691"/>
  <c r="V691"/>
  <c r="W691"/>
  <c r="Y691"/>
  <c r="AA691"/>
  <c r="AB691"/>
  <c r="AC691"/>
  <c r="P692"/>
  <c r="T692"/>
  <c r="U692"/>
  <c r="V692"/>
  <c r="W692"/>
  <c r="Y692"/>
  <c r="AA692"/>
  <c r="AB692"/>
  <c r="AC692"/>
  <c r="P693"/>
  <c r="T693"/>
  <c r="U693"/>
  <c r="V693"/>
  <c r="W693"/>
  <c r="Y693"/>
  <c r="AA693"/>
  <c r="AB693"/>
  <c r="AC693"/>
  <c r="P694"/>
  <c r="T694"/>
  <c r="U694"/>
  <c r="V694"/>
  <c r="W694"/>
  <c r="Y694"/>
  <c r="AA694"/>
  <c r="AB694"/>
  <c r="AC694"/>
  <c r="P695"/>
  <c r="T695"/>
  <c r="U695"/>
  <c r="V695"/>
  <c r="W695"/>
  <c r="Y695"/>
  <c r="AA695"/>
  <c r="AB695"/>
  <c r="AC695"/>
  <c r="P696"/>
  <c r="T696"/>
  <c r="U696"/>
  <c r="V696"/>
  <c r="W696"/>
  <c r="Y696"/>
  <c r="AA696"/>
  <c r="AB696"/>
  <c r="AC696"/>
  <c r="P697"/>
  <c r="T697"/>
  <c r="U697"/>
  <c r="V697"/>
  <c r="W697"/>
  <c r="Y697"/>
  <c r="AA697"/>
  <c r="AB697"/>
  <c r="AC697"/>
  <c r="P698"/>
  <c r="T698"/>
  <c r="U698"/>
  <c r="V698"/>
  <c r="W698"/>
  <c r="Y698"/>
  <c r="AA698"/>
  <c r="AB698"/>
  <c r="AC698"/>
  <c r="P699"/>
  <c r="T699"/>
  <c r="U699"/>
  <c r="V699"/>
  <c r="W699"/>
  <c r="Y699"/>
  <c r="AA699"/>
  <c r="AB699"/>
  <c r="AC699"/>
  <c r="P700"/>
  <c r="T700"/>
  <c r="U700"/>
  <c r="V700"/>
  <c r="W700"/>
  <c r="Y700"/>
  <c r="AA700"/>
  <c r="AB700"/>
  <c r="AC700"/>
  <c r="P701"/>
  <c r="T701"/>
  <c r="U701"/>
  <c r="V701"/>
  <c r="W701"/>
  <c r="Y701"/>
  <c r="AA701"/>
  <c r="AB701"/>
  <c r="AC701"/>
  <c r="P702"/>
  <c r="T702"/>
  <c r="U702"/>
  <c r="V702"/>
  <c r="W702"/>
  <c r="Y702"/>
  <c r="AA702"/>
  <c r="AB702"/>
  <c r="AC702"/>
  <c r="P703"/>
  <c r="T703"/>
  <c r="U703"/>
  <c r="V703"/>
  <c r="W703"/>
  <c r="Y703"/>
  <c r="AA703"/>
  <c r="AB703"/>
  <c r="AC703"/>
  <c r="P704"/>
  <c r="T704"/>
  <c r="U704"/>
  <c r="V704"/>
  <c r="W704"/>
  <c r="Y704"/>
  <c r="AA704"/>
  <c r="AB704"/>
  <c r="AC704"/>
  <c r="P705"/>
  <c r="T705"/>
  <c r="U705"/>
  <c r="V705"/>
  <c r="W705"/>
  <c r="Y705"/>
  <c r="AA705"/>
  <c r="AB705"/>
  <c r="AC705"/>
  <c r="P706"/>
  <c r="T706"/>
  <c r="U706"/>
  <c r="V706"/>
  <c r="W706"/>
  <c r="Y706"/>
  <c r="AA706"/>
  <c r="AB706"/>
  <c r="AC706"/>
  <c r="P707"/>
  <c r="T707"/>
  <c r="U707"/>
  <c r="V707"/>
  <c r="W707"/>
  <c r="Y707"/>
  <c r="AA707"/>
  <c r="AB707"/>
  <c r="AC707"/>
  <c r="P710"/>
  <c r="T710"/>
  <c r="U710"/>
  <c r="V710"/>
  <c r="W710"/>
  <c r="Y710"/>
  <c r="AA710"/>
  <c r="AB710"/>
  <c r="AC710"/>
  <c r="P711"/>
  <c r="T711"/>
  <c r="U711"/>
  <c r="V711"/>
  <c r="W711"/>
  <c r="Y711"/>
  <c r="AA711"/>
  <c r="AB711"/>
  <c r="AC711"/>
  <c r="P712"/>
  <c r="T712"/>
  <c r="U712"/>
  <c r="V712"/>
  <c r="W712"/>
  <c r="Y712"/>
  <c r="AA712"/>
  <c r="AB712"/>
  <c r="AC712"/>
  <c r="P713"/>
  <c r="T713"/>
  <c r="U713"/>
  <c r="V713"/>
  <c r="W713"/>
  <c r="Y713"/>
  <c r="AA713"/>
  <c r="AB713"/>
  <c r="AC713"/>
  <c r="P714"/>
  <c r="T714"/>
  <c r="U714"/>
  <c r="V714"/>
  <c r="W714"/>
  <c r="Y714"/>
  <c r="AA714"/>
  <c r="AB714"/>
  <c r="AC714"/>
  <c r="P715"/>
  <c r="T715"/>
  <c r="U715"/>
  <c r="V715"/>
  <c r="W715"/>
  <c r="Y715"/>
  <c r="AA715"/>
  <c r="AB715"/>
  <c r="AC715"/>
  <c r="P716"/>
  <c r="T716"/>
  <c r="U716"/>
  <c r="V716"/>
  <c r="W716"/>
  <c r="Y716"/>
  <c r="AA716"/>
  <c r="AB716"/>
  <c r="AC716"/>
  <c r="P717"/>
  <c r="T717"/>
  <c r="U717"/>
  <c r="V717"/>
  <c r="W717"/>
  <c r="Y717"/>
  <c r="AA717"/>
  <c r="AB717"/>
  <c r="AC717"/>
  <c r="P718"/>
  <c r="T718"/>
  <c r="U718"/>
  <c r="V718"/>
  <c r="W718"/>
  <c r="Y718"/>
  <c r="AA718"/>
  <c r="AB718"/>
  <c r="AC718"/>
  <c r="P719"/>
  <c r="T719"/>
  <c r="U719"/>
  <c r="V719"/>
  <c r="W719"/>
  <c r="Y719"/>
  <c r="AA719"/>
  <c r="AB719"/>
  <c r="AC719"/>
  <c r="P708"/>
  <c r="T708"/>
  <c r="U708"/>
  <c r="V708"/>
  <c r="W708"/>
  <c r="Y708"/>
  <c r="AA708"/>
  <c r="AB708"/>
  <c r="AC708"/>
  <c r="P709"/>
  <c r="T709"/>
  <c r="U709"/>
  <c r="V709"/>
  <c r="W709"/>
  <c r="Y709"/>
  <c r="AA709"/>
  <c r="AB709"/>
  <c r="AC709"/>
  <c r="P720"/>
  <c r="T720"/>
  <c r="U720"/>
  <c r="V720"/>
  <c r="W720"/>
  <c r="Y720"/>
  <c r="AA720"/>
  <c r="AB720"/>
  <c r="AC720"/>
  <c r="P721"/>
  <c r="T721"/>
  <c r="U721"/>
  <c r="V721"/>
  <c r="W721"/>
  <c r="Y721"/>
  <c r="AA721"/>
  <c r="AB721"/>
  <c r="AC721"/>
  <c r="P722"/>
  <c r="T722"/>
  <c r="U722"/>
  <c r="V722"/>
  <c r="W722"/>
  <c r="Y722"/>
  <c r="AA722"/>
  <c r="AB722"/>
  <c r="AC722"/>
  <c r="P723"/>
  <c r="T723"/>
  <c r="U723"/>
  <c r="V723"/>
  <c r="W723"/>
  <c r="Y723"/>
  <c r="AA723"/>
  <c r="AB723"/>
  <c r="AC723"/>
  <c r="P724"/>
  <c r="T724"/>
  <c r="U724"/>
  <c r="V724"/>
  <c r="W724"/>
  <c r="Y724"/>
  <c r="AA724"/>
  <c r="AB724"/>
  <c r="AC724"/>
  <c r="P725"/>
  <c r="T725"/>
  <c r="U725"/>
  <c r="V725"/>
  <c r="W725"/>
  <c r="Y725"/>
  <c r="AA725"/>
  <c r="AB725"/>
  <c r="AC725"/>
  <c r="P726"/>
  <c r="T726"/>
  <c r="U726"/>
  <c r="V726"/>
  <c r="W726"/>
  <c r="Y726"/>
  <c r="AA726"/>
  <c r="AB726"/>
  <c r="AC726"/>
  <c r="P727"/>
  <c r="T727"/>
  <c r="U727"/>
  <c r="V727"/>
  <c r="W727"/>
  <c r="Y727"/>
  <c r="AA727"/>
  <c r="AB727"/>
  <c r="AC727"/>
  <c r="P728"/>
  <c r="T728"/>
  <c r="U728"/>
  <c r="V728"/>
  <c r="W728"/>
  <c r="Y728"/>
  <c r="AA728"/>
  <c r="AB728"/>
  <c r="AC728"/>
  <c r="P729"/>
  <c r="T729"/>
  <c r="U729"/>
  <c r="V729"/>
  <c r="W729"/>
  <c r="Y729"/>
  <c r="AA729"/>
  <c r="AB729"/>
  <c r="AC729"/>
  <c r="P730"/>
  <c r="T730"/>
  <c r="U730"/>
  <c r="V730"/>
  <c r="W730"/>
  <c r="Y730"/>
  <c r="AA730"/>
  <c r="AB730"/>
  <c r="AC730"/>
  <c r="P731"/>
  <c r="T731"/>
  <c r="U731"/>
  <c r="V731"/>
  <c r="W731"/>
  <c r="Y731"/>
  <c r="AA731"/>
  <c r="AB731"/>
  <c r="AC731"/>
  <c r="P732"/>
  <c r="T732"/>
  <c r="U732"/>
  <c r="V732"/>
  <c r="W732"/>
  <c r="Y732"/>
  <c r="AA732"/>
  <c r="AB732"/>
  <c r="AC732"/>
  <c r="P733"/>
  <c r="T733"/>
  <c r="U733"/>
  <c r="V733"/>
  <c r="W733"/>
  <c r="Y733"/>
  <c r="AA733"/>
  <c r="AB733"/>
  <c r="AC733"/>
  <c r="P734"/>
  <c r="T734"/>
  <c r="U734"/>
  <c r="V734"/>
  <c r="W734"/>
  <c r="Y734"/>
  <c r="AA734"/>
  <c r="AB734"/>
  <c r="AC734"/>
  <c r="P735"/>
  <c r="T735"/>
  <c r="U735"/>
  <c r="V735"/>
  <c r="W735"/>
  <c r="Y735"/>
  <c r="AA735"/>
  <c r="AB735"/>
  <c r="AC735"/>
  <c r="P736"/>
  <c r="T736"/>
  <c r="U736"/>
  <c r="V736"/>
  <c r="W736"/>
  <c r="Y736"/>
  <c r="AA736"/>
  <c r="AB736"/>
  <c r="AC736"/>
  <c r="P737"/>
  <c r="T737"/>
  <c r="U737"/>
  <c r="V737"/>
  <c r="W737"/>
  <c r="Y737"/>
  <c r="AA737"/>
  <c r="AB737"/>
  <c r="AC737"/>
  <c r="P738"/>
  <c r="T738"/>
  <c r="U738"/>
  <c r="V738"/>
  <c r="W738"/>
  <c r="Y738"/>
  <c r="AA738"/>
  <c r="AB738"/>
  <c r="AC738"/>
  <c r="P739"/>
  <c r="T739"/>
  <c r="U739"/>
  <c r="V739"/>
  <c r="W739"/>
  <c r="Y739"/>
  <c r="AA739"/>
  <c r="AB739"/>
  <c r="AC739"/>
  <c r="P740"/>
  <c r="T740"/>
  <c r="U740"/>
  <c r="V740"/>
  <c r="W740"/>
  <c r="Y740"/>
  <c r="AA740"/>
  <c r="AB740"/>
  <c r="AC740"/>
  <c r="P741"/>
  <c r="T741"/>
  <c r="U741"/>
  <c r="V741"/>
  <c r="W741"/>
  <c r="Y741"/>
  <c r="AA741"/>
  <c r="AB741"/>
  <c r="AC741"/>
  <c r="P742"/>
  <c r="T742"/>
  <c r="U742"/>
  <c r="V742"/>
  <c r="W742"/>
  <c r="Y742"/>
  <c r="AA742"/>
  <c r="AB742"/>
  <c r="AC742"/>
  <c r="P743"/>
  <c r="T743"/>
  <c r="U743"/>
  <c r="V743"/>
  <c r="W743"/>
  <c r="Y743"/>
  <c r="AA743"/>
  <c r="AB743"/>
  <c r="AC743"/>
  <c r="P744"/>
  <c r="T744"/>
  <c r="U744"/>
  <c r="V744"/>
  <c r="W744"/>
  <c r="Y744"/>
  <c r="AA744"/>
  <c r="AB744"/>
  <c r="AC744"/>
  <c r="P745"/>
  <c r="T745"/>
  <c r="U745"/>
  <c r="V745"/>
  <c r="W745"/>
  <c r="Y745"/>
  <c r="AA745"/>
  <c r="AB745"/>
  <c r="AC745"/>
  <c r="P746"/>
  <c r="T746"/>
  <c r="U746"/>
  <c r="V746"/>
  <c r="W746"/>
  <c r="Y746"/>
  <c r="AA746"/>
  <c r="AB746"/>
  <c r="AC746"/>
  <c r="P747"/>
  <c r="T747"/>
  <c r="U747"/>
  <c r="V747"/>
  <c r="W747"/>
  <c r="Y747"/>
  <c r="AA747"/>
  <c r="AB747"/>
  <c r="AC747"/>
  <c r="P748"/>
  <c r="T748"/>
  <c r="U748"/>
  <c r="V748"/>
  <c r="W748"/>
  <c r="Y748"/>
  <c r="AA748"/>
  <c r="AB748"/>
  <c r="AC748"/>
  <c r="P749"/>
  <c r="T749"/>
  <c r="U749"/>
  <c r="V749"/>
  <c r="W749"/>
  <c r="Y749"/>
  <c r="AA749"/>
  <c r="AB749"/>
  <c r="AC749"/>
  <c r="P750"/>
  <c r="T750"/>
  <c r="U750"/>
  <c r="V750"/>
  <c r="W750"/>
  <c r="Y750"/>
  <c r="AA750"/>
  <c r="AB750"/>
  <c r="AC750"/>
  <c r="P751"/>
  <c r="T751"/>
  <c r="U751"/>
  <c r="V751"/>
  <c r="W751"/>
  <c r="Y751"/>
  <c r="AA751"/>
  <c r="AB751"/>
  <c r="AC751"/>
  <c r="P752"/>
  <c r="T752"/>
  <c r="U752"/>
  <c r="V752"/>
  <c r="W752"/>
  <c r="Y752"/>
  <c r="AA752"/>
  <c r="AB752"/>
  <c r="AC752"/>
  <c r="P753"/>
  <c r="T753"/>
  <c r="U753"/>
  <c r="V753"/>
  <c r="W753"/>
  <c r="Y753"/>
  <c r="AA753"/>
  <c r="AB753"/>
  <c r="AC753"/>
  <c r="P754"/>
  <c r="T754"/>
  <c r="U754"/>
  <c r="V754"/>
  <c r="W754"/>
  <c r="Y754"/>
  <c r="AA754"/>
  <c r="AB754"/>
  <c r="AC754"/>
  <c r="P755"/>
  <c r="T755"/>
  <c r="U755"/>
  <c r="V755"/>
  <c r="W755"/>
  <c r="Y755"/>
  <c r="AA755"/>
  <c r="AB755"/>
  <c r="AC755"/>
  <c r="P756"/>
  <c r="T756"/>
  <c r="U756"/>
  <c r="V756"/>
  <c r="W756"/>
  <c r="Y756"/>
  <c r="AA756"/>
  <c r="AB756"/>
  <c r="AC756"/>
  <c r="P757"/>
  <c r="T757"/>
  <c r="U757"/>
  <c r="V757"/>
  <c r="W757"/>
  <c r="Y757"/>
  <c r="AA757"/>
  <c r="AB757"/>
  <c r="AC757"/>
  <c r="P758"/>
  <c r="T758"/>
  <c r="U758"/>
  <c r="V758"/>
  <c r="W758"/>
  <c r="Y758"/>
  <c r="AA758"/>
  <c r="AB758"/>
  <c r="AC758"/>
  <c r="P759"/>
  <c r="T759"/>
  <c r="U759"/>
  <c r="V759"/>
  <c r="W759"/>
  <c r="Y759"/>
  <c r="AA759"/>
  <c r="AB759"/>
  <c r="AC759"/>
  <c r="P760"/>
  <c r="T760"/>
  <c r="U760"/>
  <c r="V760"/>
  <c r="W760"/>
  <c r="Y760"/>
  <c r="AA760"/>
  <c r="AB760"/>
  <c r="AC760"/>
  <c r="P761"/>
  <c r="T761"/>
  <c r="U761"/>
  <c r="V761"/>
  <c r="W761"/>
  <c r="Y761"/>
  <c r="AA761"/>
  <c r="AB761"/>
  <c r="AC761"/>
  <c r="P762"/>
  <c r="T762"/>
  <c r="U762"/>
  <c r="V762"/>
  <c r="W762"/>
  <c r="Y762"/>
  <c r="AA762"/>
  <c r="AB762"/>
  <c r="AC762"/>
  <c r="P763"/>
  <c r="T763"/>
  <c r="U763"/>
  <c r="V763"/>
  <c r="W763"/>
  <c r="Y763"/>
  <c r="AA763"/>
  <c r="AB763"/>
  <c r="AC763"/>
  <c r="P764"/>
  <c r="T764"/>
  <c r="U764"/>
  <c r="V764"/>
  <c r="W764"/>
  <c r="Y764"/>
  <c r="AA764"/>
  <c r="AB764"/>
  <c r="AC764"/>
  <c r="P765"/>
  <c r="T765"/>
  <c r="U765"/>
  <c r="V765"/>
  <c r="W765"/>
  <c r="Y765"/>
  <c r="AA765"/>
  <c r="AB765"/>
  <c r="AC765"/>
  <c r="P766"/>
  <c r="T766"/>
  <c r="U766"/>
  <c r="V766"/>
  <c r="W766"/>
  <c r="Y766"/>
  <c r="AA766"/>
  <c r="AB766"/>
  <c r="AC766"/>
  <c r="P767"/>
  <c r="T767"/>
  <c r="U767"/>
  <c r="V767"/>
  <c r="W767"/>
  <c r="Y767"/>
  <c r="AA767"/>
  <c r="AB767"/>
  <c r="AC767"/>
  <c r="P768"/>
  <c r="T768"/>
  <c r="U768"/>
  <c r="V768"/>
  <c r="W768"/>
  <c r="Y768"/>
  <c r="AA768"/>
  <c r="AB768"/>
  <c r="AC768"/>
  <c r="P769"/>
  <c r="T769"/>
  <c r="U769"/>
  <c r="V769"/>
  <c r="W769"/>
  <c r="Y769"/>
  <c r="AA769"/>
  <c r="AB769"/>
  <c r="AC769"/>
  <c r="P770"/>
  <c r="T770"/>
  <c r="U770"/>
  <c r="V770"/>
  <c r="W770"/>
  <c r="Y770"/>
  <c r="AA770"/>
  <c r="AB770"/>
  <c r="AC770"/>
  <c r="P771"/>
  <c r="T771"/>
  <c r="U771"/>
  <c r="V771"/>
  <c r="W771"/>
  <c r="Y771"/>
  <c r="AA771"/>
  <c r="AB771"/>
  <c r="AC771"/>
  <c r="P772"/>
  <c r="T772"/>
  <c r="U772"/>
  <c r="V772"/>
  <c r="W772"/>
  <c r="Y772"/>
  <c r="AA772"/>
  <c r="AB772"/>
  <c r="AC772"/>
  <c r="P773"/>
  <c r="T773"/>
  <c r="U773"/>
  <c r="V773"/>
  <c r="W773"/>
  <c r="Y773"/>
  <c r="AA773"/>
  <c r="AB773"/>
  <c r="AC773"/>
  <c r="P774"/>
  <c r="T774"/>
  <c r="U774"/>
  <c r="V774"/>
  <c r="W774"/>
  <c r="Y774"/>
  <c r="AA774"/>
  <c r="AB774"/>
  <c r="AC774"/>
  <c r="P775"/>
  <c r="T775"/>
  <c r="U775"/>
  <c r="V775"/>
  <c r="W775"/>
  <c r="Y775"/>
  <c r="AA775"/>
  <c r="AB775"/>
  <c r="AC775"/>
  <c r="P776"/>
  <c r="T776"/>
  <c r="U776"/>
  <c r="V776"/>
  <c r="W776"/>
  <c r="Y776"/>
  <c r="AA776"/>
  <c r="AB776"/>
  <c r="AC776"/>
  <c r="P777"/>
  <c r="T777"/>
  <c r="U777"/>
  <c r="V777"/>
  <c r="W777"/>
  <c r="Y777"/>
  <c r="AA777"/>
  <c r="AB777"/>
  <c r="AC777"/>
  <c r="P778"/>
  <c r="T778"/>
  <c r="U778"/>
  <c r="V778"/>
  <c r="W778"/>
  <c r="Y778"/>
  <c r="AA778"/>
  <c r="AB778"/>
  <c r="AC778"/>
  <c r="P779"/>
  <c r="T779"/>
  <c r="U779"/>
  <c r="V779"/>
  <c r="W779"/>
  <c r="Y779"/>
  <c r="AA779"/>
  <c r="AB779"/>
  <c r="AC779"/>
  <c r="P780"/>
  <c r="T780"/>
  <c r="U780"/>
  <c r="V780"/>
  <c r="W780"/>
  <c r="Y780"/>
  <c r="AA780"/>
  <c r="AB780"/>
  <c r="AC780"/>
  <c r="P781"/>
  <c r="T781"/>
  <c r="U781"/>
  <c r="V781"/>
  <c r="W781"/>
  <c r="Y781"/>
  <c r="AA781"/>
  <c r="AB781"/>
  <c r="AC781"/>
  <c r="P782"/>
  <c r="T782"/>
  <c r="U782"/>
  <c r="V782"/>
  <c r="W782"/>
  <c r="Y782"/>
  <c r="AA782"/>
  <c r="AB782"/>
  <c r="AC782"/>
  <c r="P783"/>
  <c r="T783"/>
  <c r="U783"/>
  <c r="V783"/>
  <c r="W783"/>
  <c r="Y783"/>
  <c r="AA783"/>
  <c r="AB783"/>
  <c r="AC783"/>
  <c r="P784"/>
  <c r="T784"/>
  <c r="U784"/>
  <c r="V784"/>
  <c r="W784"/>
  <c r="Y784"/>
  <c r="AA784"/>
  <c r="AB784"/>
  <c r="AC784"/>
  <c r="P785"/>
  <c r="T785"/>
  <c r="U785"/>
  <c r="V785"/>
  <c r="W785"/>
  <c r="Y785"/>
  <c r="AA785"/>
  <c r="AB785"/>
  <c r="AC785"/>
  <c r="P786"/>
  <c r="T786"/>
  <c r="U786"/>
  <c r="V786"/>
  <c r="W786"/>
  <c r="Y786"/>
  <c r="AA786"/>
  <c r="AB786"/>
  <c r="AC786"/>
  <c r="P787"/>
  <c r="T787"/>
  <c r="U787"/>
  <c r="V787"/>
  <c r="W787"/>
  <c r="Y787"/>
  <c r="AA787"/>
  <c r="AB787"/>
  <c r="AC787"/>
  <c r="P788"/>
  <c r="T788"/>
  <c r="U788"/>
  <c r="V788"/>
  <c r="W788"/>
  <c r="Y788"/>
  <c r="AA788"/>
  <c r="AB788"/>
  <c r="AC788"/>
  <c r="P789"/>
  <c r="T789"/>
  <c r="U789"/>
  <c r="V789"/>
  <c r="W789"/>
  <c r="Y789"/>
  <c r="AA789"/>
  <c r="AB789"/>
  <c r="AC789"/>
  <c r="P790"/>
  <c r="T790"/>
  <c r="U790"/>
  <c r="V790"/>
  <c r="W790"/>
  <c r="Y790"/>
  <c r="AA790"/>
  <c r="AB790"/>
  <c r="AC790"/>
  <c r="P791"/>
  <c r="T791"/>
  <c r="U791"/>
  <c r="V791"/>
  <c r="W791"/>
  <c r="Y791"/>
  <c r="AA791"/>
  <c r="AB791"/>
  <c r="AC791"/>
  <c r="P792"/>
  <c r="T792"/>
  <c r="U792"/>
  <c r="V792"/>
  <c r="W792"/>
  <c r="Y792"/>
  <c r="AA792"/>
  <c r="AB792"/>
  <c r="AC792"/>
  <c r="P793"/>
  <c r="T793"/>
  <c r="U793"/>
  <c r="V793"/>
  <c r="W793"/>
  <c r="Y793"/>
  <c r="AA793"/>
  <c r="AB793"/>
  <c r="AC793"/>
  <c r="P794"/>
  <c r="T794"/>
  <c r="U794"/>
  <c r="V794"/>
  <c r="W794"/>
  <c r="Y794"/>
  <c r="AA794"/>
  <c r="AB794"/>
  <c r="AC794"/>
  <c r="P795"/>
  <c r="T795"/>
  <c r="U795"/>
  <c r="V795"/>
  <c r="W795"/>
  <c r="Y795"/>
  <c r="AA795"/>
  <c r="AB795"/>
  <c r="AC795"/>
  <c r="P796"/>
  <c r="T796"/>
  <c r="U796"/>
  <c r="V796"/>
  <c r="W796"/>
  <c r="Y796"/>
  <c r="AA796"/>
  <c r="AB796"/>
  <c r="AC796"/>
  <c r="P797"/>
  <c r="T797"/>
  <c r="U797"/>
  <c r="V797"/>
  <c r="W797"/>
  <c r="Y797"/>
  <c r="AA797"/>
  <c r="AB797"/>
  <c r="AC797"/>
  <c r="P798"/>
  <c r="T798"/>
  <c r="U798"/>
  <c r="V798"/>
  <c r="W798"/>
  <c r="Y798"/>
  <c r="AA798"/>
  <c r="AB798"/>
  <c r="AC798"/>
  <c r="P799"/>
  <c r="T799"/>
  <c r="U799"/>
  <c r="V799"/>
  <c r="W799"/>
  <c r="Y799"/>
  <c r="AA799"/>
  <c r="AB799"/>
  <c r="AC799"/>
  <c r="P800"/>
  <c r="T800"/>
  <c r="U800"/>
  <c r="V800"/>
  <c r="W800"/>
  <c r="Y800"/>
  <c r="AA800"/>
  <c r="AB800"/>
  <c r="AC800"/>
  <c r="P801"/>
  <c r="T801"/>
  <c r="U801"/>
  <c r="V801"/>
  <c r="W801"/>
  <c r="Y801"/>
  <c r="AA801"/>
  <c r="AB801"/>
  <c r="AC801"/>
  <c r="P802"/>
  <c r="T802"/>
  <c r="U802"/>
  <c r="V802"/>
  <c r="W802"/>
  <c r="Y802"/>
  <c r="AA802"/>
  <c r="AB802"/>
  <c r="AC802"/>
  <c r="P803"/>
  <c r="T803"/>
  <c r="U803"/>
  <c r="V803"/>
  <c r="W803"/>
  <c r="Y803"/>
  <c r="AA803"/>
  <c r="AB803"/>
  <c r="AC803"/>
  <c r="P804"/>
  <c r="T804"/>
  <c r="U804"/>
  <c r="V804"/>
  <c r="W804"/>
  <c r="Y804"/>
  <c r="AA804"/>
  <c r="AB804"/>
  <c r="AC804"/>
  <c r="P805"/>
  <c r="T805"/>
  <c r="U805"/>
  <c r="V805"/>
  <c r="W805"/>
  <c r="Y805"/>
  <c r="AA805"/>
  <c r="AB805"/>
  <c r="AC805"/>
  <c r="P806"/>
  <c r="T806"/>
  <c r="U806"/>
  <c r="V806"/>
  <c r="W806"/>
  <c r="Y806"/>
  <c r="AA806"/>
  <c r="AB806"/>
  <c r="AC806"/>
  <c r="P807"/>
  <c r="T807"/>
  <c r="U807"/>
  <c r="V807"/>
  <c r="W807"/>
  <c r="Y807"/>
  <c r="AA807"/>
  <c r="AB807"/>
  <c r="AC807"/>
  <c r="P808"/>
  <c r="T808"/>
  <c r="U808"/>
  <c r="V808"/>
  <c r="W808"/>
  <c r="Y808"/>
  <c r="AA808"/>
  <c r="AB808"/>
  <c r="AC808"/>
  <c r="P809"/>
  <c r="T809"/>
  <c r="U809"/>
  <c r="V809"/>
  <c r="W809"/>
  <c r="Y809"/>
  <c r="AA809"/>
  <c r="AB809"/>
  <c r="AC809"/>
  <c r="P810"/>
  <c r="T810"/>
  <c r="U810"/>
  <c r="V810"/>
  <c r="W810"/>
  <c r="Y810"/>
  <c r="AA810"/>
  <c r="AB810"/>
  <c r="AC810"/>
  <c r="P811"/>
  <c r="T811"/>
  <c r="U811"/>
  <c r="V811"/>
  <c r="W811"/>
  <c r="Y811"/>
  <c r="AA811"/>
  <c r="AB811"/>
  <c r="AC811"/>
  <c r="P812"/>
  <c r="T812"/>
  <c r="U812"/>
  <c r="V812"/>
  <c r="W812"/>
  <c r="Y812"/>
  <c r="AA812"/>
  <c r="AB812"/>
  <c r="AC812"/>
  <c r="P813"/>
  <c r="T813"/>
  <c r="U813"/>
  <c r="V813"/>
  <c r="W813"/>
  <c r="Y813"/>
  <c r="AA813"/>
  <c r="AB813"/>
  <c r="AC813"/>
  <c r="P814"/>
  <c r="T814"/>
  <c r="U814"/>
  <c r="V814"/>
  <c r="W814"/>
  <c r="Y814"/>
  <c r="AA814"/>
  <c r="AB814"/>
  <c r="AC814"/>
  <c r="P815"/>
  <c r="T815"/>
  <c r="U815"/>
  <c r="V815"/>
  <c r="W815"/>
  <c r="Y815"/>
  <c r="AA815"/>
  <c r="AB815"/>
  <c r="AC815"/>
  <c r="P816"/>
  <c r="T816"/>
  <c r="U816"/>
  <c r="V816"/>
  <c r="W816"/>
  <c r="Y816"/>
  <c r="AA816"/>
  <c r="AB816"/>
  <c r="AC816"/>
  <c r="P817"/>
  <c r="T817"/>
  <c r="U817"/>
  <c r="V817"/>
  <c r="W817"/>
  <c r="Y817"/>
  <c r="AA817"/>
  <c r="AB817"/>
  <c r="AC817"/>
  <c r="P818"/>
  <c r="T818"/>
  <c r="U818"/>
  <c r="V818"/>
  <c r="W818"/>
  <c r="Y818"/>
  <c r="AA818"/>
  <c r="AB818"/>
  <c r="AC818"/>
  <c r="P819"/>
  <c r="T819"/>
  <c r="U819"/>
  <c r="V819"/>
  <c r="W819"/>
  <c r="Y819"/>
  <c r="AA819"/>
  <c r="AB819"/>
  <c r="AC819"/>
  <c r="P820"/>
  <c r="T820"/>
  <c r="U820"/>
  <c r="V820"/>
  <c r="W820"/>
  <c r="Y820"/>
  <c r="AA820"/>
  <c r="AB820"/>
  <c r="AC820"/>
  <c r="P821"/>
  <c r="T821"/>
  <c r="U821"/>
  <c r="V821"/>
  <c r="W821"/>
  <c r="Y821"/>
  <c r="AA821"/>
  <c r="AB821"/>
  <c r="AC821"/>
  <c r="P822"/>
  <c r="T822"/>
  <c r="U822"/>
  <c r="V822"/>
  <c r="W822"/>
  <c r="Y822"/>
  <c r="AA822"/>
  <c r="AB822"/>
  <c r="AC822"/>
  <c r="P823"/>
  <c r="T823"/>
  <c r="U823"/>
  <c r="V823"/>
  <c r="W823"/>
  <c r="Y823"/>
  <c r="AA823"/>
  <c r="AB823"/>
  <c r="AC823"/>
  <c r="P836"/>
  <c r="T836"/>
  <c r="U836"/>
  <c r="V836"/>
  <c r="W836"/>
  <c r="Y836"/>
  <c r="AA836"/>
  <c r="AB836"/>
  <c r="AC836"/>
  <c r="P837"/>
  <c r="T837"/>
  <c r="U837"/>
  <c r="V837"/>
  <c r="W837"/>
  <c r="Y837"/>
  <c r="AA837"/>
  <c r="AB837"/>
  <c r="AC837"/>
  <c r="P1017"/>
  <c r="T1017"/>
  <c r="U1017"/>
  <c r="V1017"/>
  <c r="W1017"/>
  <c r="Y1017"/>
  <c r="AA1017"/>
  <c r="AB1017"/>
  <c r="AC1017"/>
  <c r="AD1017"/>
  <c r="P1018"/>
  <c r="T1018"/>
  <c r="U1018"/>
  <c r="V1018"/>
  <c r="W1018"/>
  <c r="Y1018"/>
  <c r="AA1018"/>
  <c r="AB1018"/>
  <c r="AC1018"/>
  <c r="AD1018"/>
  <c r="P1019"/>
  <c r="T1019"/>
  <c r="U1019"/>
  <c r="V1019"/>
  <c r="W1019"/>
  <c r="Y1019"/>
  <c r="AA1019"/>
  <c r="AB1019"/>
  <c r="AC1019"/>
  <c r="AD1019"/>
  <c r="P1020"/>
  <c r="T1020"/>
  <c r="U1020"/>
  <c r="V1020"/>
  <c r="W1020"/>
  <c r="Y1020"/>
  <c r="AA1020"/>
  <c r="AB1020"/>
  <c r="AC1020"/>
  <c r="AD1020"/>
  <c r="P1021"/>
  <c r="T1021"/>
  <c r="U1021"/>
  <c r="V1021"/>
  <c r="W1021"/>
  <c r="Y1021"/>
  <c r="AA1021"/>
  <c r="AB1021"/>
  <c r="AC1021"/>
  <c r="AD1021"/>
  <c r="P1022"/>
  <c r="T1022"/>
  <c r="U1022"/>
  <c r="V1022"/>
  <c r="W1022"/>
  <c r="Y1022"/>
  <c r="AA1022"/>
  <c r="AB1022"/>
  <c r="AC1022"/>
  <c r="AD1022"/>
  <c r="P1023"/>
  <c r="T1023"/>
  <c r="U1023"/>
  <c r="V1023"/>
  <c r="W1023"/>
  <c r="Y1023"/>
  <c r="AA1023"/>
  <c r="AB1023"/>
  <c r="AC1023"/>
  <c r="AD1023"/>
  <c r="P1024"/>
  <c r="T1024"/>
  <c r="U1024"/>
  <c r="V1024"/>
  <c r="W1024"/>
  <c r="Y1024"/>
  <c r="AA1024"/>
  <c r="AB1024"/>
  <c r="AC1024"/>
  <c r="AD1024"/>
  <c r="P1025"/>
  <c r="T1025"/>
  <c r="U1025"/>
  <c r="V1025"/>
  <c r="W1025"/>
  <c r="Y1025"/>
  <c r="AA1025"/>
  <c r="AB1025"/>
  <c r="AC1025"/>
  <c r="AD1025"/>
  <c r="P1026"/>
  <c r="T1026"/>
  <c r="U1026"/>
  <c r="V1026"/>
  <c r="W1026"/>
  <c r="Y1026"/>
  <c r="AA1026"/>
  <c r="AB1026"/>
  <c r="AC1026"/>
  <c r="AD1026"/>
  <c r="P1027"/>
  <c r="T1027"/>
  <c r="U1027"/>
  <c r="V1027"/>
  <c r="W1027"/>
  <c r="Y1027"/>
  <c r="AA1027"/>
  <c r="AB1027"/>
  <c r="AC1027"/>
  <c r="AD1027"/>
  <c r="P1028"/>
  <c r="W1028"/>
  <c r="Y1028"/>
  <c r="AA1028"/>
  <c r="AB1028"/>
  <c r="AC1028"/>
  <c r="AD1028"/>
  <c r="P1029"/>
  <c r="W1029"/>
  <c r="Y1029"/>
  <c r="AA1029"/>
  <c r="AB1029"/>
  <c r="AC1029"/>
  <c r="AD1029"/>
  <c r="P1030"/>
  <c r="T1030"/>
  <c r="U1030"/>
  <c r="V1030"/>
  <c r="W1030"/>
  <c r="Y1030"/>
  <c r="AA1030"/>
  <c r="AB1030"/>
  <c r="AC1030"/>
  <c r="AD1030"/>
  <c r="P1031"/>
  <c r="T1031"/>
  <c r="U1031"/>
  <c r="V1031"/>
  <c r="W1031"/>
  <c r="Y1031"/>
  <c r="AA1031"/>
  <c r="AB1031"/>
  <c r="AC1031"/>
  <c r="AD1031"/>
  <c r="P1032"/>
  <c r="T1032"/>
  <c r="U1032"/>
  <c r="V1032"/>
  <c r="W1032"/>
  <c r="Y1032"/>
  <c r="AA1032"/>
  <c r="AB1032"/>
  <c r="AC1032"/>
  <c r="AD1032"/>
  <c r="P1033"/>
  <c r="T1033"/>
  <c r="U1033"/>
  <c r="V1033"/>
  <c r="W1033"/>
  <c r="Y1033"/>
  <c r="AA1033"/>
  <c r="AB1033"/>
  <c r="AC1033"/>
  <c r="AD1033"/>
  <c r="P1034"/>
  <c r="T1034"/>
  <c r="U1034"/>
  <c r="V1034"/>
  <c r="W1034"/>
  <c r="Y1034"/>
  <c r="AA1034"/>
  <c r="AB1034"/>
  <c r="AC1034"/>
  <c r="AD1034"/>
  <c r="P1035"/>
  <c r="T1035"/>
  <c r="U1035"/>
  <c r="V1035"/>
  <c r="W1035"/>
  <c r="Y1035"/>
  <c r="AA1035"/>
  <c r="AB1035"/>
  <c r="AC1035"/>
  <c r="AD1035"/>
  <c r="P1036"/>
  <c r="T1036"/>
  <c r="U1036"/>
  <c r="V1036"/>
  <c r="W1036"/>
  <c r="Y1036"/>
  <c r="AA1036"/>
  <c r="AB1036"/>
  <c r="AC1036"/>
  <c r="AD1036"/>
  <c r="P1037"/>
  <c r="T1037"/>
  <c r="U1037"/>
  <c r="V1037"/>
  <c r="W1037"/>
  <c r="Y1037"/>
  <c r="AA1037"/>
  <c r="AB1037"/>
  <c r="AC1037"/>
  <c r="AD1037"/>
  <c r="P1038"/>
  <c r="T1038"/>
  <c r="U1038"/>
  <c r="V1038"/>
  <c r="W1038"/>
  <c r="Y1038"/>
  <c r="AA1038"/>
  <c r="AB1038"/>
  <c r="AC1038"/>
  <c r="AD1038"/>
  <c r="P1039"/>
  <c r="T1039"/>
  <c r="U1039"/>
  <c r="V1039"/>
  <c r="W1039"/>
  <c r="Y1039"/>
  <c r="AA1039"/>
  <c r="AB1039"/>
  <c r="AC1039"/>
  <c r="AD1039"/>
  <c r="P1040"/>
  <c r="T1040"/>
  <c r="U1040"/>
  <c r="V1040"/>
  <c r="W1040"/>
  <c r="Y1040"/>
  <c r="AA1040"/>
  <c r="AB1040"/>
  <c r="AC1040"/>
  <c r="AD1040"/>
  <c r="P1041"/>
  <c r="T1041"/>
  <c r="U1041"/>
  <c r="V1041"/>
  <c r="W1041"/>
  <c r="Y1041"/>
  <c r="AA1041"/>
  <c r="AB1041"/>
  <c r="AC1041"/>
  <c r="AD1041"/>
  <c r="P1042"/>
  <c r="T1042"/>
  <c r="U1042"/>
  <c r="V1042"/>
  <c r="W1042"/>
  <c r="Y1042"/>
  <c r="AA1042"/>
  <c r="AB1042"/>
  <c r="AC1042"/>
  <c r="AD1042"/>
  <c r="P1043"/>
  <c r="T1043"/>
  <c r="U1043"/>
  <c r="V1043"/>
  <c r="W1043"/>
  <c r="Y1043"/>
  <c r="AA1043"/>
  <c r="AB1043"/>
  <c r="AC1043"/>
  <c r="AD1043"/>
  <c r="P1044"/>
  <c r="T1044"/>
  <c r="U1044"/>
  <c r="V1044"/>
  <c r="W1044"/>
  <c r="Y1044"/>
  <c r="AA1044"/>
  <c r="AB1044"/>
  <c r="AC1044"/>
  <c r="AD1044"/>
  <c r="P1045"/>
  <c r="W1045"/>
  <c r="Y1045"/>
  <c r="AA1045"/>
  <c r="AB1045"/>
  <c r="AC1045"/>
  <c r="AD1045"/>
  <c r="P1046"/>
  <c r="W1046"/>
  <c r="Y1046"/>
  <c r="AA1046"/>
  <c r="AB1046"/>
  <c r="AC1046"/>
  <c r="AD1046"/>
  <c r="P1047"/>
  <c r="W1047"/>
  <c r="Y1047"/>
  <c r="AA1047"/>
  <c r="AB1047"/>
  <c r="AC1047"/>
  <c r="AD1047"/>
  <c r="P1048"/>
  <c r="W1048"/>
  <c r="Y1048"/>
  <c r="AA1048"/>
  <c r="AB1048"/>
  <c r="AC1048"/>
  <c r="AD1048"/>
  <c r="P1049"/>
  <c r="W1049"/>
  <c r="Y1049"/>
  <c r="AA1049"/>
  <c r="AB1049"/>
  <c r="AC1049"/>
  <c r="AD1049"/>
  <c r="P1050"/>
  <c r="W1050"/>
  <c r="Y1050"/>
  <c r="AA1050"/>
  <c r="AB1050"/>
  <c r="AC1050"/>
  <c r="AD1050"/>
  <c r="P1051"/>
  <c r="W1051"/>
  <c r="Y1051"/>
  <c r="AA1051"/>
  <c r="AB1051"/>
  <c r="AC1051"/>
  <c r="AD1051"/>
  <c r="P1052"/>
  <c r="T1052"/>
  <c r="U1052"/>
  <c r="V1052"/>
  <c r="W1052"/>
  <c r="Y1052"/>
  <c r="AA1052"/>
  <c r="AB1052"/>
  <c r="AC1052"/>
  <c r="AD1052"/>
  <c r="P1053"/>
  <c r="T1053"/>
  <c r="U1053"/>
  <c r="V1053"/>
  <c r="W1053"/>
  <c r="Y1053"/>
  <c r="AA1053"/>
  <c r="AB1053"/>
  <c r="AC1053"/>
  <c r="AD1053"/>
  <c r="P1054"/>
  <c r="W1054"/>
  <c r="Y1054"/>
  <c r="AA1054"/>
  <c r="AB1054"/>
  <c r="AC1054"/>
  <c r="AD1054"/>
  <c r="P1055"/>
  <c r="W1055"/>
  <c r="Y1055"/>
  <c r="AA1055"/>
  <c r="AB1055"/>
  <c r="AC1055"/>
  <c r="AD1055"/>
  <c r="P1056"/>
  <c r="W1056"/>
  <c r="Y1056"/>
  <c r="AA1056"/>
  <c r="AB1056"/>
  <c r="AC1056"/>
  <c r="AD1056"/>
  <c r="P1057"/>
  <c r="W1057"/>
  <c r="Y1057"/>
  <c r="AA1057"/>
  <c r="AB1057"/>
  <c r="AC1057"/>
  <c r="AD1057"/>
  <c r="P1058"/>
  <c r="W1058"/>
  <c r="Y1058"/>
  <c r="AA1058"/>
  <c r="AB1058"/>
  <c r="AC1058"/>
  <c r="AD1058"/>
  <c r="P1059"/>
  <c r="T1059"/>
  <c r="U1059"/>
  <c r="V1059"/>
  <c r="W1059"/>
  <c r="Y1059"/>
  <c r="AA1059"/>
  <c r="AB1059"/>
  <c r="AC1059"/>
  <c r="AD1059"/>
  <c r="P1060"/>
  <c r="T1060"/>
  <c r="U1060"/>
  <c r="V1060"/>
  <c r="W1060"/>
  <c r="Y1060"/>
  <c r="AA1060"/>
  <c r="AB1060"/>
  <c r="AC1060"/>
  <c r="AD1060"/>
  <c r="P1061"/>
  <c r="T1061"/>
  <c r="U1061"/>
  <c r="V1061"/>
  <c r="W1061"/>
  <c r="Y1061"/>
  <c r="AA1061"/>
  <c r="AB1061"/>
  <c r="AC1061"/>
  <c r="AD1061"/>
  <c r="P1062"/>
  <c r="T1062"/>
  <c r="U1062"/>
  <c r="V1062"/>
  <c r="W1062"/>
  <c r="Y1062"/>
  <c r="AA1062"/>
  <c r="AB1062"/>
  <c r="AC1062"/>
  <c r="AD1062"/>
  <c r="P1063"/>
  <c r="W1063"/>
  <c r="Y1063"/>
  <c r="AA1063"/>
  <c r="AB1063"/>
  <c r="AC1063"/>
  <c r="AD1063"/>
  <c r="P1064"/>
  <c r="W1064"/>
  <c r="Y1064"/>
  <c r="AA1064"/>
  <c r="AB1064"/>
  <c r="AC1064"/>
  <c r="AD1064"/>
  <c r="P1065"/>
  <c r="T1065"/>
  <c r="U1065"/>
  <c r="V1065"/>
  <c r="W1065"/>
  <c r="Y1065"/>
  <c r="AA1065"/>
  <c r="AB1065"/>
  <c r="AC1065"/>
  <c r="AD1065"/>
  <c r="P1066"/>
  <c r="T1066"/>
  <c r="U1066"/>
  <c r="V1066"/>
  <c r="W1066"/>
  <c r="Y1066"/>
  <c r="AA1066"/>
  <c r="AB1066"/>
  <c r="AC1066"/>
  <c r="AD1066"/>
  <c r="P1067"/>
  <c r="T1067"/>
  <c r="U1067"/>
  <c r="V1067"/>
  <c r="W1067"/>
  <c r="Y1067"/>
  <c r="AA1067"/>
  <c r="AB1067"/>
  <c r="AC1067"/>
  <c r="P1068"/>
  <c r="T1068"/>
  <c r="U1068"/>
  <c r="V1068"/>
  <c r="W1068"/>
  <c r="Y1068"/>
  <c r="AA1068"/>
  <c r="AB1068"/>
  <c r="AC1068"/>
  <c r="AD1068"/>
  <c r="P1069"/>
  <c r="T1069"/>
  <c r="U1069"/>
  <c r="V1069"/>
  <c r="W1069"/>
  <c r="Y1069"/>
  <c r="AA1069"/>
  <c r="AB1069"/>
  <c r="AC1069"/>
  <c r="AD1069"/>
  <c r="P1070"/>
  <c r="T1070"/>
  <c r="U1070"/>
  <c r="V1070"/>
  <c r="W1070"/>
  <c r="Y1070"/>
  <c r="AA1070"/>
  <c r="AB1070"/>
  <c r="AC1070"/>
  <c r="AD1070"/>
  <c r="P1071"/>
  <c r="T1071"/>
  <c r="U1071"/>
  <c r="V1071"/>
  <c r="W1071"/>
  <c r="Y1071"/>
  <c r="AA1071"/>
  <c r="AB1071"/>
  <c r="AC1071"/>
  <c r="AD1071"/>
  <c r="P1072"/>
  <c r="W1072"/>
  <c r="Y1072"/>
  <c r="AA1072"/>
  <c r="AB1072"/>
  <c r="AC1072"/>
  <c r="AD1072"/>
  <c r="P1073"/>
  <c r="T1073"/>
  <c r="U1073"/>
  <c r="V1073"/>
  <c r="W1073"/>
  <c r="Y1073"/>
  <c r="AA1073"/>
  <c r="AB1073"/>
  <c r="AC1073"/>
  <c r="AD1073"/>
  <c r="P1074"/>
  <c r="W1074"/>
  <c r="Y1074"/>
  <c r="AA1074"/>
  <c r="AB1074"/>
  <c r="AC1074"/>
  <c r="AD1074"/>
  <c r="P1075"/>
  <c r="W1075"/>
  <c r="Y1075"/>
  <c r="AA1075"/>
  <c r="AB1075"/>
  <c r="AC1075"/>
  <c r="AD1075"/>
  <c r="P1076"/>
  <c r="W1076"/>
  <c r="Y1076"/>
  <c r="AA1076"/>
  <c r="AB1076"/>
  <c r="AC1076"/>
  <c r="AD1076"/>
  <c r="P1077"/>
  <c r="W1077"/>
  <c r="Y1077"/>
  <c r="AA1077"/>
  <c r="AB1077"/>
  <c r="AC1077"/>
  <c r="AD1077"/>
  <c r="P1078"/>
  <c r="W1078"/>
  <c r="Y1078"/>
  <c r="AA1078"/>
  <c r="AB1078"/>
  <c r="AC1078"/>
  <c r="AD1078"/>
  <c r="P1079"/>
  <c r="T1079"/>
  <c r="U1079"/>
  <c r="V1079"/>
  <c r="W1079"/>
  <c r="Y1079"/>
  <c r="AA1079"/>
  <c r="AB1079"/>
  <c r="AC1079"/>
  <c r="AD1079"/>
  <c r="P1080"/>
  <c r="T1080"/>
  <c r="U1080"/>
  <c r="V1080"/>
  <c r="W1080"/>
  <c r="Y1080"/>
  <c r="AA1080"/>
  <c r="AB1080"/>
  <c r="AC1080"/>
  <c r="AD1080"/>
  <c r="P1081"/>
  <c r="W1081"/>
  <c r="Y1081"/>
  <c r="AA1081"/>
  <c r="AB1081"/>
  <c r="AC1081"/>
  <c r="AD1081"/>
  <c r="P1082"/>
  <c r="T1082"/>
  <c r="U1082"/>
  <c r="V1082"/>
  <c r="W1082"/>
  <c r="Y1082"/>
  <c r="AA1082"/>
  <c r="AB1082"/>
  <c r="AC1082"/>
  <c r="AD1082"/>
  <c r="P1083"/>
  <c r="T1083"/>
  <c r="U1083"/>
  <c r="V1083"/>
  <c r="W1083"/>
  <c r="Y1083"/>
  <c r="AA1083"/>
  <c r="AB1083"/>
  <c r="AC1083"/>
  <c r="AD1083"/>
  <c r="P1084"/>
  <c r="T1084"/>
  <c r="U1084"/>
  <c r="V1084"/>
  <c r="W1084"/>
  <c r="Y1084"/>
  <c r="AA1084"/>
  <c r="AB1084"/>
  <c r="AC1084"/>
  <c r="AD1084"/>
  <c r="P1085"/>
  <c r="T1085"/>
  <c r="U1085"/>
  <c r="V1085"/>
  <c r="W1085"/>
  <c r="Y1085"/>
  <c r="AA1085"/>
  <c r="AB1085"/>
  <c r="AC1085"/>
  <c r="AD1085"/>
  <c r="P1086"/>
  <c r="T1086"/>
  <c r="U1086"/>
  <c r="V1086"/>
  <c r="W1086"/>
  <c r="Y1086"/>
  <c r="AA1086"/>
  <c r="AB1086"/>
  <c r="AC1086"/>
  <c r="AD1086"/>
  <c r="P1087"/>
  <c r="T1087"/>
  <c r="U1087"/>
  <c r="V1087"/>
  <c r="W1087"/>
  <c r="Y1087"/>
  <c r="AA1087"/>
  <c r="AB1087"/>
  <c r="AC1087"/>
  <c r="AD1087"/>
  <c r="P1088"/>
  <c r="T1088"/>
  <c r="U1088"/>
  <c r="V1088"/>
  <c r="W1088"/>
  <c r="Y1088"/>
  <c r="AA1088"/>
  <c r="AB1088"/>
  <c r="AC1088"/>
  <c r="AD1088"/>
  <c r="P1089"/>
  <c r="T1089"/>
  <c r="U1089"/>
  <c r="V1089"/>
  <c r="W1089"/>
  <c r="Y1089"/>
  <c r="AA1089"/>
  <c r="AB1089"/>
  <c r="AC1089"/>
  <c r="AD1089"/>
  <c r="P1090"/>
  <c r="W1090"/>
  <c r="Y1090"/>
  <c r="AA1090"/>
  <c r="AB1090"/>
  <c r="AC1090"/>
  <c r="AD1090"/>
  <c r="P1091"/>
  <c r="W1091"/>
  <c r="Y1091"/>
  <c r="AA1091"/>
  <c r="AB1091"/>
  <c r="AC1091"/>
  <c r="AD1091"/>
  <c r="P1092"/>
  <c r="W1092"/>
  <c r="Y1092"/>
  <c r="AA1092"/>
  <c r="AB1092"/>
  <c r="AC1092"/>
  <c r="AD1092"/>
  <c r="P1093"/>
  <c r="T1093"/>
  <c r="U1093"/>
  <c r="V1093"/>
  <c r="W1093"/>
  <c r="Y1093"/>
  <c r="AA1093"/>
  <c r="AB1093"/>
  <c r="AC1093"/>
  <c r="AD1093"/>
  <c r="P1094"/>
  <c r="T1094"/>
  <c r="U1094"/>
  <c r="V1094"/>
  <c r="W1094"/>
  <c r="Y1094"/>
  <c r="AA1094"/>
  <c r="AB1094"/>
  <c r="AC1094"/>
  <c r="AD1094"/>
  <c r="P1095"/>
  <c r="T1095"/>
  <c r="U1095"/>
  <c r="V1095"/>
  <c r="W1095"/>
  <c r="Y1095"/>
  <c r="AA1095"/>
  <c r="AB1095"/>
  <c r="AC1095"/>
  <c r="AD1095"/>
  <c r="P1096"/>
  <c r="T1096"/>
  <c r="U1096"/>
  <c r="V1096"/>
  <c r="W1096"/>
  <c r="Y1096"/>
  <c r="AA1096"/>
  <c r="AB1096"/>
  <c r="AC1096"/>
  <c r="AD1096"/>
  <c r="P1097"/>
  <c r="T1097"/>
  <c r="U1097"/>
  <c r="V1097"/>
  <c r="W1097"/>
  <c r="Y1097"/>
  <c r="AA1097"/>
  <c r="AB1097"/>
  <c r="AC1097"/>
  <c r="AD1097"/>
  <c r="P1098"/>
  <c r="T1098"/>
  <c r="U1098"/>
  <c r="V1098"/>
  <c r="W1098"/>
  <c r="Y1098"/>
  <c r="AA1098"/>
  <c r="AB1098"/>
  <c r="AC1098"/>
  <c r="AD1098"/>
  <c r="P1099"/>
  <c r="T1099"/>
  <c r="U1099"/>
  <c r="V1099"/>
  <c r="W1099"/>
  <c r="Y1099"/>
  <c r="AA1099"/>
  <c r="AB1099"/>
  <c r="AC1099"/>
  <c r="AD1099"/>
  <c r="P1100"/>
  <c r="T1100"/>
  <c r="U1100"/>
  <c r="V1100"/>
  <c r="W1100"/>
  <c r="Y1100"/>
  <c r="AA1100"/>
  <c r="AB1100"/>
  <c r="AC1100"/>
  <c r="AD1100"/>
  <c r="P1101"/>
  <c r="T1101"/>
  <c r="U1101"/>
  <c r="V1101"/>
  <c r="W1101"/>
  <c r="Y1101"/>
  <c r="AA1101"/>
  <c r="AB1101"/>
  <c r="AC1101"/>
  <c r="AD1101"/>
  <c r="P1102"/>
  <c r="T1102"/>
  <c r="U1102"/>
  <c r="V1102"/>
  <c r="W1102"/>
  <c r="Y1102"/>
  <c r="AA1102"/>
  <c r="AB1102"/>
  <c r="AC1102"/>
  <c r="P1103"/>
  <c r="W1103"/>
  <c r="Y1103"/>
  <c r="AA1103"/>
  <c r="AB1103"/>
  <c r="AC1103"/>
  <c r="AD1103"/>
  <c r="P1104"/>
  <c r="W1104"/>
  <c r="Y1104"/>
  <c r="AA1104"/>
  <c r="AB1104"/>
  <c r="AC1104"/>
  <c r="AD1104"/>
  <c r="P1105"/>
  <c r="W1105"/>
  <c r="Y1105"/>
  <c r="AA1105"/>
  <c r="AB1105"/>
  <c r="AC1105"/>
  <c r="AD1105"/>
  <c r="P1106"/>
  <c r="W1106"/>
  <c r="Y1106"/>
  <c r="AA1106"/>
  <c r="AB1106"/>
  <c r="AC1106"/>
  <c r="AD1106"/>
  <c r="P1107"/>
  <c r="W1107"/>
  <c r="Y1107"/>
  <c r="AA1107"/>
  <c r="AB1107"/>
  <c r="AC1107"/>
  <c r="AD1107"/>
  <c r="P1108"/>
  <c r="W1108"/>
  <c r="Y1108"/>
  <c r="AA1108"/>
  <c r="AB1108"/>
  <c r="AC1108"/>
  <c r="AD1108"/>
  <c r="P1109"/>
  <c r="W1109"/>
  <c r="Y1109"/>
  <c r="AA1109"/>
  <c r="AB1109"/>
  <c r="AC1109"/>
  <c r="AD1109"/>
  <c r="P1110"/>
  <c r="T1110"/>
  <c r="U1110"/>
  <c r="V1110"/>
  <c r="W1110"/>
  <c r="Y1110"/>
  <c r="AA1110"/>
  <c r="AB1110"/>
  <c r="AC1110"/>
  <c r="P1111"/>
  <c r="T1111"/>
  <c r="U1111"/>
  <c r="V1111"/>
  <c r="W1111"/>
  <c r="Y1111"/>
  <c r="AA1111"/>
  <c r="AB1111"/>
  <c r="AC1111"/>
  <c r="AD1111"/>
  <c r="P1112"/>
  <c r="T1112"/>
  <c r="U1112"/>
  <c r="V1112"/>
  <c r="W1112"/>
  <c r="Y1112"/>
  <c r="AA1112"/>
  <c r="AB1112"/>
  <c r="AC1112"/>
  <c r="AD1112"/>
  <c r="P1113"/>
  <c r="W1113"/>
  <c r="Y1113"/>
  <c r="AA1113"/>
  <c r="AB1113"/>
  <c r="AC1113"/>
  <c r="AD1113"/>
  <c r="P1114"/>
  <c r="W1114"/>
  <c r="Y1114"/>
  <c r="AA1114"/>
  <c r="AB1114"/>
  <c r="AC1114"/>
  <c r="AD1114"/>
  <c r="P1115"/>
  <c r="W1115"/>
  <c r="Y1115"/>
  <c r="AA1115"/>
  <c r="AB1115"/>
  <c r="AC1115"/>
  <c r="AD1115"/>
  <c r="P1116"/>
  <c r="W1116"/>
  <c r="Y1116"/>
  <c r="AA1116"/>
  <c r="AB1116"/>
  <c r="AC1116"/>
  <c r="AD1116"/>
  <c r="P1117"/>
  <c r="W1117"/>
  <c r="Y1117"/>
  <c r="AA1117"/>
  <c r="AB1117"/>
  <c r="AC1117"/>
  <c r="AD1117"/>
  <c r="P1118"/>
  <c r="W1118"/>
  <c r="Y1118"/>
  <c r="AA1118"/>
  <c r="AB1118"/>
  <c r="AC1118"/>
  <c r="AD1118"/>
  <c r="P1119"/>
  <c r="W1119"/>
  <c r="Y1119"/>
  <c r="AA1119"/>
  <c r="AB1119"/>
  <c r="AC1119"/>
  <c r="AD1119"/>
  <c r="P1120"/>
  <c r="W1120"/>
  <c r="Y1120"/>
  <c r="AA1120"/>
  <c r="AB1120"/>
  <c r="AC1120"/>
  <c r="AD1120"/>
  <c r="P1121"/>
  <c r="W1121"/>
  <c r="Y1121"/>
  <c r="AA1121"/>
  <c r="AB1121"/>
  <c r="AC1121"/>
  <c r="AD1121"/>
  <c r="P1122"/>
  <c r="W1122"/>
  <c r="Y1122"/>
  <c r="AA1122"/>
  <c r="AB1122"/>
  <c r="AC1122"/>
  <c r="AD1122"/>
  <c r="P1123"/>
  <c r="T1123"/>
  <c r="U1123"/>
  <c r="V1123"/>
  <c r="W1123"/>
  <c r="Y1123"/>
  <c r="AA1123"/>
  <c r="AB1123"/>
  <c r="AC1123"/>
  <c r="AD1123"/>
  <c r="P1124"/>
  <c r="T1124"/>
  <c r="U1124"/>
  <c r="V1124"/>
  <c r="W1124"/>
  <c r="Y1124"/>
  <c r="AA1124"/>
  <c r="AB1124"/>
  <c r="AC1124"/>
  <c r="AD1124"/>
  <c r="P1125"/>
  <c r="W1125"/>
  <c r="Y1125"/>
  <c r="AA1125"/>
  <c r="AB1125"/>
  <c r="AC1125"/>
  <c r="AD1125"/>
  <c r="P1126"/>
  <c r="W1126"/>
  <c r="Y1126"/>
  <c r="AA1126"/>
  <c r="AB1126"/>
  <c r="AC1126"/>
  <c r="AD1126"/>
  <c r="P1127"/>
  <c r="W1127"/>
  <c r="Y1127"/>
  <c r="AA1127"/>
  <c r="AB1127"/>
  <c r="AC1127"/>
  <c r="AD1127"/>
  <c r="P1128"/>
  <c r="W1128"/>
  <c r="Y1128"/>
  <c r="AA1128"/>
  <c r="AB1128"/>
  <c r="AC1128"/>
  <c r="AD1128"/>
  <c r="P1129"/>
  <c r="W1129"/>
  <c r="Y1129"/>
  <c r="AA1129"/>
  <c r="AB1129"/>
  <c r="AC1129"/>
  <c r="AD1129"/>
  <c r="P1130"/>
  <c r="W1130"/>
  <c r="Y1130"/>
  <c r="AA1130"/>
  <c r="AB1130"/>
  <c r="AC1130"/>
  <c r="AD1130"/>
  <c r="P1131"/>
  <c r="W1131"/>
  <c r="Y1131"/>
  <c r="AA1131"/>
  <c r="AB1131"/>
  <c r="AC1131"/>
  <c r="AD1131"/>
  <c r="P1132"/>
  <c r="W1132"/>
  <c r="Y1132"/>
  <c r="AA1132"/>
  <c r="AB1132"/>
  <c r="AC1132"/>
  <c r="P1133"/>
  <c r="W1133"/>
  <c r="Y1133"/>
  <c r="AA1133"/>
  <c r="AB1133"/>
  <c r="AC1133"/>
  <c r="P1134"/>
  <c r="W1134"/>
  <c r="Y1134"/>
  <c r="AA1134"/>
  <c r="AB1134"/>
  <c r="AC1134"/>
  <c r="P1135"/>
  <c r="W1135"/>
  <c r="Y1135"/>
  <c r="AA1135"/>
  <c r="AB1135"/>
  <c r="AC1135"/>
  <c r="AD1135"/>
  <c r="P1136"/>
  <c r="W1136"/>
  <c r="Y1136"/>
  <c r="AA1136"/>
  <c r="AB1136"/>
  <c r="AC1136"/>
  <c r="AD1136"/>
  <c r="P1137"/>
  <c r="W1137"/>
  <c r="Y1137"/>
  <c r="AA1137"/>
  <c r="AB1137"/>
  <c r="AC1137"/>
  <c r="AD1137"/>
  <c r="P1138"/>
  <c r="W1138"/>
  <c r="Y1138"/>
  <c r="AA1138"/>
  <c r="AB1138"/>
  <c r="AC1138"/>
  <c r="AD1138"/>
  <c r="P1139"/>
  <c r="W1139"/>
  <c r="Y1139"/>
  <c r="AA1139"/>
  <c r="AB1139"/>
  <c r="AC1139"/>
  <c r="AD1139"/>
  <c r="P1140"/>
  <c r="T1140"/>
  <c r="U1140"/>
  <c r="V1140"/>
  <c r="W1140"/>
  <c r="Y1140"/>
  <c r="AA1140"/>
  <c r="AB1140"/>
  <c r="AC1140"/>
  <c r="P1141"/>
  <c r="W1141"/>
  <c r="Y1141"/>
  <c r="AA1141"/>
  <c r="AB1141"/>
  <c r="AC1141"/>
  <c r="AD1141"/>
  <c r="P1142"/>
  <c r="W1142"/>
  <c r="Y1142"/>
  <c r="AA1142"/>
  <c r="AB1142"/>
  <c r="AC1142"/>
  <c r="P1143"/>
  <c r="W1143"/>
  <c r="Y1143"/>
  <c r="AA1143"/>
  <c r="AB1143"/>
  <c r="AC1143"/>
  <c r="P1144"/>
  <c r="W1144"/>
  <c r="Y1144"/>
  <c r="AA1144"/>
  <c r="AB1144"/>
  <c r="AC1144"/>
  <c r="AD1144"/>
  <c r="P1145"/>
  <c r="W1145"/>
  <c r="Y1145"/>
  <c r="AA1145"/>
  <c r="AB1145"/>
  <c r="AC1145"/>
  <c r="AD1145"/>
  <c r="P1146"/>
  <c r="W1146"/>
  <c r="Y1146"/>
  <c r="AA1146"/>
  <c r="AB1146"/>
  <c r="AC1146"/>
  <c r="AD1146"/>
  <c r="P1147"/>
  <c r="W1147"/>
  <c r="Y1147"/>
  <c r="AA1147"/>
  <c r="AB1147"/>
  <c r="AC1147"/>
  <c r="AD1147"/>
  <c r="P1148"/>
  <c r="W1148"/>
  <c r="Y1148"/>
  <c r="AA1148"/>
  <c r="AB1148"/>
  <c r="AC1148"/>
  <c r="AD1148"/>
  <c r="P1149"/>
  <c r="T1149"/>
  <c r="U1149"/>
  <c r="V1149"/>
  <c r="W1149"/>
  <c r="Y1149"/>
  <c r="AA1149"/>
  <c r="AB1149"/>
  <c r="AC1149"/>
  <c r="AD1149"/>
  <c r="P1150"/>
  <c r="W1150"/>
  <c r="Y1150"/>
  <c r="AA1150"/>
  <c r="AB1150"/>
  <c r="AC1150"/>
  <c r="AD1150"/>
  <c r="P1151"/>
  <c r="W1151"/>
  <c r="Y1151"/>
  <c r="AA1151"/>
  <c r="AB1151"/>
  <c r="AC1151"/>
  <c r="AD1151"/>
  <c r="P1152"/>
  <c r="W1152"/>
  <c r="Y1152"/>
  <c r="AA1152"/>
  <c r="AB1152"/>
  <c r="AC1152"/>
  <c r="AD1152"/>
  <c r="P1153"/>
  <c r="W1153"/>
  <c r="Y1153"/>
  <c r="AA1153"/>
  <c r="AB1153"/>
  <c r="AC1153"/>
  <c r="AD1153"/>
  <c r="P1154"/>
  <c r="W1154"/>
  <c r="Y1154"/>
  <c r="AA1154"/>
  <c r="AB1154"/>
  <c r="AC1154"/>
  <c r="AD1154"/>
  <c r="P1155"/>
  <c r="W1155"/>
  <c r="Y1155"/>
  <c r="AA1155"/>
  <c r="AB1155"/>
  <c r="AC1155"/>
  <c r="AD1155"/>
  <c r="P1156"/>
  <c r="T1156"/>
  <c r="U1156"/>
  <c r="V1156"/>
  <c r="W1156"/>
  <c r="Y1156"/>
  <c r="AA1156"/>
  <c r="AB1156"/>
  <c r="AC1156"/>
  <c r="AD1156"/>
  <c r="P1157"/>
  <c r="T1157"/>
  <c r="U1157"/>
  <c r="V1157"/>
  <c r="W1157"/>
  <c r="Y1157"/>
  <c r="AA1157"/>
  <c r="AB1157"/>
  <c r="AC1157"/>
  <c r="AD1157"/>
  <c r="P1158"/>
  <c r="W1158"/>
  <c r="Y1158"/>
  <c r="AA1158"/>
  <c r="AB1158"/>
  <c r="AC1158"/>
  <c r="AD1158"/>
  <c r="P1159"/>
  <c r="W1159"/>
  <c r="Y1159"/>
  <c r="AA1159"/>
  <c r="AB1159"/>
  <c r="AC1159"/>
  <c r="AD1159"/>
  <c r="P1160"/>
  <c r="W1160"/>
  <c r="Y1160"/>
  <c r="AA1160"/>
  <c r="AB1160"/>
  <c r="AC1160"/>
  <c r="AD1160"/>
  <c r="P1161"/>
  <c r="W1161"/>
  <c r="Y1161"/>
  <c r="AA1161"/>
  <c r="AB1161"/>
  <c r="AC1161"/>
  <c r="AD1161"/>
  <c r="P1162"/>
  <c r="W1162"/>
  <c r="Y1162"/>
  <c r="AA1162"/>
  <c r="AB1162"/>
  <c r="AC1162"/>
  <c r="AD1162"/>
  <c r="P1163"/>
  <c r="W1163"/>
  <c r="Y1163"/>
  <c r="AA1163"/>
  <c r="AB1163"/>
  <c r="AC1163"/>
  <c r="AD1163"/>
  <c r="P1164"/>
  <c r="W1164"/>
  <c r="Y1164"/>
  <c r="AA1164"/>
  <c r="AB1164"/>
  <c r="AC1164"/>
  <c r="AD1164"/>
  <c r="P1165"/>
  <c r="W1165"/>
  <c r="Y1165"/>
  <c r="AA1165"/>
  <c r="AB1165"/>
  <c r="AC1165"/>
  <c r="AD1165"/>
  <c r="P1166"/>
  <c r="W1166"/>
  <c r="Y1166"/>
  <c r="AA1166"/>
  <c r="AB1166"/>
  <c r="AC1166"/>
  <c r="AD1166"/>
  <c r="P1167"/>
  <c r="T1167"/>
  <c r="U1167"/>
  <c r="V1167"/>
  <c r="W1167"/>
  <c r="Y1167"/>
  <c r="AA1167"/>
  <c r="AB1167"/>
  <c r="AC1167"/>
  <c r="AD1167"/>
  <c r="P1168"/>
  <c r="T1168"/>
  <c r="U1168"/>
  <c r="V1168"/>
  <c r="W1168"/>
  <c r="Y1168"/>
  <c r="AA1168"/>
  <c r="AB1168"/>
  <c r="AC1168"/>
  <c r="AD1168"/>
  <c r="P1170"/>
  <c r="T1170"/>
  <c r="U1170"/>
  <c r="V1170"/>
  <c r="W1170"/>
  <c r="Y1170"/>
  <c r="AA1170"/>
  <c r="AB1170"/>
  <c r="AC1170"/>
  <c r="AD1170"/>
  <c r="P1171"/>
  <c r="T1171"/>
  <c r="U1171"/>
  <c r="V1171"/>
  <c r="W1171"/>
  <c r="Y1171"/>
  <c r="AA1171"/>
  <c r="AB1171"/>
  <c r="AC1171"/>
  <c r="AD1171"/>
  <c r="P1172"/>
  <c r="T1172"/>
  <c r="U1172"/>
  <c r="V1172"/>
  <c r="W1172"/>
  <c r="Y1172"/>
  <c r="AA1172"/>
  <c r="AB1172"/>
  <c r="AC1172"/>
  <c r="AD1172"/>
  <c r="P1173"/>
  <c r="T1173"/>
  <c r="U1173"/>
  <c r="V1173"/>
  <c r="W1173"/>
  <c r="Y1173"/>
  <c r="AA1173"/>
  <c r="AB1173"/>
  <c r="AC1173"/>
  <c r="AD1173"/>
  <c r="P1174"/>
  <c r="T1174"/>
  <c r="U1174"/>
  <c r="V1174"/>
  <c r="W1174"/>
  <c r="Y1174"/>
  <c r="AA1174"/>
  <c r="AB1174"/>
  <c r="AC1174"/>
  <c r="AD1174"/>
  <c r="P1175"/>
  <c r="T1175"/>
  <c r="U1175"/>
  <c r="V1175"/>
  <c r="W1175"/>
  <c r="Y1175"/>
  <c r="AA1175"/>
  <c r="AB1175"/>
  <c r="AC1175"/>
  <c r="AD1175"/>
  <c r="P1176"/>
  <c r="T1176"/>
  <c r="U1176"/>
  <c r="V1176"/>
  <c r="W1176"/>
  <c r="Y1176"/>
  <c r="AA1176"/>
  <c r="AB1176"/>
  <c r="AC1176"/>
  <c r="AD1176"/>
  <c r="P1177"/>
  <c r="T1177"/>
  <c r="U1177"/>
  <c r="V1177"/>
  <c r="W1177"/>
  <c r="Y1177"/>
  <c r="AA1177"/>
  <c r="AB1177"/>
  <c r="AC1177"/>
  <c r="AD1177"/>
  <c r="P1178"/>
  <c r="T1178"/>
  <c r="U1178"/>
  <c r="V1178"/>
  <c r="W1178"/>
  <c r="Y1178"/>
  <c r="AA1178"/>
  <c r="AB1178"/>
  <c r="AC1178"/>
  <c r="P1179"/>
  <c r="T1179"/>
  <c r="U1179"/>
  <c r="V1179"/>
  <c r="W1179"/>
  <c r="Y1179"/>
  <c r="AA1179"/>
  <c r="AB1179"/>
  <c r="AC1179"/>
  <c r="AD1179"/>
  <c r="P1180"/>
  <c r="T1180"/>
  <c r="U1180"/>
  <c r="V1180"/>
  <c r="W1180"/>
  <c r="Y1180"/>
  <c r="AA1180"/>
  <c r="AB1180"/>
  <c r="AC1180"/>
  <c r="AD1180"/>
  <c r="P1181"/>
  <c r="T1181"/>
  <c r="U1181"/>
  <c r="V1181"/>
  <c r="W1181"/>
  <c r="Y1181"/>
  <c r="AA1181"/>
  <c r="AB1181"/>
  <c r="AC1181"/>
  <c r="AD1181"/>
  <c r="P1192"/>
  <c r="T1192"/>
  <c r="U1192"/>
  <c r="V1192"/>
  <c r="W1192"/>
  <c r="Y1192"/>
  <c r="AA1192"/>
  <c r="AB1192"/>
  <c r="AC1192"/>
  <c r="AD1192"/>
  <c r="P1193"/>
  <c r="T1193"/>
  <c r="U1193"/>
  <c r="V1193"/>
  <c r="W1193"/>
  <c r="Y1193"/>
  <c r="AA1193"/>
  <c r="AB1193"/>
  <c r="AC1193"/>
  <c r="AD1193"/>
  <c r="P1184"/>
  <c r="W1184"/>
  <c r="Y1184"/>
  <c r="AA1184"/>
  <c r="AB1184"/>
  <c r="AC1184"/>
  <c r="AD1184"/>
  <c r="P1185"/>
  <c r="W1185"/>
  <c r="Y1185"/>
  <c r="AA1185"/>
  <c r="AB1185"/>
  <c r="AC1185"/>
  <c r="AD1185"/>
  <c r="P1186"/>
  <c r="W1186"/>
  <c r="Y1186"/>
  <c r="AA1186"/>
  <c r="AB1186"/>
  <c r="AC1186"/>
  <c r="AD1186"/>
  <c r="P1187"/>
  <c r="W1187"/>
  <c r="Y1187"/>
  <c r="AA1187"/>
  <c r="AB1187"/>
  <c r="AC1187"/>
  <c r="AD1187"/>
  <c r="P1188"/>
  <c r="W1188"/>
  <c r="Y1188"/>
  <c r="AA1188"/>
  <c r="AB1188"/>
  <c r="AC1188"/>
  <c r="AD1188"/>
  <c r="P1189"/>
  <c r="W1189"/>
  <c r="Y1189"/>
  <c r="AA1189"/>
  <c r="AB1189"/>
  <c r="AC1189"/>
  <c r="P1190"/>
  <c r="W1190"/>
  <c r="Y1190"/>
  <c r="AA1190"/>
  <c r="AB1190"/>
  <c r="AC1190"/>
  <c r="P1191"/>
  <c r="W1191"/>
  <c r="Y1191"/>
  <c r="AA1191"/>
  <c r="AB1191"/>
  <c r="AC1191"/>
  <c r="AD1191"/>
  <c r="P1194"/>
  <c r="T1194"/>
  <c r="U1194"/>
  <c r="V1194"/>
  <c r="W1194"/>
  <c r="Y1194"/>
  <c r="AA1194"/>
  <c r="AB1194"/>
  <c r="AC1194"/>
  <c r="AD1194"/>
  <c r="P1195"/>
  <c r="T1195"/>
  <c r="U1195"/>
  <c r="V1195"/>
  <c r="W1195"/>
  <c r="Y1195"/>
  <c r="AA1195"/>
  <c r="AB1195"/>
  <c r="AC1195"/>
  <c r="AD1195"/>
  <c r="P1211"/>
  <c r="T1211"/>
  <c r="U1211"/>
  <c r="V1211"/>
  <c r="W1211"/>
  <c r="Y1211"/>
  <c r="AA1211"/>
  <c r="AB1211"/>
  <c r="AC1211"/>
  <c r="AD1211"/>
  <c r="P1212"/>
  <c r="T1212"/>
  <c r="U1212"/>
  <c r="V1212"/>
  <c r="W1212"/>
  <c r="Y1212"/>
  <c r="AA1212"/>
  <c r="AB1212"/>
  <c r="AC1212"/>
  <c r="AD1212"/>
  <c r="P1196"/>
  <c r="W1196"/>
  <c r="Y1196"/>
  <c r="AA1196"/>
  <c r="AB1196"/>
  <c r="AC1196"/>
  <c r="AD1196"/>
  <c r="P1197"/>
  <c r="W1197"/>
  <c r="Y1197"/>
  <c r="AA1197"/>
  <c r="AB1197"/>
  <c r="AC1197"/>
  <c r="AD1197"/>
  <c r="P1198"/>
  <c r="W1198"/>
  <c r="Y1198"/>
  <c r="AA1198"/>
  <c r="AB1198"/>
  <c r="AC1198"/>
  <c r="AD1198"/>
  <c r="P1199"/>
  <c r="W1199"/>
  <c r="Y1199"/>
  <c r="AA1199"/>
  <c r="AB1199"/>
  <c r="AC1199"/>
  <c r="AD1199"/>
  <c r="P1200"/>
  <c r="W1200"/>
  <c r="Y1200"/>
  <c r="AA1200"/>
  <c r="AB1200"/>
  <c r="AC1200"/>
  <c r="AD1200"/>
  <c r="P1201"/>
  <c r="W1201"/>
  <c r="Y1201"/>
  <c r="AA1201"/>
  <c r="AB1201"/>
  <c r="AC1201"/>
  <c r="AD1201"/>
  <c r="P1202"/>
  <c r="W1202"/>
  <c r="Y1202"/>
  <c r="AA1202"/>
  <c r="AB1202"/>
  <c r="AC1202"/>
  <c r="AD1202"/>
  <c r="P1203"/>
  <c r="W1203"/>
  <c r="Y1203"/>
  <c r="AA1203"/>
  <c r="AB1203"/>
  <c r="AC1203"/>
  <c r="AD1203"/>
  <c r="P1204"/>
  <c r="W1204"/>
  <c r="Y1204"/>
  <c r="AA1204"/>
  <c r="AB1204"/>
  <c r="AC1204"/>
  <c r="AD1204"/>
  <c r="P1205"/>
  <c r="W1205"/>
  <c r="Y1205"/>
  <c r="AA1205"/>
  <c r="AB1205"/>
  <c r="AC1205"/>
  <c r="AD1205"/>
  <c r="P1206"/>
  <c r="W1206"/>
  <c r="Y1206"/>
  <c r="AA1206"/>
  <c r="AB1206"/>
  <c r="AC1206"/>
  <c r="AD1206"/>
  <c r="P1207"/>
  <c r="W1207"/>
  <c r="Y1207"/>
  <c r="AA1207"/>
  <c r="AB1207"/>
  <c r="AC1207"/>
  <c r="AD1207"/>
  <c r="P1208"/>
  <c r="W1208"/>
  <c r="Y1208"/>
  <c r="AA1208"/>
  <c r="AB1208"/>
  <c r="AC1208"/>
  <c r="AD1208"/>
  <c r="P1209"/>
  <c r="W1209"/>
  <c r="Y1209"/>
  <c r="AA1209"/>
  <c r="AB1209"/>
  <c r="AC1209"/>
  <c r="AD1209"/>
  <c r="P1210"/>
  <c r="W1210"/>
  <c r="Y1210"/>
  <c r="AA1210"/>
  <c r="AB1210"/>
  <c r="AC1210"/>
  <c r="AD1210"/>
  <c r="P1221"/>
  <c r="T1221"/>
  <c r="U1221"/>
  <c r="V1221"/>
  <c r="W1221"/>
  <c r="Y1221"/>
  <c r="AA1221"/>
  <c r="AB1221"/>
  <c r="AC1221"/>
  <c r="AD1221"/>
  <c r="P1222"/>
  <c r="T1222"/>
  <c r="U1222"/>
  <c r="V1222"/>
  <c r="W1222"/>
  <c r="Y1222"/>
  <c r="AA1222"/>
  <c r="AB1222"/>
  <c r="AC1222"/>
  <c r="AD1222"/>
  <c r="P1213"/>
  <c r="W1213"/>
  <c r="Y1213"/>
  <c r="AA1213"/>
  <c r="AB1213"/>
  <c r="AC1213"/>
  <c r="AD1213"/>
  <c r="P1214"/>
  <c r="W1214"/>
  <c r="Y1214"/>
  <c r="AA1214"/>
  <c r="AB1214"/>
  <c r="AC1214"/>
  <c r="AD1214"/>
  <c r="P1215"/>
  <c r="W1215"/>
  <c r="Y1215"/>
  <c r="AA1215"/>
  <c r="AB1215"/>
  <c r="AC1215"/>
  <c r="AD1215"/>
  <c r="P1216"/>
  <c r="W1216"/>
  <c r="Y1216"/>
  <c r="AA1216"/>
  <c r="AB1216"/>
  <c r="AC1216"/>
  <c r="P1217"/>
  <c r="W1217"/>
  <c r="Y1217"/>
  <c r="AA1217"/>
  <c r="AB1217"/>
  <c r="AC1217"/>
  <c r="P1218"/>
  <c r="W1218"/>
  <c r="Y1218"/>
  <c r="AA1218"/>
  <c r="AB1218"/>
  <c r="AC1218"/>
  <c r="P1219"/>
  <c r="W1219"/>
  <c r="Y1219"/>
  <c r="AA1219"/>
  <c r="AB1219"/>
  <c r="AC1219"/>
  <c r="P1220"/>
  <c r="T1220"/>
  <c r="U1220"/>
  <c r="V1220"/>
  <c r="W1220"/>
  <c r="Y1220"/>
  <c r="AA1220"/>
  <c r="AB1220"/>
  <c r="AC1220"/>
  <c r="P1231"/>
  <c r="T1231"/>
  <c r="U1231"/>
  <c r="V1231"/>
  <c r="W1231"/>
  <c r="Y1231"/>
  <c r="AA1231"/>
  <c r="AB1231"/>
  <c r="AC1231"/>
  <c r="AD1231"/>
  <c r="P1232"/>
  <c r="T1232"/>
  <c r="U1232"/>
  <c r="V1232"/>
  <c r="W1232"/>
  <c r="Y1232"/>
  <c r="AA1232"/>
  <c r="AB1232"/>
  <c r="AC1232"/>
  <c r="AD1232"/>
  <c r="P1223"/>
  <c r="W1223"/>
  <c r="Y1223"/>
  <c r="AA1223"/>
  <c r="AB1223"/>
  <c r="AC1223"/>
  <c r="AD1223"/>
  <c r="P1224"/>
  <c r="W1224"/>
  <c r="Y1224"/>
  <c r="AA1224"/>
  <c r="AB1224"/>
  <c r="AC1224"/>
  <c r="AD1224"/>
  <c r="P1225"/>
  <c r="W1225"/>
  <c r="Y1225"/>
  <c r="AA1225"/>
  <c r="AB1225"/>
  <c r="AC1225"/>
  <c r="AD1225"/>
  <c r="P1226"/>
  <c r="W1226"/>
  <c r="Y1226"/>
  <c r="AA1226"/>
  <c r="AB1226"/>
  <c r="AC1226"/>
  <c r="AD1226"/>
  <c r="P1227"/>
  <c r="W1227"/>
  <c r="Y1227"/>
  <c r="AA1227"/>
  <c r="AB1227"/>
  <c r="AC1227"/>
  <c r="AD1227"/>
  <c r="P1228"/>
  <c r="W1228"/>
  <c r="Y1228"/>
  <c r="AA1228"/>
  <c r="AB1228"/>
  <c r="AC1228"/>
  <c r="AD1228"/>
  <c r="P1229"/>
  <c r="W1229"/>
  <c r="Y1229"/>
  <c r="AA1229"/>
  <c r="AB1229"/>
  <c r="AC1229"/>
  <c r="AD1229"/>
  <c r="P1230"/>
  <c r="W1230"/>
  <c r="Y1230"/>
  <c r="AA1230"/>
  <c r="AB1230"/>
  <c r="AC1230"/>
  <c r="AD1230"/>
  <c r="P1249"/>
  <c r="T1249"/>
  <c r="U1249"/>
  <c r="V1249"/>
  <c r="W1249"/>
  <c r="Y1249"/>
  <c r="AA1249"/>
  <c r="AB1249"/>
  <c r="AC1249"/>
  <c r="AD1249"/>
  <c r="P1250"/>
  <c r="T1250"/>
  <c r="U1250"/>
  <c r="V1250"/>
  <c r="W1250"/>
  <c r="Y1250"/>
  <c r="AA1250"/>
  <c r="AB1250"/>
  <c r="AC1250"/>
  <c r="AD1250"/>
  <c r="P1259"/>
  <c r="T1259"/>
  <c r="U1259"/>
  <c r="V1259"/>
  <c r="W1259"/>
  <c r="Y1259"/>
  <c r="AA1259"/>
  <c r="AB1259"/>
  <c r="AC1259"/>
  <c r="AD1259"/>
  <c r="P1260"/>
  <c r="T1260"/>
  <c r="U1260"/>
  <c r="V1260"/>
  <c r="W1260"/>
  <c r="Y1260"/>
  <c r="AA1260"/>
  <c r="AB1260"/>
  <c r="AC1260"/>
  <c r="AD1260"/>
  <c r="P1235"/>
  <c r="W1235"/>
  <c r="Y1235"/>
  <c r="AA1235"/>
  <c r="AB1235"/>
  <c r="AC1235"/>
  <c r="AD1235"/>
  <c r="P1236"/>
  <c r="W1236"/>
  <c r="Y1236"/>
  <c r="AA1236"/>
  <c r="AB1236"/>
  <c r="AC1236"/>
  <c r="P1237"/>
  <c r="W1237"/>
  <c r="Y1237"/>
  <c r="AA1237"/>
  <c r="AB1237"/>
  <c r="AC1237"/>
  <c r="P1238"/>
  <c r="W1238"/>
  <c r="Y1238"/>
  <c r="AA1238"/>
  <c r="AB1238"/>
  <c r="AC1238"/>
  <c r="P1239"/>
  <c r="W1239"/>
  <c r="Y1239"/>
  <c r="AA1239"/>
  <c r="AB1239"/>
  <c r="AC1239"/>
  <c r="P1240"/>
  <c r="T1240"/>
  <c r="U1240"/>
  <c r="V1240"/>
  <c r="W1240"/>
  <c r="Y1240"/>
  <c r="AA1240"/>
  <c r="AB1240"/>
  <c r="AC1240"/>
  <c r="P1241"/>
  <c r="W1241"/>
  <c r="Y1241"/>
  <c r="AA1241"/>
  <c r="AB1241"/>
  <c r="AC1241"/>
  <c r="AD1241"/>
  <c r="P1242"/>
  <c r="W1242"/>
  <c r="Y1242"/>
  <c r="AA1242"/>
  <c r="AB1242"/>
  <c r="AC1242"/>
  <c r="AD1242"/>
  <c r="P1243"/>
  <c r="W1243"/>
  <c r="Y1243"/>
  <c r="AA1243"/>
  <c r="AB1243"/>
  <c r="AC1243"/>
  <c r="AD1243"/>
  <c r="P1244"/>
  <c r="W1244"/>
  <c r="Y1244"/>
  <c r="AA1244"/>
  <c r="AB1244"/>
  <c r="AC1244"/>
  <c r="AD1244"/>
  <c r="P1245"/>
  <c r="W1245"/>
  <c r="Y1245"/>
  <c r="AA1245"/>
  <c r="AB1245"/>
  <c r="AC1245"/>
  <c r="AD1245"/>
  <c r="P1246"/>
  <c r="W1246"/>
  <c r="Y1246"/>
  <c r="AA1246"/>
  <c r="AB1246"/>
  <c r="AC1246"/>
  <c r="AD1246"/>
  <c r="P1247"/>
  <c r="W1247"/>
  <c r="Y1247"/>
  <c r="AA1247"/>
  <c r="AB1247"/>
  <c r="AC1247"/>
  <c r="AD1247"/>
  <c r="P1248"/>
  <c r="W1248"/>
  <c r="Y1248"/>
  <c r="AA1248"/>
  <c r="AB1248"/>
  <c r="AC1248"/>
  <c r="AD1248"/>
  <c r="P1267"/>
  <c r="T1267"/>
  <c r="U1267"/>
  <c r="V1267"/>
  <c r="W1267"/>
  <c r="Y1267"/>
  <c r="AA1267"/>
  <c r="AB1267"/>
  <c r="AC1267"/>
  <c r="AD1267"/>
  <c r="P1269"/>
  <c r="T1269"/>
  <c r="U1269"/>
  <c r="V1269"/>
  <c r="W1269"/>
  <c r="Y1269"/>
  <c r="AA1269"/>
  <c r="AB1269"/>
  <c r="AC1269"/>
  <c r="AD1269"/>
  <c r="P1251"/>
  <c r="W1251"/>
  <c r="Y1251"/>
  <c r="AA1251"/>
  <c r="AB1251"/>
  <c r="AC1251"/>
  <c r="AD1251"/>
  <c r="P1252"/>
  <c r="W1252"/>
  <c r="Y1252"/>
  <c r="AA1252"/>
  <c r="AB1252"/>
  <c r="AC1252"/>
  <c r="AD1252"/>
  <c r="P1253"/>
  <c r="W1253"/>
  <c r="Y1253"/>
  <c r="AA1253"/>
  <c r="AB1253"/>
  <c r="AC1253"/>
  <c r="AD1253"/>
  <c r="P1254"/>
  <c r="W1254"/>
  <c r="Y1254"/>
  <c r="AA1254"/>
  <c r="AB1254"/>
  <c r="AC1254"/>
  <c r="P1255"/>
  <c r="W1255"/>
  <c r="Y1255"/>
  <c r="AA1255"/>
  <c r="AB1255"/>
  <c r="AC1255"/>
  <c r="P1256"/>
  <c r="W1256"/>
  <c r="Y1256"/>
  <c r="AA1256"/>
  <c r="AB1256"/>
  <c r="AC1256"/>
  <c r="P1257"/>
  <c r="T1257"/>
  <c r="U1257"/>
  <c r="V1257"/>
  <c r="W1257"/>
  <c r="Y1257"/>
  <c r="AA1257"/>
  <c r="AB1257"/>
  <c r="AC1257"/>
  <c r="P1258"/>
  <c r="W1258"/>
  <c r="Y1258"/>
  <c r="AA1258"/>
  <c r="AB1258"/>
  <c r="AC1258"/>
  <c r="AD1258"/>
  <c r="P1270"/>
  <c r="T1270"/>
  <c r="U1270"/>
  <c r="V1270"/>
  <c r="W1270"/>
  <c r="Y1270"/>
  <c r="AA1270"/>
  <c r="AB1270"/>
  <c r="AC1270"/>
  <c r="AD1270"/>
  <c r="P1271"/>
  <c r="T1271"/>
  <c r="U1271"/>
  <c r="V1271"/>
  <c r="W1271"/>
  <c r="Y1271"/>
  <c r="AA1271"/>
  <c r="AB1271"/>
  <c r="AC1271"/>
  <c r="AD1271"/>
  <c r="P1261"/>
  <c r="W1261"/>
  <c r="Y1261"/>
  <c r="AA1261"/>
  <c r="AB1261"/>
  <c r="AC1261"/>
  <c r="AD1261"/>
  <c r="P1262"/>
  <c r="W1262"/>
  <c r="Y1262"/>
  <c r="AA1262"/>
  <c r="AB1262"/>
  <c r="AC1262"/>
  <c r="AD1262"/>
  <c r="P1263"/>
  <c r="W1263"/>
  <c r="Y1263"/>
  <c r="AA1263"/>
  <c r="AB1263"/>
  <c r="AC1263"/>
  <c r="AD1263"/>
  <c r="P1264"/>
  <c r="W1264"/>
  <c r="Y1264"/>
  <c r="AA1264"/>
  <c r="AB1264"/>
  <c r="AC1264"/>
  <c r="AD1264"/>
  <c r="P1265"/>
  <c r="W1265"/>
  <c r="Y1265"/>
  <c r="AA1265"/>
  <c r="AB1265"/>
  <c r="AC1265"/>
  <c r="AD1265"/>
  <c r="P1266"/>
  <c r="W1266"/>
  <c r="Y1266"/>
  <c r="AA1266"/>
  <c r="AB1266"/>
  <c r="AC1266"/>
  <c r="AD1266"/>
  <c r="P1279"/>
  <c r="T1279"/>
  <c r="U1279"/>
  <c r="V1279"/>
  <c r="W1279"/>
  <c r="Y1279"/>
  <c r="AA1279"/>
  <c r="AB1279"/>
  <c r="AC1279"/>
  <c r="AD1279"/>
  <c r="P1268"/>
  <c r="W1268"/>
  <c r="Y1268"/>
  <c r="AA1268"/>
  <c r="AB1268"/>
  <c r="AC1268"/>
  <c r="AD1268"/>
  <c r="P1281"/>
  <c r="T1281"/>
  <c r="U1281"/>
  <c r="V1281"/>
  <c r="W1281"/>
  <c r="Y1281"/>
  <c r="AA1281"/>
  <c r="AB1281"/>
  <c r="AC1281"/>
  <c r="AD1281"/>
  <c r="P1282"/>
  <c r="T1282"/>
  <c r="U1282"/>
  <c r="V1282"/>
  <c r="W1282"/>
  <c r="Y1282"/>
  <c r="AA1282"/>
  <c r="AB1282"/>
  <c r="AC1282"/>
  <c r="AD1282"/>
  <c r="P1283"/>
  <c r="W1283"/>
  <c r="Y1283"/>
  <c r="AA1283"/>
  <c r="AB1283"/>
  <c r="AC1283"/>
  <c r="AD1283"/>
  <c r="P1272"/>
  <c r="W1272"/>
  <c r="Y1272"/>
  <c r="AA1272"/>
  <c r="AB1272"/>
  <c r="AC1272"/>
  <c r="AD1272"/>
  <c r="P1273"/>
  <c r="W1273"/>
  <c r="Y1273"/>
  <c r="AA1273"/>
  <c r="AB1273"/>
  <c r="AC1273"/>
  <c r="AD1273"/>
  <c r="P1274"/>
  <c r="W1274"/>
  <c r="Y1274"/>
  <c r="AA1274"/>
  <c r="AB1274"/>
  <c r="AC1274"/>
  <c r="AD1274"/>
  <c r="P1275"/>
  <c r="W1275"/>
  <c r="Y1275"/>
  <c r="AA1275"/>
  <c r="AB1275"/>
  <c r="AC1275"/>
  <c r="AD1275"/>
  <c r="P1276"/>
  <c r="W1276"/>
  <c r="Y1276"/>
  <c r="AA1276"/>
  <c r="AB1276"/>
  <c r="AC1276"/>
  <c r="AD1276"/>
  <c r="P1277"/>
  <c r="W1277"/>
  <c r="Y1277"/>
  <c r="AA1277"/>
  <c r="AB1277"/>
  <c r="AC1277"/>
  <c r="AD1277"/>
  <c r="P1284"/>
  <c r="T1284"/>
  <c r="U1284"/>
  <c r="V1284"/>
  <c r="W1284"/>
  <c r="Y1284"/>
  <c r="AA1284"/>
  <c r="AB1284"/>
  <c r="AC1284"/>
  <c r="AD1284"/>
  <c r="P1285"/>
  <c r="T1285"/>
  <c r="U1285"/>
  <c r="V1285"/>
  <c r="W1285"/>
  <c r="Y1285"/>
  <c r="AA1285"/>
  <c r="AB1285"/>
  <c r="AC1285"/>
  <c r="AD1285"/>
  <c r="P1280"/>
  <c r="W1280"/>
  <c r="Y1280"/>
  <c r="AA1280"/>
  <c r="AB1280"/>
  <c r="AC1280"/>
  <c r="AD1280"/>
  <c r="P1286"/>
  <c r="T1286"/>
  <c r="U1286"/>
  <c r="V1286"/>
  <c r="W1286"/>
  <c r="Y1286"/>
  <c r="AA1286"/>
  <c r="AB1286"/>
  <c r="AC1286"/>
  <c r="AD1286"/>
  <c r="P1287"/>
  <c r="T1287"/>
  <c r="U1287"/>
  <c r="V1287"/>
  <c r="W1287"/>
  <c r="Y1287"/>
  <c r="AA1287"/>
  <c r="AB1287"/>
  <c r="AC1287"/>
  <c r="AD1287"/>
  <c r="P1288"/>
  <c r="T1288"/>
  <c r="U1288"/>
  <c r="V1288"/>
  <c r="W1288"/>
  <c r="Y1288"/>
  <c r="AA1288"/>
  <c r="AB1288"/>
  <c r="AC1288"/>
  <c r="AD1288"/>
  <c r="P1289"/>
  <c r="T1289"/>
  <c r="U1289"/>
  <c r="V1289"/>
  <c r="W1289"/>
  <c r="Y1289"/>
  <c r="AA1289"/>
  <c r="AB1289"/>
  <c r="AC1289"/>
  <c r="AD1289"/>
  <c r="P1290"/>
  <c r="T1290"/>
  <c r="U1290"/>
  <c r="V1290"/>
  <c r="W1290"/>
  <c r="Y1290"/>
  <c r="AA1290"/>
  <c r="AB1290"/>
  <c r="AC1290"/>
  <c r="AD1290"/>
  <c r="P1292"/>
  <c r="T1292"/>
  <c r="U1292"/>
  <c r="V1292"/>
  <c r="W1292"/>
  <c r="Y1292"/>
  <c r="AA1292"/>
  <c r="AB1292"/>
  <c r="AC1292"/>
  <c r="AD1292"/>
  <c r="P1293"/>
  <c r="T1293"/>
  <c r="U1293"/>
  <c r="V1293"/>
  <c r="W1293"/>
  <c r="Y1293"/>
  <c r="AA1293"/>
  <c r="AB1293"/>
  <c r="AC1293"/>
  <c r="AD1293"/>
  <c r="P1294"/>
  <c r="T1294"/>
  <c r="U1294"/>
  <c r="V1294"/>
  <c r="W1294"/>
  <c r="Y1294"/>
  <c r="AA1294"/>
  <c r="AB1294"/>
  <c r="AC1294"/>
  <c r="AD1294"/>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W1305"/>
  <c r="Y1305"/>
  <c r="AA1305"/>
  <c r="AB1305"/>
  <c r="AC1305"/>
  <c r="AD1305"/>
  <c r="P1306"/>
  <c r="T1306"/>
  <c r="U1306"/>
  <c r="V1306"/>
  <c r="W1306"/>
  <c r="Y1306"/>
  <c r="AA1306"/>
  <c r="AB1306"/>
  <c r="AC1306"/>
  <c r="AD1306"/>
  <c r="P1307"/>
  <c r="T1307"/>
  <c r="U1307"/>
  <c r="V1307"/>
  <c r="W1307"/>
  <c r="Y1307"/>
  <c r="AA1307"/>
  <c r="AB1307"/>
  <c r="AC1307"/>
  <c r="AD1307"/>
  <c r="P1308"/>
  <c r="T1308"/>
  <c r="U1308"/>
  <c r="V1308"/>
  <c r="W1308"/>
  <c r="Y1308"/>
  <c r="AA1308"/>
  <c r="AB1308"/>
  <c r="AC1308"/>
  <c r="AD1308"/>
  <c r="P1309"/>
  <c r="T1309"/>
  <c r="U1309"/>
  <c r="V1309"/>
  <c r="W1309"/>
  <c r="Y1309"/>
  <c r="AA1309"/>
  <c r="AB1309"/>
  <c r="AC1309"/>
  <c r="AD1309"/>
  <c r="P1310"/>
  <c r="W1310"/>
  <c r="Y1310"/>
  <c r="AA1310"/>
  <c r="AB1310"/>
  <c r="AC1310"/>
  <c r="AD1310"/>
  <c r="P1311"/>
  <c r="W1311"/>
  <c r="Y1311"/>
  <c r="AA1311"/>
  <c r="AB1311"/>
  <c r="AC1311"/>
  <c r="AD1311"/>
  <c r="P1312"/>
  <c r="W1312"/>
  <c r="Y1312"/>
  <c r="AA1312"/>
  <c r="AB1312"/>
  <c r="AC1312"/>
  <c r="AD1312"/>
  <c r="P1314"/>
  <c r="T1314"/>
  <c r="U1314"/>
  <c r="V1314"/>
  <c r="W1314"/>
  <c r="Y1314"/>
  <c r="AA1314"/>
  <c r="AB1314"/>
  <c r="AC1314"/>
  <c r="AD1314"/>
  <c r="P1315"/>
  <c r="T1315"/>
  <c r="U1315"/>
  <c r="V1315"/>
  <c r="W1315"/>
  <c r="Y1315"/>
  <c r="AA1315"/>
  <c r="AB1315"/>
  <c r="AC1315"/>
  <c r="AD1315"/>
  <c r="P1316"/>
  <c r="T1316"/>
  <c r="U1316"/>
  <c r="V1316"/>
  <c r="W1316"/>
  <c r="Y1316"/>
  <c r="AA1316"/>
  <c r="AB1316"/>
  <c r="AC1316"/>
  <c r="AD1316"/>
  <c r="P1317"/>
  <c r="T1317"/>
  <c r="U1317"/>
  <c r="V1317"/>
  <c r="W1317"/>
  <c r="Y1317"/>
  <c r="AA1317"/>
  <c r="AB1317"/>
  <c r="AC1317"/>
  <c r="AD1317"/>
  <c r="P1318"/>
  <c r="T1318"/>
  <c r="U1318"/>
  <c r="V1318"/>
  <c r="W1318"/>
  <c r="Y1318"/>
  <c r="AA1318"/>
  <c r="AB1318"/>
  <c r="AC1318"/>
  <c r="AD1318"/>
  <c r="P1319"/>
  <c r="T1319"/>
  <c r="U1319"/>
  <c r="V1319"/>
  <c r="W1319"/>
  <c r="Y1319"/>
  <c r="AA1319"/>
  <c r="AB1319"/>
  <c r="AC1319"/>
  <c r="AD1319"/>
  <c r="P1320"/>
  <c r="T1320"/>
  <c r="U1320"/>
  <c r="V1320"/>
  <c r="W1320"/>
  <c r="Y1320"/>
  <c r="AA1320"/>
  <c r="AB1320"/>
  <c r="AC1320"/>
  <c r="AD1320"/>
  <c r="P1321"/>
  <c r="T1321"/>
  <c r="U1321"/>
  <c r="V1321"/>
  <c r="W1321"/>
  <c r="Y1321"/>
  <c r="AA1321"/>
  <c r="AB1321"/>
  <c r="AC1321"/>
  <c r="AD1321"/>
  <c r="P1322"/>
  <c r="T1322"/>
  <c r="U1322"/>
  <c r="V1322"/>
  <c r="W1322"/>
  <c r="Y1322"/>
  <c r="AA1322"/>
  <c r="AB1322"/>
  <c r="AC1322"/>
  <c r="AD1322"/>
  <c r="P1323"/>
  <c r="T1323"/>
  <c r="U1323"/>
  <c r="V1323"/>
  <c r="W1323"/>
  <c r="Y1323"/>
  <c r="AA1323"/>
  <c r="AB1323"/>
  <c r="AC1323"/>
  <c r="AD1323"/>
  <c r="P1324"/>
  <c r="T1324"/>
  <c r="U1324"/>
  <c r="V1324"/>
  <c r="W1324"/>
  <c r="Y1324"/>
  <c r="AA1324"/>
  <c r="AB1324"/>
  <c r="AC1324"/>
  <c r="AD1324"/>
  <c r="P1325"/>
  <c r="T1325"/>
  <c r="U1325"/>
  <c r="V1325"/>
  <c r="W1325"/>
  <c r="Y1325"/>
  <c r="AA1325"/>
  <c r="AB1325"/>
  <c r="AC1325"/>
  <c r="AD1325"/>
  <c r="P1326"/>
  <c r="T1326"/>
  <c r="U1326"/>
  <c r="V1326"/>
  <c r="W1326"/>
  <c r="Y1326"/>
  <c r="AA1326"/>
  <c r="AB1326"/>
  <c r="AC1326"/>
  <c r="AD1326"/>
  <c r="P1327"/>
  <c r="T1327"/>
  <c r="U1327"/>
  <c r="V1327"/>
  <c r="W1327"/>
  <c r="Y1327"/>
  <c r="AA1327"/>
  <c r="AB1327"/>
  <c r="AC1327"/>
  <c r="AD1327"/>
  <c r="P1328"/>
  <c r="T1328"/>
  <c r="U1328"/>
  <c r="V1328"/>
  <c r="W1328"/>
  <c r="Y1328"/>
  <c r="AA1328"/>
  <c r="AB1328"/>
  <c r="AC1328"/>
  <c r="AD1328"/>
  <c r="P1329"/>
  <c r="T1329"/>
  <c r="U1329"/>
  <c r="V1329"/>
  <c r="W1329"/>
  <c r="Y1329"/>
  <c r="AA1329"/>
  <c r="AB1329"/>
  <c r="AC1329"/>
  <c r="AD1329"/>
  <c r="P1343"/>
  <c r="W1343"/>
  <c r="Y1343"/>
  <c r="AA1343"/>
  <c r="AB1343"/>
  <c r="AC1343"/>
  <c r="AD1343"/>
  <c r="P1330"/>
  <c r="W1330"/>
  <c r="Y1330"/>
  <c r="AA1330"/>
  <c r="AB1330"/>
  <c r="AC1330"/>
  <c r="AD1330"/>
  <c r="P1331"/>
  <c r="W1331"/>
  <c r="Y1331"/>
  <c r="AA1331"/>
  <c r="AB1331"/>
  <c r="AC1331"/>
  <c r="AD1331"/>
  <c r="P1332"/>
  <c r="W1332"/>
  <c r="Y1332"/>
  <c r="AA1332"/>
  <c r="AB1332"/>
  <c r="AC1332"/>
  <c r="AD1332"/>
  <c r="P1333"/>
  <c r="W1333"/>
  <c r="Y1333"/>
  <c r="AA1333"/>
  <c r="AB1333"/>
  <c r="AC1333"/>
  <c r="AD1333"/>
  <c r="P1334"/>
  <c r="W1334"/>
  <c r="Y1334"/>
  <c r="AA1334"/>
  <c r="AB1334"/>
  <c r="AC1334"/>
  <c r="AD1334"/>
  <c r="P1335"/>
  <c r="W1335"/>
  <c r="Y1335"/>
  <c r="AA1335"/>
  <c r="AB1335"/>
  <c r="AC1335"/>
  <c r="AD1335"/>
  <c r="P1336"/>
  <c r="W1336"/>
  <c r="Y1336"/>
  <c r="AA1336"/>
  <c r="AB1336"/>
  <c r="AC1336"/>
  <c r="AD1336"/>
  <c r="P1337"/>
  <c r="W1337"/>
  <c r="Y1337"/>
  <c r="AA1337"/>
  <c r="AB1337"/>
  <c r="AC1337"/>
  <c r="AD1337"/>
  <c r="P1338"/>
  <c r="W1338"/>
  <c r="Y1338"/>
  <c r="AA1338"/>
  <c r="AB1338"/>
  <c r="AC1338"/>
  <c r="AD1338"/>
  <c r="P1339"/>
  <c r="W1339"/>
  <c r="Y1339"/>
  <c r="AA1339"/>
  <c r="AB1339"/>
  <c r="AC1339"/>
  <c r="AD1339"/>
  <c r="P1340"/>
  <c r="W1340"/>
  <c r="Y1340"/>
  <c r="AA1340"/>
  <c r="AB1340"/>
  <c r="AC1340"/>
  <c r="AD1340"/>
  <c r="P1341"/>
  <c r="W1341"/>
  <c r="Y1341"/>
  <c r="AA1341"/>
  <c r="AB1341"/>
  <c r="AC1341"/>
  <c r="AD1341"/>
  <c r="P1342"/>
  <c r="W1342"/>
  <c r="Y1342"/>
  <c r="AA1342"/>
  <c r="AB1342"/>
  <c r="AC1342"/>
  <c r="AD1342"/>
  <c r="P1345"/>
  <c r="W1345"/>
  <c r="Y1345"/>
  <c r="AA1345"/>
  <c r="AB1345"/>
  <c r="AC1345"/>
  <c r="AD1345"/>
  <c r="P1346"/>
  <c r="T1346"/>
  <c r="U1346"/>
  <c r="V1346"/>
  <c r="W1346"/>
  <c r="Y1346"/>
  <c r="AA1346"/>
  <c r="AB1346"/>
  <c r="AC1346"/>
  <c r="AD1346"/>
  <c r="P1357"/>
  <c r="T1357"/>
  <c r="U1357"/>
  <c r="V1357"/>
  <c r="W1357"/>
  <c r="Y1357"/>
  <c r="AA1357"/>
  <c r="AB1357"/>
  <c r="AC1357"/>
  <c r="AD1357"/>
  <c r="P1359"/>
  <c r="W1359"/>
  <c r="Y1359"/>
  <c r="AA1359"/>
  <c r="AB1359"/>
  <c r="AC1359"/>
  <c r="AD1359"/>
  <c r="P1347"/>
  <c r="W1347"/>
  <c r="Y1347"/>
  <c r="AA1347"/>
  <c r="AB1347"/>
  <c r="AC1347"/>
  <c r="AD1347"/>
  <c r="P1348"/>
  <c r="W1348"/>
  <c r="Y1348"/>
  <c r="AA1348"/>
  <c r="AB1348"/>
  <c r="AC1348"/>
  <c r="AD1348"/>
  <c r="P1349"/>
  <c r="W1349"/>
  <c r="Y1349"/>
  <c r="AA1349"/>
  <c r="AB1349"/>
  <c r="AC1349"/>
  <c r="AD1349"/>
  <c r="P1350"/>
  <c r="W1350"/>
  <c r="Y1350"/>
  <c r="AA1350"/>
  <c r="AB1350"/>
  <c r="AC1350"/>
  <c r="AD1350"/>
  <c r="P1351"/>
  <c r="W1351"/>
  <c r="Y1351"/>
  <c r="AA1351"/>
  <c r="AB1351"/>
  <c r="AC1351"/>
  <c r="AD1351"/>
  <c r="P1352"/>
  <c r="W1352"/>
  <c r="Y1352"/>
  <c r="AA1352"/>
  <c r="AB1352"/>
  <c r="AC1352"/>
  <c r="AD1352"/>
  <c r="P1353"/>
  <c r="W1353"/>
  <c r="Y1353"/>
  <c r="AA1353"/>
  <c r="AB1353"/>
  <c r="AC1353"/>
  <c r="AD1353"/>
  <c r="P1354"/>
  <c r="W1354"/>
  <c r="Y1354"/>
  <c r="AA1354"/>
  <c r="AB1354"/>
  <c r="AC1354"/>
  <c r="AD1354"/>
  <c r="P1355"/>
  <c r="W1355"/>
  <c r="Y1355"/>
  <c r="AA1355"/>
  <c r="AB1355"/>
  <c r="AC1355"/>
  <c r="AD1355"/>
  <c r="P1356"/>
  <c r="W1356"/>
  <c r="Y1356"/>
  <c r="AA1356"/>
  <c r="AB1356"/>
  <c r="AC1356"/>
  <c r="AD1356"/>
  <c r="P1360"/>
  <c r="T1360"/>
  <c r="U1360"/>
  <c r="V1360"/>
  <c r="W1360"/>
  <c r="Y1360"/>
  <c r="AA1360"/>
  <c r="AB1360"/>
  <c r="AC1360"/>
  <c r="AD1360"/>
  <c r="P1358"/>
  <c r="W1358"/>
  <c r="Y1358"/>
  <c r="AA1358"/>
  <c r="AB1358"/>
  <c r="AC1358"/>
  <c r="AD1358"/>
  <c r="P1361"/>
  <c r="T1361"/>
  <c r="U1361"/>
  <c r="V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9"/>
  <c r="T1379"/>
  <c r="U1379"/>
  <c r="V1379"/>
  <c r="W1379"/>
  <c r="Y1379"/>
  <c r="AA1379"/>
  <c r="AB1379"/>
  <c r="AC1379"/>
  <c r="AD1379"/>
  <c r="P1417"/>
  <c r="T1417"/>
  <c r="U1417"/>
  <c r="V1417"/>
  <c r="W1417"/>
  <c r="Y1417"/>
  <c r="AA1417"/>
  <c r="AB1417"/>
  <c r="AC1417"/>
  <c r="AD1417"/>
  <c r="P1377"/>
  <c r="W1377"/>
  <c r="Y1377"/>
  <c r="AA1377"/>
  <c r="AB1377"/>
  <c r="AC1377"/>
  <c r="AD1377"/>
  <c r="P1378"/>
  <c r="W1378"/>
  <c r="Y1378"/>
  <c r="AA1378"/>
  <c r="AB1378"/>
  <c r="AC1378"/>
  <c r="AD1378"/>
  <c r="P1419"/>
  <c r="T1419"/>
  <c r="U1419"/>
  <c r="V1419"/>
  <c r="W1419"/>
  <c r="Y1419"/>
  <c r="AA1419"/>
  <c r="AB1419"/>
  <c r="AC1419"/>
  <c r="P1380"/>
  <c r="W1380"/>
  <c r="Y1380"/>
  <c r="AA1380"/>
  <c r="AB1380"/>
  <c r="AC1380"/>
  <c r="AD1380"/>
  <c r="P1381"/>
  <c r="W1381"/>
  <c r="Y1381"/>
  <c r="AA1381"/>
  <c r="AB1381"/>
  <c r="AC1381"/>
  <c r="AD1381"/>
  <c r="P1382"/>
  <c r="W1382"/>
  <c r="Y1382"/>
  <c r="AA1382"/>
  <c r="AB1382"/>
  <c r="AC1382"/>
  <c r="AD1382"/>
  <c r="P1383"/>
  <c r="W1383"/>
  <c r="Y1383"/>
  <c r="AA1383"/>
  <c r="AB1383"/>
  <c r="AC1383"/>
  <c r="AD1383"/>
  <c r="P1384"/>
  <c r="W1384"/>
  <c r="Y1384"/>
  <c r="AA1384"/>
  <c r="AB1384"/>
  <c r="AC1384"/>
  <c r="AD1384"/>
  <c r="P1385"/>
  <c r="W1385"/>
  <c r="Y1385"/>
  <c r="AA1385"/>
  <c r="AB1385"/>
  <c r="AC1385"/>
  <c r="AD1385"/>
  <c r="P1386"/>
  <c r="W1386"/>
  <c r="Y1386"/>
  <c r="AA1386"/>
  <c r="AB1386"/>
  <c r="AC1386"/>
  <c r="AD1386"/>
  <c r="P1387"/>
  <c r="W1387"/>
  <c r="Y1387"/>
  <c r="AA1387"/>
  <c r="AB1387"/>
  <c r="AC1387"/>
  <c r="AD1387"/>
  <c r="P1388"/>
  <c r="W1388"/>
  <c r="Y1388"/>
  <c r="AA1388"/>
  <c r="AB1388"/>
  <c r="AC1388"/>
  <c r="AD1388"/>
  <c r="P1389"/>
  <c r="W1389"/>
  <c r="Y1389"/>
  <c r="AA1389"/>
  <c r="AB1389"/>
  <c r="AC1389"/>
  <c r="AD1389"/>
  <c r="P1390"/>
  <c r="W1390"/>
  <c r="Y1390"/>
  <c r="AA1390"/>
  <c r="AB1390"/>
  <c r="AC1390"/>
  <c r="AD1390"/>
  <c r="P1391"/>
  <c r="W1391"/>
  <c r="Y1391"/>
  <c r="AA1391"/>
  <c r="AB1391"/>
  <c r="AC1391"/>
  <c r="AD1391"/>
  <c r="P1392"/>
  <c r="W1392"/>
  <c r="Y1392"/>
  <c r="AA1392"/>
  <c r="AB1392"/>
  <c r="AC1392"/>
  <c r="AD1392"/>
  <c r="P1393"/>
  <c r="W1393"/>
  <c r="Y1393"/>
  <c r="AA1393"/>
  <c r="AB1393"/>
  <c r="AC1393"/>
  <c r="AD1393"/>
  <c r="P1394"/>
  <c r="W1394"/>
  <c r="Y1394"/>
  <c r="AA1394"/>
  <c r="AB1394"/>
  <c r="AC1394"/>
  <c r="AD1394"/>
  <c r="P1395"/>
  <c r="W1395"/>
  <c r="Y1395"/>
  <c r="AA1395"/>
  <c r="AB1395"/>
  <c r="AC1395"/>
  <c r="AD1395"/>
  <c r="P1396"/>
  <c r="W1396"/>
  <c r="Y1396"/>
  <c r="AA1396"/>
  <c r="AB1396"/>
  <c r="AC1396"/>
  <c r="AD1396"/>
  <c r="P1397"/>
  <c r="W1397"/>
  <c r="Y1397"/>
  <c r="AA1397"/>
  <c r="AB1397"/>
  <c r="AC1397"/>
  <c r="AD1397"/>
  <c r="P1398"/>
  <c r="W1398"/>
  <c r="Y1398"/>
  <c r="AA1398"/>
  <c r="AB1398"/>
  <c r="AC1398"/>
  <c r="AD1398"/>
  <c r="P1399"/>
  <c r="W1399"/>
  <c r="Y1399"/>
  <c r="AA1399"/>
  <c r="AB1399"/>
  <c r="AC1399"/>
  <c r="AD1399"/>
  <c r="P1400"/>
  <c r="W1400"/>
  <c r="Y1400"/>
  <c r="AA1400"/>
  <c r="AB1400"/>
  <c r="AC1400"/>
  <c r="AD1400"/>
  <c r="P1401"/>
  <c r="W1401"/>
  <c r="Y1401"/>
  <c r="AA1401"/>
  <c r="AB1401"/>
  <c r="AC1401"/>
  <c r="AD1401"/>
  <c r="P1402"/>
  <c r="W1402"/>
  <c r="Y1402"/>
  <c r="AA1402"/>
  <c r="AB1402"/>
  <c r="AC1402"/>
  <c r="AD1402"/>
  <c r="P1403"/>
  <c r="W1403"/>
  <c r="Y1403"/>
  <c r="AA1403"/>
  <c r="AB1403"/>
  <c r="AC1403"/>
  <c r="AD1403"/>
  <c r="P1404"/>
  <c r="W1404"/>
  <c r="Y1404"/>
  <c r="AA1404"/>
  <c r="AB1404"/>
  <c r="AC1404"/>
  <c r="AD1404"/>
  <c r="P1405"/>
  <c r="W1405"/>
  <c r="Y1405"/>
  <c r="AA1405"/>
  <c r="AB1405"/>
  <c r="AC1405"/>
  <c r="AD1405"/>
  <c r="P1406"/>
  <c r="W1406"/>
  <c r="Y1406"/>
  <c r="AA1406"/>
  <c r="AB1406"/>
  <c r="AC1406"/>
  <c r="AD1406"/>
  <c r="P1407"/>
  <c r="W1407"/>
  <c r="Y1407"/>
  <c r="AA1407"/>
  <c r="AB1407"/>
  <c r="AC1407"/>
  <c r="AD1407"/>
  <c r="P1408"/>
  <c r="W1408"/>
  <c r="Y1408"/>
  <c r="AA1408"/>
  <c r="AB1408"/>
  <c r="AC1408"/>
  <c r="AD1408"/>
  <c r="P1409"/>
  <c r="W1409"/>
  <c r="Y1409"/>
  <c r="AA1409"/>
  <c r="AB1409"/>
  <c r="AC1409"/>
  <c r="AD1409"/>
  <c r="P1410"/>
  <c r="W1410"/>
  <c r="Y1410"/>
  <c r="AA1410"/>
  <c r="AB1410"/>
  <c r="AC1410"/>
  <c r="AD1410"/>
  <c r="P1411"/>
  <c r="W1411"/>
  <c r="Y1411"/>
  <c r="AA1411"/>
  <c r="AB1411"/>
  <c r="AC1411"/>
  <c r="AD1411"/>
  <c r="P1412"/>
  <c r="W1412"/>
  <c r="Y1412"/>
  <c r="AA1412"/>
  <c r="AB1412"/>
  <c r="AC1412"/>
  <c r="AD1412"/>
  <c r="P1413"/>
  <c r="W1413"/>
  <c r="Y1413"/>
  <c r="AA1413"/>
  <c r="AB1413"/>
  <c r="AC1413"/>
  <c r="AD1413"/>
  <c r="P1414"/>
  <c r="W1414"/>
  <c r="Y1414"/>
  <c r="AA1414"/>
  <c r="AB1414"/>
  <c r="AC1414"/>
  <c r="AD1414"/>
  <c r="P1415"/>
  <c r="W1415"/>
  <c r="Y1415"/>
  <c r="AA1415"/>
  <c r="AB1415"/>
  <c r="AC1415"/>
  <c r="AD1415"/>
  <c r="P1416"/>
  <c r="W1416"/>
  <c r="Y1416"/>
  <c r="AA1416"/>
  <c r="AB1416"/>
  <c r="AC1416"/>
  <c r="AD1416"/>
  <c r="P1420"/>
  <c r="T1420"/>
  <c r="U1420"/>
  <c r="V1420"/>
  <c r="W1420"/>
  <c r="Y1420"/>
  <c r="AA1420"/>
  <c r="AB1420"/>
  <c r="AC1420"/>
  <c r="AD1420"/>
  <c r="P1421"/>
  <c r="T1421"/>
  <c r="U1421"/>
  <c r="V1421"/>
  <c r="W1421"/>
  <c r="Y1421"/>
  <c r="AA1421"/>
  <c r="AB1421"/>
  <c r="AC1421"/>
  <c r="AD1421"/>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22"/>
  <c r="W1422"/>
  <c r="Y1422"/>
  <c r="AA1422"/>
  <c r="AB1422"/>
  <c r="AC1422"/>
  <c r="AD1422"/>
  <c r="P1423"/>
  <c r="W1423"/>
  <c r="Y1423"/>
  <c r="AA1423"/>
  <c r="AB1423"/>
  <c r="AC1423"/>
  <c r="AD1423"/>
  <c r="P1424"/>
  <c r="W1424"/>
  <c r="Y1424"/>
  <c r="AA1424"/>
  <c r="AB1424"/>
  <c r="AC1424"/>
  <c r="AD1424"/>
  <c r="P1425"/>
  <c r="W1425"/>
  <c r="Y1425"/>
  <c r="AA1425"/>
  <c r="AB1425"/>
  <c r="AC1425"/>
  <c r="AD1425"/>
  <c r="P1426"/>
  <c r="W1426"/>
  <c r="Y1426"/>
  <c r="AA1426"/>
  <c r="AB1426"/>
  <c r="AC1426"/>
  <c r="AD1426"/>
  <c r="P1427"/>
  <c r="W1427"/>
  <c r="Y1427"/>
  <c r="AA1427"/>
  <c r="AB1427"/>
  <c r="AC1427"/>
  <c r="AD1427"/>
  <c r="P1428"/>
  <c r="W1428"/>
  <c r="Y1428"/>
  <c r="AA1428"/>
  <c r="AB1428"/>
  <c r="AC1428"/>
  <c r="AD1428"/>
  <c r="P1429"/>
  <c r="W1429"/>
  <c r="Y1429"/>
  <c r="AA1429"/>
  <c r="AB1429"/>
  <c r="AC1429"/>
  <c r="AD1429"/>
  <c r="P1433"/>
  <c r="T1433"/>
  <c r="U1433"/>
  <c r="V1433"/>
  <c r="W1433"/>
  <c r="Y1433"/>
  <c r="AA1433"/>
  <c r="AB1433"/>
  <c r="AC1433"/>
  <c r="AD1433"/>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34"/>
  <c r="W1434"/>
  <c r="Y1434"/>
  <c r="AA1434"/>
  <c r="AB1434"/>
  <c r="AC1434"/>
  <c r="AD1434"/>
  <c r="P1435"/>
  <c r="W1435"/>
  <c r="Y1435"/>
  <c r="AA1435"/>
  <c r="AB1435"/>
  <c r="AC1435"/>
  <c r="AD1435"/>
  <c r="P1436"/>
  <c r="W1436"/>
  <c r="Y1436"/>
  <c r="AA1436"/>
  <c r="AB1436"/>
  <c r="AC1436"/>
  <c r="AD1436"/>
  <c r="P1437"/>
  <c r="W1437"/>
  <c r="Y1437"/>
  <c r="AA1437"/>
  <c r="AB1437"/>
  <c r="AC1437"/>
  <c r="AD1437"/>
  <c r="P1438"/>
  <c r="W1438"/>
  <c r="Y1438"/>
  <c r="AA1438"/>
  <c r="AB1438"/>
  <c r="AC1438"/>
  <c r="AD1438"/>
  <c r="P1439"/>
  <c r="W1439"/>
  <c r="Y1439"/>
  <c r="AA1439"/>
  <c r="AB1439"/>
  <c r="AC1439"/>
  <c r="AD1439"/>
  <c r="P1440"/>
  <c r="W1440"/>
  <c r="Y1440"/>
  <c r="AA1440"/>
  <c r="AB1440"/>
  <c r="AC1440"/>
  <c r="AD1440"/>
  <c r="P1441"/>
  <c r="W1441"/>
  <c r="Y1441"/>
  <c r="AA1441"/>
  <c r="AB1441"/>
  <c r="AC1441"/>
  <c r="AD1441"/>
  <c r="P1442"/>
  <c r="W1442"/>
  <c r="Y1442"/>
  <c r="AA1442"/>
  <c r="AB1442"/>
  <c r="AC1442"/>
  <c r="AD1442"/>
  <c r="P1446"/>
  <c r="T1446"/>
  <c r="U1446"/>
  <c r="V1446"/>
  <c r="W1446"/>
  <c r="Y1446"/>
  <c r="AA1446"/>
  <c r="AB1446"/>
  <c r="AC1446"/>
  <c r="AD1446"/>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47"/>
  <c r="W1447"/>
  <c r="Y1447"/>
  <c r="AA1447"/>
  <c r="AB1447"/>
  <c r="AC1447"/>
  <c r="AD1447"/>
  <c r="P1451"/>
  <c r="T1451"/>
  <c r="U1451"/>
  <c r="V1451"/>
  <c r="W1451"/>
  <c r="Y1451"/>
  <c r="AA1451"/>
  <c r="AB1451"/>
  <c r="AC1451"/>
  <c r="P1452"/>
  <c r="T1452"/>
  <c r="U1452"/>
  <c r="V1452"/>
  <c r="W1452"/>
  <c r="Y1452"/>
  <c r="AA1452"/>
  <c r="AB1452"/>
  <c r="AC1452"/>
  <c r="AD1452"/>
  <c r="P1461"/>
  <c r="T1461"/>
  <c r="U1461"/>
  <c r="V1461"/>
  <c r="W1461"/>
  <c r="Y1461"/>
  <c r="AA1461"/>
  <c r="AB1461"/>
  <c r="AC1461"/>
  <c r="AD1461"/>
  <c r="P1462"/>
  <c r="T1462"/>
  <c r="U1462"/>
  <c r="V1462"/>
  <c r="W1462"/>
  <c r="Y1462"/>
  <c r="AA1462"/>
  <c r="AB1462"/>
  <c r="AC1462"/>
  <c r="AD1462"/>
  <c r="P1463"/>
  <c r="T1463"/>
  <c r="U1463"/>
  <c r="V1463"/>
  <c r="W1463"/>
  <c r="Y1463"/>
  <c r="AA1463"/>
  <c r="AB1463"/>
  <c r="AC1463"/>
  <c r="AD1463"/>
  <c r="P1453"/>
  <c r="W1453"/>
  <c r="Y1453"/>
  <c r="AA1453"/>
  <c r="AB1453"/>
  <c r="AC1453"/>
  <c r="AD1453"/>
  <c r="P1454"/>
  <c r="W1454"/>
  <c r="Y1454"/>
  <c r="AA1454"/>
  <c r="AB1454"/>
  <c r="AC1454"/>
  <c r="AD1454"/>
  <c r="P1455"/>
  <c r="W1455"/>
  <c r="Y1455"/>
  <c r="AA1455"/>
  <c r="AB1455"/>
  <c r="AC1455"/>
  <c r="AD1455"/>
  <c r="P1456"/>
  <c r="W1456"/>
  <c r="Y1456"/>
  <c r="AA1456"/>
  <c r="AB1456"/>
  <c r="AC1456"/>
  <c r="AD1456"/>
  <c r="P1457"/>
  <c r="W1457"/>
  <c r="Y1457"/>
  <c r="AA1457"/>
  <c r="AB1457"/>
  <c r="AC1457"/>
  <c r="AD1457"/>
  <c r="P1458"/>
  <c r="W1458"/>
  <c r="Y1458"/>
  <c r="AA1458"/>
  <c r="AB1458"/>
  <c r="AC1458"/>
  <c r="AD1458"/>
  <c r="P1459"/>
  <c r="W1459"/>
  <c r="Y1459"/>
  <c r="AA1459"/>
  <c r="AB1459"/>
  <c r="AC1459"/>
  <c r="AD1459"/>
  <c r="P1460"/>
  <c r="W1460"/>
  <c r="Y1460"/>
  <c r="AA1460"/>
  <c r="AB1460"/>
  <c r="AC1460"/>
  <c r="AD1460"/>
  <c r="P1464"/>
  <c r="T1464"/>
  <c r="U1464"/>
  <c r="V1464"/>
  <c r="W1464"/>
  <c r="Y1464"/>
  <c r="AA1464"/>
  <c r="AB1464"/>
  <c r="AC1464"/>
  <c r="AD1464"/>
  <c r="P1465"/>
  <c r="T1465"/>
  <c r="U1465"/>
  <c r="V1465"/>
  <c r="W1465"/>
  <c r="Y1465"/>
  <c r="AA1465"/>
  <c r="AB1465"/>
  <c r="AC1465"/>
  <c r="AD1465"/>
  <c r="P1466"/>
  <c r="T1466"/>
  <c r="U1466"/>
  <c r="V1466"/>
  <c r="W1466"/>
  <c r="Y1466"/>
  <c r="AA1466"/>
  <c r="AB1466"/>
  <c r="AC1466"/>
  <c r="AD1466"/>
  <c r="P1467"/>
  <c r="T1467"/>
  <c r="U1467"/>
  <c r="V1467"/>
  <c r="W1467"/>
  <c r="Y1467"/>
  <c r="AA1467"/>
  <c r="AB1467"/>
  <c r="AC1467"/>
  <c r="AD1467"/>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68"/>
  <c r="W1468"/>
  <c r="Y1468"/>
  <c r="AA1468"/>
  <c r="AB1468"/>
  <c r="AC1468"/>
  <c r="AD1468"/>
  <c r="P1469"/>
  <c r="W1469"/>
  <c r="Y1469"/>
  <c r="AA1469"/>
  <c r="AB1469"/>
  <c r="AC1469"/>
  <c r="AD1469"/>
  <c r="P1470"/>
  <c r="W1470"/>
  <c r="Y1470"/>
  <c r="AA1470"/>
  <c r="AB1470"/>
  <c r="AC1470"/>
  <c r="AD1470"/>
  <c r="P1471"/>
  <c r="W1471"/>
  <c r="Y1471"/>
  <c r="AA1471"/>
  <c r="AB1471"/>
  <c r="AC1471"/>
  <c r="AD1471"/>
  <c r="P1472"/>
  <c r="W1472"/>
  <c r="Y1472"/>
  <c r="AA1472"/>
  <c r="AB1472"/>
  <c r="AC1472"/>
  <c r="AD1472"/>
  <c r="P1473"/>
  <c r="W1473"/>
  <c r="Y1473"/>
  <c r="AA1473"/>
  <c r="AB1473"/>
  <c r="AC1473"/>
  <c r="AD1473"/>
  <c r="P1474"/>
  <c r="W1474"/>
  <c r="Y1474"/>
  <c r="AA1474"/>
  <c r="AB1474"/>
  <c r="AC1474"/>
  <c r="AD1474"/>
  <c r="P1475"/>
  <c r="W1475"/>
  <c r="Y1475"/>
  <c r="AA1475"/>
  <c r="AB1475"/>
  <c r="AC1475"/>
  <c r="AD1475"/>
  <c r="P1476"/>
  <c r="T1476"/>
  <c r="U1476"/>
  <c r="V1476"/>
  <c r="W1476"/>
  <c r="Y1476"/>
  <c r="AA1476"/>
  <c r="AB1476"/>
  <c r="AC1476"/>
  <c r="AD1476"/>
  <c r="P1483"/>
  <c r="W1483"/>
  <c r="Y1483"/>
  <c r="AA1483"/>
  <c r="AB1483"/>
  <c r="AC1483"/>
  <c r="AD1483"/>
  <c r="P1484"/>
  <c r="T1484"/>
  <c r="U1484"/>
  <c r="V1484"/>
  <c r="W1484"/>
  <c r="Y1484"/>
  <c r="AA1484"/>
  <c r="AB1484"/>
  <c r="AC1484"/>
  <c r="AD1484"/>
  <c r="P1485"/>
  <c r="T1485"/>
  <c r="U1485"/>
  <c r="V1485"/>
  <c r="W1485"/>
  <c r="Y1485"/>
  <c r="AA1485"/>
  <c r="AB1485"/>
  <c r="AC1485"/>
  <c r="AD1485"/>
  <c r="P1480"/>
  <c r="W1480"/>
  <c r="Y1480"/>
  <c r="AA1480"/>
  <c r="AB1480"/>
  <c r="AC1480"/>
  <c r="AD1480"/>
  <c r="P1481"/>
  <c r="W1481"/>
  <c r="Y1481"/>
  <c r="AA1481"/>
  <c r="AB1481"/>
  <c r="AC1481"/>
  <c r="AD1481"/>
  <c r="P1482"/>
  <c r="W1482"/>
  <c r="Y1482"/>
  <c r="AA1482"/>
  <c r="AB1482"/>
  <c r="AC1482"/>
  <c r="AD1482"/>
  <c r="P1486"/>
  <c r="T1486"/>
  <c r="U1486"/>
  <c r="V1486"/>
  <c r="W1486"/>
  <c r="Y1486"/>
  <c r="AB1486"/>
  <c r="AC1486"/>
  <c r="AD1486"/>
  <c r="P1487"/>
  <c r="T1487"/>
  <c r="U1487"/>
  <c r="V1487"/>
  <c r="W1487"/>
  <c r="Y1487"/>
  <c r="AB1487"/>
  <c r="AC1487"/>
  <c r="AD1487"/>
  <c r="P1488"/>
  <c r="T1488"/>
  <c r="U1488"/>
  <c r="V1488"/>
  <c r="W1488"/>
  <c r="Y1488"/>
  <c r="AB1488"/>
  <c r="AC1488"/>
  <c r="AD1488"/>
  <c r="P1547"/>
  <c r="T1547"/>
  <c r="U1547"/>
  <c r="V1547"/>
  <c r="W1547"/>
  <c r="Y1547"/>
  <c r="AB1547"/>
  <c r="AC1547"/>
  <c r="AD1547"/>
  <c r="P1548"/>
  <c r="T1548"/>
  <c r="U1548"/>
  <c r="V1548"/>
  <c r="W1548"/>
  <c r="Y1548"/>
  <c r="AB1548"/>
  <c r="AC1548"/>
  <c r="AD1548"/>
  <c r="P1549"/>
  <c r="T1549"/>
  <c r="U1549"/>
  <c r="V1549"/>
  <c r="W1549"/>
  <c r="Y1549"/>
  <c r="AA1549"/>
  <c r="AB1549"/>
  <c r="AC1549"/>
  <c r="AD1549"/>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A1493"/>
  <c r="AB1493"/>
  <c r="AC1493"/>
  <c r="AD1493"/>
  <c r="P1494"/>
  <c r="T1494"/>
  <c r="U1494"/>
  <c r="V1494"/>
  <c r="W1494"/>
  <c r="Y1494"/>
  <c r="AA1494"/>
  <c r="AB1494"/>
  <c r="AC1494"/>
  <c r="AD1494"/>
  <c r="P1495"/>
  <c r="T1495"/>
  <c r="U1495"/>
  <c r="V1495"/>
  <c r="W1495"/>
  <c r="Y1495"/>
  <c r="AA1495"/>
  <c r="AB1495"/>
  <c r="AC1495"/>
  <c r="AD1495"/>
  <c r="P1496"/>
  <c r="T1496"/>
  <c r="U1496"/>
  <c r="V1496"/>
  <c r="W1496"/>
  <c r="Y1496"/>
  <c r="AA1496"/>
  <c r="AB1496"/>
  <c r="AC1496"/>
  <c r="AD1496"/>
  <c r="P1497"/>
  <c r="T1497"/>
  <c r="U1497"/>
  <c r="V1497"/>
  <c r="W1497"/>
  <c r="Y1497"/>
  <c r="AA1497"/>
  <c r="AB1497"/>
  <c r="AC1497"/>
  <c r="AD1497"/>
  <c r="P1498"/>
  <c r="T1498"/>
  <c r="U1498"/>
  <c r="V1498"/>
  <c r="W1498"/>
  <c r="Y1498"/>
  <c r="AA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6"/>
  <c r="T1506"/>
  <c r="U1506"/>
  <c r="V1506"/>
  <c r="W1506"/>
  <c r="Y1506"/>
  <c r="AA1506"/>
  <c r="AB1506"/>
  <c r="AC1506"/>
  <c r="AD1506"/>
  <c r="P1507"/>
  <c r="T1507"/>
  <c r="U1507"/>
  <c r="V1507"/>
  <c r="W1507"/>
  <c r="Y1507"/>
  <c r="AA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AD1510"/>
  <c r="P1511"/>
  <c r="T1511"/>
  <c r="U1511"/>
  <c r="V1511"/>
  <c r="W1511"/>
  <c r="Y1511"/>
  <c r="AA1511"/>
  <c r="AB1511"/>
  <c r="AC1511"/>
  <c r="AD1511"/>
  <c r="P1512"/>
  <c r="T1512"/>
  <c r="U1512"/>
  <c r="V1512"/>
  <c r="W1512"/>
  <c r="Y1512"/>
  <c r="AA1512"/>
  <c r="AB1512"/>
  <c r="AC1512"/>
  <c r="AD1512"/>
  <c r="P1513"/>
  <c r="T1513"/>
  <c r="U1513"/>
  <c r="V1513"/>
  <c r="W1513"/>
  <c r="Y1513"/>
  <c r="AA1513"/>
  <c r="AB1513"/>
  <c r="AC1513"/>
  <c r="AD1513"/>
  <c r="P1514"/>
  <c r="T1514"/>
  <c r="U1514"/>
  <c r="V1514"/>
  <c r="W1514"/>
  <c r="Y1514"/>
  <c r="AA1514"/>
  <c r="AB1514"/>
  <c r="AC1514"/>
  <c r="AD1514"/>
  <c r="P1515"/>
  <c r="T1515"/>
  <c r="U1515"/>
  <c r="V1515"/>
  <c r="W1515"/>
  <c r="Y1515"/>
  <c r="AA1515"/>
  <c r="AB1515"/>
  <c r="AC1515"/>
  <c r="AD1515"/>
  <c r="P1516"/>
  <c r="T1516"/>
  <c r="U1516"/>
  <c r="V1516"/>
  <c r="W1516"/>
  <c r="Y1516"/>
  <c r="AA1516"/>
  <c r="AB1516"/>
  <c r="AC1516"/>
  <c r="AD1516"/>
  <c r="P1517"/>
  <c r="T1517"/>
  <c r="U1517"/>
  <c r="V1517"/>
  <c r="W1517"/>
  <c r="Y1517"/>
  <c r="AA1517"/>
  <c r="AB1517"/>
  <c r="AC1517"/>
  <c r="AD1517"/>
  <c r="P1518"/>
  <c r="T1518"/>
  <c r="U1518"/>
  <c r="V1518"/>
  <c r="W1518"/>
  <c r="Y1518"/>
  <c r="AA1518"/>
  <c r="AB1518"/>
  <c r="AC1518"/>
  <c r="AD1518"/>
  <c r="P1519"/>
  <c r="T1519"/>
  <c r="U1519"/>
  <c r="V1519"/>
  <c r="W1519"/>
  <c r="Y1519"/>
  <c r="AA1519"/>
  <c r="AB1519"/>
  <c r="AC1519"/>
  <c r="AD1519"/>
  <c r="P1520"/>
  <c r="T1520"/>
  <c r="U1520"/>
  <c r="V1520"/>
  <c r="W1520"/>
  <c r="Y1520"/>
  <c r="AA1520"/>
  <c r="AB1520"/>
  <c r="AC1520"/>
  <c r="AD1520"/>
  <c r="P1521"/>
  <c r="T1521"/>
  <c r="U1521"/>
  <c r="V1521"/>
  <c r="W1521"/>
  <c r="Y1521"/>
  <c r="AA1521"/>
  <c r="AB1521"/>
  <c r="AC1521"/>
  <c r="AD1521"/>
  <c r="P1522"/>
  <c r="T1522"/>
  <c r="U1522"/>
  <c r="V1522"/>
  <c r="W1522"/>
  <c r="Y1522"/>
  <c r="AA1522"/>
  <c r="AB1522"/>
  <c r="AC1522"/>
  <c r="AD1522"/>
  <c r="P1523"/>
  <c r="T1523"/>
  <c r="U1523"/>
  <c r="V1523"/>
  <c r="W1523"/>
  <c r="Y1523"/>
  <c r="AA1523"/>
  <c r="AB1523"/>
  <c r="AC1523"/>
  <c r="AD1523"/>
  <c r="P1524"/>
  <c r="T1524"/>
  <c r="U1524"/>
  <c r="V1524"/>
  <c r="W1524"/>
  <c r="Y1524"/>
  <c r="AA1524"/>
  <c r="AB1524"/>
  <c r="AC1524"/>
  <c r="AD1524"/>
  <c r="P1525"/>
  <c r="T1525"/>
  <c r="U1525"/>
  <c r="V1525"/>
  <c r="W1525"/>
  <c r="Y1525"/>
  <c r="AA1525"/>
  <c r="AB1525"/>
  <c r="AC1525"/>
  <c r="AD1525"/>
  <c r="P1526"/>
  <c r="T1526"/>
  <c r="U1526"/>
  <c r="V1526"/>
  <c r="W1526"/>
  <c r="Y1526"/>
  <c r="AA1526"/>
  <c r="AB1526"/>
  <c r="AC1526"/>
  <c r="AD1526"/>
  <c r="P1527"/>
  <c r="T1527"/>
  <c r="U1527"/>
  <c r="V1527"/>
  <c r="W1527"/>
  <c r="Y1527"/>
  <c r="AA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A1532"/>
  <c r="AB1532"/>
  <c r="AC1532"/>
  <c r="AD1532"/>
  <c r="P1533"/>
  <c r="T1533"/>
  <c r="U1533"/>
  <c r="V1533"/>
  <c r="W1533"/>
  <c r="Y1533"/>
  <c r="AA1533"/>
  <c r="AB1533"/>
  <c r="AC1533"/>
  <c r="AD1533"/>
  <c r="P1534"/>
  <c r="T1534"/>
  <c r="U1534"/>
  <c r="V1534"/>
  <c r="W1534"/>
  <c r="Y1534"/>
  <c r="AA1534"/>
  <c r="AB1534"/>
  <c r="AC1534"/>
  <c r="AD1534"/>
  <c r="P1535"/>
  <c r="T1535"/>
  <c r="U1535"/>
  <c r="V1535"/>
  <c r="W1535"/>
  <c r="Y1535"/>
  <c r="AA1535"/>
  <c r="AB1535"/>
  <c r="AC1535"/>
  <c r="AD1535"/>
  <c r="P1536"/>
  <c r="T1536"/>
  <c r="U1536"/>
  <c r="V1536"/>
  <c r="W1536"/>
  <c r="Y1536"/>
  <c r="AA1536"/>
  <c r="AB1536"/>
  <c r="AC1536"/>
  <c r="AD1536"/>
  <c r="P1537"/>
  <c r="T1537"/>
  <c r="U1537"/>
  <c r="V1537"/>
  <c r="W1537"/>
  <c r="Y1537"/>
  <c r="AA1537"/>
  <c r="AB1537"/>
  <c r="AC1537"/>
  <c r="AD1537"/>
  <c r="P1538"/>
  <c r="T1538"/>
  <c r="U1538"/>
  <c r="V1538"/>
  <c r="W1538"/>
  <c r="Y1538"/>
  <c r="AA1538"/>
  <c r="AB1538"/>
  <c r="AC1538"/>
  <c r="AD1538"/>
  <c r="P1539"/>
  <c r="T1539"/>
  <c r="U1539"/>
  <c r="V1539"/>
  <c r="W1539"/>
  <c r="Y1539"/>
  <c r="AA1539"/>
  <c r="AB1539"/>
  <c r="AC1539"/>
  <c r="AD1539"/>
  <c r="P1540"/>
  <c r="T1540"/>
  <c r="U1540"/>
  <c r="V1540"/>
  <c r="W1540"/>
  <c r="Y1540"/>
  <c r="AA1540"/>
  <c r="AB1540"/>
  <c r="AC1540"/>
  <c r="AD1540"/>
  <c r="P1541"/>
  <c r="T1541"/>
  <c r="U1541"/>
  <c r="V1541"/>
  <c r="W1541"/>
  <c r="Y1541"/>
  <c r="AB1541"/>
  <c r="AC1541"/>
  <c r="AD1541"/>
  <c r="P1582"/>
  <c r="T1582"/>
  <c r="U1582"/>
  <c r="V1582"/>
  <c r="W1582"/>
  <c r="Y1582"/>
  <c r="AA1582"/>
  <c r="AB1582"/>
  <c r="AC1582"/>
  <c r="P1583"/>
  <c r="T1583"/>
  <c r="U1583"/>
  <c r="V1583"/>
  <c r="W1583"/>
  <c r="Y1583"/>
  <c r="AA1583"/>
  <c r="AB1583"/>
  <c r="AC1583"/>
  <c r="P1584"/>
  <c r="T1584"/>
  <c r="U1584"/>
  <c r="V1584"/>
  <c r="W1584"/>
  <c r="Y1584"/>
  <c r="AA1584"/>
  <c r="AB1584"/>
  <c r="AC1584"/>
  <c r="P1585"/>
  <c r="T1585"/>
  <c r="U1585"/>
  <c r="V1585"/>
  <c r="W1585"/>
  <c r="Y1585"/>
  <c r="AA1585"/>
  <c r="AB1585"/>
  <c r="AC1585"/>
  <c r="P1586"/>
  <c r="T1586"/>
  <c r="U1586"/>
  <c r="V1586"/>
  <c r="W1586"/>
  <c r="Y1586"/>
  <c r="AA1586"/>
  <c r="AB1586"/>
  <c r="AC1586"/>
  <c r="P1587"/>
  <c r="T1587"/>
  <c r="U1587"/>
  <c r="V1587"/>
  <c r="W1587"/>
  <c r="Y1587"/>
  <c r="AA1587"/>
  <c r="AB1587"/>
  <c r="AC1587"/>
  <c r="P1588"/>
  <c r="T1588"/>
  <c r="U1588"/>
  <c r="V1588"/>
  <c r="W1588"/>
  <c r="Y1588"/>
  <c r="AA1588"/>
  <c r="AB1588"/>
  <c r="AC1588"/>
  <c r="P1589"/>
  <c r="T1589"/>
  <c r="U1589"/>
  <c r="V1589"/>
  <c r="W1589"/>
  <c r="Y1589"/>
  <c r="AA1589"/>
  <c r="AB1589"/>
  <c r="AC1589"/>
  <c r="P1590"/>
  <c r="T1590"/>
  <c r="U1590"/>
  <c r="V1590"/>
  <c r="W1590"/>
  <c r="Y1590"/>
  <c r="AA1590"/>
  <c r="AB1590"/>
  <c r="AC1590"/>
  <c r="P1591"/>
  <c r="T1591"/>
  <c r="U1591"/>
  <c r="V1591"/>
  <c r="W1591"/>
  <c r="Y1591"/>
  <c r="AA1591"/>
  <c r="AB1591"/>
  <c r="AC1591"/>
  <c r="P1592"/>
  <c r="T1592"/>
  <c r="U1592"/>
  <c r="V1592"/>
  <c r="W1592"/>
  <c r="Y1592"/>
  <c r="AA1592"/>
  <c r="AB1592"/>
  <c r="AC1592"/>
  <c r="P1593"/>
  <c r="T1593"/>
  <c r="U1593"/>
  <c r="V1593"/>
  <c r="W1593"/>
  <c r="Y1593"/>
  <c r="AA1593"/>
  <c r="AB1593"/>
  <c r="AC1593"/>
  <c r="P1594"/>
  <c r="T1594"/>
  <c r="U1594"/>
  <c r="V1594"/>
  <c r="W1594"/>
  <c r="Y1594"/>
  <c r="AA1594"/>
  <c r="AB1594"/>
  <c r="AC1594"/>
  <c r="P1595"/>
  <c r="T1595"/>
  <c r="U1595"/>
  <c r="V1595"/>
  <c r="W1595"/>
  <c r="Y1595"/>
  <c r="AA1595"/>
  <c r="AB1595"/>
  <c r="AC1595"/>
  <c r="P1683"/>
  <c r="T1683"/>
  <c r="U1683"/>
  <c r="V1683"/>
  <c r="W1683"/>
  <c r="Y1683"/>
  <c r="AA1683"/>
  <c r="AB1683"/>
  <c r="AC1683"/>
  <c r="P1672"/>
  <c r="T1672"/>
  <c r="U1672"/>
  <c r="V1672"/>
  <c r="W1672"/>
  <c r="Y1672"/>
  <c r="AA1672"/>
  <c r="AB1672"/>
  <c r="AC1672"/>
  <c r="P1711"/>
  <c r="T1711"/>
  <c r="U1711"/>
  <c r="V1711"/>
  <c r="W1711"/>
  <c r="Y1711"/>
  <c r="AA1711"/>
  <c r="AB1711"/>
  <c r="AC1711"/>
  <c r="P1712"/>
  <c r="T1712"/>
  <c r="U1712"/>
  <c r="V1712"/>
  <c r="W1712"/>
  <c r="Y1712"/>
  <c r="AA1712"/>
  <c r="AB1712"/>
  <c r="AC1712"/>
  <c r="P1713"/>
  <c r="T1713"/>
  <c r="U1713"/>
  <c r="V1713"/>
  <c r="W1713"/>
  <c r="Y1713"/>
  <c r="AA1713"/>
  <c r="AB1713"/>
  <c r="AC1713"/>
  <c r="P1550"/>
  <c r="T1550"/>
  <c r="U1550"/>
  <c r="V1550"/>
  <c r="W1550"/>
  <c r="Y1550"/>
  <c r="AB1550"/>
  <c r="AC1550"/>
  <c r="AD1550"/>
  <c r="P1551"/>
  <c r="T1551"/>
  <c r="U1551"/>
  <c r="V1551"/>
  <c r="W1551"/>
  <c r="Y1551"/>
  <c r="AB1551"/>
  <c r="AC1551"/>
  <c r="AD1551"/>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W1719"/>
  <c r="Y1719"/>
  <c r="AA1719"/>
  <c r="AB1719"/>
  <c r="AC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8"/>
  <c r="T1728"/>
  <c r="U1728"/>
  <c r="V1728"/>
  <c r="W1728"/>
  <c r="Y1728"/>
  <c r="AA1728"/>
  <c r="AB1728"/>
  <c r="AC1728"/>
  <c r="AD1728"/>
  <c r="P1729"/>
  <c r="T1729"/>
  <c r="U1729"/>
  <c r="V1729"/>
  <c r="W1729"/>
  <c r="Y1729"/>
  <c r="AA1729"/>
  <c r="AB1729"/>
  <c r="AC1729"/>
  <c r="AD1729"/>
  <c r="P1730"/>
  <c r="T1730"/>
  <c r="U1730"/>
  <c r="V1730"/>
  <c r="W1730"/>
  <c r="Y1730"/>
  <c r="AA1730"/>
  <c r="AB1730"/>
  <c r="AC1730"/>
  <c r="AD1730"/>
  <c r="P1731"/>
  <c r="W1731"/>
  <c r="Y1731"/>
  <c r="AA1731"/>
  <c r="AB1731"/>
  <c r="AC1731"/>
  <c r="P1732"/>
  <c r="W1732"/>
  <c r="Y1732"/>
  <c r="AA1732"/>
  <c r="AB1732"/>
  <c r="AC1732"/>
  <c r="P1733"/>
  <c r="T1733"/>
  <c r="U1733"/>
  <c r="V1733"/>
  <c r="W1733"/>
  <c r="Y1733"/>
  <c r="AA1733"/>
  <c r="AB1733"/>
  <c r="AC1733"/>
  <c r="AD1733"/>
  <c r="P1734"/>
  <c r="T1734"/>
  <c r="U1734"/>
  <c r="V1734"/>
  <c r="W1734"/>
  <c r="Y1734"/>
  <c r="AA1734"/>
  <c r="AB1734"/>
  <c r="AC1734"/>
  <c r="AD1734"/>
  <c r="P1735"/>
  <c r="T1735"/>
  <c r="U1735"/>
  <c r="V1735"/>
  <c r="W1735"/>
  <c r="Y1735"/>
  <c r="AA1735"/>
  <c r="AB1735"/>
  <c r="AC1735"/>
  <c r="AD1735"/>
  <c r="P1736"/>
  <c r="T1736"/>
  <c r="U1736"/>
  <c r="V1736"/>
  <c r="W1736"/>
  <c r="Y1736"/>
  <c r="AA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A1742"/>
  <c r="AB1742"/>
  <c r="AC1742"/>
  <c r="AD1742"/>
  <c r="P1743"/>
  <c r="T1743"/>
  <c r="U1743"/>
  <c r="V1743"/>
  <c r="W1743"/>
  <c r="Y1743"/>
  <c r="AA1743"/>
  <c r="AB1743"/>
  <c r="AC1743"/>
  <c r="AD1743"/>
  <c r="P1744"/>
  <c r="T1744"/>
  <c r="U1744"/>
  <c r="V1744"/>
  <c r="W1744"/>
  <c r="Y1744"/>
  <c r="AA1744"/>
  <c r="AB1744"/>
  <c r="AC1744"/>
  <c r="AD1744"/>
  <c r="P1745"/>
  <c r="T1745"/>
  <c r="U1745"/>
  <c r="V1745"/>
  <c r="W1745"/>
  <c r="Y1745"/>
  <c r="AA1745"/>
  <c r="AB1745"/>
  <c r="AC1745"/>
  <c r="AD1745"/>
  <c r="P1746"/>
  <c r="T1746"/>
  <c r="U1746"/>
  <c r="V1746"/>
  <c r="W1746"/>
  <c r="Y1746"/>
  <c r="AA1746"/>
  <c r="AB1746"/>
  <c r="AC1746"/>
  <c r="AD1746"/>
  <c r="P1747"/>
  <c r="T1747"/>
  <c r="U1747"/>
  <c r="V1747"/>
  <c r="W1747"/>
  <c r="Y1747"/>
  <c r="AA1747"/>
  <c r="AB1747"/>
  <c r="AC1747"/>
  <c r="AD1747"/>
  <c r="P1748"/>
  <c r="T1748"/>
  <c r="U1748"/>
  <c r="V1748"/>
  <c r="W1748"/>
  <c r="Y1748"/>
  <c r="AA1748"/>
  <c r="AB1748"/>
  <c r="AC1748"/>
  <c r="AD1748"/>
  <c r="P1749"/>
  <c r="T1749"/>
  <c r="U1749"/>
  <c r="V1749"/>
  <c r="W1749"/>
  <c r="Y1749"/>
  <c r="AA1749"/>
  <c r="AB1749"/>
  <c r="AC1749"/>
  <c r="AD1749"/>
  <c r="P1750"/>
  <c r="T1750"/>
  <c r="U1750"/>
  <c r="V1750"/>
  <c r="W1750"/>
  <c r="Y1750"/>
  <c r="AA1750"/>
  <c r="AB1750"/>
  <c r="AC1750"/>
  <c r="AD1750"/>
  <c r="P1751"/>
  <c r="T1751"/>
  <c r="U1751"/>
  <c r="V1751"/>
  <c r="W1751"/>
  <c r="Y1751"/>
  <c r="AA1751"/>
  <c r="AB1751"/>
  <c r="AC1751"/>
  <c r="AD1751"/>
  <c r="P1752"/>
  <c r="T1752"/>
  <c r="U1752"/>
  <c r="V1752"/>
  <c r="W1752"/>
  <c r="Y1752"/>
  <c r="AA1752"/>
  <c r="AB1752"/>
  <c r="AC1752"/>
  <c r="AD1752"/>
  <c r="P1753"/>
  <c r="T1753"/>
  <c r="U1753"/>
  <c r="V1753"/>
  <c r="W1753"/>
  <c r="Y1753"/>
  <c r="AA1753"/>
  <c r="AB1753"/>
  <c r="AC1753"/>
  <c r="AD1753"/>
  <c r="P1754"/>
  <c r="T1754"/>
  <c r="U1754"/>
  <c r="V1754"/>
  <c r="W1754"/>
  <c r="Y1754"/>
  <c r="AA1754"/>
  <c r="AB1754"/>
  <c r="AC1754"/>
  <c r="AD1754"/>
  <c r="P1755"/>
  <c r="T1755"/>
  <c r="U1755"/>
  <c r="V1755"/>
  <c r="W1755"/>
  <c r="Y1755"/>
  <c r="AA1755"/>
  <c r="AB1755"/>
  <c r="AC1755"/>
  <c r="AD1755"/>
  <c r="P1756"/>
  <c r="T1756"/>
  <c r="U1756"/>
  <c r="V1756"/>
  <c r="W1756"/>
  <c r="Y1756"/>
  <c r="AA1756"/>
  <c r="AB1756"/>
  <c r="AC1756"/>
  <c r="AD1756"/>
  <c r="P1757"/>
  <c r="T1757"/>
  <c r="U1757"/>
  <c r="V1757"/>
  <c r="W1757"/>
  <c r="Y1757"/>
  <c r="AA1757"/>
  <c r="AB1757"/>
  <c r="AC1757"/>
  <c r="AD1757"/>
  <c r="P1758"/>
  <c r="W1758"/>
  <c r="Y1758"/>
  <c r="AA1758"/>
  <c r="AB1758"/>
  <c r="AC1758"/>
  <c r="P1759"/>
  <c r="W1759"/>
  <c r="Y1759"/>
  <c r="AA1759"/>
  <c r="AB1759"/>
  <c r="AC1759"/>
  <c r="P1760"/>
  <c r="W1760"/>
  <c r="Y1760"/>
  <c r="AA1760"/>
  <c r="AB1760"/>
  <c r="AC1760"/>
  <c r="P1761"/>
  <c r="W1761"/>
  <c r="Y1761"/>
  <c r="AA1761"/>
  <c r="AB1761"/>
  <c r="AC1761"/>
  <c r="P1762"/>
  <c r="W1762"/>
  <c r="Y1762"/>
  <c r="AA1762"/>
  <c r="AB1762"/>
  <c r="AC1762"/>
  <c r="P1763"/>
  <c r="W1763"/>
  <c r="Y1763"/>
  <c r="AA1763"/>
  <c r="AB1763"/>
  <c r="AC1763"/>
  <c r="P1764"/>
  <c r="W1764"/>
  <c r="Y1764"/>
  <c r="AA1764"/>
  <c r="AB1764"/>
  <c r="AC1764"/>
  <c r="P1765"/>
  <c r="W1765"/>
  <c r="Y1765"/>
  <c r="AA1765"/>
  <c r="AB1765"/>
  <c r="AC1765"/>
  <c r="P1766"/>
  <c r="W1766"/>
  <c r="Y1766"/>
  <c r="AA1766"/>
  <c r="AB1766"/>
  <c r="AC1766"/>
  <c r="P1767"/>
  <c r="W1767"/>
  <c r="Y1767"/>
  <c r="AA1767"/>
  <c r="AB1767"/>
  <c r="AC1767"/>
  <c r="P1768"/>
  <c r="W1768"/>
  <c r="Y1768"/>
  <c r="AA1768"/>
  <c r="AB1768"/>
  <c r="AC1768"/>
  <c r="P1769"/>
  <c r="W1769"/>
  <c r="Y1769"/>
  <c r="AA1769"/>
  <c r="AB1769"/>
  <c r="AC1769"/>
  <c r="P1770"/>
  <c r="W1770"/>
  <c r="Y1770"/>
  <c r="AA1770"/>
  <c r="AB1770"/>
  <c r="AC1770"/>
  <c r="P1771"/>
  <c r="W1771"/>
  <c r="Y1771"/>
  <c r="AA1771"/>
  <c r="AB1771"/>
  <c r="AC1771"/>
  <c r="P1772"/>
  <c r="W1772"/>
  <c r="Y1772"/>
  <c r="AA1772"/>
  <c r="AB1772"/>
  <c r="AC1772"/>
  <c r="P1773"/>
  <c r="W1773"/>
  <c r="Y1773"/>
  <c r="AA1773"/>
  <c r="AB1773"/>
  <c r="AC1773"/>
  <c r="P1774"/>
  <c r="W1774"/>
  <c r="Y1774"/>
  <c r="AA1774"/>
  <c r="AB1774"/>
  <c r="AC1774"/>
  <c r="P1775"/>
  <c r="W1775"/>
  <c r="Y1775"/>
  <c r="AA1775"/>
  <c r="AB1775"/>
  <c r="AC1775"/>
  <c r="P1776"/>
  <c r="W1776"/>
  <c r="Y1776"/>
  <c r="AA1776"/>
  <c r="AB1776"/>
  <c r="AC1776"/>
  <c r="P1777"/>
  <c r="W1777"/>
  <c r="Y1777"/>
  <c r="AA1777"/>
  <c r="AB1777"/>
  <c r="AC1777"/>
  <c r="P1778"/>
  <c r="W1778"/>
  <c r="Y1778"/>
  <c r="AA1778"/>
  <c r="AB1778"/>
  <c r="AC1778"/>
  <c r="P1779"/>
  <c r="W1779"/>
  <c r="Y1779"/>
  <c r="AA1779"/>
  <c r="AB1779"/>
  <c r="AC1779"/>
  <c r="P1780"/>
  <c r="W1780"/>
  <c r="Y1780"/>
  <c r="AA1780"/>
  <c r="AB1780"/>
  <c r="AC1780"/>
  <c r="P1781"/>
  <c r="W1781"/>
  <c r="Y1781"/>
  <c r="AA1781"/>
  <c r="AB1781"/>
  <c r="AC1781"/>
  <c r="P1782"/>
  <c r="W1782"/>
  <c r="Y1782"/>
  <c r="AA1782"/>
  <c r="AB1782"/>
  <c r="AC1782"/>
  <c r="P1783"/>
  <c r="W1783"/>
  <c r="Y1783"/>
  <c r="AA1783"/>
  <c r="AB1783"/>
  <c r="AC1783"/>
  <c r="P1784"/>
  <c r="W1784"/>
  <c r="Y1784"/>
  <c r="AA1784"/>
  <c r="AB1784"/>
  <c r="AC1784"/>
  <c r="P1785"/>
  <c r="W1785"/>
  <c r="Y1785"/>
  <c r="AA1785"/>
  <c r="AB1785"/>
  <c r="AC1785"/>
  <c r="P1786"/>
  <c r="W1786"/>
  <c r="Y1786"/>
  <c r="AA1786"/>
  <c r="AB1786"/>
  <c r="AC1786"/>
  <c r="P1787"/>
  <c r="W1787"/>
  <c r="Y1787"/>
  <c r="AA1787"/>
  <c r="AB1787"/>
  <c r="AC1787"/>
  <c r="P1788"/>
  <c r="W1788"/>
  <c r="Y1788"/>
  <c r="AA1788"/>
  <c r="AB1788"/>
  <c r="AC1788"/>
  <c r="P1789"/>
  <c r="W1789"/>
  <c r="Y1789"/>
  <c r="AA1789"/>
  <c r="AB1789"/>
  <c r="AC1789"/>
  <c r="P1790"/>
  <c r="W1790"/>
  <c r="Y1790"/>
  <c r="AA1790"/>
  <c r="AB1790"/>
  <c r="AC1790"/>
  <c r="P1791"/>
  <c r="W1791"/>
  <c r="Y1791"/>
  <c r="AA1791"/>
  <c r="AB1791"/>
  <c r="AC1791"/>
  <c r="P1792"/>
  <c r="W1792"/>
  <c r="Y1792"/>
  <c r="AA1792"/>
  <c r="AB1792"/>
  <c r="AC1792"/>
  <c r="P1793"/>
  <c r="W1793"/>
  <c r="Y1793"/>
  <c r="AA1793"/>
  <c r="AB1793"/>
  <c r="AC1793"/>
  <c r="P1794"/>
  <c r="W1794"/>
  <c r="Y1794"/>
  <c r="AA1794"/>
  <c r="AB1794"/>
  <c r="AC1794"/>
  <c r="P1795"/>
  <c r="W1795"/>
  <c r="Y1795"/>
  <c r="AA1795"/>
  <c r="AB1795"/>
  <c r="AC1795"/>
  <c r="P1796"/>
  <c r="W1796"/>
  <c r="Y1796"/>
  <c r="AA1796"/>
  <c r="AB1796"/>
  <c r="AC1796"/>
  <c r="P1797"/>
  <c r="W1797"/>
  <c r="Y1797"/>
  <c r="AA1797"/>
  <c r="AB1797"/>
  <c r="AC1797"/>
  <c r="P1798"/>
  <c r="W1798"/>
  <c r="Y1798"/>
  <c r="AA1798"/>
  <c r="AB1798"/>
  <c r="AC1798"/>
  <c r="P1799"/>
  <c r="W1799"/>
  <c r="Y1799"/>
  <c r="AA1799"/>
  <c r="AB1799"/>
  <c r="AC1799"/>
  <c r="P1800"/>
  <c r="W1800"/>
  <c r="Y1800"/>
  <c r="AA1800"/>
  <c r="AB1800"/>
  <c r="AC1800"/>
  <c r="P1801"/>
  <c r="W1801"/>
  <c r="Y1801"/>
  <c r="AA1801"/>
  <c r="AB1801"/>
  <c r="AC1801"/>
  <c r="P1802"/>
  <c r="W1802"/>
  <c r="Y1802"/>
  <c r="AA1802"/>
  <c r="AB1802"/>
  <c r="AC1802"/>
  <c r="P1803"/>
  <c r="W1803"/>
  <c r="Y1803"/>
  <c r="AA1803"/>
  <c r="AB1803"/>
  <c r="AC1803"/>
  <c r="P1804"/>
  <c r="W1804"/>
  <c r="Y1804"/>
  <c r="AA1804"/>
  <c r="AB1804"/>
  <c r="AC1804"/>
  <c r="P1805"/>
  <c r="W1805"/>
  <c r="Y1805"/>
  <c r="AA1805"/>
  <c r="AB1805"/>
  <c r="AC1805"/>
  <c r="P1806"/>
  <c r="W1806"/>
  <c r="Y1806"/>
  <c r="AA1806"/>
  <c r="AB1806"/>
  <c r="AC1806"/>
  <c r="P1807"/>
  <c r="W1807"/>
  <c r="Y1807"/>
  <c r="AA1807"/>
  <c r="AB1807"/>
  <c r="AC1807"/>
  <c r="P1808"/>
  <c r="W1808"/>
  <c r="Y1808"/>
  <c r="AA1808"/>
  <c r="AB1808"/>
  <c r="AC1808"/>
  <c r="P1809"/>
  <c r="W1809"/>
  <c r="Y1809"/>
  <c r="AA1809"/>
  <c r="AB1809"/>
  <c r="AC1809"/>
  <c r="P1810"/>
  <c r="W1810"/>
  <c r="Y1810"/>
  <c r="AA1810"/>
  <c r="AB1810"/>
  <c r="AC1810"/>
  <c r="P1811"/>
  <c r="W1811"/>
  <c r="Y1811"/>
  <c r="AA1811"/>
  <c r="AB1811"/>
  <c r="AC1811"/>
  <c r="P1812"/>
  <c r="W1812"/>
  <c r="Y1812"/>
  <c r="AA1812"/>
  <c r="AB1812"/>
  <c r="AC1812"/>
  <c r="P1813"/>
  <c r="W1813"/>
  <c r="Y1813"/>
  <c r="AA1813"/>
  <c r="AB1813"/>
  <c r="AC1813"/>
  <c r="P1814"/>
  <c r="W1814"/>
  <c r="Y1814"/>
  <c r="AA1814"/>
  <c r="AB1814"/>
  <c r="AC1814"/>
  <c r="P1815"/>
  <c r="W1815"/>
  <c r="Y1815"/>
  <c r="AA1815"/>
  <c r="AB1815"/>
  <c r="AC1815"/>
  <c r="P1816"/>
  <c r="W1816"/>
  <c r="Y1816"/>
  <c r="AA1816"/>
  <c r="AB1816"/>
  <c r="AC1816"/>
  <c r="P1817"/>
  <c r="W1817"/>
  <c r="Y1817"/>
  <c r="AA1817"/>
  <c r="AB1817"/>
  <c r="AC1817"/>
  <c r="P1818"/>
  <c r="W1818"/>
  <c r="Y1818"/>
  <c r="AA1818"/>
  <c r="AB1818"/>
  <c r="AC1818"/>
  <c r="P1819"/>
  <c r="W1819"/>
  <c r="Y1819"/>
  <c r="AA1819"/>
  <c r="AB1819"/>
  <c r="AC1819"/>
  <c r="P1555"/>
  <c r="T1555"/>
  <c r="U1555"/>
  <c r="V1555"/>
  <c r="W1555"/>
  <c r="Y1555"/>
  <c r="AA1555"/>
  <c r="AB1555"/>
  <c r="AC1555"/>
  <c r="AD1555"/>
  <c r="P1556"/>
  <c r="T1556"/>
  <c r="U1556"/>
  <c r="V1556"/>
  <c r="W1556"/>
  <c r="Y1556"/>
  <c r="AA1556"/>
  <c r="AB1556"/>
  <c r="AC1556"/>
  <c r="AD1556"/>
  <c r="P1557"/>
  <c r="W1557"/>
  <c r="Y1557"/>
  <c r="AA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820"/>
  <c r="T1820"/>
  <c r="U1820"/>
  <c r="V1820"/>
  <c r="W1820"/>
  <c r="Y1820"/>
  <c r="AA1820"/>
  <c r="AB1820"/>
  <c r="AC1820"/>
  <c r="AD1820"/>
  <c r="P1823"/>
  <c r="T1823"/>
  <c r="U1823"/>
  <c r="V1823"/>
  <c r="W1823"/>
  <c r="Y1823"/>
  <c r="AA1823"/>
  <c r="AB1823"/>
  <c r="AC1823"/>
  <c r="AD1823"/>
  <c r="P1826"/>
  <c r="T1826"/>
  <c r="U1826"/>
  <c r="V1826"/>
  <c r="W1826"/>
  <c r="Y1826"/>
  <c r="AA1826"/>
  <c r="AB1826"/>
  <c r="AC1826"/>
  <c r="AD1826"/>
  <c r="P1827"/>
  <c r="T1827"/>
  <c r="U1827"/>
  <c r="V1827"/>
  <c r="W1827"/>
  <c r="Y1827"/>
  <c r="AA1827"/>
  <c r="AB1827"/>
  <c r="AC1827"/>
  <c r="AD1827"/>
  <c r="P1830"/>
  <c r="T1830"/>
  <c r="U1830"/>
  <c r="V1830"/>
  <c r="W1830"/>
  <c r="Y1830"/>
  <c r="AA1830"/>
  <c r="AB1830"/>
  <c r="AC1830"/>
  <c r="AD1830"/>
  <c r="P1831"/>
  <c r="T1831"/>
  <c r="U1831"/>
  <c r="V1831"/>
  <c r="W1831"/>
  <c r="Y1831"/>
  <c r="AA1831"/>
  <c r="AB1831"/>
  <c r="AC1831"/>
  <c r="AD1831"/>
  <c r="P1832"/>
  <c r="T1832"/>
  <c r="U1832"/>
  <c r="V1832"/>
  <c r="W1832"/>
  <c r="Y1832"/>
  <c r="AA1832"/>
  <c r="AB1832"/>
  <c r="AC1832"/>
  <c r="P1833"/>
  <c r="T1833"/>
  <c r="U1833"/>
  <c r="V1833"/>
  <c r="W1833"/>
  <c r="Y1833"/>
  <c r="AA1833"/>
  <c r="AB1833"/>
  <c r="AC1833"/>
  <c r="P1836"/>
  <c r="T1836"/>
  <c r="U1836"/>
  <c r="V1836"/>
  <c r="W1836"/>
  <c r="Y1836"/>
  <c r="AA1836"/>
  <c r="AB1836"/>
  <c r="AC1836"/>
  <c r="P1837"/>
  <c r="T1837"/>
  <c r="U1837"/>
  <c r="V1837"/>
  <c r="W1837"/>
  <c r="Y1837"/>
  <c r="AA1837"/>
  <c r="AB1837"/>
  <c r="AC1837"/>
  <c r="P1838"/>
  <c r="T1838"/>
  <c r="U1838"/>
  <c r="V1838"/>
  <c r="W1838"/>
  <c r="Y1838"/>
  <c r="AA1838"/>
  <c r="AB1838"/>
  <c r="AC1838"/>
  <c r="P1839"/>
  <c r="T1839"/>
  <c r="U1839"/>
  <c r="V1839"/>
  <c r="W1839"/>
  <c r="Y1839"/>
  <c r="AA1839"/>
  <c r="AB1839"/>
  <c r="AC1839"/>
  <c r="P1840"/>
  <c r="T1840"/>
  <c r="U1840"/>
  <c r="V1840"/>
  <c r="W1840"/>
  <c r="Y1840"/>
  <c r="AA1840"/>
  <c r="AB1840"/>
  <c r="AC1840"/>
  <c r="P1841"/>
  <c r="T1841"/>
  <c r="U1841"/>
  <c r="V1841"/>
  <c r="W1841"/>
  <c r="Y1841"/>
  <c r="AA1841"/>
  <c r="AB1841"/>
  <c r="AC1841"/>
  <c r="P1842"/>
  <c r="T1842"/>
  <c r="U1842"/>
  <c r="V1842"/>
  <c r="W1842"/>
  <c r="Y1842"/>
  <c r="AA1842"/>
  <c r="AB1842"/>
  <c r="AC1842"/>
  <c r="AD1842"/>
  <c r="P1843"/>
  <c r="T1843"/>
  <c r="U1843"/>
  <c r="V1843"/>
  <c r="W1843"/>
  <c r="Y1843"/>
  <c r="AA1843"/>
  <c r="AB1843"/>
  <c r="AC1843"/>
  <c r="AD1843"/>
  <c r="P1844"/>
  <c r="T1844"/>
  <c r="U1844"/>
  <c r="V1844"/>
  <c r="W1844"/>
  <c r="Y1844"/>
  <c r="AA1844"/>
  <c r="AB1844"/>
  <c r="AC1844"/>
  <c r="P1845"/>
  <c r="T1845"/>
  <c r="U1845"/>
  <c r="V1845"/>
  <c r="W1845"/>
  <c r="Y1845"/>
  <c r="AA1845"/>
  <c r="AB1845"/>
  <c r="AC1845"/>
  <c r="P1846"/>
  <c r="T1846"/>
  <c r="U1846"/>
  <c r="V1846"/>
  <c r="W1846"/>
  <c r="Y1846"/>
  <c r="AA1846"/>
  <c r="AB1846"/>
  <c r="AC1846"/>
  <c r="AD1846"/>
  <c r="P1847"/>
  <c r="T1847"/>
  <c r="U1847"/>
  <c r="V1847"/>
  <c r="W1847"/>
  <c r="Y1847"/>
  <c r="AA1847"/>
  <c r="AB1847"/>
  <c r="AC1847"/>
  <c r="AD1847"/>
  <c r="P1848"/>
  <c r="T1848"/>
  <c r="U1848"/>
  <c r="V1848"/>
  <c r="W1848"/>
  <c r="Y1848"/>
  <c r="AA1848"/>
  <c r="AB1848"/>
  <c r="AC1848"/>
  <c r="P1849"/>
  <c r="T1849"/>
  <c r="U1849"/>
  <c r="V1849"/>
  <c r="W1849"/>
  <c r="Y1849"/>
  <c r="AA1849"/>
  <c r="AB1849"/>
  <c r="AC1849"/>
  <c r="P1850"/>
  <c r="T1850"/>
  <c r="U1850"/>
  <c r="V1850"/>
  <c r="W1850"/>
  <c r="Y1850"/>
  <c r="AA1850"/>
  <c r="AB1850"/>
  <c r="AC1850"/>
  <c r="P1851"/>
  <c r="T1851"/>
  <c r="U1851"/>
  <c r="V1851"/>
  <c r="W1851"/>
  <c r="Y1851"/>
  <c r="AA1851"/>
  <c r="AB1851"/>
  <c r="AC1851"/>
  <c r="P1854"/>
  <c r="T1854"/>
  <c r="U1854"/>
  <c r="V1854"/>
  <c r="W1854"/>
  <c r="Y1854"/>
  <c r="AA1854"/>
  <c r="AB1854"/>
  <c r="AC1854"/>
  <c r="P1855"/>
  <c r="T1855"/>
  <c r="U1855"/>
  <c r="V1855"/>
  <c r="W1855"/>
  <c r="Y1855"/>
  <c r="AA1855"/>
  <c r="AB1855"/>
  <c r="AC1855"/>
  <c r="P1856"/>
  <c r="T1856"/>
  <c r="U1856"/>
  <c r="V1856"/>
  <c r="W1856"/>
  <c r="Y1856"/>
  <c r="AA1856"/>
  <c r="AB1856"/>
  <c r="AC1856"/>
  <c r="AD1856"/>
  <c r="P1857"/>
  <c r="T1857"/>
  <c r="U1857"/>
  <c r="V1857"/>
  <c r="W1857"/>
  <c r="Y1857"/>
  <c r="AA1857"/>
  <c r="AB1857"/>
  <c r="AC1857"/>
  <c r="AD1857"/>
  <c r="P1858"/>
  <c r="T1858"/>
  <c r="U1858"/>
  <c r="V1858"/>
  <c r="W1858"/>
  <c r="Y1858"/>
  <c r="AA1858"/>
  <c r="AB1858"/>
  <c r="AC1858"/>
  <c r="AD1858"/>
  <c r="P1873"/>
  <c r="T1873"/>
  <c r="U1873"/>
  <c r="V1873"/>
  <c r="W1873"/>
  <c r="Y1873"/>
  <c r="AA1873"/>
  <c r="AB1873"/>
  <c r="AC1873"/>
  <c r="AD1873"/>
  <c r="P1874"/>
  <c r="T1874"/>
  <c r="U1874"/>
  <c r="V1874"/>
  <c r="W1874"/>
  <c r="Y1874"/>
  <c r="AA1874"/>
  <c r="AB1874"/>
  <c r="AC1874"/>
  <c r="AD1874"/>
  <c r="P1875"/>
  <c r="T1875"/>
  <c r="U1875"/>
  <c r="V1875"/>
  <c r="W1875"/>
  <c r="Y1875"/>
  <c r="AA1875"/>
  <c r="AB1875"/>
  <c r="AC1875"/>
  <c r="AD1875"/>
  <c r="P1876"/>
  <c r="T1876"/>
  <c r="U1876"/>
  <c r="V1876"/>
  <c r="W1876"/>
  <c r="Y1876"/>
  <c r="AA1876"/>
  <c r="AB1876"/>
  <c r="AC1876"/>
  <c r="AD1876"/>
  <c r="P1859"/>
  <c r="T1859"/>
  <c r="U1859"/>
  <c r="V1859"/>
  <c r="W1859"/>
  <c r="Y1859"/>
  <c r="AA1859"/>
  <c r="AB1859"/>
  <c r="AC1859"/>
  <c r="AD1859"/>
  <c r="P1860"/>
  <c r="T1860"/>
  <c r="U1860"/>
  <c r="V1860"/>
  <c r="W1860"/>
  <c r="Y1860"/>
  <c r="AA1860"/>
  <c r="AB1860"/>
  <c r="AC1860"/>
  <c r="AD1860"/>
  <c r="P1861"/>
  <c r="T1861"/>
  <c r="U1861"/>
  <c r="V1861"/>
  <c r="W1861"/>
  <c r="Y1861"/>
  <c r="AA1861"/>
  <c r="AB1861"/>
  <c r="AC1861"/>
  <c r="AD1861"/>
  <c r="P1862"/>
  <c r="T1862"/>
  <c r="U1862"/>
  <c r="V1862"/>
  <c r="W1862"/>
  <c r="Y1862"/>
  <c r="AA1862"/>
  <c r="AB1862"/>
  <c r="AC1862"/>
  <c r="AD1862"/>
  <c r="P1863"/>
  <c r="T1863"/>
  <c r="U1863"/>
  <c r="V1863"/>
  <c r="W1863"/>
  <c r="Y1863"/>
  <c r="AA1863"/>
  <c r="AB1863"/>
  <c r="AC1863"/>
  <c r="AD1863"/>
  <c r="P1864"/>
  <c r="T1864"/>
  <c r="U1864"/>
  <c r="V1864"/>
  <c r="W1864"/>
  <c r="Y1864"/>
  <c r="AA1864"/>
  <c r="AB1864"/>
  <c r="AC1864"/>
  <c r="AD1864"/>
  <c r="P1865"/>
  <c r="T1865"/>
  <c r="U1865"/>
  <c r="V1865"/>
  <c r="W1865"/>
  <c r="Y1865"/>
  <c r="AA1865"/>
  <c r="AB1865"/>
  <c r="AC1865"/>
  <c r="AD1865"/>
  <c r="P1866"/>
  <c r="T1866"/>
  <c r="U1866"/>
  <c r="V1866"/>
  <c r="W1866"/>
  <c r="Y1866"/>
  <c r="AA1866"/>
  <c r="AB1866"/>
  <c r="AC1866"/>
  <c r="AD1866"/>
  <c r="P1867"/>
  <c r="T1867"/>
  <c r="U1867"/>
  <c r="V1867"/>
  <c r="W1867"/>
  <c r="Y1867"/>
  <c r="AA1867"/>
  <c r="AB1867"/>
  <c r="AC1867"/>
  <c r="AD1867"/>
  <c r="P1868"/>
  <c r="T1868"/>
  <c r="U1868"/>
  <c r="V1868"/>
  <c r="W1868"/>
  <c r="Y1868"/>
  <c r="AA1868"/>
  <c r="AB1868"/>
  <c r="AC1868"/>
  <c r="AD1868"/>
  <c r="P1869"/>
  <c r="T1869"/>
  <c r="U1869"/>
  <c r="V1869"/>
  <c r="W1869"/>
  <c r="Y1869"/>
  <c r="AA1869"/>
  <c r="AB1869"/>
  <c r="AC1869"/>
  <c r="AD1869"/>
  <c r="P1870"/>
  <c r="T1870"/>
  <c r="U1870"/>
  <c r="V1870"/>
  <c r="W1870"/>
  <c r="Y1870"/>
  <c r="AA1870"/>
  <c r="AB1870"/>
  <c r="AC1870"/>
  <c r="AD1870"/>
  <c r="P1871"/>
  <c r="T1871"/>
  <c r="U1871"/>
  <c r="V1871"/>
  <c r="W1871"/>
  <c r="Y1871"/>
  <c r="AA1871"/>
  <c r="AB1871"/>
  <c r="AC1871"/>
  <c r="AD1871"/>
  <c r="P1872"/>
  <c r="T1872"/>
  <c r="U1872"/>
  <c r="V1872"/>
  <c r="W1872"/>
  <c r="Y1872"/>
  <c r="AA1872"/>
  <c r="AB1872"/>
  <c r="AC1872"/>
  <c r="AD1872"/>
  <c r="P1824"/>
  <c r="T1824"/>
  <c r="U1824"/>
  <c r="V1824"/>
  <c r="W1824"/>
  <c r="Y1824"/>
  <c r="AA1824"/>
  <c r="AB1824"/>
  <c r="AC1824"/>
  <c r="P1825"/>
  <c r="T1825"/>
  <c r="U1825"/>
  <c r="V1825"/>
  <c r="W1825"/>
  <c r="Y1825"/>
  <c r="AA1825"/>
  <c r="AB1825"/>
  <c r="AC1825"/>
  <c r="P1852"/>
  <c r="T1852"/>
  <c r="U1852"/>
  <c r="V1852"/>
  <c r="W1852"/>
  <c r="Y1852"/>
  <c r="AA1852"/>
  <c r="AB1852"/>
  <c r="AC1852"/>
  <c r="P1853"/>
  <c r="T1853"/>
  <c r="U1853"/>
  <c r="V1853"/>
  <c r="W1853"/>
  <c r="Y1853"/>
  <c r="AA1853"/>
  <c r="AB1853"/>
  <c r="AC1853"/>
  <c r="P1877"/>
  <c r="W1877"/>
  <c r="Y1877"/>
  <c r="AA1877"/>
  <c r="AB1877"/>
  <c r="AC1877"/>
  <c r="P1878"/>
  <c r="W1878"/>
  <c r="Y1878"/>
  <c r="AA1878"/>
  <c r="AB1878"/>
  <c r="AC1878"/>
  <c r="P1879"/>
  <c r="W1879"/>
  <c r="Y1879"/>
  <c r="AA1879"/>
  <c r="AB1879"/>
  <c r="AC1879"/>
  <c r="P1880"/>
  <c r="W1880"/>
  <c r="Y1880"/>
  <c r="AA1880"/>
  <c r="AB1880"/>
  <c r="AC1880"/>
  <c r="P1881"/>
  <c r="T1881"/>
  <c r="U1881"/>
  <c r="V1881"/>
  <c r="W1881"/>
  <c r="Y1881"/>
  <c r="AA1881"/>
  <c r="AB1881"/>
  <c r="AC1881"/>
  <c r="P1882"/>
  <c r="W1882"/>
  <c r="Y1882"/>
  <c r="AA1882"/>
  <c r="AB1882"/>
  <c r="AC1882"/>
  <c r="P1883"/>
  <c r="W1883"/>
  <c r="Y1883"/>
  <c r="AA1883"/>
  <c r="AB1883"/>
  <c r="AC1883"/>
  <c r="P1884"/>
  <c r="W1884"/>
  <c r="Y1884"/>
  <c r="AA1884"/>
  <c r="AB1884"/>
  <c r="AC1884"/>
  <c r="P1885"/>
  <c r="W1885"/>
  <c r="Y1885"/>
  <c r="AA1885"/>
  <c r="AB1885"/>
  <c r="AC1885"/>
  <c r="P1886"/>
  <c r="W1886"/>
  <c r="Y1886"/>
  <c r="AA1886"/>
  <c r="AB1886"/>
  <c r="AC1886"/>
  <c r="P1887"/>
  <c r="W1887"/>
  <c r="Y1887"/>
  <c r="AA1887"/>
  <c r="AB1887"/>
  <c r="AC1887"/>
  <c r="P1888"/>
  <c r="W1888"/>
  <c r="Y1888"/>
  <c r="AA1888"/>
  <c r="AB1888"/>
  <c r="AC1888"/>
  <c r="P1889"/>
  <c r="W1889"/>
  <c r="Y1889"/>
  <c r="AA1889"/>
  <c r="AB1889"/>
  <c r="AC1889"/>
  <c r="P1890"/>
  <c r="W1890"/>
  <c r="Y1890"/>
  <c r="AA1890"/>
  <c r="AB1890"/>
  <c r="AC1890"/>
  <c r="P1891"/>
  <c r="T1891"/>
  <c r="U1891"/>
  <c r="V1891"/>
  <c r="W1891"/>
  <c r="Y1891"/>
  <c r="AA1891"/>
  <c r="AB1891"/>
  <c r="AC1891"/>
  <c r="P1892"/>
  <c r="W1892"/>
  <c r="Y1892"/>
  <c r="AA1892"/>
  <c r="AB1892"/>
  <c r="AC1892"/>
  <c r="P1893"/>
  <c r="W1893"/>
  <c r="Y1893"/>
  <c r="AA1893"/>
  <c r="AB1893"/>
  <c r="AC1893"/>
  <c r="P1894"/>
  <c r="W1894"/>
  <c r="Y1894"/>
  <c r="AA1894"/>
  <c r="AB1894"/>
  <c r="AC1894"/>
  <c r="P1895"/>
  <c r="W1895"/>
  <c r="Y1895"/>
  <c r="AA1895"/>
  <c r="AB1895"/>
  <c r="AC1895"/>
  <c r="P1896"/>
  <c r="W1896"/>
  <c r="Y1896"/>
  <c r="AA1896"/>
  <c r="AB1896"/>
  <c r="AC1896"/>
  <c r="P1897"/>
  <c r="W1897"/>
  <c r="Y1897"/>
  <c r="AA1897"/>
  <c r="AB1897"/>
  <c r="AC1897"/>
  <c r="P1898"/>
  <c r="W1898"/>
  <c r="Y1898"/>
  <c r="AA1898"/>
  <c r="AB1898"/>
  <c r="AC1898"/>
  <c r="P1899"/>
  <c r="W1899"/>
  <c r="Y1899"/>
  <c r="AA1899"/>
  <c r="AB1899"/>
  <c r="AC1899"/>
  <c r="P1900"/>
  <c r="W1900"/>
  <c r="Y1900"/>
  <c r="AA1900"/>
  <c r="AB1900"/>
  <c r="AC1900"/>
  <c r="P1901"/>
  <c r="W1901"/>
  <c r="Y1901"/>
  <c r="AA1901"/>
  <c r="AB1901"/>
  <c r="AC1901"/>
  <c r="P1902"/>
  <c r="W1902"/>
  <c r="Y1902"/>
  <c r="AA1902"/>
  <c r="AB1902"/>
  <c r="AC1902"/>
  <c r="P1903"/>
  <c r="W1903"/>
  <c r="Y1903"/>
  <c r="AA1903"/>
  <c r="AB1903"/>
  <c r="AC1903"/>
  <c r="P1904"/>
  <c r="W1904"/>
  <c r="Y1904"/>
  <c r="AA1904"/>
  <c r="AB1904"/>
  <c r="AC1904"/>
  <c r="P1905"/>
  <c r="W1905"/>
  <c r="Y1905"/>
  <c r="AA1905"/>
  <c r="AB1905"/>
  <c r="AC1905"/>
  <c r="P1906"/>
  <c r="W1906"/>
  <c r="Y1906"/>
  <c r="AA1906"/>
  <c r="AB1906"/>
  <c r="AC1906"/>
  <c r="P1907"/>
  <c r="W1907"/>
  <c r="Y1907"/>
  <c r="AA1907"/>
  <c r="AB1907"/>
  <c r="AC1907"/>
  <c r="P1908"/>
  <c r="W1908"/>
  <c r="Y1908"/>
  <c r="AA1908"/>
  <c r="AB1908"/>
  <c r="AC1908"/>
  <c r="P1909"/>
  <c r="W1909"/>
  <c r="Y1909"/>
  <c r="AA1909"/>
  <c r="AB1909"/>
  <c r="AC1909"/>
  <c r="P1910"/>
  <c r="W1910"/>
  <c r="Y1910"/>
  <c r="AA1910"/>
  <c r="AB1910"/>
  <c r="AC1910"/>
  <c r="P1911"/>
  <c r="W1911"/>
  <c r="Y1911"/>
  <c r="AA1911"/>
  <c r="AB1911"/>
  <c r="AC1911"/>
  <c r="P1912"/>
  <c r="W1912"/>
  <c r="Y1912"/>
  <c r="AA1912"/>
  <c r="AB1912"/>
  <c r="AC1912"/>
  <c r="P1913"/>
  <c r="W1913"/>
  <c r="Y1913"/>
  <c r="AA1913"/>
  <c r="AB1913"/>
  <c r="AC1913"/>
  <c r="P1914"/>
  <c r="W1914"/>
  <c r="Y1914"/>
  <c r="AA1914"/>
  <c r="AB1914"/>
  <c r="AC1914"/>
  <c r="P1915"/>
  <c r="W1915"/>
  <c r="Y1915"/>
  <c r="AA1915"/>
  <c r="AB1915"/>
  <c r="AC1915"/>
  <c r="P1916"/>
  <c r="W1916"/>
  <c r="Y1916"/>
  <c r="AA1916"/>
  <c r="AB1916"/>
  <c r="AC1916"/>
  <c r="P1917"/>
  <c r="W1917"/>
  <c r="Y1917"/>
  <c r="AA1917"/>
  <c r="AB1917"/>
  <c r="AC1917"/>
  <c r="P1918"/>
  <c r="W1918"/>
  <c r="Y1918"/>
  <c r="AA1918"/>
  <c r="AB1918"/>
  <c r="AC1918"/>
  <c r="P1919"/>
  <c r="W1919"/>
  <c r="Y1919"/>
  <c r="AA1919"/>
  <c r="AB1919"/>
  <c r="AC1919"/>
  <c r="P1920"/>
  <c r="W1920"/>
  <c r="Y1920"/>
  <c r="AA1920"/>
  <c r="AB1920"/>
  <c r="AC1920"/>
  <c r="P1921"/>
  <c r="W1921"/>
  <c r="Y1921"/>
  <c r="AA1921"/>
  <c r="AB1921"/>
  <c r="AC1921"/>
  <c r="P1922"/>
  <c r="W1922"/>
  <c r="Y1922"/>
  <c r="AA1922"/>
  <c r="AB1922"/>
  <c r="AC1922"/>
  <c r="P1923"/>
  <c r="W1923"/>
  <c r="Y1923"/>
  <c r="AA1923"/>
  <c r="AB1923"/>
  <c r="AC1923"/>
  <c r="P1924"/>
  <c r="W1924"/>
  <c r="Y1924"/>
  <c r="AA1924"/>
  <c r="AB1924"/>
  <c r="AC1924"/>
  <c r="P1925"/>
  <c r="W1925"/>
  <c r="Y1925"/>
  <c r="AA1925"/>
  <c r="AB1925"/>
  <c r="AC1925"/>
  <c r="P1926"/>
  <c r="W1926"/>
  <c r="Y1926"/>
  <c r="AA1926"/>
  <c r="AB1926"/>
  <c r="AC1926"/>
  <c r="P1927"/>
  <c r="W1927"/>
  <c r="Y1927"/>
  <c r="AA1927"/>
  <c r="AB1927"/>
  <c r="AC1927"/>
  <c r="P1928"/>
  <c r="W1928"/>
  <c r="Y1928"/>
  <c r="AA1928"/>
  <c r="AB1928"/>
  <c r="AC1928"/>
  <c r="P1929"/>
  <c r="W1929"/>
  <c r="Y1929"/>
  <c r="AA1929"/>
  <c r="AB1929"/>
  <c r="AC1929"/>
  <c r="P1930"/>
  <c r="W1930"/>
  <c r="Y1930"/>
  <c r="AA1930"/>
  <c r="AB1930"/>
  <c r="AC1930"/>
  <c r="P1931"/>
  <c r="W1931"/>
  <c r="Y1931"/>
  <c r="AA1931"/>
  <c r="AB1931"/>
  <c r="AC1931"/>
  <c r="P1932"/>
  <c r="W1932"/>
  <c r="Y1932"/>
  <c r="AA1932"/>
  <c r="AB1932"/>
  <c r="AC1932"/>
  <c r="P1933"/>
  <c r="W1933"/>
  <c r="Y1933"/>
  <c r="AA1933"/>
  <c r="AB1933"/>
  <c r="AC1933"/>
  <c r="P1934"/>
  <c r="W1934"/>
  <c r="Y1934"/>
  <c r="AA1934"/>
  <c r="AB1934"/>
  <c r="AC1934"/>
  <c r="P1935"/>
  <c r="W1935"/>
  <c r="Y1935"/>
  <c r="AA1935"/>
  <c r="AB1935"/>
  <c r="AC1935"/>
  <c r="P1936"/>
  <c r="W1936"/>
  <c r="Y1936"/>
  <c r="AA1936"/>
  <c r="AB1936"/>
  <c r="AC1936"/>
  <c r="P1937"/>
  <c r="W1937"/>
  <c r="Y1937"/>
  <c r="AA1937"/>
  <c r="AB1937"/>
  <c r="AC1937"/>
  <c r="P1938"/>
  <c r="W1938"/>
  <c r="Y1938"/>
  <c r="AA1938"/>
  <c r="AB1938"/>
  <c r="AC1938"/>
  <c r="P1939"/>
  <c r="W1939"/>
  <c r="Y1939"/>
  <c r="AA1939"/>
  <c r="AB1939"/>
  <c r="AC1939"/>
  <c r="P1940"/>
  <c r="W1940"/>
  <c r="Y1940"/>
  <c r="AA1940"/>
  <c r="AB1940"/>
  <c r="AC1940"/>
  <c r="P1941"/>
  <c r="W1941"/>
  <c r="Y1941"/>
  <c r="AA1941"/>
  <c r="AB1941"/>
  <c r="AC1941"/>
  <c r="P1942"/>
  <c r="W1942"/>
  <c r="Y1942"/>
  <c r="AA1942"/>
  <c r="AB1942"/>
  <c r="AC1942"/>
  <c r="P1943"/>
  <c r="W1943"/>
  <c r="Y1943"/>
  <c r="AA1943"/>
  <c r="AB1943"/>
  <c r="AC1943"/>
  <c r="P1944"/>
  <c r="W1944"/>
  <c r="Y1944"/>
  <c r="AA1944"/>
  <c r="AB1944"/>
  <c r="AC1944"/>
  <c r="P1945"/>
  <c r="W1945"/>
  <c r="Y1945"/>
  <c r="AA1945"/>
  <c r="AB1945"/>
  <c r="AC1945"/>
  <c r="P1946"/>
  <c r="W1946"/>
  <c r="Y1946"/>
  <c r="AA1946"/>
  <c r="AB1946"/>
  <c r="AC1946"/>
  <c r="P1948"/>
  <c r="W1948"/>
  <c r="Y1948"/>
  <c r="AA1948"/>
  <c r="AB1948"/>
  <c r="AC1948"/>
  <c r="P1949"/>
  <c r="W1949"/>
  <c r="Y1949"/>
  <c r="AA1949"/>
  <c r="AB1949"/>
  <c r="AC1949"/>
  <c r="P1950"/>
  <c r="W1950"/>
  <c r="Y1950"/>
  <c r="AA1950"/>
  <c r="AB1950"/>
  <c r="AC1950"/>
  <c r="P1951"/>
  <c r="W1951"/>
  <c r="Y1951"/>
  <c r="AA1951"/>
  <c r="AB1951"/>
  <c r="AC1951"/>
  <c r="P1952"/>
  <c r="W1952"/>
  <c r="Y1952"/>
  <c r="AA1952"/>
  <c r="AB1952"/>
  <c r="AC1952"/>
  <c r="P1953"/>
  <c r="W1953"/>
  <c r="Y1953"/>
  <c r="AA1953"/>
  <c r="AB1953"/>
  <c r="AC1953"/>
  <c r="P1954"/>
  <c r="W1954"/>
  <c r="Y1954"/>
  <c r="AA1954"/>
  <c r="AB1954"/>
  <c r="AC1954"/>
  <c r="P1955"/>
  <c r="W1955"/>
  <c r="Y1955"/>
  <c r="AA1955"/>
  <c r="AB1955"/>
  <c r="AC1955"/>
  <c r="P1956"/>
  <c r="W1956"/>
  <c r="Y1956"/>
  <c r="AA1956"/>
  <c r="AB1956"/>
  <c r="AC1956"/>
  <c r="P1957"/>
  <c r="W1957"/>
  <c r="Y1957"/>
  <c r="AA1957"/>
  <c r="AB1957"/>
  <c r="AC1957"/>
  <c r="P1958"/>
  <c r="T1958"/>
  <c r="U1958"/>
  <c r="V1958"/>
  <c r="W1958"/>
  <c r="Y1958"/>
  <c r="AA1958"/>
  <c r="AB1958"/>
  <c r="AC1958"/>
  <c r="P1562"/>
  <c r="T1562"/>
  <c r="U1562"/>
  <c r="V1562"/>
  <c r="W1562"/>
  <c r="Y1562"/>
  <c r="AA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A1565"/>
  <c r="AB1565"/>
  <c r="AC1565"/>
  <c r="AD1565"/>
  <c r="P1566"/>
  <c r="W1566"/>
  <c r="Y1566"/>
  <c r="AA1566"/>
  <c r="AB1566"/>
  <c r="AC1566"/>
  <c r="AD1566"/>
  <c r="P1964"/>
  <c r="W1964"/>
  <c r="Y1964"/>
  <c r="AB1964"/>
  <c r="AC1964"/>
  <c r="AD1964"/>
  <c r="P1965"/>
  <c r="W1965"/>
  <c r="Y1965"/>
  <c r="AB1965"/>
  <c r="AC1965"/>
  <c r="AD1965"/>
  <c r="P1966"/>
  <c r="W1966"/>
  <c r="Y1966"/>
  <c r="AB1966"/>
  <c r="AC1966"/>
  <c r="AD1966"/>
  <c r="P1967"/>
  <c r="W1967"/>
  <c r="Y1967"/>
  <c r="AB1967"/>
  <c r="AC1967"/>
  <c r="AD1967"/>
  <c r="P1968"/>
  <c r="W1968"/>
  <c r="Y1968"/>
  <c r="AB1968"/>
  <c r="AC1968"/>
  <c r="AD1968"/>
  <c r="P1567"/>
  <c r="T1567"/>
  <c r="U1567"/>
  <c r="V1567"/>
  <c r="W1567"/>
  <c r="Y1567"/>
  <c r="AA1567"/>
  <c r="AB1567"/>
  <c r="AC1567"/>
  <c r="AD1567"/>
  <c r="P1568"/>
  <c r="T1568"/>
  <c r="U1568"/>
  <c r="V1568"/>
  <c r="W1568"/>
  <c r="Y1568"/>
  <c r="AA1568"/>
  <c r="AB1568"/>
  <c r="AC1568"/>
  <c r="AD1568"/>
  <c r="P1569"/>
  <c r="T1569"/>
  <c r="U1569"/>
  <c r="V1569"/>
  <c r="W1569"/>
  <c r="Y1569"/>
  <c r="AA1569"/>
  <c r="AB1569"/>
  <c r="AC1569"/>
  <c r="AD1569"/>
  <c r="P1959"/>
  <c r="T1959"/>
  <c r="U1959"/>
  <c r="V1959"/>
  <c r="W1959"/>
  <c r="Y1959"/>
  <c r="AA1959"/>
  <c r="AB1959"/>
  <c r="AC1959"/>
  <c r="AD1959"/>
  <c r="P1960"/>
  <c r="T1960"/>
  <c r="U1960"/>
  <c r="V1960"/>
  <c r="W1960"/>
  <c r="Y1960"/>
  <c r="AA1960"/>
  <c r="AB1960"/>
  <c r="AC1960"/>
  <c r="AD1960"/>
  <c r="P1963"/>
  <c r="T1963"/>
  <c r="U1963"/>
  <c r="V1963"/>
  <c r="W1963"/>
  <c r="Y1963"/>
  <c r="AA1963"/>
  <c r="AB1963"/>
  <c r="AC1963"/>
  <c r="AD1963"/>
  <c r="P1969"/>
  <c r="T1969"/>
  <c r="U1969"/>
  <c r="V1969"/>
  <c r="W1969"/>
  <c r="Y1969"/>
  <c r="AA1969"/>
  <c r="AB1969"/>
  <c r="AC1969"/>
  <c r="AD1969"/>
  <c r="P1970"/>
  <c r="T1970"/>
  <c r="U1970"/>
  <c r="V1970"/>
  <c r="W1970"/>
  <c r="Y1970"/>
  <c r="AA1970"/>
  <c r="AB1970"/>
  <c r="AC1970"/>
  <c r="AD1970"/>
  <c r="P1971"/>
  <c r="T1971"/>
  <c r="U1971"/>
  <c r="V1971"/>
  <c r="W1971"/>
  <c r="Y1971"/>
  <c r="AA1971"/>
  <c r="AB1971"/>
  <c r="AC1971"/>
  <c r="AD1971"/>
  <c r="P1978"/>
  <c r="W1978"/>
  <c r="Y1978"/>
  <c r="AB1978"/>
  <c r="AC1978"/>
  <c r="AD1978"/>
  <c r="P1979"/>
  <c r="W1979"/>
  <c r="Y1979"/>
  <c r="AB1979"/>
  <c r="AC1979"/>
  <c r="AD1979"/>
  <c r="P1980"/>
  <c r="W1980"/>
  <c r="Y1980"/>
  <c r="AB1980"/>
  <c r="AC1980"/>
  <c r="AD1980"/>
  <c r="P1981"/>
  <c r="W1981"/>
  <c r="Y1981"/>
  <c r="AB1981"/>
  <c r="AC1981"/>
  <c r="AD1981"/>
  <c r="P1982"/>
  <c r="W1982"/>
  <c r="Y1982"/>
  <c r="AB1982"/>
  <c r="AC1982"/>
  <c r="AD1982"/>
  <c r="P1983"/>
  <c r="W1983"/>
  <c r="Y1983"/>
  <c r="AB1983"/>
  <c r="AC1983"/>
  <c r="AD1983"/>
  <c r="P1984"/>
  <c r="W1984"/>
  <c r="Y1984"/>
  <c r="AB1984"/>
  <c r="AC1984"/>
  <c r="AD1984"/>
  <c r="P1985"/>
  <c r="W1985"/>
  <c r="Y1985"/>
  <c r="AB1985"/>
  <c r="AC1985"/>
  <c r="AD1985"/>
  <c r="P1986"/>
  <c r="W1986"/>
  <c r="Y1986"/>
  <c r="AB1986"/>
  <c r="AC1986"/>
  <c r="AD1986"/>
  <c r="P1987"/>
  <c r="W1987"/>
  <c r="Y1987"/>
  <c r="AB1987"/>
  <c r="AC1987"/>
  <c r="AD1987"/>
  <c r="P1988"/>
  <c r="W1988"/>
  <c r="Y1988"/>
  <c r="AB1988"/>
  <c r="AC1988"/>
  <c r="AD1988"/>
  <c r="P1972"/>
  <c r="W1972"/>
  <c r="Y1972"/>
  <c r="AB1972"/>
  <c r="AC1972"/>
  <c r="AD1972"/>
  <c r="P1990"/>
  <c r="W1990"/>
  <c r="Y1990"/>
  <c r="AB1990"/>
  <c r="AC1990"/>
  <c r="AD1990"/>
  <c r="P1991"/>
  <c r="W1991"/>
  <c r="Y1991"/>
  <c r="AB1991"/>
  <c r="AC1991"/>
  <c r="AD1991"/>
  <c r="P1992"/>
  <c r="W1992"/>
  <c r="Y1992"/>
  <c r="AB1992"/>
  <c r="AC1992"/>
  <c r="AD1992"/>
  <c r="P1993"/>
  <c r="W1993"/>
  <c r="Y1993"/>
  <c r="AB1993"/>
  <c r="AC1993"/>
  <c r="AD1993"/>
  <c r="P1994"/>
  <c r="W1994"/>
  <c r="Y1994"/>
  <c r="AB1994"/>
  <c r="AC1994"/>
  <c r="AD1994"/>
  <c r="P1995"/>
  <c r="W1995"/>
  <c r="Y1995"/>
  <c r="AB1995"/>
  <c r="AC1995"/>
  <c r="AD1995"/>
  <c r="P1996"/>
  <c r="W1996"/>
  <c r="Y1996"/>
  <c r="AB1996"/>
  <c r="AC1996"/>
  <c r="AD1996"/>
  <c r="P1997"/>
  <c r="W1997"/>
  <c r="Y1997"/>
  <c r="AB1997"/>
  <c r="AC1997"/>
  <c r="AD1997"/>
  <c r="P1998"/>
  <c r="W1998"/>
  <c r="Y1998"/>
  <c r="AB1998"/>
  <c r="AC1998"/>
  <c r="AD1998"/>
  <c r="P1999"/>
  <c r="W1999"/>
  <c r="Y1999"/>
  <c r="AB1999"/>
  <c r="AC1999"/>
  <c r="AD1999"/>
  <c r="P1973"/>
  <c r="W1973"/>
  <c r="Y1973"/>
  <c r="AA1973"/>
  <c r="AB1973"/>
  <c r="AC1973"/>
  <c r="AD1973"/>
  <c r="P1974"/>
  <c r="W1974"/>
  <c r="Y1974"/>
  <c r="AA1974"/>
  <c r="AB1974"/>
  <c r="AC1974"/>
  <c r="AD1974"/>
  <c r="P1975"/>
  <c r="W1975"/>
  <c r="Y1975"/>
  <c r="AA1975"/>
  <c r="AB1975"/>
  <c r="AC1975"/>
  <c r="AD1975"/>
  <c r="P2003"/>
  <c r="W2003"/>
  <c r="Y2003"/>
  <c r="AA2003"/>
  <c r="AB2003"/>
  <c r="AC2003"/>
  <c r="AD2003"/>
  <c r="P2004"/>
  <c r="W2004"/>
  <c r="Y2004"/>
  <c r="AA2004"/>
  <c r="AB2004"/>
  <c r="AC2004"/>
  <c r="AD2004"/>
  <c r="P2005"/>
  <c r="W2005"/>
  <c r="Y2005"/>
  <c r="AB2005"/>
  <c r="AC2005"/>
  <c r="AD2005"/>
  <c r="P2006"/>
  <c r="W2006"/>
  <c r="Y2006"/>
  <c r="AB2006"/>
  <c r="AC2006"/>
  <c r="AD2006"/>
  <c r="P2007"/>
  <c r="W2007"/>
  <c r="Y2007"/>
  <c r="AB2007"/>
  <c r="AC2007"/>
  <c r="AD2007"/>
  <c r="P2008"/>
  <c r="W2008"/>
  <c r="Y2008"/>
  <c r="AB2008"/>
  <c r="AC2008"/>
  <c r="AD2008"/>
  <c r="P2009"/>
  <c r="W2009"/>
  <c r="Y2009"/>
  <c r="AB2009"/>
  <c r="AC2009"/>
  <c r="AD2009"/>
  <c r="P2010"/>
  <c r="W2010"/>
  <c r="Y2010"/>
  <c r="AB2010"/>
  <c r="AC2010"/>
  <c r="AD2010"/>
  <c r="P2011"/>
  <c r="W2011"/>
  <c r="Y2011"/>
  <c r="AB2011"/>
  <c r="AC2011"/>
  <c r="AD2011"/>
  <c r="P2012"/>
  <c r="W2012"/>
  <c r="Y2012"/>
  <c r="AB2012"/>
  <c r="AC2012"/>
  <c r="AD2012"/>
  <c r="P2013"/>
  <c r="W2013"/>
  <c r="Y2013"/>
  <c r="AB2013"/>
  <c r="AC2013"/>
  <c r="AD2013"/>
  <c r="P2014"/>
  <c r="W2014"/>
  <c r="Y2014"/>
  <c r="AB2014"/>
  <c r="AC2014"/>
  <c r="AD2014"/>
  <c r="P2015"/>
  <c r="W2015"/>
  <c r="Y2015"/>
  <c r="AB2015"/>
  <c r="AC2015"/>
  <c r="AD2015"/>
  <c r="P2016"/>
  <c r="W2016"/>
  <c r="Y2016"/>
  <c r="AB2016"/>
  <c r="AC2016"/>
  <c r="AD2016"/>
  <c r="P2017"/>
  <c r="W2017"/>
  <c r="Y2017"/>
  <c r="AB2017"/>
  <c r="AC2017"/>
  <c r="AD2017"/>
  <c r="P2018"/>
  <c r="W2018"/>
  <c r="Y2018"/>
  <c r="AB2018"/>
  <c r="AC2018"/>
  <c r="AD2018"/>
  <c r="P2019"/>
  <c r="W2019"/>
  <c r="Y2019"/>
  <c r="AB2019"/>
  <c r="AC2019"/>
  <c r="AD2019"/>
  <c r="P2020"/>
  <c r="W2020"/>
  <c r="Y2020"/>
  <c r="AB2020"/>
  <c r="AC2020"/>
  <c r="AD2020"/>
  <c r="P2021"/>
  <c r="W2021"/>
  <c r="Y2021"/>
  <c r="AB2021"/>
  <c r="AC2021"/>
  <c r="AD2021"/>
  <c r="P2022"/>
  <c r="W2022"/>
  <c r="Y2022"/>
  <c r="AB2022"/>
  <c r="AC2022"/>
  <c r="AD2022"/>
  <c r="P1976"/>
  <c r="T1976"/>
  <c r="U1976"/>
  <c r="V1976"/>
  <c r="W1976"/>
  <c r="Y1976"/>
  <c r="AA1976"/>
  <c r="AB1976"/>
  <c r="AC1976"/>
  <c r="AD1976"/>
  <c r="P1977"/>
  <c r="T1977"/>
  <c r="U1977"/>
  <c r="V1977"/>
  <c r="W1977"/>
  <c r="Y1977"/>
  <c r="AA1977"/>
  <c r="AB1977"/>
  <c r="AC1977"/>
  <c r="AD1977"/>
  <c r="P2025"/>
  <c r="W2025"/>
  <c r="Y2025"/>
  <c r="AA2025"/>
  <c r="AB2025"/>
  <c r="AC2025"/>
  <c r="AD2025"/>
  <c r="P2026"/>
  <c r="W2026"/>
  <c r="Y2026"/>
  <c r="AB2026"/>
  <c r="AC2026"/>
  <c r="AD2026"/>
  <c r="P2027"/>
  <c r="W2027"/>
  <c r="Y2027"/>
  <c r="AB2027"/>
  <c r="AC2027"/>
  <c r="AD2027"/>
  <c r="P2028"/>
  <c r="W2028"/>
  <c r="Y2028"/>
  <c r="AB2028"/>
  <c r="AC2028"/>
  <c r="AD2028"/>
  <c r="P2029"/>
  <c r="W2029"/>
  <c r="Y2029"/>
  <c r="AB2029"/>
  <c r="AC2029"/>
  <c r="AD2029"/>
  <c r="P2001"/>
  <c r="W2001"/>
  <c r="Y2001"/>
  <c r="AA2001"/>
  <c r="AB2001"/>
  <c r="AC2001"/>
  <c r="AD2001"/>
  <c r="P2031"/>
  <c r="W2031"/>
  <c r="Y2031"/>
  <c r="AB2031"/>
  <c r="AC2031"/>
  <c r="AD2031"/>
  <c r="P2032"/>
  <c r="W2032"/>
  <c r="Y2032"/>
  <c r="AB2032"/>
  <c r="AC2032"/>
  <c r="AD2032"/>
  <c r="P2033"/>
  <c r="W2033"/>
  <c r="Y2033"/>
  <c r="AB2033"/>
  <c r="AC2033"/>
  <c r="AD2033"/>
  <c r="P2002"/>
  <c r="T2002"/>
  <c r="U2002"/>
  <c r="V2002"/>
  <c r="W2002"/>
  <c r="Y2002"/>
  <c r="AA2002"/>
  <c r="AB2002"/>
  <c r="AC2002"/>
  <c r="AD2002"/>
  <c r="P2023"/>
  <c r="T2023"/>
  <c r="U2023"/>
  <c r="V2023"/>
  <c r="W2023"/>
  <c r="Y2023"/>
  <c r="AA2023"/>
  <c r="AB2023"/>
  <c r="AC2023"/>
  <c r="AD2023"/>
  <c r="P2024"/>
  <c r="T2024"/>
  <c r="U2024"/>
  <c r="V2024"/>
  <c r="W2024"/>
  <c r="Y2024"/>
  <c r="AA2024"/>
  <c r="AB2024"/>
  <c r="AC2024"/>
  <c r="AD2024"/>
  <c r="P2030"/>
  <c r="T2030"/>
  <c r="U2030"/>
  <c r="V2030"/>
  <c r="W2030"/>
  <c r="Y2030"/>
  <c r="AA2030"/>
  <c r="AB2030"/>
  <c r="AC2030"/>
  <c r="AD2030"/>
  <c r="P2038"/>
  <c r="W2038"/>
  <c r="Y2038"/>
  <c r="AA2038"/>
  <c r="AB2038"/>
  <c r="AC2038"/>
  <c r="AD2038"/>
  <c r="P2039"/>
  <c r="W2039"/>
  <c r="Y2039"/>
  <c r="AB2039"/>
  <c r="AC2039"/>
  <c r="AD2039"/>
  <c r="P2040"/>
  <c r="W2040"/>
  <c r="Y2040"/>
  <c r="AB2040"/>
  <c r="AC2040"/>
  <c r="AD2040"/>
  <c r="P2041"/>
  <c r="W2041"/>
  <c r="Y2041"/>
  <c r="AB2041"/>
  <c r="AC2041"/>
  <c r="AD2041"/>
  <c r="P2042"/>
  <c r="W2042"/>
  <c r="Y2042"/>
  <c r="AB2042"/>
  <c r="AC2042"/>
  <c r="AD2042"/>
  <c r="P2043"/>
  <c r="W2043"/>
  <c r="Y2043"/>
  <c r="AB2043"/>
  <c r="AC2043"/>
  <c r="AD2043"/>
  <c r="P2044"/>
  <c r="W2044"/>
  <c r="Y2044"/>
  <c r="AB2044"/>
  <c r="AC2044"/>
  <c r="AD2044"/>
  <c r="P2045"/>
  <c r="W2045"/>
  <c r="Y2045"/>
  <c r="AB2045"/>
  <c r="AC2045"/>
  <c r="AD2045"/>
  <c r="P2046"/>
  <c r="W2046"/>
  <c r="Y2046"/>
  <c r="AB2046"/>
  <c r="AC2046"/>
  <c r="AD2046"/>
  <c r="P2047"/>
  <c r="W2047"/>
  <c r="Y2047"/>
  <c r="AB2047"/>
  <c r="AC2047"/>
  <c r="AD2047"/>
  <c r="P2048"/>
  <c r="W2048"/>
  <c r="Y2048"/>
  <c r="AB2048"/>
  <c r="AC2048"/>
  <c r="AD2048"/>
  <c r="P2049"/>
  <c r="W2049"/>
  <c r="Y2049"/>
  <c r="AB2049"/>
  <c r="AC2049"/>
  <c r="AD2049"/>
  <c r="P2050"/>
  <c r="W2050"/>
  <c r="Y2050"/>
  <c r="AB2050"/>
  <c r="AC2050"/>
  <c r="AD2050"/>
  <c r="P2051"/>
  <c r="W2051"/>
  <c r="Y2051"/>
  <c r="AB2051"/>
  <c r="AC2051"/>
  <c r="AD2051"/>
  <c r="P2052"/>
  <c r="W2052"/>
  <c r="Y2052"/>
  <c r="AB2052"/>
  <c r="AC2052"/>
  <c r="AD2052"/>
  <c r="P2053"/>
  <c r="W2053"/>
  <c r="Y2053"/>
  <c r="AB2053"/>
  <c r="AC2053"/>
  <c r="AD2053"/>
  <c r="P2054"/>
  <c r="W2054"/>
  <c r="Y2054"/>
  <c r="AB2054"/>
  <c r="AC2054"/>
  <c r="AD2054"/>
  <c r="P2055"/>
  <c r="W2055"/>
  <c r="Y2055"/>
  <c r="AB2055"/>
  <c r="AC2055"/>
  <c r="AD2055"/>
  <c r="P2056"/>
  <c r="W2056"/>
  <c r="Y2056"/>
  <c r="AB2056"/>
  <c r="AC2056"/>
  <c r="AD2056"/>
  <c r="P2057"/>
  <c r="W2057"/>
  <c r="Y2057"/>
  <c r="AB2057"/>
  <c r="AC2057"/>
  <c r="AD2057"/>
  <c r="P2058"/>
  <c r="W2058"/>
  <c r="Y2058"/>
  <c r="AB2058"/>
  <c r="AC2058"/>
  <c r="AD2058"/>
  <c r="P2059"/>
  <c r="W2059"/>
  <c r="Y2059"/>
  <c r="AB2059"/>
  <c r="AC2059"/>
  <c r="AD2059"/>
  <c r="P2060"/>
  <c r="W2060"/>
  <c r="Y2060"/>
  <c r="AB2060"/>
  <c r="AC2060"/>
  <c r="AD2060"/>
  <c r="P2061"/>
  <c r="W2061"/>
  <c r="Y2061"/>
  <c r="AB2061"/>
  <c r="AC2061"/>
  <c r="AD2061"/>
  <c r="P2062"/>
  <c r="W2062"/>
  <c r="Y2062"/>
  <c r="AB2062"/>
  <c r="AC2062"/>
  <c r="AD2062"/>
  <c r="P2063"/>
  <c r="W2063"/>
  <c r="Y2063"/>
  <c r="AB2063"/>
  <c r="AC2063"/>
  <c r="AD2063"/>
  <c r="P2064"/>
  <c r="W2064"/>
  <c r="Y2064"/>
  <c r="AB2064"/>
  <c r="AC2064"/>
  <c r="AD2064"/>
  <c r="P2065"/>
  <c r="W2065"/>
  <c r="Y2065"/>
  <c r="AB2065"/>
  <c r="AC2065"/>
  <c r="AD2065"/>
  <c r="P2066"/>
  <c r="W2066"/>
  <c r="Y2066"/>
  <c r="AB2066"/>
  <c r="AC2066"/>
  <c r="AD2066"/>
  <c r="P2067"/>
  <c r="W2067"/>
  <c r="Y2067"/>
  <c r="AB2067"/>
  <c r="AC2067"/>
  <c r="AD2067"/>
  <c r="P2068"/>
  <c r="W2068"/>
  <c r="Y2068"/>
  <c r="AB2068"/>
  <c r="AC2068"/>
  <c r="AD2068"/>
  <c r="P2034"/>
  <c r="T2034"/>
  <c r="U2034"/>
  <c r="V2034"/>
  <c r="W2034"/>
  <c r="Y2034"/>
  <c r="AA2034"/>
  <c r="AB2034"/>
  <c r="AC2034"/>
  <c r="AD2034"/>
  <c r="P2035"/>
  <c r="T2035"/>
  <c r="U2035"/>
  <c r="V2035"/>
  <c r="W2035"/>
  <c r="Y2035"/>
  <c r="AA2035"/>
  <c r="AB2035"/>
  <c r="AC2035"/>
  <c r="AD2035"/>
  <c r="P2071"/>
  <c r="W2071"/>
  <c r="Y2071"/>
  <c r="AA2071"/>
  <c r="AB2071"/>
  <c r="AC2071"/>
  <c r="AD2071"/>
  <c r="P2072"/>
  <c r="W2072"/>
  <c r="Y2072"/>
  <c r="AB2072"/>
  <c r="AC2072"/>
  <c r="AD2072"/>
  <c r="P2073"/>
  <c r="W2073"/>
  <c r="Y2073"/>
  <c r="AB2073"/>
  <c r="AC2073"/>
  <c r="AD2073"/>
  <c r="P2074"/>
  <c r="W2074"/>
  <c r="Y2074"/>
  <c r="AB2074"/>
  <c r="AC2074"/>
  <c r="AD2074"/>
  <c r="P2075"/>
  <c r="W2075"/>
  <c r="Y2075"/>
  <c r="AB2075"/>
  <c r="AC2075"/>
  <c r="AD2075"/>
  <c r="P2076"/>
  <c r="W2076"/>
  <c r="Y2076"/>
  <c r="AB2076"/>
  <c r="AC2076"/>
  <c r="AD2076"/>
  <c r="P2077"/>
  <c r="W2077"/>
  <c r="Y2077"/>
  <c r="AB2077"/>
  <c r="AC2077"/>
  <c r="AD2077"/>
  <c r="P2078"/>
  <c r="T2078"/>
  <c r="U2078"/>
  <c r="V2078"/>
  <c r="W2078"/>
  <c r="Y2078"/>
  <c r="AB2078"/>
  <c r="AC2078"/>
  <c r="AD2078"/>
  <c r="P2079"/>
  <c r="W2079"/>
  <c r="Y2079"/>
  <c r="AB2079"/>
  <c r="AC2079"/>
  <c r="AD2079"/>
  <c r="P2080"/>
  <c r="W2080"/>
  <c r="Y2080"/>
  <c r="AB2080"/>
  <c r="AC2080"/>
  <c r="AD2080"/>
  <c r="P2081"/>
  <c r="W2081"/>
  <c r="Y2081"/>
  <c r="AB2081"/>
  <c r="AC2081"/>
  <c r="AD2081"/>
  <c r="P2082"/>
  <c r="W2082"/>
  <c r="Y2082"/>
  <c r="AB2082"/>
  <c r="AC2082"/>
  <c r="AD2082"/>
  <c r="P2083"/>
  <c r="W2083"/>
  <c r="Y2083"/>
  <c r="AB2083"/>
  <c r="AC2083"/>
  <c r="AD2083"/>
  <c r="P2084"/>
  <c r="W2084"/>
  <c r="Y2084"/>
  <c r="AB2084"/>
  <c r="AC2084"/>
  <c r="AD2084"/>
  <c r="P2085"/>
  <c r="W2085"/>
  <c r="Y2085"/>
  <c r="AB2085"/>
  <c r="AC2085"/>
  <c r="AD2085"/>
  <c r="P2086"/>
  <c r="W2086"/>
  <c r="Y2086"/>
  <c r="AB2086"/>
  <c r="AC2086"/>
  <c r="AD2086"/>
  <c r="P2087"/>
  <c r="W2087"/>
  <c r="Y2087"/>
  <c r="AB2087"/>
  <c r="AC2087"/>
  <c r="AD2087"/>
  <c r="P2088"/>
  <c r="W2088"/>
  <c r="Y2088"/>
  <c r="AB2088"/>
  <c r="AC2088"/>
  <c r="AD2088"/>
  <c r="P2089"/>
  <c r="W2089"/>
  <c r="Y2089"/>
  <c r="AB2089"/>
  <c r="AC2089"/>
  <c r="AD2089"/>
  <c r="P2090"/>
  <c r="W2090"/>
  <c r="Y2090"/>
  <c r="AB2090"/>
  <c r="AC2090"/>
  <c r="AD2090"/>
  <c r="P2091"/>
  <c r="W2091"/>
  <c r="Y2091"/>
  <c r="AB2091"/>
  <c r="AC2091"/>
  <c r="AD2091"/>
  <c r="P2092"/>
  <c r="W2092"/>
  <c r="Y2092"/>
  <c r="AB2092"/>
  <c r="AC2092"/>
  <c r="AD2092"/>
  <c r="P2093"/>
  <c r="W2093"/>
  <c r="Y2093"/>
  <c r="AB2093"/>
  <c r="AC2093"/>
  <c r="AD2093"/>
  <c r="P2094"/>
  <c r="W2094"/>
  <c r="Y2094"/>
  <c r="AB2094"/>
  <c r="AC2094"/>
  <c r="AD2094"/>
  <c r="P2095"/>
  <c r="W2095"/>
  <c r="Y2095"/>
  <c r="AB2095"/>
  <c r="AC2095"/>
  <c r="AD2095"/>
  <c r="P2096"/>
  <c r="W2096"/>
  <c r="Y2096"/>
  <c r="AB2096"/>
  <c r="AC2096"/>
  <c r="AD2096"/>
  <c r="P2097"/>
  <c r="W2097"/>
  <c r="Y2097"/>
  <c r="AB2097"/>
  <c r="AC2097"/>
  <c r="AD2097"/>
  <c r="P2098"/>
  <c r="W2098"/>
  <c r="Y2098"/>
  <c r="AA2098"/>
  <c r="AB2098"/>
  <c r="AC2098"/>
  <c r="AD2098"/>
  <c r="P2099"/>
  <c r="W2099"/>
  <c r="Y2099"/>
  <c r="AB2099"/>
  <c r="AC2099"/>
  <c r="AD2099"/>
  <c r="P2100"/>
  <c r="W2100"/>
  <c r="Y2100"/>
  <c r="AB2100"/>
  <c r="AC2100"/>
  <c r="AD2100"/>
  <c r="P2101"/>
  <c r="W2101"/>
  <c r="Y2101"/>
  <c r="AB2101"/>
  <c r="AC2101"/>
  <c r="AD2101"/>
  <c r="P2102"/>
  <c r="W2102"/>
  <c r="Y2102"/>
  <c r="AB2102"/>
  <c r="AC2102"/>
  <c r="AD2102"/>
  <c r="P2103"/>
  <c r="W2103"/>
  <c r="Y2103"/>
  <c r="AB2103"/>
  <c r="AC2103"/>
  <c r="AD2103"/>
  <c r="P2104"/>
  <c r="W2104"/>
  <c r="Y2104"/>
  <c r="AB2104"/>
  <c r="AC2104"/>
  <c r="AD2104"/>
  <c r="P2105"/>
  <c r="W2105"/>
  <c r="Y2105"/>
  <c r="AB2105"/>
  <c r="AC2105"/>
  <c r="AD2105"/>
  <c r="P2106"/>
  <c r="W2106"/>
  <c r="Y2106"/>
  <c r="AB2106"/>
  <c r="AC2106"/>
  <c r="AD2106"/>
  <c r="P2069"/>
  <c r="T2069"/>
  <c r="U2069"/>
  <c r="V2069"/>
  <c r="W2069"/>
  <c r="Y2069"/>
  <c r="AA2069"/>
  <c r="AB2069"/>
  <c r="AC2069"/>
  <c r="AD2069"/>
  <c r="P2070"/>
  <c r="T2070"/>
  <c r="U2070"/>
  <c r="V2070"/>
  <c r="W2070"/>
  <c r="Y2070"/>
  <c r="AA2070"/>
  <c r="AB2070"/>
  <c r="AC2070"/>
  <c r="AD2070"/>
  <c r="P2107"/>
  <c r="T2107"/>
  <c r="U2107"/>
  <c r="V2107"/>
  <c r="W2107"/>
  <c r="Y2107"/>
  <c r="AA2107"/>
  <c r="AB2107"/>
  <c r="AC2107"/>
  <c r="AD2107"/>
  <c r="P2108"/>
  <c r="T2108"/>
  <c r="U2108"/>
  <c r="V2108"/>
  <c r="W2108"/>
  <c r="Y2108"/>
  <c r="AA2108"/>
  <c r="AB2108"/>
  <c r="AC2108"/>
  <c r="AD2108"/>
  <c r="P2109"/>
  <c r="T2109"/>
  <c r="U2109"/>
  <c r="V2109"/>
  <c r="W2109"/>
  <c r="Y2109"/>
  <c r="AA2109"/>
  <c r="AB2109"/>
  <c r="AC2109"/>
  <c r="AD2109"/>
  <c r="P2110"/>
  <c r="T2110"/>
  <c r="U2110"/>
  <c r="V2110"/>
  <c r="W2110"/>
  <c r="Y2110"/>
  <c r="AA2110"/>
  <c r="AB2110"/>
  <c r="AC2110"/>
  <c r="AD2110"/>
  <c r="P2111"/>
  <c r="T2111"/>
  <c r="U2111"/>
  <c r="V2111"/>
  <c r="W2111"/>
  <c r="Y2111"/>
  <c r="AA2111"/>
  <c r="AB2111"/>
  <c r="AC2111"/>
  <c r="AD2111"/>
  <c r="P2114"/>
  <c r="W2114"/>
  <c r="Y2114"/>
  <c r="AA2114"/>
  <c r="AB2114"/>
  <c r="AC2114"/>
  <c r="AD2114"/>
  <c r="P2115"/>
  <c r="W2115"/>
  <c r="Y2115"/>
  <c r="AB2115"/>
  <c r="AC2115"/>
  <c r="AD2115"/>
  <c r="P2116"/>
  <c r="W2116"/>
  <c r="Y2116"/>
  <c r="AB2116"/>
  <c r="AC2116"/>
  <c r="AD2116"/>
  <c r="P2117"/>
  <c r="W2117"/>
  <c r="Y2117"/>
  <c r="AB2117"/>
  <c r="AC2117"/>
  <c r="AD2117"/>
  <c r="P2118"/>
  <c r="W2118"/>
  <c r="Y2118"/>
  <c r="AB2118"/>
  <c r="AC2118"/>
  <c r="AD2118"/>
  <c r="P2119"/>
  <c r="W2119"/>
  <c r="Y2119"/>
  <c r="AB2119"/>
  <c r="AC2119"/>
  <c r="AD2119"/>
  <c r="P2120"/>
  <c r="W2120"/>
  <c r="Y2120"/>
  <c r="AB2120"/>
  <c r="AC2120"/>
  <c r="AD2120"/>
  <c r="P2112"/>
  <c r="T2112"/>
  <c r="U2112"/>
  <c r="V2112"/>
  <c r="W2112"/>
  <c r="Y2112"/>
  <c r="AA2112"/>
  <c r="AB2112"/>
  <c r="AC2112"/>
  <c r="AD2112"/>
  <c r="P2113"/>
  <c r="T2113"/>
  <c r="U2113"/>
  <c r="V2113"/>
  <c r="W2113"/>
  <c r="Y2113"/>
  <c r="AA2113"/>
  <c r="AB2113"/>
  <c r="AC2113"/>
  <c r="AD2113"/>
  <c r="P2123"/>
  <c r="W2123"/>
  <c r="Y2123"/>
  <c r="AB2123"/>
  <c r="AC2123"/>
  <c r="AD2123"/>
  <c r="P2121"/>
  <c r="W2121"/>
  <c r="Y2121"/>
  <c r="AA2121"/>
  <c r="AB2121"/>
  <c r="AC2121"/>
  <c r="AD2121"/>
  <c r="P2125"/>
  <c r="W2125"/>
  <c r="Y2125"/>
  <c r="AB2125"/>
  <c r="AC2125"/>
  <c r="AD2125"/>
  <c r="P2126"/>
  <c r="W2126"/>
  <c r="Y2126"/>
  <c r="AB2126"/>
  <c r="AC2126"/>
  <c r="AD2126"/>
  <c r="P2127"/>
  <c r="W2127"/>
  <c r="Y2127"/>
  <c r="AB2127"/>
  <c r="AC2127"/>
  <c r="AD2127"/>
  <c r="P2128"/>
  <c r="W2128"/>
  <c r="Y2128"/>
  <c r="AB2128"/>
  <c r="AC2128"/>
  <c r="AD2128"/>
  <c r="P2129"/>
  <c r="W2129"/>
  <c r="Y2129"/>
  <c r="AB2129"/>
  <c r="AC2129"/>
  <c r="AD2129"/>
  <c r="P2130"/>
  <c r="W2130"/>
  <c r="Y2130"/>
  <c r="AB2130"/>
  <c r="AC2130"/>
  <c r="AD2130"/>
  <c r="P2131"/>
  <c r="W2131"/>
  <c r="Y2131"/>
  <c r="AB2131"/>
  <c r="AC2131"/>
  <c r="AD2131"/>
  <c r="P2132"/>
  <c r="W2132"/>
  <c r="Y2132"/>
  <c r="AB2132"/>
  <c r="AC2132"/>
  <c r="AD2132"/>
  <c r="P2133"/>
  <c r="T2133"/>
  <c r="U2133"/>
  <c r="V2133"/>
  <c r="W2133"/>
  <c r="Y2133"/>
  <c r="AB2133"/>
  <c r="AC2133"/>
  <c r="AD2133"/>
  <c r="P2134"/>
  <c r="W2134"/>
  <c r="Y2134"/>
  <c r="AB2134"/>
  <c r="AC2134"/>
  <c r="AD2134"/>
  <c r="P2135"/>
  <c r="W2135"/>
  <c r="Y2135"/>
  <c r="AB2135"/>
  <c r="AC2135"/>
  <c r="AD2135"/>
  <c r="P2136"/>
  <c r="T2136"/>
  <c r="U2136"/>
  <c r="V2136"/>
  <c r="W2136"/>
  <c r="Y2136"/>
  <c r="AB2136"/>
  <c r="AC2136"/>
  <c r="AD2136"/>
  <c r="P2137"/>
  <c r="W2137"/>
  <c r="Y2137"/>
  <c r="AB2137"/>
  <c r="AC2137"/>
  <c r="AD2137"/>
  <c r="P2138"/>
  <c r="W2138"/>
  <c r="Y2138"/>
  <c r="AB2138"/>
  <c r="AC2138"/>
  <c r="AD2138"/>
  <c r="P2139"/>
  <c r="T2139"/>
  <c r="U2139"/>
  <c r="V2139"/>
  <c r="W2139"/>
  <c r="Y2139"/>
  <c r="AB2139"/>
  <c r="AC2139"/>
  <c r="AD2139"/>
  <c r="P2140"/>
  <c r="W2140"/>
  <c r="Y2140"/>
  <c r="AB2140"/>
  <c r="AC2140"/>
  <c r="AD2140"/>
  <c r="P2141"/>
  <c r="W2141"/>
  <c r="Y2141"/>
  <c r="AB2141"/>
  <c r="AC2141"/>
  <c r="AD2141"/>
  <c r="P2142"/>
  <c r="T2142"/>
  <c r="U2142"/>
  <c r="V2142"/>
  <c r="W2142"/>
  <c r="Y2142"/>
  <c r="AB2142"/>
  <c r="AC2142"/>
  <c r="AD2142"/>
  <c r="P2143"/>
  <c r="W2143"/>
  <c r="Y2143"/>
  <c r="AB2143"/>
  <c r="AC2143"/>
  <c r="AD2143"/>
  <c r="P2144"/>
  <c r="W2144"/>
  <c r="Y2144"/>
  <c r="AB2144"/>
  <c r="AC2144"/>
  <c r="AD2144"/>
  <c r="P2145"/>
  <c r="W2145"/>
  <c r="Y2145"/>
  <c r="AB2145"/>
  <c r="AC2145"/>
  <c r="AD2145"/>
  <c r="P2146"/>
  <c r="T2146"/>
  <c r="U2146"/>
  <c r="V2146"/>
  <c r="W2146"/>
  <c r="Y2146"/>
  <c r="AB2146"/>
  <c r="AC2146"/>
  <c r="AD2146"/>
  <c r="P2147"/>
  <c r="W2147"/>
  <c r="Y2147"/>
  <c r="AB2147"/>
  <c r="AC2147"/>
  <c r="AD2147"/>
  <c r="P2148"/>
  <c r="W2148"/>
  <c r="Y2148"/>
  <c r="AB2148"/>
  <c r="AC2148"/>
  <c r="AD2148"/>
  <c r="P2149"/>
  <c r="T2149"/>
  <c r="U2149"/>
  <c r="V2149"/>
  <c r="W2149"/>
  <c r="Y2149"/>
  <c r="AB2149"/>
  <c r="AC2149"/>
  <c r="AD2149"/>
  <c r="P2150"/>
  <c r="W2150"/>
  <c r="Y2150"/>
  <c r="AB2150"/>
  <c r="AC2150"/>
  <c r="AD2150"/>
  <c r="P2151"/>
  <c r="W2151"/>
  <c r="Y2151"/>
  <c r="AB2151"/>
  <c r="AC2151"/>
  <c r="AD2151"/>
  <c r="P2152"/>
  <c r="T2152"/>
  <c r="U2152"/>
  <c r="V2152"/>
  <c r="W2152"/>
  <c r="Y2152"/>
  <c r="AB2152"/>
  <c r="AC2152"/>
  <c r="AD2152"/>
  <c r="P2153"/>
  <c r="W2153"/>
  <c r="Y2153"/>
  <c r="AB2153"/>
  <c r="AC2153"/>
  <c r="AD2153"/>
  <c r="P2154"/>
  <c r="W2154"/>
  <c r="Y2154"/>
  <c r="AB2154"/>
  <c r="AC2154"/>
  <c r="AD2154"/>
  <c r="P2155"/>
  <c r="T2155"/>
  <c r="U2155"/>
  <c r="V2155"/>
  <c r="W2155"/>
  <c r="Y2155"/>
  <c r="AB2155"/>
  <c r="AC2155"/>
  <c r="AD2155"/>
  <c r="P2156"/>
  <c r="W2156"/>
  <c r="Y2156"/>
  <c r="AB2156"/>
  <c r="AC2156"/>
  <c r="AD2156"/>
  <c r="P2157"/>
  <c r="W2157"/>
  <c r="Y2157"/>
  <c r="AB2157"/>
  <c r="AC2157"/>
  <c r="AD2157"/>
  <c r="P2158"/>
  <c r="T2158"/>
  <c r="U2158"/>
  <c r="V2158"/>
  <c r="W2158"/>
  <c r="Y2158"/>
  <c r="AB2158"/>
  <c r="AC2158"/>
  <c r="AD2158"/>
  <c r="P2159"/>
  <c r="W2159"/>
  <c r="Y2159"/>
  <c r="AB2159"/>
  <c r="AC2159"/>
  <c r="AD2159"/>
  <c r="P2160"/>
  <c r="W2160"/>
  <c r="Y2160"/>
  <c r="AB2160"/>
  <c r="AC2160"/>
  <c r="AD2160"/>
  <c r="P2161"/>
  <c r="T2161"/>
  <c r="U2161"/>
  <c r="V2161"/>
  <c r="W2161"/>
  <c r="Y2161"/>
  <c r="AB2161"/>
  <c r="AC2161"/>
  <c r="AD2161"/>
  <c r="P2162"/>
  <c r="W2162"/>
  <c r="Y2162"/>
  <c r="AB2162"/>
  <c r="AC2162"/>
  <c r="AD2162"/>
  <c r="P2163"/>
  <c r="W2163"/>
  <c r="Y2163"/>
  <c r="AB2163"/>
  <c r="AC2163"/>
  <c r="AD2163"/>
  <c r="P2164"/>
  <c r="T2164"/>
  <c r="U2164"/>
  <c r="V2164"/>
  <c r="W2164"/>
  <c r="Y2164"/>
  <c r="AB2164"/>
  <c r="AC2164"/>
  <c r="AD2164"/>
  <c r="P2165"/>
  <c r="W2165"/>
  <c r="Y2165"/>
  <c r="AB2165"/>
  <c r="AC2165"/>
  <c r="AD2165"/>
  <c r="P2166"/>
  <c r="W2166"/>
  <c r="Y2166"/>
  <c r="AB2166"/>
  <c r="AC2166"/>
  <c r="AD2166"/>
  <c r="P2167"/>
  <c r="T2167"/>
  <c r="U2167"/>
  <c r="V2167"/>
  <c r="W2167"/>
  <c r="Y2167"/>
  <c r="AB2167"/>
  <c r="AC2167"/>
  <c r="AD2167"/>
  <c r="P2168"/>
  <c r="W2168"/>
  <c r="Y2168"/>
  <c r="AB2168"/>
  <c r="AC2168"/>
  <c r="AD2168"/>
  <c r="P2169"/>
  <c r="W2169"/>
  <c r="Y2169"/>
  <c r="AB2169"/>
  <c r="AC2169"/>
  <c r="AD2169"/>
  <c r="P2122"/>
  <c r="T2122"/>
  <c r="U2122"/>
  <c r="V2122"/>
  <c r="W2122"/>
  <c r="Y2122"/>
  <c r="AA2122"/>
  <c r="AB2122"/>
  <c r="AC2122"/>
  <c r="AD2122"/>
  <c r="P2124"/>
  <c r="T2124"/>
  <c r="U2124"/>
  <c r="V2124"/>
  <c r="W2124"/>
  <c r="Y2124"/>
  <c r="AA2124"/>
  <c r="AB2124"/>
  <c r="AC2124"/>
  <c r="AD2124"/>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6"/>
  <c r="W2176"/>
  <c r="Y2176"/>
  <c r="AA2176"/>
  <c r="AB2176"/>
  <c r="AC2176"/>
  <c r="AD2176"/>
  <c r="P2177"/>
  <c r="W2177"/>
  <c r="Y2177"/>
  <c r="AB2177"/>
  <c r="AC2177"/>
  <c r="AD2177"/>
  <c r="P2178"/>
  <c r="W2178"/>
  <c r="Y2178"/>
  <c r="AB2178"/>
  <c r="AC2178"/>
  <c r="AD2178"/>
  <c r="P2179"/>
  <c r="W2179"/>
  <c r="Y2179"/>
  <c r="AB2179"/>
  <c r="AC2179"/>
  <c r="AD2179"/>
  <c r="P2180"/>
  <c r="W2180"/>
  <c r="Y2180"/>
  <c r="AB2180"/>
  <c r="AC2180"/>
  <c r="AD2180"/>
  <c r="P2181"/>
  <c r="W2181"/>
  <c r="Y2181"/>
  <c r="AB2181"/>
  <c r="AC2181"/>
  <c r="AD2181"/>
  <c r="P2182"/>
  <c r="W2182"/>
  <c r="Y2182"/>
  <c r="AB2182"/>
  <c r="AC2182"/>
  <c r="AD2182"/>
  <c r="P2183"/>
  <c r="W2183"/>
  <c r="Y2183"/>
  <c r="AB2183"/>
  <c r="AC2183"/>
  <c r="AD2183"/>
  <c r="P2184"/>
  <c r="W2184"/>
  <c r="Y2184"/>
  <c r="AB2184"/>
  <c r="AC2184"/>
  <c r="AD2184"/>
  <c r="P2185"/>
  <c r="W2185"/>
  <c r="Y2185"/>
  <c r="AB2185"/>
  <c r="AC2185"/>
  <c r="AD2185"/>
  <c r="P2186"/>
  <c r="W2186"/>
  <c r="Y2186"/>
  <c r="AB2186"/>
  <c r="AC2186"/>
  <c r="AD2186"/>
  <c r="P2187"/>
  <c r="W2187"/>
  <c r="Y2187"/>
  <c r="AB2187"/>
  <c r="AC2187"/>
  <c r="AD2187"/>
  <c r="P2188"/>
  <c r="W2188"/>
  <c r="Y2188"/>
  <c r="AB2188"/>
  <c r="AC2188"/>
  <c r="AD2188"/>
  <c r="P2189"/>
  <c r="W2189"/>
  <c r="Y2189"/>
  <c r="AB2189"/>
  <c r="AC2189"/>
  <c r="AD2189"/>
  <c r="P2175"/>
  <c r="W2175"/>
  <c r="Y2175"/>
  <c r="AA2175"/>
  <c r="AB2175"/>
  <c r="AC2175"/>
  <c r="AD2175"/>
  <c r="P2190"/>
  <c r="T2190"/>
  <c r="U2190"/>
  <c r="V2190"/>
  <c r="W2190"/>
  <c r="Y2190"/>
  <c r="AA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A2194"/>
  <c r="AB2194"/>
  <c r="AC2194"/>
  <c r="AD2194"/>
  <c r="P2195"/>
  <c r="T2195"/>
  <c r="U2195"/>
  <c r="V2195"/>
  <c r="W2195"/>
  <c r="Y2195"/>
  <c r="AA2195"/>
  <c r="AB2195"/>
  <c r="AC2195"/>
  <c r="AD2195"/>
  <c r="P2196"/>
  <c r="T2196"/>
  <c r="U2196"/>
  <c r="V2196"/>
  <c r="W2196"/>
  <c r="Y2196"/>
  <c r="AA2196"/>
  <c r="AB2196"/>
  <c r="AC2196"/>
  <c r="AD2196"/>
  <c r="P2197"/>
  <c r="T2197"/>
  <c r="U2197"/>
  <c r="V2197"/>
  <c r="W2197"/>
  <c r="Y2197"/>
  <c r="AA2197"/>
  <c r="AB2197"/>
  <c r="AC2197"/>
  <c r="AD2197"/>
  <c r="P2199"/>
  <c r="W2199"/>
  <c r="Y2199"/>
  <c r="AB2199"/>
  <c r="AC2199"/>
  <c r="AD2199"/>
  <c r="P2200"/>
  <c r="W2200"/>
  <c r="Y2200"/>
  <c r="AB2200"/>
  <c r="AC2200"/>
  <c r="AD2200"/>
  <c r="P2201"/>
  <c r="W2201"/>
  <c r="Y2201"/>
  <c r="AB2201"/>
  <c r="AC2201"/>
  <c r="AD2201"/>
  <c r="P2202"/>
  <c r="W2202"/>
  <c r="Y2202"/>
  <c r="AB2202"/>
  <c r="AC2202"/>
  <c r="AD2202"/>
  <c r="P2203"/>
  <c r="W2203"/>
  <c r="Y2203"/>
  <c r="AB2203"/>
  <c r="AC2203"/>
  <c r="AD2203"/>
  <c r="P2204"/>
  <c r="W2204"/>
  <c r="Y2204"/>
  <c r="AB2204"/>
  <c r="AC2204"/>
  <c r="AD2204"/>
  <c r="P2205"/>
  <c r="W2205"/>
  <c r="Y2205"/>
  <c r="AB2205"/>
  <c r="AC2205"/>
  <c r="AD2205"/>
  <c r="P2206"/>
  <c r="W2206"/>
  <c r="Y2206"/>
  <c r="AB2206"/>
  <c r="AC2206"/>
  <c r="AD2206"/>
  <c r="P2207"/>
  <c r="W2207"/>
  <c r="Y2207"/>
  <c r="AB2207"/>
  <c r="AC2207"/>
  <c r="AD2207"/>
  <c r="P2208"/>
  <c r="W2208"/>
  <c r="Y2208"/>
  <c r="AB2208"/>
  <c r="AC2208"/>
  <c r="AD2208"/>
  <c r="P2209"/>
  <c r="W2209"/>
  <c r="Y2209"/>
  <c r="AB2209"/>
  <c r="AC2209"/>
  <c r="AD2209"/>
  <c r="P2210"/>
  <c r="W2210"/>
  <c r="Y2210"/>
  <c r="AB2210"/>
  <c r="AC2210"/>
  <c r="AD2210"/>
  <c r="P2211"/>
  <c r="W2211"/>
  <c r="Y2211"/>
  <c r="AB2211"/>
  <c r="AC2211"/>
  <c r="AD2211"/>
  <c r="P2212"/>
  <c r="W2212"/>
  <c r="Y2212"/>
  <c r="AB2212"/>
  <c r="AC2212"/>
  <c r="AD2212"/>
  <c r="P2213"/>
  <c r="W2213"/>
  <c r="Y2213"/>
  <c r="AB2213"/>
  <c r="AC2213"/>
  <c r="AD2213"/>
  <c r="P2214"/>
  <c r="W2214"/>
  <c r="Y2214"/>
  <c r="AB2214"/>
  <c r="AC2214"/>
  <c r="AD2214"/>
  <c r="P2215"/>
  <c r="W2215"/>
  <c r="Y2215"/>
  <c r="AB2215"/>
  <c r="AC2215"/>
  <c r="AD2215"/>
  <c r="P2216"/>
  <c r="W2216"/>
  <c r="Y2216"/>
  <c r="AB2216"/>
  <c r="AC2216"/>
  <c r="AD2216"/>
  <c r="P2217"/>
  <c r="W2217"/>
  <c r="Y2217"/>
  <c r="AB2217"/>
  <c r="AC2217"/>
  <c r="AD2217"/>
  <c r="P2218"/>
  <c r="W2218"/>
  <c r="Y2218"/>
  <c r="AB2218"/>
  <c r="AC2218"/>
  <c r="AD2218"/>
  <c r="P2219"/>
  <c r="W2219"/>
  <c r="Y2219"/>
  <c r="AB2219"/>
  <c r="AC2219"/>
  <c r="AD2219"/>
  <c r="P2220"/>
  <c r="W2220"/>
  <c r="Y2220"/>
  <c r="AB2220"/>
  <c r="AC2220"/>
  <c r="AD2220"/>
  <c r="P2221"/>
  <c r="W2221"/>
  <c r="Y2221"/>
  <c r="AB2221"/>
  <c r="AC2221"/>
  <c r="AD2221"/>
  <c r="P2222"/>
  <c r="W2222"/>
  <c r="Y2222"/>
  <c r="AB2222"/>
  <c r="AC2222"/>
  <c r="AD2222"/>
  <c r="P2223"/>
  <c r="W2223"/>
  <c r="Y2223"/>
  <c r="AB2223"/>
  <c r="AC2223"/>
  <c r="AD2223"/>
  <c r="P2225"/>
  <c r="T2225"/>
  <c r="U2225"/>
  <c r="V2225"/>
  <c r="W2225"/>
  <c r="Y2225"/>
  <c r="AA2225"/>
  <c r="AB2225"/>
  <c r="AC2225"/>
  <c r="AD2225"/>
  <c r="P2226"/>
  <c r="T2226"/>
  <c r="U2226"/>
  <c r="V2226"/>
  <c r="W2226"/>
  <c r="Y2226"/>
  <c r="AA2226"/>
  <c r="AB2226"/>
  <c r="AC2226"/>
  <c r="AD2226"/>
  <c r="P2227"/>
  <c r="T2227"/>
  <c r="U2227"/>
  <c r="V2227"/>
  <c r="W2227"/>
  <c r="Y2227"/>
  <c r="AA2227"/>
  <c r="AB2227"/>
  <c r="AC2227"/>
  <c r="AD2227"/>
  <c r="P2228"/>
  <c r="T2228"/>
  <c r="U2228"/>
  <c r="V2228"/>
  <c r="W2228"/>
  <c r="Y2228"/>
  <c r="AA2228"/>
  <c r="AB2228"/>
  <c r="AC2228"/>
  <c r="AD2228"/>
  <c r="P2229"/>
  <c r="T2229"/>
  <c r="U2229"/>
  <c r="V2229"/>
  <c r="W2229"/>
  <c r="Y2229"/>
  <c r="AA2229"/>
  <c r="AB2229"/>
  <c r="AC2229"/>
  <c r="AD2229"/>
  <c r="P2230"/>
  <c r="T2230"/>
  <c r="U2230"/>
  <c r="V2230"/>
  <c r="W2230"/>
  <c r="Y2230"/>
  <c r="AA2230"/>
  <c r="AB2230"/>
  <c r="AC2230"/>
  <c r="AD2230"/>
  <c r="P2231"/>
  <c r="T2231"/>
  <c r="U2231"/>
  <c r="V2231"/>
  <c r="W2231"/>
  <c r="Y2231"/>
  <c r="AA2231"/>
  <c r="AB2231"/>
  <c r="AC2231"/>
  <c r="AD2231"/>
  <c r="P2232"/>
  <c r="T2232"/>
  <c r="U2232"/>
  <c r="V2232"/>
  <c r="W2232"/>
  <c r="Y2232"/>
  <c r="AA2232"/>
  <c r="AB2232"/>
  <c r="AC2232"/>
  <c r="AD2232"/>
  <c r="P2233"/>
  <c r="T2233"/>
  <c r="U2233"/>
  <c r="V2233"/>
  <c r="W2233"/>
  <c r="Y2233"/>
  <c r="AA2233"/>
  <c r="AB2233"/>
  <c r="AC2233"/>
  <c r="AD2233"/>
  <c r="P2234"/>
  <c r="T2234"/>
  <c r="U2234"/>
  <c r="V2234"/>
  <c r="W2234"/>
  <c r="Y2234"/>
  <c r="AA2234"/>
  <c r="AB2234"/>
  <c r="AC2234"/>
  <c r="AD2234"/>
  <c r="P2235"/>
  <c r="T2235"/>
  <c r="U2235"/>
  <c r="V2235"/>
  <c r="W2235"/>
  <c r="Y2235"/>
  <c r="AA2235"/>
  <c r="AB2235"/>
  <c r="AC2235"/>
  <c r="AD2235"/>
  <c r="P2236"/>
  <c r="T2236"/>
  <c r="U2236"/>
  <c r="V2236"/>
  <c r="W2236"/>
  <c r="Y2236"/>
  <c r="AA2236"/>
  <c r="AB2236"/>
  <c r="AC2236"/>
  <c r="AD2236"/>
  <c r="P2237"/>
  <c r="T2237"/>
  <c r="U2237"/>
  <c r="V2237"/>
  <c r="W2237"/>
  <c r="Y2237"/>
  <c r="AA2237"/>
  <c r="AB2237"/>
  <c r="AC2237"/>
  <c r="AD2237"/>
  <c r="P2238"/>
  <c r="T2238"/>
  <c r="U2238"/>
  <c r="V2238"/>
  <c r="W2238"/>
  <c r="Y2238"/>
  <c r="AA2238"/>
  <c r="AB2238"/>
  <c r="AC2238"/>
  <c r="AD2238"/>
  <c r="P2239"/>
  <c r="T2239"/>
  <c r="U2239"/>
  <c r="V2239"/>
  <c r="W2239"/>
  <c r="Y2239"/>
  <c r="AA2239"/>
  <c r="AB2239"/>
  <c r="AC2239"/>
  <c r="AD2239"/>
  <c r="P2240"/>
  <c r="T2240"/>
  <c r="U2240"/>
  <c r="V2240"/>
  <c r="W2240"/>
  <c r="Y2240"/>
  <c r="AA2240"/>
  <c r="AB2240"/>
  <c r="AC2240"/>
  <c r="AD2240"/>
  <c r="P2241"/>
  <c r="T2241"/>
  <c r="U2241"/>
  <c r="V2241"/>
  <c r="W2241"/>
  <c r="Y2241"/>
  <c r="AA2241"/>
  <c r="AB2241"/>
  <c r="AC2241"/>
  <c r="AD2241"/>
  <c r="P2242"/>
  <c r="T2242"/>
  <c r="U2242"/>
  <c r="V2242"/>
  <c r="W2242"/>
  <c r="Y2242"/>
  <c r="AA2242"/>
  <c r="AB2242"/>
  <c r="AC2242"/>
  <c r="AD2242"/>
  <c r="P2243"/>
  <c r="T2243"/>
  <c r="U2243"/>
  <c r="V2243"/>
  <c r="W2243"/>
  <c r="Y2243"/>
  <c r="AA2243"/>
  <c r="AB2243"/>
  <c r="AC2243"/>
  <c r="AD2243"/>
  <c r="P2244"/>
  <c r="T2244"/>
  <c r="U2244"/>
  <c r="V2244"/>
  <c r="W2244"/>
  <c r="Y2244"/>
  <c r="AA2244"/>
  <c r="AB2244"/>
  <c r="AC2244"/>
  <c r="AD2244"/>
  <c r="P2245"/>
  <c r="T2245"/>
  <c r="U2245"/>
  <c r="V2245"/>
  <c r="W2245"/>
  <c r="Y2245"/>
  <c r="AA2245"/>
  <c r="AB2245"/>
  <c r="AC2245"/>
  <c r="AD2245"/>
  <c r="P2246"/>
  <c r="T2246"/>
  <c r="U2246"/>
  <c r="V2246"/>
  <c r="W2246"/>
  <c r="Y2246"/>
  <c r="AA2246"/>
  <c r="AB2246"/>
  <c r="AC2246"/>
  <c r="AD2246"/>
  <c r="P2247"/>
  <c r="T2247"/>
  <c r="U2247"/>
  <c r="V2247"/>
  <c r="W2247"/>
  <c r="Y2247"/>
  <c r="AA2247"/>
  <c r="AB2247"/>
  <c r="AC2247"/>
  <c r="AD2247"/>
  <c r="P2248"/>
  <c r="T2248"/>
  <c r="U2248"/>
  <c r="V2248"/>
  <c r="W2248"/>
  <c r="Y2248"/>
  <c r="AA2248"/>
  <c r="AB2248"/>
  <c r="AC2248"/>
  <c r="AD2248"/>
  <c r="P2249"/>
  <c r="T2249"/>
  <c r="U2249"/>
  <c r="V2249"/>
  <c r="W2249"/>
  <c r="Y2249"/>
  <c r="AA2249"/>
  <c r="AB2249"/>
  <c r="AC2249"/>
  <c r="AD2249"/>
  <c r="P2250"/>
  <c r="T2250"/>
  <c r="U2250"/>
  <c r="V2250"/>
  <c r="W2250"/>
  <c r="Y2250"/>
  <c r="AA2250"/>
  <c r="AB2250"/>
  <c r="AC2250"/>
  <c r="AD2250"/>
  <c r="P2251"/>
  <c r="T2251"/>
  <c r="U2251"/>
  <c r="V2251"/>
  <c r="W2251"/>
  <c r="Y2251"/>
  <c r="AA2251"/>
  <c r="AB2251"/>
  <c r="AC2251"/>
  <c r="AD2251"/>
  <c r="P2252"/>
  <c r="T2252"/>
  <c r="U2252"/>
  <c r="V2252"/>
  <c r="W2252"/>
  <c r="Y2252"/>
  <c r="AA2252"/>
  <c r="AB2252"/>
  <c r="AC2252"/>
  <c r="AD2252"/>
  <c r="P2253"/>
  <c r="W2253"/>
  <c r="Y2253"/>
  <c r="AB2253"/>
  <c r="AC2253"/>
  <c r="AD2253"/>
  <c r="P2254"/>
  <c r="W2254"/>
  <c r="Y2254"/>
  <c r="AB2254"/>
  <c r="AC2254"/>
  <c r="AD2254"/>
  <c r="P2255"/>
  <c r="W2255"/>
  <c r="Y2255"/>
  <c r="AB2255"/>
  <c r="AC2255"/>
  <c r="AD2255"/>
  <c r="P2256"/>
  <c r="W2256"/>
  <c r="Y2256"/>
  <c r="AA2256"/>
  <c r="AB2256"/>
  <c r="AC2256"/>
  <c r="AD2256"/>
  <c r="P2257"/>
  <c r="W2257"/>
  <c r="Y2257"/>
  <c r="AB2257"/>
  <c r="AC2257"/>
  <c r="AD2257"/>
  <c r="P2258"/>
  <c r="W2258"/>
  <c r="Y2258"/>
  <c r="AB2258"/>
  <c r="AC2258"/>
  <c r="AD2258"/>
  <c r="P1570"/>
  <c r="W1570"/>
  <c r="Y1570"/>
  <c r="AB1570"/>
  <c r="AC1570"/>
  <c r="AD1570"/>
  <c r="P2260"/>
  <c r="W2260"/>
  <c r="Y2260"/>
  <c r="AB2260"/>
  <c r="AC2260"/>
  <c r="AD2260"/>
  <c r="P2261"/>
  <c r="W2261"/>
  <c r="Y2261"/>
  <c r="AB2261"/>
  <c r="AC2261"/>
  <c r="AD2261"/>
  <c r="P2262"/>
  <c r="W2262"/>
  <c r="Y2262"/>
  <c r="AB2262"/>
  <c r="AC2262"/>
  <c r="AD2262"/>
  <c r="P2263"/>
  <c r="W2263"/>
  <c r="Y2263"/>
  <c r="AB2263"/>
  <c r="AC2263"/>
  <c r="AD2263"/>
  <c r="P2264"/>
  <c r="W2264"/>
  <c r="Y2264"/>
  <c r="AB2264"/>
  <c r="AC2264"/>
  <c r="AD2264"/>
  <c r="P2265"/>
  <c r="W2265"/>
  <c r="Y2265"/>
  <c r="AB2265"/>
  <c r="AC2265"/>
  <c r="AD2265"/>
  <c r="P2266"/>
  <c r="W2266"/>
  <c r="Y2266"/>
  <c r="AB2266"/>
  <c r="AC2266"/>
  <c r="AD2266"/>
  <c r="P2267"/>
  <c r="W2267"/>
  <c r="Y2267"/>
  <c r="AB2267"/>
  <c r="AC2267"/>
  <c r="AD2267"/>
  <c r="P2268"/>
  <c r="W2268"/>
  <c r="Y2268"/>
  <c r="AB2268"/>
  <c r="AC2268"/>
  <c r="AD2268"/>
  <c r="P2269"/>
  <c r="W2269"/>
  <c r="Y2269"/>
  <c r="AB2269"/>
  <c r="AC2269"/>
  <c r="AD2269"/>
  <c r="P2270"/>
  <c r="W2270"/>
  <c r="Y2270"/>
  <c r="AB2270"/>
  <c r="AC2270"/>
  <c r="AD2270"/>
  <c r="P2271"/>
  <c r="W2271"/>
  <c r="Y2271"/>
  <c r="AB2271"/>
  <c r="AC2271"/>
  <c r="AD2271"/>
  <c r="P2272"/>
  <c r="W2272"/>
  <c r="Y2272"/>
  <c r="AB2272"/>
  <c r="AC2272"/>
  <c r="AD2272"/>
  <c r="P2273"/>
  <c r="W2273"/>
  <c r="Y2273"/>
  <c r="AB2273"/>
  <c r="AC2273"/>
  <c r="AD2273"/>
  <c r="P1571"/>
  <c r="T1571"/>
  <c r="U1571"/>
  <c r="V1571"/>
  <c r="W1571"/>
  <c r="Y1571"/>
  <c r="AB1571"/>
  <c r="AC1571"/>
  <c r="AD1571"/>
  <c r="P1572"/>
  <c r="T1572"/>
  <c r="U1572"/>
  <c r="V1572"/>
  <c r="W1572"/>
  <c r="Y1572"/>
  <c r="AB1572"/>
  <c r="AC1572"/>
  <c r="AD1572"/>
  <c r="P1573"/>
  <c r="W1573"/>
  <c r="Y1573"/>
  <c r="AB1573"/>
  <c r="AC1573"/>
  <c r="AD1573"/>
  <c r="P2277"/>
  <c r="W2277"/>
  <c r="Y2277"/>
  <c r="AB2277"/>
  <c r="AC2277"/>
  <c r="AD2277"/>
  <c r="P2278"/>
  <c r="W2278"/>
  <c r="Y2278"/>
  <c r="AB2278"/>
  <c r="AC2278"/>
  <c r="AD2278"/>
  <c r="P1574"/>
  <c r="T1574"/>
  <c r="U1574"/>
  <c r="V1574"/>
  <c r="W1574"/>
  <c r="Y1574"/>
  <c r="AB1574"/>
  <c r="AC1574"/>
  <c r="AD1574"/>
  <c r="P1575"/>
  <c r="T1575"/>
  <c r="U1575"/>
  <c r="V1575"/>
  <c r="W1575"/>
  <c r="Y1575"/>
  <c r="AB1575"/>
  <c r="AC1575"/>
  <c r="AD1575"/>
  <c r="P2281"/>
  <c r="W2281"/>
  <c r="Y2281"/>
  <c r="AB2281"/>
  <c r="AC2281"/>
  <c r="AD2281"/>
  <c r="P2275"/>
  <c r="T2275"/>
  <c r="U2275"/>
  <c r="V2275"/>
  <c r="W2275"/>
  <c r="Y2275"/>
  <c r="AB2275"/>
  <c r="AC2275"/>
  <c r="AD2275"/>
  <c r="P2276"/>
  <c r="T2276"/>
  <c r="U2276"/>
  <c r="V2276"/>
  <c r="W2276"/>
  <c r="Y2276"/>
  <c r="AB2276"/>
  <c r="AC2276"/>
  <c r="AD2276"/>
  <c r="P2284"/>
  <c r="W2284"/>
  <c r="Y2284"/>
  <c r="AB2284"/>
  <c r="AC2284"/>
  <c r="AD2284"/>
  <c r="P2285"/>
  <c r="W2285"/>
  <c r="Y2285"/>
  <c r="AB2285"/>
  <c r="AC2285"/>
  <c r="AD2285"/>
  <c r="P2286"/>
  <c r="W2286"/>
  <c r="Y2286"/>
  <c r="AB2286"/>
  <c r="AC2286"/>
  <c r="AD2286"/>
  <c r="P2287"/>
  <c r="W2287"/>
  <c r="Y2287"/>
  <c r="AB2287"/>
  <c r="AC2287"/>
  <c r="AD2287"/>
  <c r="P2288"/>
  <c r="W2288"/>
  <c r="Y2288"/>
  <c r="AB2288"/>
  <c r="AC2288"/>
  <c r="AD2288"/>
  <c r="P2289"/>
  <c r="W2289"/>
  <c r="Y2289"/>
  <c r="AB2289"/>
  <c r="AC2289"/>
  <c r="AD2289"/>
  <c r="P2290"/>
  <c r="W2290"/>
  <c r="Y2290"/>
  <c r="AB2290"/>
  <c r="AC2290"/>
  <c r="AD2290"/>
  <c r="P2291"/>
  <c r="W2291"/>
  <c r="Y2291"/>
  <c r="AB2291"/>
  <c r="AC2291"/>
  <c r="AD2291"/>
  <c r="P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W2303"/>
  <c r="Y2303"/>
  <c r="AB2303"/>
  <c r="AC2303"/>
  <c r="AD2303"/>
  <c r="P2304"/>
  <c r="W2304"/>
  <c r="Y2304"/>
  <c r="AB2304"/>
  <c r="AC2304"/>
  <c r="AD2304"/>
  <c r="P2305"/>
  <c r="W2305"/>
  <c r="Y2305"/>
  <c r="AB2305"/>
  <c r="AC2305"/>
  <c r="AD2305"/>
  <c r="P2279"/>
  <c r="T2279"/>
  <c r="U2279"/>
  <c r="V2279"/>
  <c r="W2279"/>
  <c r="Y2279"/>
  <c r="AB2279"/>
  <c r="AC2279"/>
  <c r="AD2279"/>
  <c r="P2280"/>
  <c r="T2280"/>
  <c r="U2280"/>
  <c r="V2280"/>
  <c r="W2280"/>
  <c r="Y2280"/>
  <c r="AB2280"/>
  <c r="AC2280"/>
  <c r="AD2280"/>
  <c r="P2282"/>
  <c r="T2282"/>
  <c r="U2282"/>
  <c r="V2282"/>
  <c r="W2282"/>
  <c r="Y2282"/>
  <c r="AB2282"/>
  <c r="AC2282"/>
  <c r="AD2282"/>
  <c r="P2283"/>
  <c r="T2283"/>
  <c r="U2283"/>
  <c r="V2283"/>
  <c r="W2283"/>
  <c r="Y2283"/>
  <c r="AB2283"/>
  <c r="AC2283"/>
  <c r="AD2283"/>
  <c r="P2310"/>
  <c r="W2310"/>
  <c r="Y2310"/>
  <c r="AB2310"/>
  <c r="AC2310"/>
  <c r="AD2310"/>
  <c r="P2311"/>
  <c r="W2311"/>
  <c r="Y2311"/>
  <c r="AB2311"/>
  <c r="AC2311"/>
  <c r="AD2311"/>
  <c r="P2312"/>
  <c r="W2312"/>
  <c r="Y2312"/>
  <c r="AB2312"/>
  <c r="AC2312"/>
  <c r="AD2312"/>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7"/>
  <c r="W2317"/>
  <c r="Y2317"/>
  <c r="AB2317"/>
  <c r="AC2317"/>
  <c r="AD2317"/>
  <c r="P2315"/>
  <c r="T2315"/>
  <c r="U2315"/>
  <c r="V2315"/>
  <c r="W2315"/>
  <c r="Y2315"/>
  <c r="AB2315"/>
  <c r="AC2315"/>
  <c r="AD2315"/>
  <c r="P2316"/>
  <c r="T2316"/>
  <c r="U2316"/>
  <c r="V2316"/>
  <c r="W2316"/>
  <c r="Y2316"/>
  <c r="AB2316"/>
  <c r="AC2316"/>
  <c r="AD2316"/>
  <c r="P2318"/>
  <c r="W2318"/>
  <c r="Y2318"/>
  <c r="AB2318"/>
  <c r="AC2318"/>
  <c r="AD2318"/>
  <c r="P2319"/>
  <c r="T2319"/>
  <c r="U2319"/>
  <c r="V2319"/>
  <c r="W2319"/>
  <c r="Y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7"/>
  <c r="W2327"/>
  <c r="Y2327"/>
  <c r="AB2327"/>
  <c r="AC2327"/>
  <c r="AD2327"/>
  <c r="P2325"/>
  <c r="T2325"/>
  <c r="U2325"/>
  <c r="V2325"/>
  <c r="W2325"/>
  <c r="Y2325"/>
  <c r="AB2325"/>
  <c r="AC2325"/>
  <c r="AD2325"/>
  <c r="P2326"/>
  <c r="T2326"/>
  <c r="U2326"/>
  <c r="V2326"/>
  <c r="W2326"/>
  <c r="Y2326"/>
  <c r="AB2326"/>
  <c r="AC2326"/>
  <c r="AD2326"/>
  <c r="P2330"/>
  <c r="W2330"/>
  <c r="Y2330"/>
  <c r="AB2330"/>
  <c r="AC2330"/>
  <c r="AD2330"/>
  <c r="P2328"/>
  <c r="W2328"/>
  <c r="Y2328"/>
  <c r="AB2328"/>
  <c r="AC2328"/>
  <c r="AD2328"/>
  <c r="P2333"/>
  <c r="W2333"/>
  <c r="Y2333"/>
  <c r="AB2333"/>
  <c r="AC2333"/>
  <c r="AD2333"/>
  <c r="P2334"/>
  <c r="W2334"/>
  <c r="Y2334"/>
  <c r="AB2334"/>
  <c r="AC2334"/>
  <c r="AD2334"/>
  <c r="P2335"/>
  <c r="W2335"/>
  <c r="Y2335"/>
  <c r="AB2335"/>
  <c r="AC2335"/>
  <c r="AD2335"/>
  <c r="P2336"/>
  <c r="W2336"/>
  <c r="Y2336"/>
  <c r="AB2336"/>
  <c r="AC2336"/>
  <c r="AD2336"/>
  <c r="P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W2345"/>
  <c r="Y2345"/>
  <c r="AB2345"/>
  <c r="AC2345"/>
  <c r="AD2345"/>
  <c r="P2346"/>
  <c r="W2346"/>
  <c r="Y2346"/>
  <c r="AB2346"/>
  <c r="AC2346"/>
  <c r="AD2346"/>
  <c r="P2347"/>
  <c r="W2347"/>
  <c r="Y2347"/>
  <c r="AB2347"/>
  <c r="AC2347"/>
  <c r="AD2347"/>
  <c r="P2348"/>
  <c r="W2348"/>
  <c r="Y2348"/>
  <c r="AB2348"/>
  <c r="AC2348"/>
  <c r="AD2348"/>
  <c r="P2349"/>
  <c r="W2349"/>
  <c r="Y2349"/>
  <c r="AB2349"/>
  <c r="AC2349"/>
  <c r="AD2349"/>
  <c r="P2329"/>
  <c r="T2329"/>
  <c r="U2329"/>
  <c r="V2329"/>
  <c r="W2329"/>
  <c r="Y2329"/>
  <c r="AB2329"/>
  <c r="AC2329"/>
  <c r="AD2329"/>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W2357"/>
  <c r="Y2357"/>
  <c r="AB2357"/>
  <c r="AC2357"/>
  <c r="AD2357"/>
  <c r="P2358"/>
  <c r="W2358"/>
  <c r="Y2358"/>
  <c r="AB2358"/>
  <c r="AC2358"/>
  <c r="AD2358"/>
  <c r="P2359"/>
  <c r="W2359"/>
  <c r="Y2359"/>
  <c r="AB2359"/>
  <c r="AC2359"/>
  <c r="AD2359"/>
  <c r="P2360"/>
  <c r="W2360"/>
  <c r="Y2360"/>
  <c r="AB2360"/>
  <c r="AC2360"/>
  <c r="AD2360"/>
  <c r="P2361"/>
  <c r="W2361"/>
  <c r="Y2361"/>
  <c r="AB2361"/>
  <c r="AC2361"/>
  <c r="AD2361"/>
  <c r="P2362"/>
  <c r="W2362"/>
  <c r="Y2362"/>
  <c r="AB2362"/>
  <c r="AC2362"/>
  <c r="AD2362"/>
  <c r="P2363"/>
  <c r="W2363"/>
  <c r="Y2363"/>
  <c r="AB2363"/>
  <c r="AC2363"/>
  <c r="AD2363"/>
  <c r="P2364"/>
  <c r="W2364"/>
  <c r="Y2364"/>
  <c r="AB2364"/>
  <c r="AC2364"/>
  <c r="AD2364"/>
  <c r="P2365"/>
  <c r="W2365"/>
  <c r="Y2365"/>
  <c r="AB2365"/>
  <c r="AC2365"/>
  <c r="AD2365"/>
  <c r="P2366"/>
  <c r="W2366"/>
  <c r="Y2366"/>
  <c r="AB2366"/>
  <c r="AC2366"/>
  <c r="AD2366"/>
  <c r="P2367"/>
  <c r="W2367"/>
  <c r="Y2367"/>
  <c r="AB2367"/>
  <c r="AC2367"/>
  <c r="AD2367"/>
  <c r="P2368"/>
  <c r="W2368"/>
  <c r="Y2368"/>
  <c r="AB2368"/>
  <c r="AC2368"/>
  <c r="AD2368"/>
  <c r="P2369"/>
  <c r="W2369"/>
  <c r="Y2369"/>
  <c r="AB2369"/>
  <c r="AC2369"/>
  <c r="AD2369"/>
  <c r="P2370"/>
  <c r="W2370"/>
  <c r="Y2370"/>
  <c r="AB2370"/>
  <c r="AC2370"/>
  <c r="AD2370"/>
  <c r="P2371"/>
  <c r="W2371"/>
  <c r="Y2371"/>
  <c r="AB2371"/>
  <c r="AC2371"/>
  <c r="AD2371"/>
  <c r="P2372"/>
  <c r="W2372"/>
  <c r="Y2372"/>
  <c r="AB2372"/>
  <c r="AC2372"/>
  <c r="AD2372"/>
  <c r="P2373"/>
  <c r="W2373"/>
  <c r="Y2373"/>
  <c r="AB2373"/>
  <c r="AC2373"/>
  <c r="AD2373"/>
  <c r="P2374"/>
  <c r="W2374"/>
  <c r="Y2374"/>
  <c r="AB2374"/>
  <c r="AC2374"/>
  <c r="AD2374"/>
  <c r="P2375"/>
  <c r="W2375"/>
  <c r="Y2375"/>
  <c r="AB2375"/>
  <c r="AC2375"/>
  <c r="AD2375"/>
  <c r="P2376"/>
  <c r="W2376"/>
  <c r="Y2376"/>
  <c r="AB2376"/>
  <c r="AC2376"/>
  <c r="AD2376"/>
  <c r="P2377"/>
  <c r="W2377"/>
  <c r="Y2377"/>
  <c r="AB2377"/>
  <c r="AC2377"/>
  <c r="AD2377"/>
  <c r="P2378"/>
  <c r="W2378"/>
  <c r="Y2378"/>
  <c r="AB2378"/>
  <c r="AC2378"/>
  <c r="AD2378"/>
  <c r="P2379"/>
  <c r="W2379"/>
  <c r="Y2379"/>
  <c r="AB2379"/>
  <c r="AC2379"/>
  <c r="AD2379"/>
  <c r="P2380"/>
  <c r="W2380"/>
  <c r="Y2380"/>
  <c r="AB2380"/>
  <c r="AC2380"/>
  <c r="AD2380"/>
  <c r="P2381"/>
  <c r="W2381"/>
  <c r="Y2381"/>
  <c r="AB2381"/>
  <c r="AC2381"/>
  <c r="AD2381"/>
  <c r="P2382"/>
  <c r="W2382"/>
  <c r="Y2382"/>
  <c r="AB2382"/>
  <c r="AC2382"/>
  <c r="AD2382"/>
  <c r="P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W2387"/>
  <c r="Y2387"/>
  <c r="AB2387"/>
  <c r="AC2387"/>
  <c r="AD2387"/>
  <c r="P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A2397"/>
  <c r="AB2397"/>
  <c r="AC2397"/>
  <c r="AD2397"/>
  <c r="P2398"/>
  <c r="T2398"/>
  <c r="U2398"/>
  <c r="V2398"/>
  <c r="W2398"/>
  <c r="Y2398"/>
  <c r="AA2398"/>
  <c r="AB2398"/>
  <c r="AC2398"/>
  <c r="AD2398"/>
  <c r="P2399"/>
  <c r="T2399"/>
  <c r="U2399"/>
  <c r="V2399"/>
  <c r="W2399"/>
  <c r="Y2399"/>
  <c r="AB2399"/>
  <c r="AC2399"/>
  <c r="AD2399"/>
  <c r="P2400"/>
  <c r="T2400"/>
  <c r="U2400"/>
  <c r="V2400"/>
  <c r="W2400"/>
  <c r="Y2400"/>
  <c r="AB2400"/>
  <c r="AC2400"/>
  <c r="AD2400"/>
  <c r="P2401"/>
  <c r="T2401"/>
  <c r="U2401"/>
  <c r="V2401"/>
  <c r="W2401"/>
  <c r="Y2401"/>
  <c r="AB2401"/>
  <c r="AC2401"/>
  <c r="AD2401"/>
  <c r="P2402"/>
  <c r="T2402"/>
  <c r="U2402"/>
  <c r="V2402"/>
  <c r="W2402"/>
  <c r="Y2402"/>
  <c r="AA2402"/>
  <c r="AB2402"/>
  <c r="AC2402"/>
  <c r="AD2402"/>
  <c r="P2403"/>
  <c r="T2403"/>
  <c r="U2403"/>
  <c r="V2403"/>
  <c r="W2403"/>
  <c r="Y2403"/>
  <c r="AA2403"/>
  <c r="AB2403"/>
  <c r="AC2403"/>
  <c r="AD2403"/>
  <c r="P2404"/>
  <c r="T2404"/>
  <c r="U2404"/>
  <c r="V2404"/>
  <c r="W2404"/>
  <c r="Y2404"/>
  <c r="AA2404"/>
  <c r="AB2404"/>
  <c r="AC2404"/>
  <c r="AD2404"/>
  <c r="P2405"/>
  <c r="T2405"/>
  <c r="U2405"/>
  <c r="V2405"/>
  <c r="W2405"/>
  <c r="Y2405"/>
  <c r="AA2405"/>
  <c r="AB2405"/>
  <c r="AC2405"/>
  <c r="AD2405"/>
  <c r="P2406"/>
  <c r="T2406"/>
  <c r="U2406"/>
  <c r="V2406"/>
  <c r="W2406"/>
  <c r="Y2406"/>
  <c r="AA2406"/>
  <c r="AB2406"/>
  <c r="AC2406"/>
  <c r="AD2406"/>
  <c r="P2407"/>
  <c r="T2407"/>
  <c r="U2407"/>
  <c r="V2407"/>
  <c r="W2407"/>
  <c r="Y2407"/>
  <c r="AA2407"/>
  <c r="AB2407"/>
  <c r="AC2407"/>
  <c r="AD2407"/>
  <c r="P2408"/>
  <c r="T2408"/>
  <c r="U2408"/>
  <c r="V2408"/>
  <c r="W2408"/>
  <c r="Y2408"/>
  <c r="AA2408"/>
  <c r="AB2408"/>
  <c r="AC2408"/>
  <c r="AD2408"/>
  <c r="P2409"/>
  <c r="T2409"/>
  <c r="U2409"/>
  <c r="V2409"/>
  <c r="W2409"/>
  <c r="Y2409"/>
  <c r="AA2409"/>
  <c r="AB2409"/>
  <c r="AC2409"/>
  <c r="AD2409"/>
  <c r="P2410"/>
  <c r="T2410"/>
  <c r="U2410"/>
  <c r="V2410"/>
  <c r="W2410"/>
  <c r="Y2410"/>
  <c r="AA2410"/>
  <c r="AB2410"/>
  <c r="AC2410"/>
  <c r="AD2410"/>
  <c r="P2411"/>
  <c r="T2411"/>
  <c r="U2411"/>
  <c r="V2411"/>
  <c r="W2411"/>
  <c r="Y2411"/>
  <c r="AA2411"/>
  <c r="AB2411"/>
  <c r="AC2411"/>
  <c r="AD2411"/>
  <c r="P2412"/>
  <c r="T2412"/>
  <c r="U2412"/>
  <c r="V2412"/>
  <c r="W2412"/>
  <c r="Y2412"/>
  <c r="AA2412"/>
  <c r="AB2412"/>
  <c r="AC2412"/>
  <c r="AD2412"/>
  <c r="P2413"/>
  <c r="T2413"/>
  <c r="U2413"/>
  <c r="V2413"/>
  <c r="W2413"/>
  <c r="Y2413"/>
  <c r="AA2413"/>
  <c r="AB2413"/>
  <c r="AC2413"/>
  <c r="AD2413"/>
  <c r="P2414"/>
  <c r="T2414"/>
  <c r="U2414"/>
  <c r="V2414"/>
  <c r="W2414"/>
  <c r="Y2414"/>
  <c r="AA2414"/>
  <c r="AB2414"/>
  <c r="AC2414"/>
  <c r="AD2414"/>
  <c r="P2415"/>
  <c r="T2415"/>
  <c r="U2415"/>
  <c r="V2415"/>
  <c r="W2415"/>
  <c r="Y2415"/>
  <c r="AA2415"/>
  <c r="AB2415"/>
  <c r="AC2415"/>
  <c r="AD2415"/>
  <c r="P2416"/>
  <c r="T2416"/>
  <c r="U2416"/>
  <c r="V2416"/>
  <c r="W2416"/>
  <c r="Y2416"/>
  <c r="AA2416"/>
  <c r="AB2416"/>
  <c r="AC2416"/>
  <c r="AD2416"/>
  <c r="P2417"/>
  <c r="T2417"/>
  <c r="U2417"/>
  <c r="V2417"/>
  <c r="W2417"/>
  <c r="Y2417"/>
  <c r="AA2417"/>
  <c r="AB2417"/>
  <c r="AC2417"/>
  <c r="AD2417"/>
  <c r="P2418"/>
  <c r="T2418"/>
  <c r="U2418"/>
  <c r="V2418"/>
  <c r="W2418"/>
  <c r="Y2418"/>
  <c r="AA2418"/>
  <c r="AB2418"/>
  <c r="AC2418"/>
  <c r="AD2418"/>
  <c r="P2419"/>
  <c r="T2419"/>
  <c r="U2419"/>
  <c r="V2419"/>
  <c r="W2419"/>
  <c r="Y2419"/>
  <c r="AA2419"/>
  <c r="AB2419"/>
  <c r="AC2419"/>
  <c r="AD2419"/>
  <c r="P2420"/>
  <c r="T2420"/>
  <c r="U2420"/>
  <c r="V2420"/>
  <c r="W2420"/>
  <c r="Y2420"/>
  <c r="AA2420"/>
  <c r="AB2420"/>
  <c r="AC2420"/>
  <c r="AD2420"/>
  <c r="P2421"/>
  <c r="T2421"/>
  <c r="U2421"/>
  <c r="V2421"/>
  <c r="W2421"/>
  <c r="Y2421"/>
  <c r="AA2421"/>
  <c r="AB2421"/>
  <c r="AC2421"/>
  <c r="AD2421"/>
  <c r="P2422"/>
  <c r="T2422"/>
  <c r="U2422"/>
  <c r="V2422"/>
  <c r="W2422"/>
  <c r="Y2422"/>
  <c r="AA2422"/>
  <c r="AB2422"/>
  <c r="AC2422"/>
  <c r="AD2422"/>
  <c r="P2423"/>
  <c r="T2423"/>
  <c r="U2423"/>
  <c r="V2423"/>
  <c r="W2423"/>
  <c r="Y2423"/>
  <c r="AA2423"/>
  <c r="AB2423"/>
  <c r="AC2423"/>
  <c r="AD2423"/>
  <c r="P2424"/>
  <c r="T2424"/>
  <c r="U2424"/>
  <c r="V2424"/>
  <c r="W2424"/>
  <c r="Y2424"/>
  <c r="AA2424"/>
  <c r="AB2424"/>
  <c r="AC2424"/>
  <c r="AD2424"/>
  <c r="P2425"/>
  <c r="T2425"/>
  <c r="U2425"/>
  <c r="V2425"/>
  <c r="W2425"/>
  <c r="Y2425"/>
  <c r="AA2425"/>
  <c r="AB2425"/>
  <c r="AC2425"/>
  <c r="AD2425"/>
  <c r="P2426"/>
  <c r="T2426"/>
  <c r="U2426"/>
  <c r="V2426"/>
  <c r="W2426"/>
  <c r="Y2426"/>
  <c r="AA2426"/>
  <c r="AB2426"/>
  <c r="AC2426"/>
  <c r="AD2426"/>
  <c r="P2427"/>
  <c r="T2427"/>
  <c r="U2427"/>
  <c r="V2427"/>
  <c r="W2427"/>
  <c r="Y2427"/>
  <c r="AA2427"/>
  <c r="AB2427"/>
  <c r="AC2427"/>
  <c r="AD2427"/>
  <c r="P2428"/>
  <c r="T2428"/>
  <c r="U2428"/>
  <c r="V2428"/>
  <c r="W2428"/>
  <c r="Y2428"/>
  <c r="AA2428"/>
  <c r="AB2428"/>
  <c r="AC2428"/>
  <c r="AD2428"/>
  <c r="P2429"/>
  <c r="T2429"/>
  <c r="U2429"/>
  <c r="V2429"/>
  <c r="W2429"/>
  <c r="Y2429"/>
  <c r="AA2429"/>
  <c r="AB2429"/>
  <c r="AC2429"/>
  <c r="AD2429"/>
  <c r="P2430"/>
  <c r="W2430"/>
  <c r="Y2430"/>
  <c r="AB2430"/>
  <c r="AC2430"/>
  <c r="AD2430"/>
  <c r="P2431"/>
  <c r="W2431"/>
  <c r="Y2431"/>
  <c r="AB2431"/>
  <c r="AC2431"/>
  <c r="AD2431"/>
  <c r="P2432"/>
  <c r="W2432"/>
  <c r="Y2432"/>
  <c r="AB2432"/>
  <c r="AC2432"/>
  <c r="AD2432"/>
  <c r="P2433"/>
  <c r="W2433"/>
  <c r="Y2433"/>
  <c r="AB2433"/>
  <c r="AC2433"/>
  <c r="AD2433"/>
  <c r="P2434"/>
  <c r="W2434"/>
  <c r="Y2434"/>
  <c r="AB2434"/>
  <c r="AC2434"/>
  <c r="AD2434"/>
  <c r="P2435"/>
  <c r="W2435"/>
  <c r="Y2435"/>
  <c r="AB2435"/>
  <c r="AC2435"/>
  <c r="AD2435"/>
  <c r="P2436"/>
  <c r="W2436"/>
  <c r="Y2436"/>
  <c r="AB2436"/>
  <c r="AC2436"/>
  <c r="AD2436"/>
  <c r="P1577"/>
  <c r="T1577"/>
  <c r="U1577"/>
  <c r="V1577"/>
  <c r="W1577"/>
  <c r="Y1577"/>
  <c r="AB1577"/>
  <c r="AC1577"/>
  <c r="AD1577"/>
  <c r="P1578"/>
  <c r="T1578"/>
  <c r="U1578"/>
  <c r="V1578"/>
  <c r="W1578"/>
  <c r="Y1578"/>
  <c r="AB1578"/>
  <c r="AC1578"/>
  <c r="AD1578"/>
  <c r="P2439"/>
  <c r="W2439"/>
  <c r="Y2439"/>
  <c r="AB2439"/>
  <c r="AC2439"/>
  <c r="AD2439"/>
  <c r="P2440"/>
  <c r="W2440"/>
  <c r="Y2440"/>
  <c r="AB2440"/>
  <c r="AC2440"/>
  <c r="AD2440"/>
  <c r="P1579"/>
  <c r="T1579"/>
  <c r="U1579"/>
  <c r="V1579"/>
  <c r="W1579"/>
  <c r="Y1579"/>
  <c r="AB1579"/>
  <c r="AC1579"/>
  <c r="AD1579"/>
  <c r="P2437"/>
  <c r="T2437"/>
  <c r="U2437"/>
  <c r="V2437"/>
  <c r="W2437"/>
  <c r="Y2437"/>
  <c r="AB2437"/>
  <c r="AC2437"/>
  <c r="AD2437"/>
  <c r="P2438"/>
  <c r="W2438"/>
  <c r="Y2438"/>
  <c r="AB2438"/>
  <c r="AC2438"/>
  <c r="AD2438"/>
  <c r="P2441"/>
  <c r="W2441"/>
  <c r="Y2441"/>
  <c r="AB2441"/>
  <c r="AC2441"/>
  <c r="AD2441"/>
  <c r="P2445"/>
  <c r="W2445"/>
  <c r="Y2445"/>
  <c r="AB2445"/>
  <c r="AC2445"/>
  <c r="AD2445"/>
  <c r="P2446"/>
  <c r="W2446"/>
  <c r="Y2446"/>
  <c r="AB2446"/>
  <c r="AC2446"/>
  <c r="AD2446"/>
  <c r="P2447"/>
  <c r="W2447"/>
  <c r="Y2447"/>
  <c r="AB2447"/>
  <c r="AC2447"/>
  <c r="AD2447"/>
  <c r="P2448"/>
  <c r="W2448"/>
  <c r="Y2448"/>
  <c r="AB2448"/>
  <c r="AC2448"/>
  <c r="AD2448"/>
  <c r="P2449"/>
  <c r="W2449"/>
  <c r="Y2449"/>
  <c r="AB2449"/>
  <c r="AC2449"/>
  <c r="AD2449"/>
  <c r="P2450"/>
  <c r="W2450"/>
  <c r="Y2450"/>
  <c r="AB2450"/>
  <c r="AC2450"/>
  <c r="AD2450"/>
  <c r="P2451"/>
  <c r="W2451"/>
  <c r="Y2451"/>
  <c r="AB2451"/>
  <c r="AC2451"/>
  <c r="AD2451"/>
  <c r="P2452"/>
  <c r="W2452"/>
  <c r="Y2452"/>
  <c r="AB2452"/>
  <c r="AC2452"/>
  <c r="AD2452"/>
  <c r="P2453"/>
  <c r="W2453"/>
  <c r="Y2453"/>
  <c r="AB2453"/>
  <c r="AC2453"/>
  <c r="AD2453"/>
  <c r="P2454"/>
  <c r="W2454"/>
  <c r="Y2454"/>
  <c r="AB2454"/>
  <c r="AC2454"/>
  <c r="AD2454"/>
  <c r="P2455"/>
  <c r="W2455"/>
  <c r="Y2455"/>
  <c r="AB2455"/>
  <c r="AC2455"/>
  <c r="AD2455"/>
  <c r="P2456"/>
  <c r="W2456"/>
  <c r="Y2456"/>
  <c r="AB2456"/>
  <c r="AC2456"/>
  <c r="AD2456"/>
  <c r="P2457"/>
  <c r="W2457"/>
  <c r="Y2457"/>
  <c r="AB2457"/>
  <c r="AC2457"/>
  <c r="AD2457"/>
  <c r="P2458"/>
  <c r="W2458"/>
  <c r="Y2458"/>
  <c r="AB2458"/>
  <c r="AC2458"/>
  <c r="AD2458"/>
  <c r="P2459"/>
  <c r="W2459"/>
  <c r="Y2459"/>
  <c r="AB2459"/>
  <c r="AC2459"/>
  <c r="AD2459"/>
  <c r="P2460"/>
  <c r="W2460"/>
  <c r="Y2460"/>
  <c r="AB2460"/>
  <c r="AC2460"/>
  <c r="AD2460"/>
  <c r="P2461"/>
  <c r="W2461"/>
  <c r="Y2461"/>
  <c r="AB2461"/>
  <c r="AC2461"/>
  <c r="AD2461"/>
  <c r="P2462"/>
  <c r="W2462"/>
  <c r="Y2462"/>
  <c r="AB2462"/>
  <c r="AC2462"/>
  <c r="AD2462"/>
  <c r="P2463"/>
  <c r="W2463"/>
  <c r="Y2463"/>
  <c r="AB2463"/>
  <c r="AC2463"/>
  <c r="AD2463"/>
  <c r="P2464"/>
  <c r="W2464"/>
  <c r="Y2464"/>
  <c r="AB2464"/>
  <c r="AC2464"/>
  <c r="AD2464"/>
  <c r="P2465"/>
  <c r="W2465"/>
  <c r="Y2465"/>
  <c r="AB2465"/>
  <c r="AC2465"/>
  <c r="AD2465"/>
  <c r="P2466"/>
  <c r="W2466"/>
  <c r="Y2466"/>
  <c r="AB2466"/>
  <c r="AC2466"/>
  <c r="AD2466"/>
  <c r="P2467"/>
  <c r="W2467"/>
  <c r="Y2467"/>
  <c r="AB2467"/>
  <c r="AC2467"/>
  <c r="AD2467"/>
  <c r="P2468"/>
  <c r="W2468"/>
  <c r="Y2468"/>
  <c r="AB2468"/>
  <c r="AC2468"/>
  <c r="AD2468"/>
  <c r="P2442"/>
  <c r="T2442"/>
  <c r="U2442"/>
  <c r="V2442"/>
  <c r="W2442"/>
  <c r="Y2442"/>
  <c r="AB2442"/>
  <c r="AC2442"/>
  <c r="AD2442"/>
  <c r="P2443"/>
  <c r="T2443"/>
  <c r="U2443"/>
  <c r="V2443"/>
  <c r="W2443"/>
  <c r="Y2443"/>
  <c r="AB2443"/>
  <c r="AC2443"/>
  <c r="AD2443"/>
  <c r="P2471"/>
  <c r="W2471"/>
  <c r="Y2471"/>
  <c r="AB2471"/>
  <c r="AC2471"/>
  <c r="AD2471"/>
  <c r="P2444"/>
  <c r="T2444"/>
  <c r="U2444"/>
  <c r="V2444"/>
  <c r="W2444"/>
  <c r="Y2444"/>
  <c r="AB2444"/>
  <c r="AC2444"/>
  <c r="AD2444"/>
  <c r="P2469"/>
  <c r="T2469"/>
  <c r="U2469"/>
  <c r="V2469"/>
  <c r="W2469"/>
  <c r="Y2469"/>
  <c r="AB2469"/>
  <c r="AC2469"/>
  <c r="AD2469"/>
  <c r="P2470"/>
  <c r="T2470"/>
  <c r="U2470"/>
  <c r="V2470"/>
  <c r="W2470"/>
  <c r="Y2470"/>
  <c r="AB2470"/>
  <c r="AC2470"/>
  <c r="AD2470"/>
  <c r="P2472"/>
  <c r="T2472"/>
  <c r="U2472"/>
  <c r="V2472"/>
  <c r="W2472"/>
  <c r="Y2472"/>
  <c r="AB2472"/>
  <c r="AC2472"/>
  <c r="AD2472"/>
  <c r="P2473"/>
  <c r="T2473"/>
  <c r="U2473"/>
  <c r="V2473"/>
  <c r="W2473"/>
  <c r="Y2473"/>
  <c r="AB2473"/>
  <c r="AC2473"/>
  <c r="AD2473"/>
  <c r="P2474"/>
  <c r="T2474"/>
  <c r="U2474"/>
  <c r="V2474"/>
  <c r="W2474"/>
  <c r="Y2474"/>
  <c r="AB2474"/>
  <c r="AC2474"/>
  <c r="AD2474"/>
  <c r="P2476"/>
  <c r="T2476"/>
  <c r="U2476"/>
  <c r="V2476"/>
  <c r="W2476"/>
  <c r="Y2476"/>
  <c r="AB2476"/>
  <c r="AC2476"/>
  <c r="AD2476"/>
  <c r="P2477"/>
  <c r="T2477"/>
  <c r="U2477"/>
  <c r="V2477"/>
  <c r="W2477"/>
  <c r="Y2477"/>
  <c r="AB2477"/>
  <c r="AC2477"/>
  <c r="AD2477"/>
  <c r="P2480"/>
  <c r="W2480"/>
  <c r="Y2480"/>
  <c r="AB2480"/>
  <c r="AC2480"/>
  <c r="AD2480"/>
  <c r="P2481"/>
  <c r="W2481"/>
  <c r="Y2481"/>
  <c r="AB2481"/>
  <c r="AC2481"/>
  <c r="AD2481"/>
  <c r="P2482"/>
  <c r="W2482"/>
  <c r="Y2482"/>
  <c r="AB2482"/>
  <c r="AC2482"/>
  <c r="AD2482"/>
  <c r="P2483"/>
  <c r="W2483"/>
  <c r="Y2483"/>
  <c r="AB2483"/>
  <c r="AC2483"/>
  <c r="AD2483"/>
  <c r="P2484"/>
  <c r="W2484"/>
  <c r="Y2484"/>
  <c r="AB2484"/>
  <c r="AC2484"/>
  <c r="AD2484"/>
  <c r="P2485"/>
  <c r="W2485"/>
  <c r="Y2485"/>
  <c r="AB2485"/>
  <c r="AC2485"/>
  <c r="AD2485"/>
  <c r="P2486"/>
  <c r="W2486"/>
  <c r="Y2486"/>
  <c r="AB2486"/>
  <c r="AC2486"/>
  <c r="AD2486"/>
  <c r="P2487"/>
  <c r="W2487"/>
  <c r="Y2487"/>
  <c r="AB2487"/>
  <c r="AC2487"/>
  <c r="AD2487"/>
  <c r="P2488"/>
  <c r="W2488"/>
  <c r="Y2488"/>
  <c r="AB2488"/>
  <c r="AC2488"/>
  <c r="AD2488"/>
  <c r="P2489"/>
  <c r="W2489"/>
  <c r="Y2489"/>
  <c r="AB2489"/>
  <c r="AC2489"/>
  <c r="AD2489"/>
  <c r="P2478"/>
  <c r="T2478"/>
  <c r="U2478"/>
  <c r="V2478"/>
  <c r="W2478"/>
  <c r="Y2478"/>
  <c r="AB2478"/>
  <c r="AC2478"/>
  <c r="AD2478"/>
  <c r="P2479"/>
  <c r="T2479"/>
  <c r="U2479"/>
  <c r="V2479"/>
  <c r="W2479"/>
  <c r="Y2479"/>
  <c r="AB2479"/>
  <c r="AC2479"/>
  <c r="AD2479"/>
  <c r="P2490"/>
  <c r="T2490"/>
  <c r="U2490"/>
  <c r="V2490"/>
  <c r="W2490"/>
  <c r="Y2490"/>
  <c r="AB2490"/>
  <c r="AC2490"/>
  <c r="AD2490"/>
  <c r="P2493"/>
  <c r="W2493"/>
  <c r="Y2493"/>
  <c r="AB2493"/>
  <c r="AC2493"/>
  <c r="AD2493"/>
  <c r="P2494"/>
  <c r="W2494"/>
  <c r="Y2494"/>
  <c r="AB2494"/>
  <c r="AC2494"/>
  <c r="AD2494"/>
  <c r="P2495"/>
  <c r="W2495"/>
  <c r="Y2495"/>
  <c r="AB2495"/>
  <c r="AC2495"/>
  <c r="AD2495"/>
  <c r="P2496"/>
  <c r="W2496"/>
  <c r="Y2496"/>
  <c r="AB2496"/>
  <c r="AC2496"/>
  <c r="AD2496"/>
  <c r="P2491"/>
  <c r="T2491"/>
  <c r="U2491"/>
  <c r="V2491"/>
  <c r="W2491"/>
  <c r="Y2491"/>
  <c r="AB2491"/>
  <c r="AC2491"/>
  <c r="AD2491"/>
  <c r="P2492"/>
  <c r="T2492"/>
  <c r="U2492"/>
  <c r="V2492"/>
  <c r="W2492"/>
  <c r="Y2492"/>
  <c r="AB2492"/>
  <c r="AC2492"/>
  <c r="AD2492"/>
  <c r="P2498"/>
  <c r="T2498"/>
  <c r="U2498"/>
  <c r="V2498"/>
  <c r="W2498"/>
  <c r="Y2498"/>
  <c r="AB2498"/>
  <c r="AC2498"/>
  <c r="AD2498"/>
  <c r="P2499"/>
  <c r="T2499"/>
  <c r="U2499"/>
  <c r="V2499"/>
  <c r="W2499"/>
  <c r="Y2499"/>
  <c r="AB2499"/>
  <c r="AC2499"/>
  <c r="AD2499"/>
  <c r="P2501"/>
  <c r="W2501"/>
  <c r="Y2501"/>
  <c r="AB2501"/>
  <c r="AC2501"/>
  <c r="AD2501"/>
  <c r="P2502"/>
  <c r="W2502"/>
  <c r="Y2502"/>
  <c r="AB2502"/>
  <c r="AC2502"/>
  <c r="AD2502"/>
  <c r="P2503"/>
  <c r="W2503"/>
  <c r="Y2503"/>
  <c r="AB2503"/>
  <c r="AC2503"/>
  <c r="AD2503"/>
  <c r="P2500"/>
  <c r="T2500"/>
  <c r="U2500"/>
  <c r="V2500"/>
  <c r="W2500"/>
  <c r="Y2500"/>
  <c r="AB2500"/>
  <c r="AC2500"/>
  <c r="AD2500"/>
  <c r="P2504"/>
  <c r="T2504"/>
  <c r="U2504"/>
  <c r="V2504"/>
  <c r="W2504"/>
  <c r="Y2504"/>
  <c r="AB2504"/>
  <c r="AC2504"/>
  <c r="AD2504"/>
  <c r="P2506"/>
  <c r="W2506"/>
  <c r="Y2506"/>
  <c r="AB2506"/>
  <c r="AC2506"/>
  <c r="AD2506"/>
  <c r="P2507"/>
  <c r="W2507"/>
  <c r="Y2507"/>
  <c r="AB2507"/>
  <c r="AC2507"/>
  <c r="AD2507"/>
  <c r="P2508"/>
  <c r="W2508"/>
  <c r="Y2508"/>
  <c r="AB2508"/>
  <c r="AC2508"/>
  <c r="AD2508"/>
  <c r="P2509"/>
  <c r="W2509"/>
  <c r="Y2509"/>
  <c r="AB2509"/>
  <c r="AC2509"/>
  <c r="AD2509"/>
  <c r="P2510"/>
  <c r="W2510"/>
  <c r="Y2510"/>
  <c r="AB2510"/>
  <c r="AC2510"/>
  <c r="AD2510"/>
  <c r="P2511"/>
  <c r="W2511"/>
  <c r="Y2511"/>
  <c r="AB2511"/>
  <c r="AC2511"/>
  <c r="AD2511"/>
  <c r="P2505"/>
  <c r="T2505"/>
  <c r="U2505"/>
  <c r="V2505"/>
  <c r="W2505"/>
  <c r="Y2505"/>
  <c r="AB2505"/>
  <c r="AC2505"/>
  <c r="AD2505"/>
  <c r="P2512"/>
  <c r="T2512"/>
  <c r="U2512"/>
  <c r="V2512"/>
  <c r="W2512"/>
  <c r="Y2512"/>
  <c r="AB2512"/>
  <c r="AC2512"/>
  <c r="AD2512"/>
  <c r="P2513"/>
  <c r="T2513"/>
  <c r="U2513"/>
  <c r="V2513"/>
  <c r="W2513"/>
  <c r="Y2513"/>
  <c r="AB2513"/>
  <c r="AC2513"/>
  <c r="AD2513"/>
  <c r="P2514"/>
  <c r="T2514"/>
  <c r="U2514"/>
  <c r="V2514"/>
  <c r="W2514"/>
  <c r="Y2514"/>
  <c r="AB2514"/>
  <c r="AC2514"/>
  <c r="AD2514"/>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W2524"/>
  <c r="Y2524"/>
  <c r="AB2524"/>
  <c r="AC2524"/>
  <c r="AD2524"/>
  <c r="P2525"/>
  <c r="W2525"/>
  <c r="Y2525"/>
  <c r="AB2525"/>
  <c r="AC2525"/>
  <c r="AD2525"/>
  <c r="P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W2537"/>
  <c r="Y2537"/>
  <c r="AB2537"/>
  <c r="AC2537"/>
  <c r="AD2537"/>
  <c r="P2538"/>
  <c r="W2538"/>
  <c r="Y2538"/>
  <c r="AB2538"/>
  <c r="AC2538"/>
  <c r="AD2538"/>
  <c r="P2539"/>
  <c r="W2539"/>
  <c r="Y2539"/>
  <c r="AB2539"/>
  <c r="AC2539"/>
  <c r="AD2539"/>
  <c r="P2540"/>
  <c r="W2540"/>
  <c r="Y2540"/>
  <c r="AB2540"/>
  <c r="AC2540"/>
  <c r="AD2540"/>
  <c r="P2541"/>
  <c r="W2541"/>
  <c r="Y2541"/>
  <c r="AB2541"/>
  <c r="AC2541"/>
  <c r="AD2541"/>
  <c r="P2542"/>
  <c r="W2542"/>
  <c r="Y2542"/>
  <c r="AB2542"/>
  <c r="AC2542"/>
  <c r="AD2542"/>
  <c r="P2543"/>
  <c r="W2543"/>
  <c r="Y2543"/>
  <c r="AB2543"/>
  <c r="AC2543"/>
  <c r="AD2543"/>
  <c r="P2544"/>
  <c r="W2544"/>
  <c r="Y2544"/>
  <c r="AB2544"/>
  <c r="AC2544"/>
  <c r="AD2544"/>
  <c r="P2545"/>
  <c r="W2545"/>
  <c r="Y2545"/>
  <c r="AB2545"/>
  <c r="AC2545"/>
  <c r="AD2545"/>
  <c r="P2546"/>
  <c r="W2546"/>
  <c r="Y2546"/>
  <c r="AB2546"/>
  <c r="AC2546"/>
  <c r="AD2546"/>
  <c r="P2547"/>
  <c r="W2547"/>
  <c r="Y2547"/>
  <c r="AB2547"/>
  <c r="AC2547"/>
  <c r="AD2547"/>
  <c r="P2548"/>
  <c r="W2548"/>
  <c r="Y2548"/>
  <c r="AB2548"/>
  <c r="AC2548"/>
  <c r="AD2548"/>
  <c r="P2549"/>
  <c r="W2549"/>
  <c r="Y2549"/>
  <c r="AB2549"/>
  <c r="AC2549"/>
  <c r="AD2549"/>
  <c r="P2550"/>
  <c r="W2550"/>
  <c r="Y2550"/>
  <c r="AB2550"/>
  <c r="AC2550"/>
  <c r="AD2550"/>
  <c r="P2551"/>
  <c r="W2551"/>
  <c r="Y2551"/>
  <c r="AB2551"/>
  <c r="AC2551"/>
  <c r="AD2551"/>
  <c r="P2552"/>
  <c r="W2552"/>
  <c r="Y2552"/>
  <c r="AB2552"/>
  <c r="AC2552"/>
  <c r="AD2552"/>
  <c r="P2553"/>
  <c r="W2553"/>
  <c r="Y2553"/>
  <c r="AB2553"/>
  <c r="AC2553"/>
  <c r="AD2553"/>
  <c r="P2554"/>
  <c r="W2554"/>
  <c r="Y2554"/>
  <c r="AB2554"/>
  <c r="AC2554"/>
  <c r="AD2554"/>
  <c r="P2555"/>
  <c r="W2555"/>
  <c r="Y2555"/>
  <c r="AB2555"/>
  <c r="AC2555"/>
  <c r="AD2555"/>
  <c r="P2556"/>
  <c r="W2556"/>
  <c r="Y2556"/>
  <c r="AB2556"/>
  <c r="AC2556"/>
  <c r="AD2556"/>
  <c r="P2557"/>
  <c r="W2557"/>
  <c r="Y2557"/>
  <c r="AB2557"/>
  <c r="AC2557"/>
  <c r="AD2557"/>
  <c r="P2558"/>
  <c r="T2558"/>
  <c r="U2558"/>
  <c r="V2558"/>
  <c r="W2558"/>
  <c r="Y2558"/>
  <c r="AB2558"/>
  <c r="AC2558"/>
  <c r="AD2558"/>
  <c r="P2559"/>
  <c r="T2559"/>
  <c r="U2559"/>
  <c r="V2559"/>
  <c r="W2559"/>
  <c r="Y2559"/>
  <c r="AB2559"/>
  <c r="AC2559"/>
  <c r="AD2559"/>
  <c r="P2560"/>
  <c r="W2560"/>
  <c r="Y2560"/>
  <c r="AB2560"/>
  <c r="AC2560"/>
  <c r="AD2560"/>
  <c r="P2561"/>
  <c r="W2561"/>
  <c r="Y2561"/>
  <c r="AB2561"/>
  <c r="AC2561"/>
  <c r="AD2561"/>
  <c r="P2562"/>
  <c r="T2562"/>
  <c r="U2562"/>
  <c r="V2562"/>
  <c r="W2562"/>
  <c r="Y2562"/>
  <c r="AB2562"/>
  <c r="AC2562"/>
  <c r="AD2562"/>
  <c r="P2563"/>
  <c r="T2563"/>
  <c r="U2563"/>
  <c r="V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T2588"/>
  <c r="U2588"/>
  <c r="V2588"/>
  <c r="W2588"/>
  <c r="Y2588"/>
  <c r="AB2588"/>
  <c r="AC2588"/>
  <c r="AD2588"/>
  <c r="P2589"/>
  <c r="T2589"/>
  <c r="U2589"/>
  <c r="V2589"/>
  <c r="W2589"/>
  <c r="Y2589"/>
  <c r="AB2589"/>
  <c r="AC2589"/>
  <c r="AD2589"/>
  <c r="P2590"/>
  <c r="T2590"/>
  <c r="U2590"/>
  <c r="V2590"/>
  <c r="W2590"/>
  <c r="Y2590"/>
  <c r="AB2590"/>
  <c r="AC2590"/>
  <c r="AD2590"/>
  <c r="P2591"/>
  <c r="T2591"/>
  <c r="U2591"/>
  <c r="V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W2597"/>
  <c r="Y2597"/>
  <c r="AB2597"/>
  <c r="AC2597"/>
  <c r="AD2597"/>
  <c r="P2598"/>
  <c r="T2598"/>
  <c r="U2598"/>
  <c r="V2598"/>
  <c r="W2598"/>
  <c r="Y2598"/>
  <c r="AB2598"/>
  <c r="AC2598"/>
  <c r="AD2598"/>
  <c r="P2599"/>
  <c r="T2599"/>
  <c r="U2599"/>
  <c r="V2599"/>
  <c r="W2599"/>
  <c r="Y2599"/>
  <c r="AB2599"/>
  <c r="AC2599"/>
  <c r="AD2599"/>
  <c r="P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6"/>
  <c r="W2606"/>
  <c r="Y2606"/>
  <c r="AB2606"/>
  <c r="AC2606"/>
  <c r="AD2606"/>
  <c r="P2607"/>
  <c r="W2607"/>
  <c r="Y2607"/>
  <c r="AB2607"/>
  <c r="AC2607"/>
  <c r="AD2607"/>
  <c r="P2608"/>
  <c r="T2608"/>
  <c r="U2608"/>
  <c r="V2608"/>
  <c r="W2608"/>
  <c r="Y2608"/>
  <c r="AB2608"/>
  <c r="AC2608"/>
  <c r="AD2608"/>
  <c r="P2609"/>
  <c r="W2609"/>
  <c r="Y2609"/>
  <c r="AB2609"/>
  <c r="AC2609"/>
  <c r="AD2609"/>
  <c r="P2610"/>
  <c r="W2610"/>
  <c r="Y2610"/>
  <c r="AB2610"/>
  <c r="AC2610"/>
  <c r="AD2610"/>
  <c r="P2611"/>
  <c r="W2611"/>
  <c r="Y2611"/>
  <c r="AB2611"/>
  <c r="AC2611"/>
  <c r="AD2611"/>
  <c r="P2612"/>
  <c r="W2612"/>
  <c r="Y2612"/>
  <c r="AB2612"/>
  <c r="AC2612"/>
  <c r="AD2612"/>
  <c r="P2613"/>
  <c r="T2613"/>
  <c r="U2613"/>
  <c r="V2613"/>
  <c r="W2613"/>
  <c r="Y2613"/>
  <c r="AA2613"/>
  <c r="AB2613"/>
  <c r="AC2613"/>
  <c r="AD2613"/>
  <c r="P2614"/>
  <c r="T2614"/>
  <c r="U2614"/>
  <c r="V2614"/>
  <c r="W2614"/>
  <c r="Y2614"/>
  <c r="AA2614"/>
  <c r="AB2614"/>
  <c r="AC2614"/>
  <c r="AD2614"/>
  <c r="P2615"/>
  <c r="T2615"/>
  <c r="U2615"/>
  <c r="V2615"/>
  <c r="W2615"/>
  <c r="Y2615"/>
  <c r="AA2615"/>
  <c r="AB2615"/>
  <c r="AC2615"/>
  <c r="AD2615"/>
  <c r="P2616"/>
  <c r="T2616"/>
  <c r="U2616"/>
  <c r="V2616"/>
  <c r="W2616"/>
  <c r="Y2616"/>
  <c r="AA2616"/>
  <c r="AB2616"/>
  <c r="AC2616"/>
  <c r="AD2616"/>
  <c r="P2617"/>
  <c r="T2617"/>
  <c r="U2617"/>
  <c r="V2617"/>
  <c r="W2617"/>
  <c r="Y2617"/>
  <c r="AA2617"/>
  <c r="AB2617"/>
  <c r="AC2617"/>
  <c r="AD2617"/>
  <c r="P2618"/>
  <c r="T2618"/>
  <c r="U2618"/>
  <c r="V2618"/>
  <c r="W2618"/>
  <c r="Y2618"/>
  <c r="AA2618"/>
  <c r="AB2618"/>
  <c r="AC2618"/>
  <c r="AD2618"/>
  <c r="P2619"/>
  <c r="T2619"/>
  <c r="U2619"/>
  <c r="V2619"/>
  <c r="W2619"/>
  <c r="Y2619"/>
  <c r="AA2619"/>
  <c r="AB2619"/>
  <c r="AC2619"/>
  <c r="AD2619"/>
  <c r="P2620"/>
  <c r="T2620"/>
  <c r="U2620"/>
  <c r="V2620"/>
  <c r="W2620"/>
  <c r="Y2620"/>
  <c r="AA2620"/>
  <c r="AB2620"/>
  <c r="AC2620"/>
  <c r="AD2620"/>
  <c r="P2621"/>
  <c r="T2621"/>
  <c r="U2621"/>
  <c r="V2621"/>
  <c r="W2621"/>
  <c r="Y2621"/>
  <c r="AA2621"/>
  <c r="AB2621"/>
  <c r="AC2621"/>
  <c r="AD2621"/>
  <c r="P2622"/>
  <c r="T2622"/>
  <c r="U2622"/>
  <c r="V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A2630"/>
  <c r="AB2630"/>
  <c r="AC2630"/>
  <c r="AD2630"/>
  <c r="P2631"/>
  <c r="T2631"/>
  <c r="U2631"/>
  <c r="V2631"/>
  <c r="W2631"/>
  <c r="Y2631"/>
  <c r="AA2631"/>
  <c r="AB2631"/>
  <c r="AC2631"/>
  <c r="AD2631"/>
  <c r="P2632"/>
  <c r="T2632"/>
  <c r="U2632"/>
  <c r="V2632"/>
  <c r="W2632"/>
  <c r="Y2632"/>
  <c r="AA2632"/>
  <c r="AB2632"/>
  <c r="AC2632"/>
  <c r="AD2632"/>
  <c r="P2633"/>
  <c r="T2633"/>
  <c r="U2633"/>
  <c r="V2633"/>
  <c r="W2633"/>
  <c r="Y2633"/>
  <c r="AA2633"/>
  <c r="AB2633"/>
  <c r="AC2633"/>
  <c r="AD2633"/>
  <c r="P2634"/>
  <c r="T2634"/>
  <c r="U2634"/>
  <c r="V2634"/>
  <c r="W2634"/>
  <c r="Y2634"/>
  <c r="AA2634"/>
  <c r="AB2634"/>
  <c r="AC2634"/>
  <c r="AD2634"/>
  <c r="P2635"/>
  <c r="T2635"/>
  <c r="U2635"/>
  <c r="V2635"/>
  <c r="W2635"/>
  <c r="Y2635"/>
  <c r="AA2635"/>
  <c r="AB2635"/>
  <c r="AC2635"/>
  <c r="AD2635"/>
  <c r="P2636"/>
  <c r="T2636"/>
  <c r="U2636"/>
  <c r="V2636"/>
  <c r="W2636"/>
  <c r="Y2636"/>
  <c r="AA2636"/>
  <c r="AB2636"/>
  <c r="AC2636"/>
  <c r="AD2636"/>
  <c r="P2637"/>
  <c r="T2637"/>
  <c r="U2637"/>
  <c r="V2637"/>
  <c r="W2637"/>
  <c r="Y2637"/>
  <c r="AA2637"/>
  <c r="AB2637"/>
  <c r="AC2637"/>
  <c r="AD2637"/>
  <c r="P2638"/>
  <c r="T2638"/>
  <c r="U2638"/>
  <c r="V2638"/>
  <c r="W2638"/>
  <c r="Y2638"/>
  <c r="AA2638"/>
  <c r="AB2638"/>
  <c r="AC2638"/>
  <c r="AD2638"/>
  <c r="P2639"/>
  <c r="T2639"/>
  <c r="U2639"/>
  <c r="V2639"/>
  <c r="W2639"/>
  <c r="Y2639"/>
  <c r="AA2639"/>
  <c r="AB2639"/>
  <c r="AC2639"/>
  <c r="AD2639"/>
  <c r="P2640"/>
  <c r="T2640"/>
  <c r="U2640"/>
  <c r="V2640"/>
  <c r="W2640"/>
  <c r="Y2640"/>
  <c r="AA2640"/>
  <c r="AB2640"/>
  <c r="AC2640"/>
  <c r="AD2640"/>
  <c r="P2641"/>
  <c r="T2641"/>
  <c r="U2641"/>
  <c r="V2641"/>
  <c r="W2641"/>
  <c r="Y2641"/>
  <c r="AB2641"/>
  <c r="AC2641"/>
  <c r="AD2641"/>
  <c r="P2642"/>
  <c r="T2642"/>
  <c r="U2642"/>
  <c r="V2642"/>
  <c r="W2642"/>
  <c r="Y2642"/>
  <c r="AB2642"/>
  <c r="AC2642"/>
  <c r="AD2642"/>
  <c r="P2760"/>
  <c r="T2760"/>
  <c r="U2760"/>
  <c r="V2760"/>
  <c r="W2760"/>
  <c r="Y2760"/>
  <c r="AB2643"/>
  <c r="AC2643"/>
  <c r="AD2643"/>
  <c r="P2761"/>
  <c r="T2761"/>
  <c r="U2761"/>
  <c r="V2761"/>
  <c r="W2761"/>
  <c r="Y2761"/>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B2651"/>
  <c r="AC2651"/>
  <c r="AD2651"/>
  <c r="P2652"/>
  <c r="T2652"/>
  <c r="U2652"/>
  <c r="V2652"/>
  <c r="W2652"/>
  <c r="Y2652"/>
  <c r="AB2652"/>
  <c r="AC2652"/>
  <c r="AD2652"/>
  <c r="P2653"/>
  <c r="T2653"/>
  <c r="U2653"/>
  <c r="V2653"/>
  <c r="W2653"/>
  <c r="Y2653"/>
  <c r="AB2653"/>
  <c r="AC2653"/>
  <c r="AD2653"/>
  <c r="P2654"/>
  <c r="T2654"/>
  <c r="U2654"/>
  <c r="V2654"/>
  <c r="W2654"/>
  <c r="Y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T2660"/>
  <c r="U2660"/>
  <c r="V2660"/>
  <c r="W2660"/>
  <c r="Y2660"/>
  <c r="AA2660"/>
  <c r="AB2660"/>
  <c r="AC2660"/>
  <c r="AD2660"/>
  <c r="P2661"/>
  <c r="T2661"/>
  <c r="U2661"/>
  <c r="V2661"/>
  <c r="W2661"/>
  <c r="Y2661"/>
  <c r="AB2661"/>
  <c r="AC2661"/>
  <c r="AD2661"/>
  <c r="P2662"/>
  <c r="T2662"/>
  <c r="U2662"/>
  <c r="V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W2682"/>
  <c r="Y2682"/>
  <c r="AB2682"/>
  <c r="AC2682"/>
  <c r="AD2682"/>
  <c r="P2683"/>
  <c r="W2683"/>
  <c r="Y2683"/>
  <c r="AB2683"/>
  <c r="AC2683"/>
  <c r="AD2683"/>
  <c r="P2684"/>
  <c r="W2684"/>
  <c r="Y2684"/>
  <c r="AB2684"/>
  <c r="AC2684"/>
  <c r="AD2684"/>
  <c r="P2685"/>
  <c r="W2685"/>
  <c r="Y2685"/>
  <c r="AB2685"/>
  <c r="AC2685"/>
  <c r="AD2685"/>
  <c r="P2687"/>
  <c r="W2687"/>
  <c r="Y2687"/>
  <c r="AB2687"/>
  <c r="AC2687"/>
  <c r="AD2687"/>
  <c r="P2688"/>
  <c r="W2688"/>
  <c r="Y2688"/>
  <c r="AB2688"/>
  <c r="AC2688"/>
  <c r="AD2688"/>
  <c r="P2689"/>
  <c r="W2689"/>
  <c r="Y2689"/>
  <c r="AB2689"/>
  <c r="AC2689"/>
  <c r="AD2689"/>
  <c r="P2690"/>
  <c r="W2690"/>
  <c r="Y2690"/>
  <c r="AB2690"/>
  <c r="AC2690"/>
  <c r="AD2690"/>
  <c r="P2691"/>
  <c r="W2691"/>
  <c r="Y2691"/>
  <c r="AB2691"/>
  <c r="AC2691"/>
  <c r="AD2691"/>
  <c r="P2692"/>
  <c r="W2692"/>
  <c r="Y2692"/>
  <c r="AB2692"/>
  <c r="AC2692"/>
  <c r="AD2692"/>
  <c r="P2693"/>
  <c r="W2693"/>
  <c r="Y2693"/>
  <c r="AB2693"/>
  <c r="AC2693"/>
  <c r="AD2693"/>
  <c r="P2694"/>
  <c r="W2694"/>
  <c r="Y2694"/>
  <c r="AB2694"/>
  <c r="AC2694"/>
  <c r="AD2694"/>
  <c r="P2695"/>
  <c r="W2695"/>
  <c r="Y2695"/>
  <c r="AB2695"/>
  <c r="AC2695"/>
  <c r="AD2695"/>
  <c r="P2696"/>
  <c r="W2696"/>
  <c r="Y2696"/>
  <c r="AB2696"/>
  <c r="AC2696"/>
  <c r="AD2696"/>
  <c r="P2697"/>
  <c r="W2697"/>
  <c r="Y2697"/>
  <c r="AB2697"/>
  <c r="AC2697"/>
  <c r="AD2697"/>
  <c r="P2698"/>
  <c r="W2698"/>
  <c r="Y2698"/>
  <c r="AB2698"/>
  <c r="AC2698"/>
  <c r="AD2698"/>
  <c r="P2699"/>
  <c r="W2699"/>
  <c r="Y2699"/>
  <c r="AB2699"/>
  <c r="AC2699"/>
  <c r="AD2699"/>
  <c r="P2700"/>
  <c r="W2700"/>
  <c r="Y2700"/>
  <c r="AB2700"/>
  <c r="AC2700"/>
  <c r="AD2700"/>
  <c r="P2701"/>
  <c r="W2701"/>
  <c r="Y2701"/>
  <c r="AB2701"/>
  <c r="AC2701"/>
  <c r="AD2701"/>
  <c r="P2702"/>
  <c r="W2702"/>
  <c r="Y2702"/>
  <c r="AB2702"/>
  <c r="AC2702"/>
  <c r="AD2702"/>
  <c r="P2703"/>
  <c r="W2703"/>
  <c r="Y2703"/>
  <c r="AB2703"/>
  <c r="AC2703"/>
  <c r="AD2703"/>
  <c r="P2704"/>
  <c r="W2704"/>
  <c r="Y2704"/>
  <c r="AB2704"/>
  <c r="AC2704"/>
  <c r="AD2704"/>
  <c r="P2705"/>
  <c r="W2705"/>
  <c r="Y2705"/>
  <c r="AB2705"/>
  <c r="AC2705"/>
  <c r="AD2705"/>
  <c r="P2706"/>
  <c r="W2706"/>
  <c r="Y2706"/>
  <c r="AB2706"/>
  <c r="AC2706"/>
  <c r="AD2706"/>
  <c r="P2707"/>
  <c r="W2707"/>
  <c r="Y2707"/>
  <c r="AB2707"/>
  <c r="AC2707"/>
  <c r="AD2707"/>
  <c r="P2708"/>
  <c r="W2708"/>
  <c r="Y2708"/>
  <c r="AB2708"/>
  <c r="AC2708"/>
  <c r="AD2708"/>
  <c r="P2709"/>
  <c r="W2709"/>
  <c r="Y2709"/>
  <c r="AB2709"/>
  <c r="AC2709"/>
  <c r="AD2709"/>
  <c r="P2710"/>
  <c r="W2710"/>
  <c r="Y2710"/>
  <c r="AB2710"/>
  <c r="AC2710"/>
  <c r="AD2710"/>
  <c r="P2711"/>
  <c r="W2711"/>
  <c r="Y2711"/>
  <c r="AB2711"/>
  <c r="AC2711"/>
  <c r="AD2711"/>
  <c r="P2712"/>
  <c r="W2712"/>
  <c r="Y2712"/>
  <c r="AB2712"/>
  <c r="AC2712"/>
  <c r="AD2712"/>
  <c r="P2713"/>
  <c r="W2713"/>
  <c r="Y2713"/>
  <c r="AB2713"/>
  <c r="AC2713"/>
  <c r="AD2713"/>
  <c r="P2714"/>
  <c r="W2714"/>
  <c r="Y2714"/>
  <c r="AB2714"/>
  <c r="AC2714"/>
  <c r="AD2714"/>
  <c r="P2715"/>
  <c r="W2715"/>
  <c r="Y2715"/>
  <c r="AB2715"/>
  <c r="AC2715"/>
  <c r="AD2715"/>
  <c r="P2716"/>
  <c r="W2716"/>
  <c r="Y2716"/>
  <c r="AB2716"/>
  <c r="AC2716"/>
  <c r="AD2716"/>
  <c r="P2717"/>
  <c r="W2717"/>
  <c r="Y2717"/>
  <c r="AB2717"/>
  <c r="AC2717"/>
  <c r="AD2717"/>
  <c r="P2718"/>
  <c r="W2718"/>
  <c r="Y2718"/>
  <c r="AB2718"/>
  <c r="AC2718"/>
  <c r="AD2718"/>
  <c r="P2719"/>
  <c r="W2719"/>
  <c r="Y2719"/>
  <c r="AB2719"/>
  <c r="AC2719"/>
  <c r="AD2719"/>
  <c r="P2720"/>
  <c r="W2720"/>
  <c r="Y2720"/>
  <c r="AB2720"/>
  <c r="AC2720"/>
  <c r="AD2720"/>
  <c r="P2721"/>
  <c r="W2721"/>
  <c r="Y2721"/>
  <c r="AB2721"/>
  <c r="AC2721"/>
  <c r="AD2721"/>
  <c r="P2722"/>
  <c r="W2722"/>
  <c r="Y2722"/>
  <c r="AB2722"/>
  <c r="AC2722"/>
  <c r="AD2722"/>
  <c r="P2723"/>
  <c r="W2723"/>
  <c r="Y2723"/>
  <c r="AB2723"/>
  <c r="AC2723"/>
  <c r="AD2723"/>
  <c r="P2724"/>
  <c r="W2724"/>
  <c r="Y2724"/>
  <c r="AB2724"/>
  <c r="AC2724"/>
  <c r="AD2724"/>
  <c r="P2725"/>
  <c r="W2725"/>
  <c r="Y2725"/>
  <c r="AB2725"/>
  <c r="AC2725"/>
  <c r="AD2725"/>
  <c r="P2726"/>
  <c r="W2726"/>
  <c r="Y2726"/>
  <c r="AB2726"/>
  <c r="AC2726"/>
  <c r="AD2726"/>
  <c r="P2727"/>
  <c r="W2727"/>
  <c r="Y2727"/>
  <c r="AB2727"/>
  <c r="AC2727"/>
  <c r="AD2727"/>
  <c r="P2728"/>
  <c r="W2728"/>
  <c r="Y2728"/>
  <c r="AB2728"/>
  <c r="AC2728"/>
  <c r="AD2728"/>
  <c r="P2729"/>
  <c r="W2729"/>
  <c r="Y2729"/>
  <c r="AB2729"/>
  <c r="AC2729"/>
  <c r="AD2729"/>
  <c r="P2730"/>
  <c r="W2730"/>
  <c r="Y2730"/>
  <c r="AB2730"/>
  <c r="AC2730"/>
  <c r="AD2730"/>
  <c r="P2731"/>
  <c r="W2731"/>
  <c r="Y2731"/>
  <c r="AB2731"/>
  <c r="AC2731"/>
  <c r="AD2731"/>
  <c r="P2732"/>
  <c r="W2732"/>
  <c r="Y2732"/>
  <c r="AB2732"/>
  <c r="AC2732"/>
  <c r="AD2732"/>
  <c r="P2733"/>
  <c r="W2733"/>
  <c r="Y2733"/>
  <c r="AB2733"/>
  <c r="AC2733"/>
  <c r="AD2733"/>
  <c r="P2734"/>
  <c r="W2734"/>
  <c r="Y2734"/>
  <c r="AB2734"/>
  <c r="AC2734"/>
  <c r="AD2734"/>
  <c r="P2735"/>
  <c r="W2735"/>
  <c r="Y2735"/>
  <c r="AB2735"/>
  <c r="AC2735"/>
  <c r="AD2735"/>
  <c r="P2643"/>
  <c r="T2643"/>
  <c r="U2643"/>
  <c r="V2643"/>
  <c r="W2643"/>
  <c r="Y2643"/>
  <c r="AB2736"/>
  <c r="AC2736"/>
  <c r="AD2736"/>
  <c r="P2644"/>
  <c r="T2644"/>
  <c r="U2644"/>
  <c r="V2644"/>
  <c r="W2644"/>
  <c r="Y2644"/>
  <c r="AB2737"/>
  <c r="AC2737"/>
  <c r="AD2737"/>
  <c r="P2736"/>
  <c r="T2736"/>
  <c r="U2736"/>
  <c r="V2736"/>
  <c r="W2736"/>
  <c r="Y2736"/>
  <c r="AA2738"/>
  <c r="AB2738"/>
  <c r="AC2738"/>
  <c r="AD2738"/>
  <c r="P2737"/>
  <c r="T2737"/>
  <c r="U2737"/>
  <c r="V2737"/>
  <c r="W2737"/>
  <c r="Y2737"/>
  <c r="AA2739"/>
  <c r="AB2739"/>
  <c r="AC2739"/>
  <c r="AD2739"/>
  <c r="P2738"/>
  <c r="T2738"/>
  <c r="U2738"/>
  <c r="V2738"/>
  <c r="W2738"/>
  <c r="Y2738"/>
  <c r="AA2742"/>
  <c r="AB2742"/>
  <c r="AC2742"/>
  <c r="AD2742"/>
  <c r="P2739"/>
  <c r="T2739"/>
  <c r="U2739"/>
  <c r="V2739"/>
  <c r="W2739"/>
  <c r="Y2739"/>
  <c r="AA2743"/>
  <c r="AB2743"/>
  <c r="AC2743"/>
  <c r="AD2743"/>
  <c r="P2742"/>
  <c r="T2742"/>
  <c r="U2742"/>
  <c r="V2742"/>
  <c r="W2742"/>
  <c r="Y2742"/>
  <c r="AA2744"/>
  <c r="AB2744"/>
  <c r="AC2744"/>
  <c r="AD2744"/>
  <c r="P2743"/>
  <c r="T2743"/>
  <c r="U2743"/>
  <c r="V2743"/>
  <c r="W2743"/>
  <c r="Y2743"/>
  <c r="AA2745"/>
  <c r="AB2745"/>
  <c r="AC2745"/>
  <c r="AD2745"/>
  <c r="P2744"/>
  <c r="T2744"/>
  <c r="U2744"/>
  <c r="V2744"/>
  <c r="W2744"/>
  <c r="Y2744"/>
  <c r="AA2746"/>
  <c r="AB2746"/>
  <c r="AC2746"/>
  <c r="AD2746"/>
  <c r="P2745"/>
  <c r="T2745"/>
  <c r="U2745"/>
  <c r="V2745"/>
  <c r="W2745"/>
  <c r="Y2745"/>
  <c r="AA2747"/>
  <c r="AB2747"/>
  <c r="AC2747"/>
  <c r="AD2747"/>
  <c r="P2746"/>
  <c r="T2746"/>
  <c r="U2746"/>
  <c r="V2746"/>
  <c r="W2746"/>
  <c r="Y2746"/>
  <c r="AA2750"/>
  <c r="AB2750"/>
  <c r="AC2750"/>
  <c r="AD2750"/>
  <c r="P2747"/>
  <c r="T2747"/>
  <c r="U2747"/>
  <c r="V2747"/>
  <c r="W2747"/>
  <c r="Y2747"/>
  <c r="AA2751"/>
  <c r="AB2751"/>
  <c r="AC2751"/>
  <c r="AD2751"/>
  <c r="P2750"/>
  <c r="T2750"/>
  <c r="U2750"/>
  <c r="V2750"/>
  <c r="W2750"/>
  <c r="Y2750"/>
  <c r="AA2752"/>
  <c r="AB2752"/>
  <c r="AC2752"/>
  <c r="AD2752"/>
  <c r="P2751"/>
  <c r="T2751"/>
  <c r="U2751"/>
  <c r="V2751"/>
  <c r="W2751"/>
  <c r="Y2751"/>
  <c r="AA2753"/>
  <c r="AB2753"/>
  <c r="AC2753"/>
  <c r="AD2753"/>
  <c r="P2752"/>
  <c r="T2752"/>
  <c r="U2752"/>
  <c r="V2752"/>
  <c r="W2752"/>
  <c r="Y2752"/>
  <c r="AA2756"/>
  <c r="AB2756"/>
  <c r="AC2756"/>
  <c r="AD2756"/>
  <c r="P2753"/>
  <c r="T2753"/>
  <c r="U2753"/>
  <c r="V2753"/>
  <c r="W2753"/>
  <c r="Y2753"/>
  <c r="AA2757"/>
  <c r="AB2757"/>
  <c r="AC2757"/>
  <c r="AD2757"/>
  <c r="P2756"/>
  <c r="T2756"/>
  <c r="U2756"/>
  <c r="V2756"/>
  <c r="W2756"/>
  <c r="Y2756"/>
  <c r="AA2758"/>
  <c r="AB2758"/>
  <c r="AC2758"/>
  <c r="AD2758"/>
  <c r="P2757"/>
  <c r="T2757"/>
  <c r="U2757"/>
  <c r="V2757"/>
  <c r="W2757"/>
  <c r="Y2757"/>
  <c r="AA2759"/>
  <c r="AB2759"/>
  <c r="AC2759"/>
  <c r="AD2759"/>
  <c r="P2758"/>
  <c r="T2758"/>
  <c r="U2758"/>
  <c r="V2758"/>
  <c r="W2758"/>
  <c r="Y2758"/>
  <c r="AB2760"/>
  <c r="AC2760"/>
  <c r="AD2760"/>
  <c r="P2759"/>
  <c r="T2759"/>
  <c r="U2759"/>
  <c r="V2759"/>
  <c r="W2759"/>
  <c r="Y2759"/>
  <c r="AB2761"/>
  <c r="AC2761"/>
  <c r="AD2761"/>
  <c r="P2762"/>
  <c r="T2762"/>
  <c r="U2762"/>
  <c r="V2762"/>
  <c r="W2762"/>
  <c r="Y2762"/>
  <c r="AA2762"/>
  <c r="AB2762"/>
  <c r="AC2762"/>
  <c r="AD2762"/>
  <c r="P2764"/>
  <c r="W2764"/>
  <c r="Y2764"/>
  <c r="AB2764"/>
  <c r="AC2764"/>
  <c r="AD2764"/>
  <c r="P2766"/>
  <c r="T2766"/>
  <c r="U2766"/>
  <c r="V2766"/>
  <c r="W2766"/>
  <c r="Y2766"/>
  <c r="AA2766"/>
  <c r="AB2766"/>
  <c r="AC2766"/>
  <c r="AD2766"/>
  <c r="P2767"/>
  <c r="T2767"/>
  <c r="U2767"/>
  <c r="V2767"/>
  <c r="W2767"/>
  <c r="Y2767"/>
  <c r="AA2767"/>
  <c r="AB2767"/>
  <c r="AC2767"/>
  <c r="AD2767"/>
  <c r="P2768"/>
  <c r="T2768"/>
  <c r="U2768"/>
  <c r="V2768"/>
  <c r="W2768"/>
  <c r="Y2768"/>
  <c r="AA2768"/>
  <c r="AB2768"/>
  <c r="AC2768"/>
  <c r="AD2768"/>
  <c r="P2769"/>
  <c r="T2769"/>
  <c r="U2769"/>
  <c r="V2769"/>
  <c r="W2769"/>
  <c r="Y2769"/>
  <c r="AA2769"/>
  <c r="AB2769"/>
  <c r="AC2769"/>
  <c r="AD2769"/>
  <c r="P2770"/>
  <c r="T2770"/>
  <c r="U2770"/>
  <c r="V2770"/>
  <c r="W2770"/>
  <c r="Y2770"/>
  <c r="AA2770"/>
  <c r="AB2770"/>
  <c r="AC2770"/>
  <c r="AD2770"/>
  <c r="P2771"/>
  <c r="T2771"/>
  <c r="U2771"/>
  <c r="V2771"/>
  <c r="W2771"/>
  <c r="Y2771"/>
  <c r="AA2771"/>
  <c r="AB2771"/>
  <c r="AC2771"/>
  <c r="AD2771"/>
  <c r="P2772"/>
  <c r="W2772"/>
  <c r="Y2772"/>
  <c r="AB2772"/>
  <c r="AC2772"/>
  <c r="AD2772"/>
  <c r="P2775"/>
  <c r="T2775"/>
  <c r="U2775"/>
  <c r="V2775"/>
  <c r="W2775"/>
  <c r="Y2775"/>
  <c r="AA2775"/>
  <c r="AB2775"/>
  <c r="AC2775"/>
  <c r="AD2775"/>
  <c r="P2776"/>
  <c r="T2776"/>
  <c r="U2776"/>
  <c r="V2776"/>
  <c r="W2776"/>
  <c r="Y2776"/>
  <c r="AA2776"/>
  <c r="AB2776"/>
  <c r="AC2776"/>
  <c r="AD2776"/>
  <c r="P2777"/>
  <c r="T2777"/>
  <c r="U2777"/>
  <c r="V2777"/>
  <c r="W2777"/>
  <c r="Y2777"/>
  <c r="AA2777"/>
  <c r="AB2777"/>
  <c r="AC2777"/>
  <c r="AD2777"/>
  <c r="P2778"/>
  <c r="W2778"/>
  <c r="Y2778"/>
  <c r="AA2778"/>
  <c r="AB2778"/>
  <c r="AC2778"/>
  <c r="AD2778"/>
  <c r="P2779"/>
  <c r="W2779"/>
  <c r="Y2779"/>
  <c r="AA2779"/>
  <c r="AB2779"/>
  <c r="AC2779"/>
  <c r="AD2779"/>
  <c r="P2780"/>
  <c r="W2780"/>
  <c r="Y2780"/>
  <c r="AA2780"/>
  <c r="AB2780"/>
  <c r="AC2780"/>
  <c r="AD2780"/>
  <c r="P2781"/>
  <c r="W2781"/>
  <c r="Y2781"/>
  <c r="AA2781"/>
  <c r="AB2781"/>
  <c r="AC2781"/>
  <c r="AD2781"/>
  <c r="P2782"/>
  <c r="W2782"/>
  <c r="Y2782"/>
  <c r="AA2782"/>
  <c r="AB2782"/>
  <c r="AC2782"/>
  <c r="AD2782"/>
  <c r="P2783"/>
  <c r="W2783"/>
  <c r="Y2783"/>
  <c r="AB2783"/>
  <c r="AC2783"/>
  <c r="AD2783"/>
  <c r="P2784"/>
  <c r="W2784"/>
  <c r="Y2784"/>
  <c r="AB2784"/>
  <c r="AC2784"/>
  <c r="AD2784"/>
  <c r="P2785"/>
  <c r="W2785"/>
  <c r="Y2785"/>
  <c r="AA2785"/>
  <c r="AB2785"/>
  <c r="AC2785"/>
  <c r="AD2785"/>
  <c r="P2786"/>
  <c r="W2786"/>
  <c r="Y2786"/>
  <c r="AA2786"/>
  <c r="AB2786"/>
  <c r="AC2786"/>
  <c r="AD2786"/>
  <c r="P2787"/>
  <c r="W2787"/>
  <c r="Y2787"/>
  <c r="AA2787"/>
  <c r="AB2787"/>
  <c r="AC2787"/>
  <c r="AD2787"/>
  <c r="P2788"/>
  <c r="W2788"/>
  <c r="Y2788"/>
  <c r="AA2788"/>
  <c r="AB2788"/>
  <c r="AC2788"/>
  <c r="AD2788"/>
  <c r="P2789"/>
  <c r="W2789"/>
  <c r="Y2789"/>
  <c r="AB2789"/>
  <c r="AC2789"/>
  <c r="AD2789"/>
  <c r="P2790"/>
  <c r="W2790"/>
  <c r="Y2790"/>
  <c r="AB2790"/>
  <c r="AC2790"/>
  <c r="AD2790"/>
  <c r="P2791"/>
  <c r="W2791"/>
  <c r="Y2791"/>
  <c r="AB2791"/>
  <c r="AC2791"/>
  <c r="AD2791"/>
  <c r="P2792"/>
  <c r="W2792"/>
  <c r="Y2792"/>
  <c r="AB2792"/>
  <c r="AC2792"/>
  <c r="AD2792"/>
  <c r="P2793"/>
  <c r="W2793"/>
  <c r="Y2793"/>
  <c r="AB2793"/>
  <c r="AC2793"/>
  <c r="AD2793"/>
  <c r="P2794"/>
  <c r="W2794"/>
  <c r="Y2794"/>
  <c r="AB2794"/>
  <c r="AC2794"/>
  <c r="AD2794"/>
  <c r="P2795"/>
  <c r="W2795"/>
  <c r="Y2795"/>
  <c r="AB2795"/>
  <c r="AC2795"/>
  <c r="AD2795"/>
  <c r="P2796"/>
  <c r="W2796"/>
  <c r="Y2796"/>
  <c r="AB2796"/>
  <c r="AC2796"/>
  <c r="AD2796"/>
  <c r="P2797"/>
  <c r="W2797"/>
  <c r="Y2797"/>
  <c r="AB2797"/>
  <c r="AC2797"/>
  <c r="AD2797"/>
  <c r="P2798"/>
  <c r="W2798"/>
  <c r="Y2798"/>
  <c r="AB2798"/>
  <c r="AC2798"/>
  <c r="AD2798"/>
  <c r="P2799"/>
  <c r="W2799"/>
  <c r="Y2799"/>
  <c r="AB2799"/>
  <c r="AC2799"/>
  <c r="AD2799"/>
  <c r="P2800"/>
  <c r="W2800"/>
  <c r="Y2800"/>
  <c r="AB2800"/>
  <c r="AC2800"/>
  <c r="AD2800"/>
  <c r="P2801"/>
  <c r="W2801"/>
  <c r="Y2801"/>
  <c r="AB2801"/>
  <c r="AC2801"/>
  <c r="AD2801"/>
  <c r="P2802"/>
  <c r="W2802"/>
  <c r="Y2802"/>
  <c r="AB2802"/>
  <c r="AC2802"/>
  <c r="AD2802"/>
  <c r="P2803"/>
  <c r="W2803"/>
  <c r="Y2803"/>
  <c r="AB2803"/>
  <c r="AC2803"/>
  <c r="AD2803"/>
  <c r="P2804"/>
  <c r="W2804"/>
  <c r="Y2804"/>
  <c r="AB2804"/>
  <c r="AC2804"/>
  <c r="AD2804"/>
  <c r="P2805"/>
  <c r="W2805"/>
  <c r="Y2805"/>
  <c r="AB2805"/>
  <c r="AC2805"/>
  <c r="AD2805"/>
  <c r="P2806"/>
  <c r="W2806"/>
  <c r="Y2806"/>
  <c r="AB2806"/>
  <c r="AC2806"/>
  <c r="AD2806"/>
  <c r="P2807"/>
  <c r="W2807"/>
  <c r="Y2807"/>
  <c r="AB2807"/>
  <c r="AC2807"/>
  <c r="AD2807"/>
  <c r="P2808"/>
  <c r="W2808"/>
  <c r="Y2808"/>
  <c r="AB2808"/>
  <c r="AC2808"/>
  <c r="AD2808"/>
  <c r="P2809"/>
  <c r="W2809"/>
  <c r="Y2809"/>
  <c r="AB2809"/>
  <c r="AC2809"/>
  <c r="AD2809"/>
  <c r="P2810"/>
  <c r="W2810"/>
  <c r="Y2810"/>
  <c r="AB2810"/>
  <c r="AC2810"/>
  <c r="AD2810"/>
  <c r="P2811"/>
  <c r="W2811"/>
  <c r="Y2811"/>
  <c r="AB2811"/>
  <c r="AC2811"/>
  <c r="AD2811"/>
  <c r="P2812"/>
  <c r="W2812"/>
  <c r="Y2812"/>
  <c r="AB2812"/>
  <c r="AC2812"/>
  <c r="AD2812"/>
  <c r="P2813"/>
  <c r="W2813"/>
  <c r="Y2813"/>
  <c r="AB2813"/>
  <c r="AC2813"/>
  <c r="AD2813"/>
  <c r="P2814"/>
  <c r="W2814"/>
  <c r="Y2814"/>
  <c r="AB2814"/>
  <c r="AC2814"/>
  <c r="AD2814"/>
  <c r="P2815"/>
  <c r="W2815"/>
  <c r="Y2815"/>
  <c r="AB2815"/>
  <c r="AC2815"/>
  <c r="AD2815"/>
  <c r="P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W2824"/>
  <c r="Y2824"/>
  <c r="AB2824"/>
  <c r="AC2824"/>
  <c r="AD2824"/>
  <c r="P2825"/>
  <c r="T2825"/>
  <c r="U2825"/>
  <c r="V2825"/>
  <c r="W2825"/>
  <c r="Y2825"/>
  <c r="AB2825"/>
  <c r="AC2825"/>
  <c r="AD2825"/>
  <c r="P2828"/>
  <c r="T2828"/>
  <c r="U2828"/>
  <c r="V2828"/>
  <c r="W2828"/>
  <c r="Y2828"/>
  <c r="AB2828"/>
  <c r="AC2828"/>
  <c r="AD2828"/>
  <c r="P2829"/>
  <c r="T2829"/>
  <c r="U2829"/>
  <c r="V2829"/>
  <c r="W2829"/>
  <c r="Y2829"/>
  <c r="AB2829"/>
  <c r="AC2829"/>
  <c r="AD2829"/>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43"/>
  <c r="T2843"/>
  <c r="U2843"/>
  <c r="V2843"/>
  <c r="W2843"/>
  <c r="Y2843"/>
  <c r="AB2843"/>
  <c r="AC2843"/>
  <c r="AD2843"/>
  <c r="P2844"/>
  <c r="T2844"/>
  <c r="U2844"/>
  <c r="V2844"/>
  <c r="W2844"/>
  <c r="Y2844"/>
  <c r="AB2844"/>
  <c r="AC2844"/>
  <c r="AD2844"/>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W2853"/>
  <c r="Y2853"/>
  <c r="AB2853"/>
  <c r="AC2853"/>
  <c r="AD2853"/>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3"/>
  <c r="T2863"/>
  <c r="U2863"/>
  <c r="V2863"/>
  <c r="W2863"/>
  <c r="Y2863"/>
  <c r="AB2863"/>
  <c r="AC2863"/>
  <c r="AD2863"/>
  <c r="P2864"/>
  <c r="T2864"/>
  <c r="U2864"/>
  <c r="V2864"/>
  <c r="W2864"/>
  <c r="Y2864"/>
  <c r="AB2864"/>
  <c r="AC2864"/>
  <c r="AD2864"/>
  <c r="P2865"/>
  <c r="T2865"/>
  <c r="U2865"/>
  <c r="V2865"/>
  <c r="W2865"/>
  <c r="Y2865"/>
  <c r="AB2865"/>
  <c r="AC2865"/>
  <c r="AD2865"/>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A2871"/>
  <c r="AB2871"/>
  <c r="AC2871"/>
  <c r="AD2871"/>
  <c r="P2872"/>
  <c r="T2872"/>
  <c r="U2872"/>
  <c r="V2872"/>
  <c r="W2872"/>
  <c r="Y2872"/>
  <c r="AA2872"/>
  <c r="AB2872"/>
  <c r="AC2872"/>
  <c r="AD2872"/>
  <c r="P2873"/>
  <c r="T2873"/>
  <c r="U2873"/>
  <c r="V2873"/>
  <c r="W2873"/>
  <c r="Y2873"/>
  <c r="AB2873"/>
  <c r="AC2873"/>
  <c r="AD2873"/>
  <c r="P2875"/>
  <c r="T2875"/>
  <c r="U2875"/>
  <c r="V2875"/>
  <c r="W2875"/>
  <c r="Y2875"/>
  <c r="AB2875"/>
  <c r="AC2875"/>
  <c r="AD2875"/>
  <c r="P2876"/>
  <c r="T2876"/>
  <c r="U2876"/>
  <c r="V2876"/>
  <c r="W2876"/>
  <c r="Y2876"/>
  <c r="AB2876"/>
  <c r="AC2876"/>
  <c r="AD2876"/>
  <c r="P2874"/>
  <c r="T2874"/>
  <c r="U2874"/>
  <c r="V2874"/>
  <c r="W2874"/>
  <c r="Y2874"/>
  <c r="AB2874"/>
  <c r="AC2874"/>
  <c r="AD2874"/>
  <c r="P2845"/>
  <c r="T2845"/>
  <c r="U2845"/>
  <c r="V2845"/>
  <c r="W2845"/>
  <c r="Y2845"/>
  <c r="AB2845"/>
  <c r="AC2845"/>
  <c r="AD2845"/>
  <c r="P2846"/>
  <c r="T2846"/>
  <c r="U2846"/>
  <c r="V2846"/>
  <c r="W2846"/>
  <c r="Y2846"/>
  <c r="AB2846"/>
  <c r="AC2846"/>
  <c r="AD284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T2888"/>
  <c r="U2888"/>
  <c r="V2888"/>
  <c r="W2888"/>
  <c r="Y2888"/>
  <c r="AB2888"/>
  <c r="AC2888"/>
  <c r="AD2888"/>
  <c r="P2889"/>
  <c r="T2889"/>
  <c r="U2889"/>
  <c r="V2889"/>
  <c r="W2889"/>
  <c r="Y2889"/>
  <c r="AB2889"/>
  <c r="AC2889"/>
  <c r="AD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A2895"/>
  <c r="AB2895"/>
  <c r="AC2895"/>
  <c r="AD2895"/>
  <c r="P2896"/>
  <c r="T2896"/>
  <c r="U2896"/>
  <c r="V2896"/>
  <c r="W2896"/>
  <c r="Y2896"/>
  <c r="AA2896"/>
  <c r="AB2896"/>
  <c r="AC2896"/>
  <c r="AD2896"/>
  <c r="P2897"/>
  <c r="T2897"/>
  <c r="U2897"/>
  <c r="V2897"/>
  <c r="W2897"/>
  <c r="Y2897"/>
  <c r="AA2897"/>
  <c r="AB2897"/>
  <c r="AC2897"/>
  <c r="AD2897"/>
  <c r="P2898"/>
  <c r="T2898"/>
  <c r="U2898"/>
  <c r="V2898"/>
  <c r="W2898"/>
  <c r="Y2898"/>
  <c r="AA2898"/>
  <c r="AB2898"/>
  <c r="AC2898"/>
  <c r="AD2898"/>
  <c r="P2899"/>
  <c r="T2899"/>
  <c r="U2899"/>
  <c r="V2899"/>
  <c r="W2899"/>
  <c r="Y2899"/>
  <c r="AA2899"/>
  <c r="AB2899"/>
  <c r="AC2899"/>
  <c r="AD2899"/>
  <c r="P2900"/>
  <c r="T2900"/>
  <c r="U2900"/>
  <c r="V2900"/>
  <c r="W2900"/>
  <c r="Y2900"/>
  <c r="AA2900"/>
  <c r="AB2900"/>
  <c r="AC2900"/>
  <c r="AD2900"/>
  <c r="P2901"/>
  <c r="T2901"/>
  <c r="U2901"/>
  <c r="V2901"/>
  <c r="W2901"/>
  <c r="Y2901"/>
  <c r="AA2901"/>
  <c r="AB2901"/>
  <c r="AC2901"/>
  <c r="AD2901"/>
  <c r="P2902"/>
  <c r="T2902"/>
  <c r="U2902"/>
  <c r="V2902"/>
  <c r="W2902"/>
  <c r="Y2902"/>
  <c r="AA2902"/>
  <c r="AB2902"/>
  <c r="AC2902"/>
  <c r="AD2902"/>
  <c r="P2903"/>
  <c r="T2903"/>
  <c r="U2903"/>
  <c r="V2903"/>
  <c r="W2903"/>
  <c r="Y2903"/>
  <c r="AB2903"/>
  <c r="AC2903"/>
  <c r="AD2903"/>
  <c r="P2904"/>
  <c r="T2904"/>
  <c r="U2904"/>
  <c r="V2904"/>
  <c r="W2904"/>
  <c r="Y2904"/>
  <c r="AB2904"/>
  <c r="AC2904"/>
  <c r="AD2904"/>
  <c r="P2905"/>
  <c r="T2905"/>
  <c r="U2905"/>
  <c r="V2905"/>
  <c r="W2905"/>
  <c r="Y2905"/>
  <c r="AB2905"/>
  <c r="AC2905"/>
  <c r="AD2905"/>
  <c r="P2906"/>
  <c r="T2906"/>
  <c r="U2906"/>
  <c r="V2906"/>
  <c r="W2906"/>
  <c r="Y2906"/>
  <c r="AB2906"/>
  <c r="AC2906"/>
  <c r="AD2906"/>
  <c r="P2907"/>
  <c r="T2907"/>
  <c r="U2907"/>
  <c r="V2907"/>
  <c r="W2907"/>
  <c r="Y2907"/>
  <c r="AA2907"/>
  <c r="AB2907"/>
  <c r="AC2907"/>
  <c r="AD2907"/>
  <c r="P2908"/>
  <c r="T2908"/>
  <c r="U2908"/>
  <c r="V2908"/>
  <c r="W2908"/>
  <c r="Y2908"/>
  <c r="AA2908"/>
  <c r="AB2908"/>
  <c r="AC2908"/>
  <c r="AD2908"/>
  <c r="P2909"/>
  <c r="T2909"/>
  <c r="U2909"/>
  <c r="V2909"/>
  <c r="W2909"/>
  <c r="Y2909"/>
  <c r="AA2909"/>
  <c r="AB2909"/>
  <c r="AC2909"/>
  <c r="AD2909"/>
  <c r="P2910"/>
  <c r="T2910"/>
  <c r="U2910"/>
  <c r="V2910"/>
  <c r="W2910"/>
  <c r="Y2910"/>
  <c r="AA2910"/>
  <c r="AB2910"/>
  <c r="AC2910"/>
  <c r="AD2910"/>
  <c r="P2911"/>
  <c r="T2911"/>
  <c r="U2911"/>
  <c r="V2911"/>
  <c r="W2911"/>
  <c r="Y2911"/>
  <c r="AA2911"/>
  <c r="AB2911"/>
  <c r="AC2911"/>
  <c r="AD2911"/>
  <c r="P2912"/>
  <c r="T2912"/>
  <c r="U2912"/>
  <c r="V2912"/>
  <c r="W2912"/>
  <c r="Y2912"/>
  <c r="AA2912"/>
  <c r="AB2912"/>
  <c r="AC2912"/>
  <c r="AD2912"/>
  <c r="P2913"/>
  <c r="T2913"/>
  <c r="U2913"/>
  <c r="V2913"/>
  <c r="W2913"/>
  <c r="Y2913"/>
  <c r="AA2913"/>
  <c r="AB2913"/>
  <c r="AC2913"/>
  <c r="AD2913"/>
  <c r="P2914"/>
  <c r="T2914"/>
  <c r="U2914"/>
  <c r="V2914"/>
  <c r="W2914"/>
  <c r="Y2914"/>
  <c r="AA2914"/>
  <c r="AB2914"/>
  <c r="AC2914"/>
  <c r="AD2914"/>
  <c r="P2915"/>
  <c r="T2915"/>
  <c r="U2915"/>
  <c r="V2915"/>
  <c r="W2915"/>
  <c r="Y2915"/>
  <c r="AA2915"/>
  <c r="AB2915"/>
  <c r="AC2915"/>
  <c r="AD2915"/>
  <c r="P2916"/>
  <c r="T2916"/>
  <c r="U2916"/>
  <c r="V2916"/>
  <c r="W2916"/>
  <c r="Y2916"/>
  <c r="AA2916"/>
  <c r="AB2916"/>
  <c r="AC2916"/>
  <c r="AD2916"/>
  <c r="P2919"/>
  <c r="W2919"/>
  <c r="Y2919"/>
  <c r="AB2919"/>
  <c r="AC2919"/>
  <c r="AD2919"/>
  <c r="P2920"/>
  <c r="W2920"/>
  <c r="Y2920"/>
  <c r="AB2920"/>
  <c r="AC2920"/>
  <c r="AD2920"/>
  <c r="P2921"/>
  <c r="W2921"/>
  <c r="Y2921"/>
  <c r="AB2921"/>
  <c r="AC2921"/>
  <c r="AD2921"/>
  <c r="P2922"/>
  <c r="W2922"/>
  <c r="Y2922"/>
  <c r="AB2922"/>
  <c r="AC2922"/>
  <c r="AD2922"/>
  <c r="P2923"/>
  <c r="W2923"/>
  <c r="Y2923"/>
  <c r="AB2923"/>
  <c r="AC2923"/>
  <c r="AD2923"/>
  <c r="P2924"/>
  <c r="W2924"/>
  <c r="Y2924"/>
  <c r="AB2924"/>
  <c r="AC2924"/>
  <c r="AD2924"/>
  <c r="P2925"/>
  <c r="W2925"/>
  <c r="Y2925"/>
  <c r="AB2925"/>
  <c r="AC2925"/>
  <c r="AD2925"/>
  <c r="P2926"/>
  <c r="W2926"/>
  <c r="Y2926"/>
  <c r="AB2926"/>
  <c r="AC2926"/>
  <c r="AD2926"/>
  <c r="P2927"/>
  <c r="W2927"/>
  <c r="Y2927"/>
  <c r="AB2927"/>
  <c r="AC2927"/>
  <c r="AD2927"/>
  <c r="P2928"/>
  <c r="W2928"/>
  <c r="Y2928"/>
  <c r="AB2928"/>
  <c r="AC2928"/>
  <c r="AD2928"/>
  <c r="P2929"/>
  <c r="W2929"/>
  <c r="Y2929"/>
  <c r="AB2929"/>
  <c r="AC2929"/>
  <c r="AD2929"/>
  <c r="P2930"/>
  <c r="W2930"/>
  <c r="Y2930"/>
  <c r="AB2930"/>
  <c r="AC2930"/>
  <c r="AD2930"/>
  <c r="P2931"/>
  <c r="W2931"/>
  <c r="Y2931"/>
  <c r="AB2931"/>
  <c r="AC2931"/>
  <c r="AD2931"/>
  <c r="P2932"/>
  <c r="W2932"/>
  <c r="Y2932"/>
  <c r="AB2932"/>
  <c r="AC2932"/>
  <c r="AD2932"/>
  <c r="P2933"/>
  <c r="W2933"/>
  <c r="Y2933"/>
  <c r="AB2933"/>
  <c r="AC2933"/>
  <c r="AD2933"/>
  <c r="P2934"/>
  <c r="W2934"/>
  <c r="Y2934"/>
  <c r="AB2934"/>
  <c r="AC2934"/>
  <c r="AD2934"/>
  <c r="P2935"/>
  <c r="W2935"/>
  <c r="Y2935"/>
  <c r="AB2935"/>
  <c r="AC2935"/>
  <c r="AD2935"/>
  <c r="P2936"/>
  <c r="W2936"/>
  <c r="Y2936"/>
  <c r="AB2936"/>
  <c r="AC2936"/>
  <c r="AD2936"/>
  <c r="P2937"/>
  <c r="W2937"/>
  <c r="Y2937"/>
  <c r="AB2937"/>
  <c r="AC2937"/>
  <c r="AD2937"/>
  <c r="P2938"/>
  <c r="W2938"/>
  <c r="Y2938"/>
  <c r="AB2938"/>
  <c r="AC2938"/>
  <c r="AD2938"/>
  <c r="P2939"/>
  <c r="W2939"/>
  <c r="Y2939"/>
  <c r="AB2939"/>
  <c r="AC2939"/>
  <c r="AD2939"/>
  <c r="P2940"/>
  <c r="W2940"/>
  <c r="Y2940"/>
  <c r="AB2940"/>
  <c r="AC2940"/>
  <c r="AD2940"/>
  <c r="P2941"/>
  <c r="W2941"/>
  <c r="Y2941"/>
  <c r="AB2941"/>
  <c r="AC2941"/>
  <c r="AD2941"/>
  <c r="P2942"/>
  <c r="W2942"/>
  <c r="Y2942"/>
  <c r="AB2942"/>
  <c r="AC2942"/>
  <c r="AD2942"/>
  <c r="P2943"/>
  <c r="W2943"/>
  <c r="Y2943"/>
  <c r="AB2943"/>
  <c r="AC2943"/>
  <c r="AD2943"/>
  <c r="P2944"/>
  <c r="W2944"/>
  <c r="Y2944"/>
  <c r="AB2944"/>
  <c r="AC2944"/>
  <c r="AD2944"/>
  <c r="P2945"/>
  <c r="W2945"/>
  <c r="Y2945"/>
  <c r="AB2945"/>
  <c r="AC2945"/>
  <c r="AD2945"/>
  <c r="P2946"/>
  <c r="W2946"/>
  <c r="Y2946"/>
  <c r="AB2946"/>
  <c r="AC2946"/>
  <c r="AD2946"/>
  <c r="P2947"/>
  <c r="W2947"/>
  <c r="Y2947"/>
  <c r="AB2947"/>
  <c r="AC2947"/>
  <c r="AD2947"/>
  <c r="P2948"/>
  <c r="W2948"/>
  <c r="Y2948"/>
  <c r="AB2948"/>
  <c r="AC2948"/>
  <c r="AD2948"/>
  <c r="P2949"/>
  <c r="W2949"/>
  <c r="Y2949"/>
  <c r="AB2949"/>
  <c r="AC2949"/>
  <c r="AD2949"/>
  <c r="P2950"/>
  <c r="W2950"/>
  <c r="Y2950"/>
  <c r="AB2950"/>
  <c r="AC2950"/>
  <c r="AD2950"/>
  <c r="P2951"/>
  <c r="W2951"/>
  <c r="Y2951"/>
  <c r="AB2951"/>
  <c r="AC2951"/>
  <c r="AD2951"/>
  <c r="P2952"/>
  <c r="W2952"/>
  <c r="Y2952"/>
  <c r="AB2952"/>
  <c r="AC2952"/>
  <c r="AD2952"/>
  <c r="P2953"/>
  <c r="W2953"/>
  <c r="Y2953"/>
  <c r="AB2953"/>
  <c r="AC2953"/>
  <c r="AD2953"/>
  <c r="P2954"/>
  <c r="W2954"/>
  <c r="Y2954"/>
  <c r="AB2954"/>
  <c r="AC2954"/>
  <c r="AD2954"/>
  <c r="P2957"/>
  <c r="W2957"/>
  <c r="Y2957"/>
  <c r="AB2957"/>
  <c r="AC2957"/>
  <c r="AD2957"/>
  <c r="P2958"/>
  <c r="W2958"/>
  <c r="Y2958"/>
  <c r="AB2958"/>
  <c r="AC2958"/>
  <c r="AD2958"/>
  <c r="P2959"/>
  <c r="W2959"/>
  <c r="Y2959"/>
  <c r="AB2959"/>
  <c r="AC2959"/>
  <c r="AD2959"/>
  <c r="P2960"/>
  <c r="W2960"/>
  <c r="Y2960"/>
  <c r="AB2960"/>
  <c r="AC2960"/>
  <c r="AD2960"/>
  <c r="P2961"/>
  <c r="W2961"/>
  <c r="Y2961"/>
  <c r="AB2961"/>
  <c r="AC2961"/>
  <c r="AD2961"/>
  <c r="P2962"/>
  <c r="W2962"/>
  <c r="Y2962"/>
  <c r="AB2962"/>
  <c r="AC2962"/>
  <c r="AD2962"/>
  <c r="P2963"/>
  <c r="W2963"/>
  <c r="Y2963"/>
  <c r="AB2963"/>
  <c r="AC2963"/>
  <c r="AD2963"/>
  <c r="P2964"/>
  <c r="W2964"/>
  <c r="Y2964"/>
  <c r="AB2964"/>
  <c r="AC2964"/>
  <c r="AD2964"/>
  <c r="P2965"/>
  <c r="W2965"/>
  <c r="Y2965"/>
  <c r="AB2965"/>
  <c r="AC2965"/>
  <c r="AD2965"/>
  <c r="P2966"/>
  <c r="W2966"/>
  <c r="Y2966"/>
  <c r="AB2966"/>
  <c r="AC2966"/>
  <c r="AD2966"/>
  <c r="P2967"/>
  <c r="W2967"/>
  <c r="Y2967"/>
  <c r="AB2967"/>
  <c r="AC2967"/>
  <c r="AD2967"/>
  <c r="P2968"/>
  <c r="W2968"/>
  <c r="Y2968"/>
  <c r="AB2968"/>
  <c r="AC2968"/>
  <c r="AD2968"/>
  <c r="P2969"/>
  <c r="W2969"/>
  <c r="Y2969"/>
  <c r="AB2969"/>
  <c r="AC2969"/>
  <c r="AD2969"/>
  <c r="P2970"/>
  <c r="W2970"/>
  <c r="Y2970"/>
  <c r="AB2970"/>
  <c r="AC2970"/>
  <c r="AD2970"/>
  <c r="P2971"/>
  <c r="W2971"/>
  <c r="Y2971"/>
  <c r="AB2971"/>
  <c r="AC2971"/>
  <c r="AD2971"/>
  <c r="P2972"/>
  <c r="W2972"/>
  <c r="Y2972"/>
  <c r="AB2972"/>
  <c r="AC2972"/>
  <c r="AD2972"/>
  <c r="P2973"/>
  <c r="W2973"/>
  <c r="Y2973"/>
  <c r="AB2973"/>
  <c r="AC2973"/>
  <c r="AD2973"/>
  <c r="P2974"/>
  <c r="W2974"/>
  <c r="Y2974"/>
  <c r="AB2974"/>
  <c r="AC2974"/>
  <c r="AD2974"/>
  <c r="P2975"/>
  <c r="W2975"/>
  <c r="Y2975"/>
  <c r="AB2975"/>
  <c r="AC2975"/>
  <c r="AD2975"/>
  <c r="P2976"/>
  <c r="W2976"/>
  <c r="Y2976"/>
  <c r="AB2976"/>
  <c r="AC2976"/>
  <c r="AD2976"/>
  <c r="P2977"/>
  <c r="W2977"/>
  <c r="Y2977"/>
  <c r="AB2977"/>
  <c r="AC2977"/>
  <c r="AD2977"/>
  <c r="P2978"/>
  <c r="W2978"/>
  <c r="Y2978"/>
  <c r="AB2978"/>
  <c r="AC2978"/>
  <c r="AD2978"/>
  <c r="P2979"/>
  <c r="W2979"/>
  <c r="Y2979"/>
  <c r="AB2979"/>
  <c r="AC2979"/>
  <c r="AD2979"/>
  <c r="P2980"/>
  <c r="W2980"/>
  <c r="Y2980"/>
  <c r="AB2980"/>
  <c r="AC2980"/>
  <c r="AD2980"/>
  <c r="P2981"/>
  <c r="W2981"/>
  <c r="Y2981"/>
  <c r="AB2981"/>
  <c r="AC2981"/>
  <c r="AD2981"/>
  <c r="P2982"/>
  <c r="W2982"/>
  <c r="Y2982"/>
  <c r="AB2982"/>
  <c r="AC2982"/>
  <c r="AD2982"/>
  <c r="P2983"/>
  <c r="W2983"/>
  <c r="Y2983"/>
  <c r="AB2983"/>
  <c r="AC2983"/>
  <c r="AD2983"/>
  <c r="P2984"/>
  <c r="W2984"/>
  <c r="Y2984"/>
  <c r="AB2984"/>
  <c r="AC2984"/>
  <c r="AD2984"/>
  <c r="P2985"/>
  <c r="W2985"/>
  <c r="Y2985"/>
  <c r="AB2985"/>
  <c r="AC2985"/>
  <c r="AD2985"/>
  <c r="P2986"/>
  <c r="W2986"/>
  <c r="Y2986"/>
  <c r="AB2986"/>
  <c r="AC2986"/>
  <c r="AD2986"/>
  <c r="P2987"/>
  <c r="W2987"/>
  <c r="Y2987"/>
  <c r="AB2987"/>
  <c r="AC2987"/>
  <c r="AD2987"/>
  <c r="P2988"/>
  <c r="W2988"/>
  <c r="Y2988"/>
  <c r="AB2988"/>
  <c r="AC2988"/>
  <c r="AD2988"/>
  <c r="P2989"/>
  <c r="W2989"/>
  <c r="Y2989"/>
  <c r="AB2989"/>
  <c r="AC2989"/>
  <c r="AD2989"/>
  <c r="P2990"/>
  <c r="W2990"/>
  <c r="Y2990"/>
  <c r="AB2990"/>
  <c r="AC2990"/>
  <c r="AD2990"/>
  <c r="P2991"/>
  <c r="W2991"/>
  <c r="Y2991"/>
  <c r="AB2991"/>
  <c r="AC2991"/>
  <c r="AD2991"/>
  <c r="P2992"/>
  <c r="W2992"/>
  <c r="Y2992"/>
  <c r="AB2992"/>
  <c r="AC2992"/>
  <c r="AD2992"/>
  <c r="P2993"/>
  <c r="W2993"/>
  <c r="Y2993"/>
  <c r="AB2993"/>
  <c r="AC2993"/>
  <c r="AD2993"/>
  <c r="P2994"/>
  <c r="W2994"/>
  <c r="Y2994"/>
  <c r="AB2994"/>
  <c r="AC2994"/>
  <c r="AD2994"/>
  <c r="P2995"/>
  <c r="W2995"/>
  <c r="Y2995"/>
  <c r="AB2995"/>
  <c r="AC2995"/>
  <c r="AD2995"/>
  <c r="P2996"/>
  <c r="W2996"/>
  <c r="Y2996"/>
  <c r="AB2996"/>
  <c r="AC2996"/>
  <c r="AD2996"/>
  <c r="P2997"/>
  <c r="W2997"/>
  <c r="Y2997"/>
  <c r="AB2997"/>
  <c r="AC2997"/>
  <c r="AD2997"/>
  <c r="P2998"/>
  <c r="W2998"/>
  <c r="Y2998"/>
  <c r="AB2998"/>
  <c r="AC2998"/>
  <c r="AD2998"/>
  <c r="P2999"/>
  <c r="W2999"/>
  <c r="Y2999"/>
  <c r="AB2999"/>
  <c r="AC2999"/>
  <c r="AD2999"/>
  <c r="P3000"/>
  <c r="W3000"/>
  <c r="Y3000"/>
  <c r="AB3000"/>
  <c r="AC3000"/>
  <c r="AD3000"/>
  <c r="P3001"/>
  <c r="W3001"/>
  <c r="Y3001"/>
  <c r="AB3001"/>
  <c r="AC3001"/>
  <c r="AD3001"/>
  <c r="P3002"/>
  <c r="W3002"/>
  <c r="Y3002"/>
  <c r="AB3002"/>
  <c r="AC3002"/>
  <c r="AD3002"/>
  <c r="P3003"/>
  <c r="W3003"/>
  <c r="Y3003"/>
  <c r="AB3003"/>
  <c r="AC3003"/>
  <c r="AD3003"/>
  <c r="P3004"/>
  <c r="W3004"/>
  <c r="Y3004"/>
  <c r="AB3004"/>
  <c r="AC3004"/>
  <c r="AD3004"/>
  <c r="P3005"/>
  <c r="W3005"/>
  <c r="Y3005"/>
  <c r="AB3005"/>
  <c r="AC3005"/>
  <c r="AD3005"/>
  <c r="P3006"/>
  <c r="W3006"/>
  <c r="Y3006"/>
  <c r="AB3006"/>
  <c r="AC3006"/>
  <c r="AD3006"/>
  <c r="P3007"/>
  <c r="W3007"/>
  <c r="Y3007"/>
  <c r="AB3007"/>
  <c r="AC3007"/>
  <c r="AD3007"/>
  <c r="P3008"/>
  <c r="W3008"/>
  <c r="Y3008"/>
  <c r="AB3008"/>
  <c r="AC3008"/>
  <c r="AD3008"/>
  <c r="P3009"/>
  <c r="W3009"/>
  <c r="Y3009"/>
  <c r="AB3009"/>
  <c r="AC3009"/>
  <c r="AD3009"/>
  <c r="P3010"/>
  <c r="W3010"/>
  <c r="Y3010"/>
  <c r="AB3010"/>
  <c r="AC3010"/>
  <c r="AD3010"/>
  <c r="P3011"/>
  <c r="W3011"/>
  <c r="Y3011"/>
  <c r="AB3011"/>
  <c r="AC3011"/>
  <c r="AD3011"/>
  <c r="P3012"/>
  <c r="W3012"/>
  <c r="Y3012"/>
  <c r="AB3012"/>
  <c r="AC3012"/>
  <c r="AD3012"/>
  <c r="P3013"/>
  <c r="W3013"/>
  <c r="Y3013"/>
  <c r="AB3013"/>
  <c r="AC3013"/>
  <c r="AD3013"/>
  <c r="P3014"/>
  <c r="W3014"/>
  <c r="Y3014"/>
  <c r="AB3014"/>
  <c r="AC3014"/>
  <c r="AD3014"/>
  <c r="P3015"/>
  <c r="W3015"/>
  <c r="Y3015"/>
  <c r="AB3015"/>
  <c r="AC3015"/>
  <c r="AD3015"/>
  <c r="P3016"/>
  <c r="W3016"/>
  <c r="Y3016"/>
  <c r="AB3016"/>
  <c r="AC3016"/>
  <c r="AD3016"/>
  <c r="P3017"/>
  <c r="W3017"/>
  <c r="Y3017"/>
  <c r="AB3017"/>
  <c r="AC3017"/>
  <c r="AD3017"/>
  <c r="P3018"/>
  <c r="W3018"/>
  <c r="Y3018"/>
  <c r="AB3018"/>
  <c r="AC3018"/>
  <c r="AD3018"/>
  <c r="P3019"/>
  <c r="W3019"/>
  <c r="Y3019"/>
  <c r="AB3019"/>
  <c r="AC3019"/>
  <c r="AD3019"/>
  <c r="P3020"/>
  <c r="W3020"/>
  <c r="Y3020"/>
  <c r="AB3020"/>
  <c r="AC3020"/>
  <c r="AD3020"/>
  <c r="P3021"/>
  <c r="W3021"/>
  <c r="Y3021"/>
  <c r="AB3021"/>
  <c r="AC3021"/>
  <c r="AD3021"/>
  <c r="P3022"/>
  <c r="W3022"/>
  <c r="Y3022"/>
  <c r="AB3022"/>
  <c r="AC3022"/>
  <c r="AD3022"/>
  <c r="P3023"/>
  <c r="W3023"/>
  <c r="Y3023"/>
  <c r="AB3023"/>
  <c r="AC3023"/>
  <c r="AD3023"/>
  <c r="P3024"/>
  <c r="W3024"/>
  <c r="Y3024"/>
  <c r="AB3024"/>
  <c r="AC3024"/>
  <c r="AD3024"/>
  <c r="P3025"/>
  <c r="W3025"/>
  <c r="Y3025"/>
  <c r="AB3025"/>
  <c r="AC3025"/>
  <c r="AD3025"/>
  <c r="P3026"/>
  <c r="W3026"/>
  <c r="Y3026"/>
  <c r="AB3026"/>
  <c r="AC3026"/>
  <c r="AD3026"/>
  <c r="P3027"/>
  <c r="W3027"/>
  <c r="Y3027"/>
  <c r="AB3027"/>
  <c r="AC3027"/>
  <c r="AD3027"/>
  <c r="P3028"/>
  <c r="W3028"/>
  <c r="Y3028"/>
  <c r="AB3028"/>
  <c r="AC3028"/>
  <c r="AD3028"/>
  <c r="P3029"/>
  <c r="W3029"/>
  <c r="Y3029"/>
  <c r="AB3029"/>
  <c r="AC3029"/>
  <c r="AD3029"/>
  <c r="P3030"/>
  <c r="W3030"/>
  <c r="Y3030"/>
  <c r="AB3030"/>
  <c r="AC3030"/>
  <c r="AD3030"/>
  <c r="P3031"/>
  <c r="W3031"/>
  <c r="Y3031"/>
  <c r="AB3031"/>
  <c r="AC3031"/>
  <c r="AD3031"/>
  <c r="P3032"/>
  <c r="W3032"/>
  <c r="Y3032"/>
  <c r="AB3032"/>
  <c r="AC3032"/>
  <c r="AD3032"/>
  <c r="P3033"/>
  <c r="W3033"/>
  <c r="Y3033"/>
  <c r="AB3033"/>
  <c r="AC3033"/>
  <c r="AD3033"/>
  <c r="P3034"/>
  <c r="W3034"/>
  <c r="Y3034"/>
  <c r="AB3034"/>
  <c r="AC3034"/>
  <c r="AD3034"/>
  <c r="P3035"/>
  <c r="W3035"/>
  <c r="Y3035"/>
  <c r="AB3035"/>
  <c r="AC3035"/>
  <c r="AD3035"/>
  <c r="P3036"/>
  <c r="W3036"/>
  <c r="Y3036"/>
  <c r="AB3036"/>
  <c r="AC3036"/>
  <c r="AD3036"/>
  <c r="P3037"/>
  <c r="W3037"/>
  <c r="Y3037"/>
  <c r="AB3037"/>
  <c r="AC3037"/>
  <c r="AD3037"/>
  <c r="P3038"/>
  <c r="W3038"/>
  <c r="Y3038"/>
  <c r="AB3038"/>
  <c r="AC3038"/>
  <c r="AD3038"/>
  <c r="P3039"/>
  <c r="W3039"/>
  <c r="Y3039"/>
  <c r="AB3039"/>
  <c r="AC3039"/>
  <c r="AD3039"/>
  <c r="P3040"/>
  <c r="W3040"/>
  <c r="Y3040"/>
  <c r="AB3040"/>
  <c r="AC3040"/>
  <c r="AD3040"/>
  <c r="P3041"/>
  <c r="T3041"/>
  <c r="U3041"/>
  <c r="V3041"/>
  <c r="W3041"/>
  <c r="Y3041"/>
  <c r="AB3041"/>
  <c r="AC3041"/>
  <c r="AD3041"/>
  <c r="P3042"/>
  <c r="T3042"/>
  <c r="U3042"/>
  <c r="V3042"/>
  <c r="W3042"/>
  <c r="Y3042"/>
  <c r="AB3042"/>
  <c r="AC3042"/>
  <c r="AD3042"/>
  <c r="P3043"/>
  <c r="T3043"/>
  <c r="U3043"/>
  <c r="V3043"/>
  <c r="W3043"/>
  <c r="Y3043"/>
  <c r="AB3043"/>
  <c r="AC3043"/>
  <c r="AD3043"/>
  <c r="P3044"/>
  <c r="T3044"/>
  <c r="U3044"/>
  <c r="V3044"/>
  <c r="W3044"/>
  <c r="Y3044"/>
  <c r="AB3044"/>
  <c r="AC3044"/>
  <c r="AD3044"/>
  <c r="P3045"/>
  <c r="T3045"/>
  <c r="U3045"/>
  <c r="V3045"/>
  <c r="W3045"/>
  <c r="Y3045"/>
  <c r="AB3045"/>
  <c r="AC3045"/>
  <c r="AD3045"/>
  <c r="P3046"/>
  <c r="T3046"/>
  <c r="U3046"/>
  <c r="V3046"/>
  <c r="W3046"/>
  <c r="Y3046"/>
  <c r="AB3046"/>
  <c r="AC3046"/>
  <c r="AD3046"/>
  <c r="P3047"/>
  <c r="T3047"/>
  <c r="U3047"/>
  <c r="V3047"/>
  <c r="W3047"/>
  <c r="Y3047"/>
  <c r="AB3047"/>
  <c r="AC3047"/>
  <c r="AD3047"/>
  <c r="P3048"/>
  <c r="T3048"/>
  <c r="U3048"/>
  <c r="V3048"/>
  <c r="W3048"/>
  <c r="Y3048"/>
  <c r="AB3048"/>
  <c r="AC3048"/>
  <c r="AD3048"/>
  <c r="P3049"/>
  <c r="T3049"/>
  <c r="U3049"/>
  <c r="V3049"/>
  <c r="W3049"/>
  <c r="Y3049"/>
  <c r="AB3049"/>
  <c r="AC3049"/>
  <c r="AD3049"/>
  <c r="P3050"/>
  <c r="T3050"/>
  <c r="U3050"/>
  <c r="V3050"/>
  <c r="W3050"/>
  <c r="Y3050"/>
  <c r="AB3050"/>
  <c r="AC3050"/>
  <c r="AD3050"/>
  <c r="P3051"/>
  <c r="T3051"/>
  <c r="U3051"/>
  <c r="V3051"/>
  <c r="W3051"/>
  <c r="Y3051"/>
  <c r="AB3051"/>
  <c r="AC3051"/>
  <c r="AD3051"/>
  <c r="P3052"/>
  <c r="T3052"/>
  <c r="U3052"/>
  <c r="V3052"/>
  <c r="W3052"/>
  <c r="Y3052"/>
  <c r="AB3052"/>
  <c r="AC3052"/>
  <c r="AD3052"/>
  <c r="P3053"/>
  <c r="T3053"/>
  <c r="U3053"/>
  <c r="V3053"/>
  <c r="W3053"/>
  <c r="Y3053"/>
  <c r="AB3053"/>
  <c r="AC3053"/>
  <c r="AD3053"/>
  <c r="P3054"/>
  <c r="T3054"/>
  <c r="U3054"/>
  <c r="V3054"/>
  <c r="W3054"/>
  <c r="Y3054"/>
  <c r="AB3054"/>
  <c r="AC3054"/>
  <c r="AD3054"/>
  <c r="P3061"/>
  <c r="T3061"/>
  <c r="U3061"/>
  <c r="V3061"/>
  <c r="W3061"/>
  <c r="Y3061"/>
  <c r="AB3061"/>
  <c r="AC3061"/>
  <c r="AD3061"/>
  <c r="P3062"/>
  <c r="T3062"/>
  <c r="U3062"/>
  <c r="V3062"/>
  <c r="W3062"/>
  <c r="Y3062"/>
  <c r="AB3062"/>
  <c r="AC3062"/>
  <c r="AD3062"/>
  <c r="P3063"/>
  <c r="T3063"/>
  <c r="U3063"/>
  <c r="V3063"/>
  <c r="W3063"/>
  <c r="Y3063"/>
  <c r="AB3063"/>
  <c r="AC3063"/>
  <c r="AD3063"/>
  <c r="P3064"/>
  <c r="T3064"/>
  <c r="U3064"/>
  <c r="V3064"/>
  <c r="W3064"/>
  <c r="Y3064"/>
  <c r="AB3064"/>
  <c r="AC3064"/>
  <c r="AD3064"/>
  <c r="P3065"/>
  <c r="T3065"/>
  <c r="U3065"/>
  <c r="V3065"/>
  <c r="W3065"/>
  <c r="Y3065"/>
  <c r="AB3065"/>
  <c r="AC3065"/>
  <c r="AD3065"/>
  <c r="P3066"/>
  <c r="T3066"/>
  <c r="U3066"/>
  <c r="V3066"/>
  <c r="W3066"/>
  <c r="Y3066"/>
  <c r="AB3066"/>
  <c r="AC3066"/>
  <c r="AD3066"/>
  <c r="P3067"/>
  <c r="T3067"/>
  <c r="U3067"/>
  <c r="V3067"/>
  <c r="W3067"/>
  <c r="Y3067"/>
  <c r="AB3067"/>
  <c r="AC3067"/>
  <c r="AD3067"/>
  <c r="P3068"/>
  <c r="T3068"/>
  <c r="U3068"/>
  <c r="V3068"/>
  <c r="W3068"/>
  <c r="Y3068"/>
  <c r="AB3068"/>
  <c r="AC3068"/>
  <c r="AD3068"/>
  <c r="P3069"/>
  <c r="T3069"/>
  <c r="U3069"/>
  <c r="V3069"/>
  <c r="W3069"/>
  <c r="Y3069"/>
  <c r="AB3069"/>
  <c r="AC3069"/>
  <c r="AD3069"/>
  <c r="P3070"/>
  <c r="T3070"/>
  <c r="U3070"/>
  <c r="V3070"/>
  <c r="W3070"/>
  <c r="Y3070"/>
  <c r="AB3070"/>
  <c r="AC3070"/>
  <c r="AD3070"/>
  <c r="P3071"/>
  <c r="T3071"/>
  <c r="U3071"/>
  <c r="V3071"/>
  <c r="W3071"/>
  <c r="Y3071"/>
  <c r="AB3071"/>
  <c r="AC3071"/>
  <c r="AD3071"/>
  <c r="P3072"/>
  <c r="T3072"/>
  <c r="U3072"/>
  <c r="V3072"/>
  <c r="W3072"/>
  <c r="Y3072"/>
  <c r="AB3072"/>
  <c r="AC3072"/>
  <c r="AD3072"/>
  <c r="P3073"/>
  <c r="T3073"/>
  <c r="U3073"/>
  <c r="V3073"/>
  <c r="W3073"/>
  <c r="Y3073"/>
  <c r="AB3073"/>
  <c r="AC3073"/>
  <c r="AD3073"/>
  <c r="P3074"/>
  <c r="T3074"/>
  <c r="U3074"/>
  <c r="V3074"/>
  <c r="W3074"/>
  <c r="Y3074"/>
  <c r="AB3074"/>
  <c r="AC3074"/>
  <c r="AD3074"/>
  <c r="P3075"/>
  <c r="T3075"/>
  <c r="U3075"/>
  <c r="V3075"/>
  <c r="W3075"/>
  <c r="Y3075"/>
  <c r="AB3075"/>
  <c r="AC3075"/>
  <c r="AD3075"/>
  <c r="P3076"/>
  <c r="T3076"/>
  <c r="U3076"/>
  <c r="V3076"/>
  <c r="W3076"/>
  <c r="Y3076"/>
  <c r="AB3076"/>
  <c r="AC3076"/>
  <c r="AD3076"/>
  <c r="P3077"/>
  <c r="T3077"/>
  <c r="U3077"/>
  <c r="V3077"/>
  <c r="W3077"/>
  <c r="Y3077"/>
  <c r="AB3077"/>
  <c r="AC3077"/>
  <c r="AD3077"/>
  <c r="P3084"/>
  <c r="T3084"/>
  <c r="U3084"/>
  <c r="V3084"/>
  <c r="W3084"/>
  <c r="Y3084"/>
  <c r="AB3084"/>
  <c r="AC3084"/>
  <c r="AD3084"/>
  <c r="P3085"/>
  <c r="T3085"/>
  <c r="U3085"/>
  <c r="V3085"/>
  <c r="W3085"/>
  <c r="Y3085"/>
  <c r="AB3085"/>
  <c r="AC3085"/>
  <c r="AD3085"/>
  <c r="P3086"/>
  <c r="T3086"/>
  <c r="U3086"/>
  <c r="V3086"/>
  <c r="W3086"/>
  <c r="Y3086"/>
  <c r="AB3086"/>
  <c r="AC3086"/>
  <c r="AD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T3092"/>
  <c r="U3092"/>
  <c r="V3092"/>
  <c r="W3092"/>
  <c r="Y3092"/>
  <c r="AB3092"/>
  <c r="AC3092"/>
  <c r="AD3092"/>
  <c r="P3093"/>
  <c r="T3093"/>
  <c r="U3093"/>
  <c r="V3093"/>
  <c r="W3093"/>
  <c r="Y3093"/>
  <c r="AB3093"/>
  <c r="AC3093"/>
  <c r="AD3093"/>
  <c r="P3094"/>
  <c r="T3094"/>
  <c r="U3094"/>
  <c r="V3094"/>
  <c r="W3094"/>
  <c r="Y3094"/>
  <c r="AB3094"/>
  <c r="AC3094"/>
  <c r="AD3094"/>
  <c r="P3095"/>
  <c r="T3095"/>
  <c r="U3095"/>
  <c r="V3095"/>
  <c r="W3095"/>
  <c r="Y3095"/>
  <c r="AB3095"/>
  <c r="AC3095"/>
  <c r="AD3095"/>
  <c r="P3096"/>
  <c r="T3096"/>
  <c r="U3096"/>
  <c r="V3096"/>
  <c r="W3096"/>
  <c r="Y3096"/>
  <c r="AB3096"/>
  <c r="AC3096"/>
  <c r="AD3096"/>
  <c r="P3097"/>
  <c r="T3097"/>
  <c r="U3097"/>
  <c r="V3097"/>
  <c r="W3097"/>
  <c r="Y3097"/>
  <c r="AB3097"/>
  <c r="AC3097"/>
  <c r="AD3097"/>
  <c r="P2917"/>
  <c r="T2917"/>
  <c r="U2917"/>
  <c r="V2917"/>
  <c r="W2917"/>
  <c r="Y2917"/>
  <c r="AA2917"/>
  <c r="AB2917"/>
  <c r="AC2917"/>
  <c r="AD2917"/>
  <c r="P3105"/>
  <c r="T3105"/>
  <c r="U3105"/>
  <c r="V3105"/>
  <c r="W3105"/>
  <c r="Y3105"/>
  <c r="AA3105"/>
  <c r="AB3105"/>
  <c r="AC3105"/>
  <c r="AD3105"/>
  <c r="P3106"/>
  <c r="T3106"/>
  <c r="U3106"/>
  <c r="V3106"/>
  <c r="W3106"/>
  <c r="Y3106"/>
  <c r="AA3106"/>
  <c r="AB3106"/>
  <c r="AC3106"/>
  <c r="AD3106"/>
  <c r="P3107"/>
  <c r="T3107"/>
  <c r="U3107"/>
  <c r="V3107"/>
  <c r="W3107"/>
  <c r="Y3107"/>
  <c r="AA3107"/>
  <c r="AB3107"/>
  <c r="AC3107"/>
  <c r="AD3107"/>
  <c r="P3108"/>
  <c r="T3108"/>
  <c r="U3108"/>
  <c r="V3108"/>
  <c r="W3108"/>
  <c r="Y3108"/>
  <c r="AA3108"/>
  <c r="AB3108"/>
  <c r="AC3108"/>
  <c r="AD3108"/>
  <c r="P3109"/>
  <c r="T3109"/>
  <c r="U3109"/>
  <c r="V3109"/>
  <c r="W3109"/>
  <c r="Y3109"/>
  <c r="AA3109"/>
  <c r="AB3109"/>
  <c r="AC3109"/>
  <c r="AD3109"/>
  <c r="P3110"/>
  <c r="T3110"/>
  <c r="U3110"/>
  <c r="V3110"/>
  <c r="W3110"/>
  <c r="Y3110"/>
  <c r="AA3110"/>
  <c r="AB3110"/>
  <c r="AC3110"/>
  <c r="AD3110"/>
  <c r="P3111"/>
  <c r="T3111"/>
  <c r="U3111"/>
  <c r="V3111"/>
  <c r="W3111"/>
  <c r="Y3111"/>
  <c r="AA3111"/>
  <c r="AB3111"/>
  <c r="AC3111"/>
  <c r="AD3111"/>
  <c r="P3112"/>
  <c r="T3112"/>
  <c r="U3112"/>
  <c r="V3112"/>
  <c r="W3112"/>
  <c r="Y3112"/>
  <c r="AA3112"/>
  <c r="AB3112"/>
  <c r="AC3112"/>
  <c r="AD3112"/>
  <c r="P3113"/>
  <c r="T3113"/>
  <c r="U3113"/>
  <c r="V3113"/>
  <c r="W3113"/>
  <c r="Y3113"/>
  <c r="AA3113"/>
  <c r="AB3113"/>
  <c r="AC3113"/>
  <c r="AD3113"/>
  <c r="P3114"/>
  <c r="T3114"/>
  <c r="U3114"/>
  <c r="V3114"/>
  <c r="W3114"/>
  <c r="Y3114"/>
  <c r="AA3114"/>
  <c r="AB3114"/>
  <c r="AC3114"/>
  <c r="AD3114"/>
  <c r="P3115"/>
  <c r="T3115"/>
  <c r="U3115"/>
  <c r="V3115"/>
  <c r="W3115"/>
  <c r="Y3115"/>
  <c r="AA3115"/>
  <c r="AB3115"/>
  <c r="AC3115"/>
  <c r="AD3115"/>
  <c r="P3116"/>
  <c r="T3116"/>
  <c r="U3116"/>
  <c r="V3116"/>
  <c r="W3116"/>
  <c r="Y3116"/>
  <c r="AA3116"/>
  <c r="AB3116"/>
  <c r="AC3116"/>
  <c r="AD3116"/>
  <c r="P3117"/>
  <c r="T3117"/>
  <c r="U3117"/>
  <c r="V3117"/>
  <c r="W3117"/>
  <c r="Y3117"/>
  <c r="AA3117"/>
  <c r="AB3117"/>
  <c r="AC3117"/>
  <c r="AD3117"/>
  <c r="P3118"/>
  <c r="T3118"/>
  <c r="U3118"/>
  <c r="V3118"/>
  <c r="W3118"/>
  <c r="Y3118"/>
  <c r="AA3118"/>
  <c r="AB3118"/>
  <c r="AC3118"/>
  <c r="AD3118"/>
  <c r="P3119"/>
  <c r="T3119"/>
  <c r="U3119"/>
  <c r="V3119"/>
  <c r="W3119"/>
  <c r="Y3119"/>
  <c r="AA3119"/>
  <c r="AB3119"/>
  <c r="AC3119"/>
  <c r="AD3119"/>
  <c r="P3120"/>
  <c r="T3120"/>
  <c r="U3120"/>
  <c r="V3120"/>
  <c r="W3120"/>
  <c r="Y3120"/>
  <c r="AA3120"/>
  <c r="AB3120"/>
  <c r="AC3120"/>
  <c r="AD3120"/>
  <c r="P3121"/>
  <c r="T3121"/>
  <c r="U3121"/>
  <c r="V3121"/>
  <c r="W3121"/>
  <c r="Y3121"/>
  <c r="AA3121"/>
  <c r="AB3121"/>
  <c r="AC3121"/>
  <c r="AD3121"/>
  <c r="P3122"/>
  <c r="T3122"/>
  <c r="U3122"/>
  <c r="V3122"/>
  <c r="W3122"/>
  <c r="Y3122"/>
  <c r="AA3122"/>
  <c r="AB3122"/>
  <c r="AC3122"/>
  <c r="AD3122"/>
  <c r="P3123"/>
  <c r="T3123"/>
  <c r="U3123"/>
  <c r="V3123"/>
  <c r="W3123"/>
  <c r="Y3123"/>
  <c r="AA3123"/>
  <c r="AB3123"/>
  <c r="AC3123"/>
  <c r="AD3123"/>
  <c r="P3124"/>
  <c r="T3124"/>
  <c r="U3124"/>
  <c r="V3124"/>
  <c r="W3124"/>
  <c r="Y3124"/>
  <c r="AA3124"/>
  <c r="AB3124"/>
  <c r="AC3124"/>
  <c r="AD3124"/>
  <c r="P3125"/>
  <c r="T3125"/>
  <c r="U3125"/>
  <c r="V3125"/>
  <c r="W3125"/>
  <c r="Y3125"/>
  <c r="AA3125"/>
  <c r="AB3125"/>
  <c r="AC3125"/>
  <c r="AD3125"/>
  <c r="P3126"/>
  <c r="T3126"/>
  <c r="U3126"/>
  <c r="V3126"/>
  <c r="W3126"/>
  <c r="Y3126"/>
  <c r="AA3126"/>
  <c r="AB3126"/>
  <c r="AC3126"/>
  <c r="AD3126"/>
  <c r="P3127"/>
  <c r="T3127"/>
  <c r="U3127"/>
  <c r="V3127"/>
  <c r="W3127"/>
  <c r="Y3127"/>
  <c r="AA3127"/>
  <c r="AB3127"/>
  <c r="AC3127"/>
  <c r="AD3127"/>
  <c r="P3128"/>
  <c r="T3128"/>
  <c r="U3128"/>
  <c r="V3128"/>
  <c r="W3128"/>
  <c r="Y3128"/>
  <c r="AA3128"/>
  <c r="AB3128"/>
  <c r="AC3128"/>
  <c r="AD3128"/>
  <c r="P3129"/>
  <c r="T3129"/>
  <c r="U3129"/>
  <c r="V3129"/>
  <c r="W3129"/>
  <c r="Y3129"/>
  <c r="AA3129"/>
  <c r="AB3129"/>
  <c r="AC3129"/>
  <c r="AD3129"/>
  <c r="P3130"/>
  <c r="T3130"/>
  <c r="U3130"/>
  <c r="V3130"/>
  <c r="W3130"/>
  <c r="Y3130"/>
  <c r="AA3130"/>
  <c r="AB3130"/>
  <c r="AC3130"/>
  <c r="AD3130"/>
  <c r="P3131"/>
  <c r="T3131"/>
  <c r="U3131"/>
  <c r="V3131"/>
  <c r="W3131"/>
  <c r="Y3131"/>
  <c r="AA3131"/>
  <c r="AB3131"/>
  <c r="AC3131"/>
  <c r="AD3131"/>
  <c r="P3132"/>
  <c r="T3132"/>
  <c r="U3132"/>
  <c r="V3132"/>
  <c r="W3132"/>
  <c r="Y3132"/>
  <c r="AA3132"/>
  <c r="AB3132"/>
  <c r="AC3132"/>
  <c r="AD3132"/>
  <c r="P3133"/>
  <c r="T3133"/>
  <c r="U3133"/>
  <c r="V3133"/>
  <c r="W3133"/>
  <c r="Y3133"/>
  <c r="AA3133"/>
  <c r="AB3133"/>
  <c r="AC3133"/>
  <c r="AD3133"/>
  <c r="P3134"/>
  <c r="T3134"/>
  <c r="U3134"/>
  <c r="V3134"/>
  <c r="W3134"/>
  <c r="Y3134"/>
  <c r="AA3134"/>
  <c r="AB3134"/>
  <c r="AC3134"/>
  <c r="AD3134"/>
  <c r="P3135"/>
  <c r="T3135"/>
  <c r="U3135"/>
  <c r="V3135"/>
  <c r="W3135"/>
  <c r="Y3135"/>
  <c r="AA3135"/>
  <c r="AB3135"/>
  <c r="AC3135"/>
  <c r="AD3135"/>
  <c r="P3136"/>
  <c r="T3136"/>
  <c r="U3136"/>
  <c r="V3136"/>
  <c r="W3136"/>
  <c r="Y3136"/>
  <c r="AA3136"/>
  <c r="AB3136"/>
  <c r="AC3136"/>
  <c r="AD3136"/>
  <c r="P3137"/>
  <c r="T3137"/>
  <c r="U3137"/>
  <c r="V3137"/>
  <c r="W3137"/>
  <c r="Y3137"/>
  <c r="AA3137"/>
  <c r="AB3137"/>
  <c r="AC3137"/>
  <c r="AD3137"/>
  <c r="P3138"/>
  <c r="T3138"/>
  <c r="U3138"/>
  <c r="V3138"/>
  <c r="W3138"/>
  <c r="Y3138"/>
  <c r="AA3138"/>
  <c r="AB3138"/>
  <c r="AC3138"/>
  <c r="AD3138"/>
  <c r="P3139"/>
  <c r="T3139"/>
  <c r="U3139"/>
  <c r="V3139"/>
  <c r="W3139"/>
  <c r="Y3139"/>
  <c r="AA3139"/>
  <c r="AB3139"/>
  <c r="AC3139"/>
  <c r="AD3139"/>
  <c r="P3140"/>
  <c r="T3140"/>
  <c r="U3140"/>
  <c r="V3140"/>
  <c r="W3140"/>
  <c r="Y3140"/>
  <c r="AA3140"/>
  <c r="AB3140"/>
  <c r="AC3140"/>
  <c r="AD3140"/>
  <c r="P3141"/>
  <c r="T3141"/>
  <c r="U3141"/>
  <c r="V3141"/>
  <c r="W3141"/>
  <c r="Y3141"/>
  <c r="AA3141"/>
  <c r="AB3141"/>
  <c r="AC3141"/>
  <c r="AD3141"/>
  <c r="P3142"/>
  <c r="T3142"/>
  <c r="U3142"/>
  <c r="V3142"/>
  <c r="W3142"/>
  <c r="Y3142"/>
  <c r="AA3142"/>
  <c r="AB3142"/>
  <c r="AC3142"/>
  <c r="AD3142"/>
  <c r="P3143"/>
  <c r="T3143"/>
  <c r="U3143"/>
  <c r="V3143"/>
  <c r="W3143"/>
  <c r="Y3143"/>
  <c r="AA3143"/>
  <c r="AB3143"/>
  <c r="AC3143"/>
  <c r="AD3143"/>
  <c r="P3144"/>
  <c r="T3144"/>
  <c r="U3144"/>
  <c r="V3144"/>
  <c r="W3144"/>
  <c r="Y3144"/>
  <c r="AA3144"/>
  <c r="AB3144"/>
  <c r="AC3144"/>
  <c r="AD3144"/>
  <c r="P3145"/>
  <c r="T3145"/>
  <c r="U3145"/>
  <c r="V3145"/>
  <c r="W3145"/>
  <c r="Y3145"/>
  <c r="AA3145"/>
  <c r="AB3145"/>
  <c r="AC3145"/>
  <c r="AD3145"/>
  <c r="P3146"/>
  <c r="T3146"/>
  <c r="U3146"/>
  <c r="V3146"/>
  <c r="W3146"/>
  <c r="Y3146"/>
  <c r="AA3146"/>
  <c r="AB3146"/>
  <c r="AC3146"/>
  <c r="AD3146"/>
  <c r="P3147"/>
  <c r="T3147"/>
  <c r="U3147"/>
  <c r="V3147"/>
  <c r="W3147"/>
  <c r="Y3147"/>
  <c r="AA3147"/>
  <c r="AB3147"/>
  <c r="AC3147"/>
  <c r="AD3147"/>
  <c r="P3148"/>
  <c r="T3148"/>
  <c r="U3148"/>
  <c r="V3148"/>
  <c r="W3148"/>
  <c r="Y3148"/>
  <c r="AA3148"/>
  <c r="AB3148"/>
  <c r="AC3148"/>
  <c r="AD3148"/>
  <c r="P3149"/>
  <c r="T3149"/>
  <c r="U3149"/>
  <c r="V3149"/>
  <c r="W3149"/>
  <c r="Y3149"/>
  <c r="AA3149"/>
  <c r="AB3149"/>
  <c r="AC3149"/>
  <c r="AD3149"/>
  <c r="P3150"/>
  <c r="T3150"/>
  <c r="U3150"/>
  <c r="V3150"/>
  <c r="W3150"/>
  <c r="Y3150"/>
  <c r="AA3150"/>
  <c r="AB3150"/>
  <c r="AC3150"/>
  <c r="AD3150"/>
  <c r="P3151"/>
  <c r="T3151"/>
  <c r="U3151"/>
  <c r="V3151"/>
  <c r="W3151"/>
  <c r="Y3151"/>
  <c r="AA3151"/>
  <c r="AB3151"/>
  <c r="AC3151"/>
  <c r="AD3151"/>
  <c r="P3152"/>
  <c r="T3152"/>
  <c r="U3152"/>
  <c r="V3152"/>
  <c r="W3152"/>
  <c r="Y3152"/>
  <c r="AA3152"/>
  <c r="AB3152"/>
  <c r="AC3152"/>
  <c r="AD3152"/>
  <c r="P3153"/>
  <c r="T3153"/>
  <c r="U3153"/>
  <c r="V3153"/>
  <c r="W3153"/>
  <c r="Y3153"/>
  <c r="AA3153"/>
  <c r="AB3153"/>
  <c r="AC3153"/>
  <c r="AD3153"/>
  <c r="P3154"/>
  <c r="T3154"/>
  <c r="U3154"/>
  <c r="V3154"/>
  <c r="W3154"/>
  <c r="Y3154"/>
  <c r="AA3154"/>
  <c r="AB3154"/>
  <c r="AC3154"/>
  <c r="AD3154"/>
  <c r="P3155"/>
  <c r="T3155"/>
  <c r="U3155"/>
  <c r="V3155"/>
  <c r="W3155"/>
  <c r="Y3155"/>
  <c r="AA3155"/>
  <c r="AB3155"/>
  <c r="AC3155"/>
  <c r="AD3155"/>
  <c r="P3156"/>
  <c r="T3156"/>
  <c r="U3156"/>
  <c r="V3156"/>
  <c r="W3156"/>
  <c r="Y3156"/>
  <c r="AA3156"/>
  <c r="AB3156"/>
  <c r="AC3156"/>
  <c r="AD3156"/>
  <c r="P3157"/>
  <c r="T3157"/>
  <c r="U3157"/>
  <c r="V3157"/>
  <c r="W3157"/>
  <c r="Y3157"/>
  <c r="AA3157"/>
  <c r="AB3157"/>
  <c r="AC3157"/>
  <c r="AD3157"/>
  <c r="P3158"/>
  <c r="T3158"/>
  <c r="U3158"/>
  <c r="V3158"/>
  <c r="W3158"/>
  <c r="Y3158"/>
  <c r="AA3158"/>
  <c r="AB3158"/>
  <c r="AC3158"/>
  <c r="AD3158"/>
  <c r="P3159"/>
  <c r="T3159"/>
  <c r="U3159"/>
  <c r="V3159"/>
  <c r="W3159"/>
  <c r="Y3159"/>
  <c r="AA3159"/>
  <c r="AB3159"/>
  <c r="AC3159"/>
  <c r="AD3159"/>
  <c r="P3160"/>
  <c r="T3160"/>
  <c r="U3160"/>
  <c r="V3160"/>
  <c r="W3160"/>
  <c r="Y3160"/>
  <c r="AA3160"/>
  <c r="AB3160"/>
  <c r="AC3160"/>
  <c r="AD3160"/>
  <c r="P3161"/>
  <c r="T3161"/>
  <c r="U3161"/>
  <c r="V3161"/>
  <c r="W3161"/>
  <c r="Y3161"/>
  <c r="AA3161"/>
  <c r="AB3161"/>
  <c r="AC3161"/>
  <c r="AD3161"/>
  <c r="P3162"/>
  <c r="T3162"/>
  <c r="U3162"/>
  <c r="V3162"/>
  <c r="W3162"/>
  <c r="Y3162"/>
  <c r="AA3162"/>
  <c r="AB3162"/>
  <c r="AC3162"/>
  <c r="AD3162"/>
  <c r="P3163"/>
  <c r="T3163"/>
  <c r="U3163"/>
  <c r="V3163"/>
  <c r="W3163"/>
  <c r="Y3163"/>
  <c r="AA3163"/>
  <c r="AB3163"/>
  <c r="AC3163"/>
  <c r="AD3163"/>
  <c r="P3164"/>
  <c r="T3164"/>
  <c r="U3164"/>
  <c r="V3164"/>
  <c r="W3164"/>
  <c r="Y3164"/>
  <c r="AA3164"/>
  <c r="AB3164"/>
  <c r="AC3164"/>
  <c r="AD3164"/>
  <c r="P3165"/>
  <c r="T3165"/>
  <c r="U3165"/>
  <c r="V3165"/>
  <c r="W3165"/>
  <c r="Y3165"/>
  <c r="AA3165"/>
  <c r="AB3165"/>
  <c r="AC3165"/>
  <c r="AD3165"/>
  <c r="P3166"/>
  <c r="T3166"/>
  <c r="U3166"/>
  <c r="V3166"/>
  <c r="W3166"/>
  <c r="Y3166"/>
  <c r="AA3166"/>
  <c r="AB3166"/>
  <c r="AC3166"/>
  <c r="AD3166"/>
  <c r="P3167"/>
  <c r="T3167"/>
  <c r="U3167"/>
  <c r="V3167"/>
  <c r="W3167"/>
  <c r="Y3167"/>
  <c r="AA3167"/>
  <c r="AB3167"/>
  <c r="AC3167"/>
  <c r="AD3167"/>
  <c r="P3168"/>
  <c r="T3168"/>
  <c r="U3168"/>
  <c r="V3168"/>
  <c r="W3168"/>
  <c r="Y3168"/>
  <c r="AA3168"/>
  <c r="AB3168"/>
  <c r="AC3168"/>
  <c r="AD3168"/>
  <c r="P3169"/>
  <c r="T3169"/>
  <c r="U3169"/>
  <c r="V3169"/>
  <c r="W3169"/>
  <c r="Y3169"/>
  <c r="AA3169"/>
  <c r="AB3169"/>
  <c r="AC3169"/>
  <c r="AD3169"/>
  <c r="P3170"/>
  <c r="T3170"/>
  <c r="U3170"/>
  <c r="V3170"/>
  <c r="W3170"/>
  <c r="Y3170"/>
  <c r="AA3170"/>
  <c r="AB3170"/>
  <c r="AC3170"/>
  <c r="AD3170"/>
  <c r="P3171"/>
  <c r="T3171"/>
  <c r="U3171"/>
  <c r="V3171"/>
  <c r="W3171"/>
  <c r="Y3171"/>
  <c r="AA3171"/>
  <c r="AB3171"/>
  <c r="AC3171"/>
  <c r="AD3171"/>
  <c r="P3172"/>
  <c r="T3172"/>
  <c r="U3172"/>
  <c r="V3172"/>
  <c r="W3172"/>
  <c r="Y3172"/>
  <c r="AA3172"/>
  <c r="AB3172"/>
  <c r="AC3172"/>
  <c r="AD3172"/>
  <c r="P3173"/>
  <c r="T3173"/>
  <c r="U3173"/>
  <c r="V3173"/>
  <c r="W3173"/>
  <c r="Y3173"/>
  <c r="AA3173"/>
  <c r="AB3173"/>
  <c r="AC3173"/>
  <c r="AD3173"/>
  <c r="P3174"/>
  <c r="T3174"/>
  <c r="U3174"/>
  <c r="V3174"/>
  <c r="W3174"/>
  <c r="Y3174"/>
  <c r="AA3174"/>
  <c r="AB3174"/>
  <c r="AC3174"/>
  <c r="AD3174"/>
  <c r="P3175"/>
  <c r="T3175"/>
  <c r="U3175"/>
  <c r="V3175"/>
  <c r="W3175"/>
  <c r="Y3175"/>
  <c r="AA3175"/>
  <c r="AB3175"/>
  <c r="AC3175"/>
  <c r="AD3175"/>
  <c r="P3176"/>
  <c r="T3176"/>
  <c r="U3176"/>
  <c r="V3176"/>
  <c r="W3176"/>
  <c r="Y3176"/>
  <c r="AA3176"/>
  <c r="AB3176"/>
  <c r="AC3176"/>
  <c r="AD3176"/>
  <c r="P3177"/>
  <c r="T3177"/>
  <c r="U3177"/>
  <c r="V3177"/>
  <c r="W3177"/>
  <c r="Y3177"/>
  <c r="AA3177"/>
  <c r="AB3177"/>
  <c r="AC3177"/>
  <c r="AD3177"/>
  <c r="P3178"/>
  <c r="T3178"/>
  <c r="U3178"/>
  <c r="V3178"/>
  <c r="W3178"/>
  <c r="Y3178"/>
  <c r="AA3178"/>
  <c r="AB3178"/>
  <c r="AC3178"/>
  <c r="AD3178"/>
  <c r="P3179"/>
  <c r="T3179"/>
  <c r="U3179"/>
  <c r="V3179"/>
  <c r="W3179"/>
  <c r="Y3179"/>
  <c r="AA3179"/>
  <c r="AB3179"/>
  <c r="AC3179"/>
  <c r="AD3179"/>
  <c r="P3180"/>
  <c r="T3180"/>
  <c r="U3180"/>
  <c r="V3180"/>
  <c r="W3180"/>
  <c r="Y3180"/>
  <c r="AA3180"/>
  <c r="AB3180"/>
  <c r="AC3180"/>
  <c r="AD3180"/>
  <c r="P3181"/>
  <c r="T3181"/>
  <c r="U3181"/>
  <c r="V3181"/>
  <c r="W3181"/>
  <c r="Y3181"/>
  <c r="AA3181"/>
  <c r="AB3181"/>
  <c r="AC3181"/>
  <c r="AD3181"/>
  <c r="P3182"/>
  <c r="T3182"/>
  <c r="U3182"/>
  <c r="V3182"/>
  <c r="W3182"/>
  <c r="Y3182"/>
  <c r="AA3182"/>
  <c r="AB3182"/>
  <c r="AC3182"/>
  <c r="AD3182"/>
  <c r="P3183"/>
  <c r="T3183"/>
  <c r="U3183"/>
  <c r="V3183"/>
  <c r="W3183"/>
  <c r="Y3183"/>
  <c r="AA3183"/>
  <c r="AB3183"/>
  <c r="AC3183"/>
  <c r="AD3183"/>
  <c r="P3184"/>
  <c r="T3184"/>
  <c r="U3184"/>
  <c r="V3184"/>
  <c r="W3184"/>
  <c r="Y3184"/>
  <c r="AA3184"/>
  <c r="AB3184"/>
  <c r="AC3184"/>
  <c r="AD3184"/>
  <c r="P3185"/>
  <c r="T3185"/>
  <c r="U3185"/>
  <c r="V3185"/>
  <c r="W3185"/>
  <c r="Y3185"/>
  <c r="AA3185"/>
  <c r="AB3185"/>
  <c r="AC3185"/>
  <c r="AD3185"/>
  <c r="P3186"/>
  <c r="T3186"/>
  <c r="U3186"/>
  <c r="V3186"/>
  <c r="W3186"/>
  <c r="Y3186"/>
  <c r="AA3186"/>
  <c r="AB3186"/>
  <c r="AC3186"/>
  <c r="AD3186"/>
  <c r="P3187"/>
  <c r="T3187"/>
  <c r="U3187"/>
  <c r="V3187"/>
  <c r="W3187"/>
  <c r="Y3187"/>
  <c r="AA3187"/>
  <c r="AB3187"/>
  <c r="AC3187"/>
  <c r="AD3187"/>
  <c r="P3188"/>
  <c r="T3188"/>
  <c r="U3188"/>
  <c r="V3188"/>
  <c r="W3188"/>
  <c r="Y3188"/>
  <c r="AA3188"/>
  <c r="AB3188"/>
  <c r="AC3188"/>
  <c r="AD3188"/>
  <c r="P3189"/>
  <c r="T3189"/>
  <c r="U3189"/>
  <c r="V3189"/>
  <c r="W3189"/>
  <c r="Y3189"/>
  <c r="AA3189"/>
  <c r="AB3189"/>
  <c r="AC3189"/>
  <c r="AD3189"/>
  <c r="P3190"/>
  <c r="T3190"/>
  <c r="U3190"/>
  <c r="V3190"/>
  <c r="W3190"/>
  <c r="Y3190"/>
  <c r="AA3190"/>
  <c r="AB3190"/>
  <c r="AC3190"/>
  <c r="AD3190"/>
  <c r="P3191"/>
  <c r="T3191"/>
  <c r="U3191"/>
  <c r="V3191"/>
  <c r="W3191"/>
  <c r="Y3191"/>
  <c r="AA3191"/>
  <c r="AB3191"/>
  <c r="AC3191"/>
  <c r="AD3191"/>
  <c r="P3192"/>
  <c r="T3192"/>
  <c r="U3192"/>
  <c r="V3192"/>
  <c r="W3192"/>
  <c r="Y3192"/>
  <c r="AA3192"/>
  <c r="AB3192"/>
  <c r="AC3192"/>
  <c r="AD3192"/>
  <c r="P3193"/>
  <c r="T3193"/>
  <c r="U3193"/>
  <c r="V3193"/>
  <c r="W3193"/>
  <c r="Y3193"/>
  <c r="AA3193"/>
  <c r="AB3193"/>
  <c r="AC3193"/>
  <c r="AD3193"/>
  <c r="P3194"/>
  <c r="T3194"/>
  <c r="U3194"/>
  <c r="V3194"/>
  <c r="W3194"/>
  <c r="Y3194"/>
  <c r="AA3194"/>
  <c r="AB3194"/>
  <c r="AC3194"/>
  <c r="AD3194"/>
  <c r="P3195"/>
  <c r="T3195"/>
  <c r="U3195"/>
  <c r="V3195"/>
  <c r="W3195"/>
  <c r="Y3195"/>
  <c r="AA3195"/>
  <c r="AB3195"/>
  <c r="AC3195"/>
  <c r="AD3195"/>
  <c r="P3196"/>
  <c r="T3196"/>
  <c r="U3196"/>
  <c r="V3196"/>
  <c r="W3196"/>
  <c r="Y3196"/>
  <c r="AA3196"/>
  <c r="AB3196"/>
  <c r="AC3196"/>
  <c r="AD3196"/>
  <c r="P3197"/>
  <c r="T3197"/>
  <c r="U3197"/>
  <c r="V3197"/>
  <c r="W3197"/>
  <c r="Y3197"/>
  <c r="AA3197"/>
  <c r="AB3197"/>
  <c r="AC3197"/>
  <c r="AD3197"/>
  <c r="P3198"/>
  <c r="T3198"/>
  <c r="U3198"/>
  <c r="V3198"/>
  <c r="W3198"/>
  <c r="Y3198"/>
  <c r="AA3198"/>
  <c r="AB3198"/>
  <c r="AC3198"/>
  <c r="AD3198"/>
  <c r="P3199"/>
  <c r="T3199"/>
  <c r="U3199"/>
  <c r="V3199"/>
  <c r="W3199"/>
  <c r="Y3199"/>
  <c r="AA3199"/>
  <c r="AB3199"/>
  <c r="AC3199"/>
  <c r="AD3199"/>
  <c r="P3200"/>
  <c r="T3200"/>
  <c r="U3200"/>
  <c r="V3200"/>
  <c r="W3200"/>
  <c r="Y3200"/>
  <c r="AA3200"/>
  <c r="AB3200"/>
  <c r="AC3200"/>
  <c r="AD3200"/>
  <c r="P3201"/>
  <c r="T3201"/>
  <c r="U3201"/>
  <c r="V3201"/>
  <c r="W3201"/>
  <c r="Y3201"/>
  <c r="AA3201"/>
  <c r="AB3201"/>
  <c r="AC3201"/>
  <c r="AD3201"/>
  <c r="P3202"/>
  <c r="T3202"/>
  <c r="U3202"/>
  <c r="V3202"/>
  <c r="W3202"/>
  <c r="Y3202"/>
  <c r="AA3202"/>
  <c r="AB3202"/>
  <c r="AC3202"/>
  <c r="AD3202"/>
  <c r="P3203"/>
  <c r="T3203"/>
  <c r="U3203"/>
  <c r="V3203"/>
  <c r="W3203"/>
  <c r="Y3203"/>
  <c r="AA3203"/>
  <c r="AB3203"/>
  <c r="AC3203"/>
  <c r="AD3203"/>
  <c r="P3204"/>
  <c r="T3204"/>
  <c r="U3204"/>
  <c r="V3204"/>
  <c r="W3204"/>
  <c r="Y3204"/>
  <c r="AA3204"/>
  <c r="AB3204"/>
  <c r="AC3204"/>
  <c r="AD3204"/>
  <c r="P3205"/>
  <c r="T3205"/>
  <c r="U3205"/>
  <c r="V3205"/>
  <c r="W3205"/>
  <c r="Y3205"/>
  <c r="AA3205"/>
  <c r="AB3205"/>
  <c r="AC3205"/>
  <c r="AD3205"/>
  <c r="P3206"/>
  <c r="T3206"/>
  <c r="U3206"/>
  <c r="V3206"/>
  <c r="W3206"/>
  <c r="Y3206"/>
  <c r="AA3206"/>
  <c r="AB3206"/>
  <c r="AC3206"/>
  <c r="AD3206"/>
  <c r="P3207"/>
  <c r="T3207"/>
  <c r="U3207"/>
  <c r="V3207"/>
  <c r="W3207"/>
  <c r="Y3207"/>
  <c r="AA3207"/>
  <c r="AB3207"/>
  <c r="AC3207"/>
  <c r="AD3207"/>
  <c r="P3208"/>
  <c r="T3208"/>
  <c r="U3208"/>
  <c r="V3208"/>
  <c r="W3208"/>
  <c r="Y3208"/>
  <c r="AA3208"/>
  <c r="AB3208"/>
  <c r="AC3208"/>
  <c r="AD3208"/>
  <c r="P3209"/>
  <c r="T3209"/>
  <c r="U3209"/>
  <c r="V3209"/>
  <c r="W3209"/>
  <c r="Y3209"/>
  <c r="AA3209"/>
  <c r="AB3209"/>
  <c r="AC3209"/>
  <c r="AD3209"/>
  <c r="P3210"/>
  <c r="T3210"/>
  <c r="U3210"/>
  <c r="V3210"/>
  <c r="W3210"/>
  <c r="Y3210"/>
  <c r="AA3210"/>
  <c r="AB3210"/>
  <c r="AC3210"/>
  <c r="AD3210"/>
  <c r="P3211"/>
  <c r="T3211"/>
  <c r="U3211"/>
  <c r="V3211"/>
  <c r="W3211"/>
  <c r="Y3211"/>
  <c r="AA3211"/>
  <c r="AB3211"/>
  <c r="AC3211"/>
  <c r="AD3211"/>
  <c r="P3212"/>
  <c r="T3212"/>
  <c r="U3212"/>
  <c r="V3212"/>
  <c r="W3212"/>
  <c r="Y3212"/>
  <c r="AA3212"/>
  <c r="AB3212"/>
  <c r="AC3212"/>
  <c r="AD3212"/>
  <c r="P3213"/>
  <c r="T3213"/>
  <c r="U3213"/>
  <c r="V3213"/>
  <c r="W3213"/>
  <c r="Y3213"/>
  <c r="AA3213"/>
  <c r="AB3213"/>
  <c r="AC3213"/>
  <c r="AD3213"/>
  <c r="P3214"/>
  <c r="T3214"/>
  <c r="U3214"/>
  <c r="V3214"/>
  <c r="W3214"/>
  <c r="Y3214"/>
  <c r="AA3214"/>
  <c r="AB3214"/>
  <c r="AC3214"/>
  <c r="AD3214"/>
  <c r="P3215"/>
  <c r="T3215"/>
  <c r="U3215"/>
  <c r="V3215"/>
  <c r="W3215"/>
  <c r="Y3215"/>
  <c r="AA3215"/>
  <c r="AB3215"/>
  <c r="AC3215"/>
  <c r="AD3215"/>
  <c r="P3216"/>
  <c r="T3216"/>
  <c r="U3216"/>
  <c r="V3216"/>
  <c r="W3216"/>
  <c r="Y3216"/>
  <c r="AA3216"/>
  <c r="AB3216"/>
  <c r="AC3216"/>
  <c r="AD3216"/>
  <c r="P3217"/>
  <c r="T3217"/>
  <c r="U3217"/>
  <c r="V3217"/>
  <c r="W3217"/>
  <c r="Y3217"/>
  <c r="AA3217"/>
  <c r="AB3217"/>
  <c r="AC3217"/>
  <c r="AD3217"/>
  <c r="P3218"/>
  <c r="T3218"/>
  <c r="U3218"/>
  <c r="V3218"/>
  <c r="W3218"/>
  <c r="Y3218"/>
  <c r="AA3218"/>
  <c r="AB3218"/>
  <c r="AC3218"/>
  <c r="AD3218"/>
  <c r="P3219"/>
  <c r="T3219"/>
  <c r="U3219"/>
  <c r="V3219"/>
  <c r="W3219"/>
  <c r="Y3219"/>
  <c r="AA3219"/>
  <c r="AB3219"/>
  <c r="AC3219"/>
  <c r="AD3219"/>
  <c r="P3220"/>
  <c r="T3220"/>
  <c r="U3220"/>
  <c r="V3220"/>
  <c r="W3220"/>
  <c r="Y3220"/>
  <c r="AA3220"/>
  <c r="AB3220"/>
  <c r="AC3220"/>
  <c r="AD3220"/>
  <c r="P3221"/>
  <c r="T3221"/>
  <c r="U3221"/>
  <c r="V3221"/>
  <c r="W3221"/>
  <c r="Y3221"/>
  <c r="AA3221"/>
  <c r="AB3221"/>
  <c r="AC3221"/>
  <c r="AD3221"/>
  <c r="P3222"/>
  <c r="T3222"/>
  <c r="U3222"/>
  <c r="V3222"/>
  <c r="W3222"/>
  <c r="Y3222"/>
  <c r="AA3222"/>
  <c r="AB3222"/>
  <c r="AC3222"/>
  <c r="AD3222"/>
  <c r="P3223"/>
  <c r="T3223"/>
  <c r="U3223"/>
  <c r="V3223"/>
  <c r="W3223"/>
  <c r="Y3223"/>
  <c r="AA3223"/>
  <c r="AB3223"/>
  <c r="AC3223"/>
  <c r="AD3223"/>
  <c r="P3224"/>
  <c r="T3224"/>
  <c r="U3224"/>
  <c r="V3224"/>
  <c r="W3224"/>
  <c r="Y3224"/>
  <c r="AA3224"/>
  <c r="AB3224"/>
  <c r="AC3224"/>
  <c r="AD3224"/>
  <c r="P3225"/>
  <c r="T3225"/>
  <c r="U3225"/>
  <c r="V3225"/>
  <c r="W3225"/>
  <c r="Y3225"/>
  <c r="AA3225"/>
  <c r="AB3225"/>
  <c r="AC3225"/>
  <c r="AD3225"/>
  <c r="P3226"/>
  <c r="T3226"/>
  <c r="U3226"/>
  <c r="V3226"/>
  <c r="W3226"/>
  <c r="Y3226"/>
  <c r="AA3226"/>
  <c r="AB3226"/>
  <c r="AC3226"/>
  <c r="AD3226"/>
  <c r="P3227"/>
  <c r="T3227"/>
  <c r="U3227"/>
  <c r="V3227"/>
  <c r="W3227"/>
  <c r="Y3227"/>
  <c r="AA3227"/>
  <c r="AB3227"/>
  <c r="AC3227"/>
  <c r="AD3227"/>
  <c r="P3228"/>
  <c r="T3228"/>
  <c r="U3228"/>
  <c r="V3228"/>
  <c r="W3228"/>
  <c r="Y3228"/>
  <c r="AA3228"/>
  <c r="AB3228"/>
  <c r="AC3228"/>
  <c r="AD3228"/>
  <c r="P3229"/>
  <c r="T3229"/>
  <c r="U3229"/>
  <c r="V3229"/>
  <c r="W3229"/>
  <c r="Y3229"/>
  <c r="AA3229"/>
  <c r="AB3229"/>
  <c r="AC3229"/>
  <c r="AD3229"/>
  <c r="P3230"/>
  <c r="T3230"/>
  <c r="U3230"/>
  <c r="V3230"/>
  <c r="W3230"/>
  <c r="Y3230"/>
  <c r="AA3230"/>
  <c r="AB3230"/>
  <c r="AC3230"/>
  <c r="AD3230"/>
  <c r="P3231"/>
  <c r="T3231"/>
  <c r="U3231"/>
  <c r="V3231"/>
  <c r="W3231"/>
  <c r="Y3231"/>
  <c r="AA3231"/>
  <c r="AB3231"/>
  <c r="AC3231"/>
  <c r="AD3231"/>
  <c r="P3232"/>
  <c r="T3232"/>
  <c r="U3232"/>
  <c r="V3232"/>
  <c r="W3232"/>
  <c r="Y3232"/>
  <c r="AA3232"/>
  <c r="AB3232"/>
  <c r="AC3232"/>
  <c r="AD3232"/>
  <c r="P3233"/>
  <c r="T3233"/>
  <c r="U3233"/>
  <c r="V3233"/>
  <c r="W3233"/>
  <c r="Y3233"/>
  <c r="AA3233"/>
  <c r="AB3233"/>
  <c r="AC3233"/>
  <c r="AD3233"/>
  <c r="P3234"/>
  <c r="T3234"/>
  <c r="U3234"/>
  <c r="V3234"/>
  <c r="W3234"/>
  <c r="Y3234"/>
  <c r="AA3234"/>
  <c r="AB3234"/>
  <c r="AC3234"/>
  <c r="AD3234"/>
  <c r="P3235"/>
  <c r="T3235"/>
  <c r="U3235"/>
  <c r="V3235"/>
  <c r="W3235"/>
  <c r="Y3235"/>
  <c r="AA3235"/>
  <c r="AB3235"/>
  <c r="AC3235"/>
  <c r="AD3235"/>
  <c r="P3236"/>
  <c r="T3236"/>
  <c r="U3236"/>
  <c r="V3236"/>
  <c r="W3236"/>
  <c r="Y3236"/>
  <c r="AA3236"/>
  <c r="AB3236"/>
  <c r="AC3236"/>
  <c r="AD3236"/>
  <c r="P3237"/>
  <c r="T3237"/>
  <c r="U3237"/>
  <c r="V3237"/>
  <c r="W3237"/>
  <c r="Y3237"/>
  <c r="AA3237"/>
  <c r="AB3237"/>
  <c r="AC3237"/>
  <c r="AD3237"/>
  <c r="P3238"/>
  <c r="T3238"/>
  <c r="U3238"/>
  <c r="V3238"/>
  <c r="W3238"/>
  <c r="Y3238"/>
  <c r="AA3238"/>
  <c r="AB3238"/>
  <c r="AC3238"/>
  <c r="AD3238"/>
  <c r="P3239"/>
  <c r="T3239"/>
  <c r="U3239"/>
  <c r="V3239"/>
  <c r="W3239"/>
  <c r="Y3239"/>
  <c r="AA3239"/>
  <c r="AB3239"/>
  <c r="AC3239"/>
  <c r="AD3239"/>
  <c r="P3240"/>
  <c r="T3240"/>
  <c r="U3240"/>
  <c r="V3240"/>
  <c r="W3240"/>
  <c r="Y3240"/>
  <c r="AA3240"/>
  <c r="AB3240"/>
  <c r="AC3240"/>
  <c r="AD3240"/>
  <c r="P3241"/>
  <c r="T3241"/>
  <c r="U3241"/>
  <c r="V3241"/>
  <c r="W3241"/>
  <c r="Y3241"/>
  <c r="AA3241"/>
  <c r="AB3241"/>
  <c r="AC3241"/>
  <c r="AD3241"/>
  <c r="P3242"/>
  <c r="T3242"/>
  <c r="U3242"/>
  <c r="V3242"/>
  <c r="W3242"/>
  <c r="Y3242"/>
  <c r="AA3242"/>
  <c r="AB3242"/>
  <c r="AC3242"/>
  <c r="AD3242"/>
  <c r="P3243"/>
  <c r="T3243"/>
  <c r="U3243"/>
  <c r="V3243"/>
  <c r="W3243"/>
  <c r="Y3243"/>
  <c r="AA3243"/>
  <c r="AB3243"/>
  <c r="AC3243"/>
  <c r="AD3243"/>
  <c r="P3244"/>
  <c r="T3244"/>
  <c r="U3244"/>
  <c r="V3244"/>
  <c r="W3244"/>
  <c r="Y3244"/>
  <c r="AA3244"/>
  <c r="AB3244"/>
  <c r="AC3244"/>
  <c r="AD3244"/>
  <c r="P3245"/>
  <c r="T3245"/>
  <c r="U3245"/>
  <c r="V3245"/>
  <c r="W3245"/>
  <c r="Y3245"/>
  <c r="AA3245"/>
  <c r="AB3245"/>
  <c r="AC3245"/>
  <c r="AD3245"/>
  <c r="P3246"/>
  <c r="T3246"/>
  <c r="U3246"/>
  <c r="V3246"/>
  <c r="W3246"/>
  <c r="Y3246"/>
  <c r="AA3246"/>
  <c r="AB3246"/>
  <c r="AC3246"/>
  <c r="AD3246"/>
  <c r="P3247"/>
  <c r="T3247"/>
  <c r="U3247"/>
  <c r="V3247"/>
  <c r="W3247"/>
  <c r="Y3247"/>
  <c r="AA3247"/>
  <c r="AB3247"/>
  <c r="AC3247"/>
  <c r="AD3247"/>
  <c r="P3248"/>
  <c r="T3248"/>
  <c r="U3248"/>
  <c r="V3248"/>
  <c r="W3248"/>
  <c r="Y3248"/>
  <c r="AA3248"/>
  <c r="AB3248"/>
  <c r="AC3248"/>
  <c r="AD3248"/>
  <c r="P3249"/>
  <c r="T3249"/>
  <c r="U3249"/>
  <c r="V3249"/>
  <c r="W3249"/>
  <c r="Y3249"/>
  <c r="AA3249"/>
  <c r="AB3249"/>
  <c r="AC3249"/>
  <c r="AD3249"/>
  <c r="P3250"/>
  <c r="T3250"/>
  <c r="U3250"/>
  <c r="V3250"/>
  <c r="W3250"/>
  <c r="Y3250"/>
  <c r="AA3250"/>
  <c r="AB3250"/>
  <c r="AC3250"/>
  <c r="AD3250"/>
  <c r="P3251"/>
  <c r="T3251"/>
  <c r="U3251"/>
  <c r="V3251"/>
  <c r="W3251"/>
  <c r="Y3251"/>
  <c r="AA3251"/>
  <c r="AB3251"/>
  <c r="AC3251"/>
  <c r="AD3251"/>
  <c r="P3252"/>
  <c r="T3252"/>
  <c r="U3252"/>
  <c r="V3252"/>
  <c r="W3252"/>
  <c r="Y3252"/>
  <c r="AA3252"/>
  <c r="AB3252"/>
  <c r="AC3252"/>
  <c r="AD3252"/>
  <c r="P3253"/>
  <c r="T3253"/>
  <c r="U3253"/>
  <c r="V3253"/>
  <c r="W3253"/>
  <c r="Y3253"/>
  <c r="AA3253"/>
  <c r="AB3253"/>
  <c r="AC3253"/>
  <c r="AD3253"/>
  <c r="P3254"/>
  <c r="T3254"/>
  <c r="U3254"/>
  <c r="V3254"/>
  <c r="W3254"/>
  <c r="Y3254"/>
  <c r="AA3254"/>
  <c r="AB3254"/>
  <c r="AC3254"/>
  <c r="AD3254"/>
  <c r="P3255"/>
  <c r="T3255"/>
  <c r="U3255"/>
  <c r="V3255"/>
  <c r="W3255"/>
  <c r="Y3255"/>
  <c r="AA3255"/>
  <c r="AB3255"/>
  <c r="AC3255"/>
  <c r="AD3255"/>
  <c r="P3256"/>
  <c r="T3256"/>
  <c r="U3256"/>
  <c r="V3256"/>
  <c r="W3256"/>
  <c r="Y3256"/>
  <c r="AA3256"/>
  <c r="AB3256"/>
  <c r="AC3256"/>
  <c r="AD3256"/>
  <c r="P3257"/>
  <c r="T3257"/>
  <c r="U3257"/>
  <c r="V3257"/>
  <c r="W3257"/>
  <c r="Y3257"/>
  <c r="AA3257"/>
  <c r="AB3257"/>
  <c r="AC3257"/>
  <c r="AD3257"/>
  <c r="P3258"/>
  <c r="T3258"/>
  <c r="U3258"/>
  <c r="V3258"/>
  <c r="W3258"/>
  <c r="Y3258"/>
  <c r="AA3258"/>
  <c r="AB3258"/>
  <c r="AC3258"/>
  <c r="AD3258"/>
  <c r="P3259"/>
  <c r="T3259"/>
  <c r="U3259"/>
  <c r="V3259"/>
  <c r="W3259"/>
  <c r="Y3259"/>
  <c r="AA3259"/>
  <c r="AB3259"/>
  <c r="AC3259"/>
  <c r="AD3259"/>
  <c r="P3260"/>
  <c r="T3260"/>
  <c r="U3260"/>
  <c r="V3260"/>
  <c r="W3260"/>
  <c r="Y3260"/>
  <c r="AA3260"/>
  <c r="AB3260"/>
  <c r="AC3260"/>
  <c r="AD3260"/>
  <c r="P3261"/>
  <c r="T3261"/>
  <c r="U3261"/>
  <c r="V3261"/>
  <c r="W3261"/>
  <c r="Y3261"/>
  <c r="AA3261"/>
  <c r="AB3261"/>
  <c r="AC3261"/>
  <c r="AD3261"/>
  <c r="P3262"/>
  <c r="T3262"/>
  <c r="U3262"/>
  <c r="V3262"/>
  <c r="W3262"/>
  <c r="Y3262"/>
  <c r="AA3262"/>
  <c r="AB3262"/>
  <c r="AC3262"/>
  <c r="AD3262"/>
  <c r="P3263"/>
  <c r="T3263"/>
  <c r="U3263"/>
  <c r="V3263"/>
  <c r="W3263"/>
  <c r="Y3263"/>
  <c r="AA3263"/>
  <c r="AB3263"/>
  <c r="AC3263"/>
  <c r="AD3263"/>
  <c r="P3264"/>
  <c r="T3264"/>
  <c r="U3264"/>
  <c r="V3264"/>
  <c r="W3264"/>
  <c r="Y3264"/>
  <c r="AA3264"/>
  <c r="AB3264"/>
  <c r="AC3264"/>
  <c r="AD3264"/>
  <c r="P3265"/>
  <c r="T3265"/>
  <c r="U3265"/>
  <c r="V3265"/>
  <c r="W3265"/>
  <c r="Y3265"/>
  <c r="AA3265"/>
  <c r="AB3265"/>
  <c r="AC3265"/>
  <c r="AD3265"/>
  <c r="P3266"/>
  <c r="T3266"/>
  <c r="U3266"/>
  <c r="V3266"/>
  <c r="W3266"/>
  <c r="Y3266"/>
  <c r="AA3266"/>
  <c r="AB3266"/>
  <c r="AC3266"/>
  <c r="AD3266"/>
  <c r="P3267"/>
  <c r="T3267"/>
  <c r="U3267"/>
  <c r="V3267"/>
  <c r="W3267"/>
  <c r="Y3267"/>
  <c r="AA3267"/>
  <c r="AB3267"/>
  <c r="AC3267"/>
  <c r="AD3267"/>
  <c r="P3268"/>
  <c r="T3268"/>
  <c r="U3268"/>
  <c r="V3268"/>
  <c r="W3268"/>
  <c r="Y3268"/>
  <c r="AA3268"/>
  <c r="AB3268"/>
  <c r="AC3268"/>
  <c r="AD3268"/>
  <c r="P3269"/>
  <c r="T3269"/>
  <c r="U3269"/>
  <c r="V3269"/>
  <c r="W3269"/>
  <c r="Y3269"/>
  <c r="AA3269"/>
  <c r="AB3269"/>
  <c r="AC3269"/>
  <c r="AD3269"/>
  <c r="P3270"/>
  <c r="T3270"/>
  <c r="U3270"/>
  <c r="V3270"/>
  <c r="W3270"/>
  <c r="Y3270"/>
  <c r="AA3270"/>
  <c r="AB3270"/>
  <c r="AC3270"/>
  <c r="AD3270"/>
  <c r="P3271"/>
  <c r="T3271"/>
  <c r="U3271"/>
  <c r="V3271"/>
  <c r="W3271"/>
  <c r="Y3271"/>
  <c r="AA3271"/>
  <c r="AB3271"/>
  <c r="AC3271"/>
  <c r="AD3271"/>
  <c r="P3272"/>
  <c r="T3272"/>
  <c r="U3272"/>
  <c r="V3272"/>
  <c r="W3272"/>
  <c r="Y3272"/>
  <c r="AA3272"/>
  <c r="AB3272"/>
  <c r="AC3272"/>
  <c r="AD3272"/>
  <c r="P3273"/>
  <c r="T3273"/>
  <c r="U3273"/>
  <c r="V3273"/>
  <c r="W3273"/>
  <c r="Y3273"/>
  <c r="AA3273"/>
  <c r="AB3273"/>
  <c r="AC3273"/>
  <c r="AD3273"/>
  <c r="P3274"/>
  <c r="T3274"/>
  <c r="U3274"/>
  <c r="V3274"/>
  <c r="W3274"/>
  <c r="Y3274"/>
  <c r="AA3274"/>
  <c r="AB3274"/>
  <c r="AC3274"/>
  <c r="AD3274"/>
  <c r="P3275"/>
  <c r="T3275"/>
  <c r="U3275"/>
  <c r="V3275"/>
  <c r="W3275"/>
  <c r="Y3275"/>
  <c r="AA3275"/>
  <c r="AB3275"/>
  <c r="AC3275"/>
  <c r="AD3275"/>
  <c r="P3276"/>
  <c r="T3276"/>
  <c r="U3276"/>
  <c r="V3276"/>
  <c r="W3276"/>
  <c r="Y3276"/>
  <c r="AA3276"/>
  <c r="AB3276"/>
  <c r="AC3276"/>
  <c r="AD3276"/>
  <c r="P3277"/>
  <c r="T3277"/>
  <c r="U3277"/>
  <c r="V3277"/>
  <c r="W3277"/>
  <c r="Y3277"/>
  <c r="AA3277"/>
  <c r="AB3277"/>
  <c r="AC3277"/>
  <c r="AD3277"/>
  <c r="P3278"/>
  <c r="T3278"/>
  <c r="U3278"/>
  <c r="V3278"/>
  <c r="W3278"/>
  <c r="Y3278"/>
  <c r="AA3278"/>
  <c r="AB3278"/>
  <c r="AC3278"/>
  <c r="AD3278"/>
  <c r="P3279"/>
  <c r="T3279"/>
  <c r="U3279"/>
  <c r="V3279"/>
  <c r="W3279"/>
  <c r="Y3279"/>
  <c r="AA3279"/>
  <c r="AB3279"/>
  <c r="AC3279"/>
  <c r="AD3279"/>
  <c r="P3280"/>
  <c r="T3280"/>
  <c r="U3280"/>
  <c r="V3280"/>
  <c r="W3280"/>
  <c r="Y3280"/>
  <c r="AA3280"/>
  <c r="AB3280"/>
  <c r="AC3280"/>
  <c r="AD3280"/>
  <c r="P3281"/>
  <c r="T3281"/>
  <c r="U3281"/>
  <c r="V3281"/>
  <c r="W3281"/>
  <c r="Y3281"/>
  <c r="AA3281"/>
  <c r="AB3281"/>
  <c r="AC3281"/>
  <c r="AD3281"/>
  <c r="P3282"/>
  <c r="T3282"/>
  <c r="U3282"/>
  <c r="V3282"/>
  <c r="W3282"/>
  <c r="Y3282"/>
  <c r="AA3282"/>
  <c r="AB3282"/>
  <c r="AC3282"/>
  <c r="AD3282"/>
  <c r="P3283"/>
  <c r="T3283"/>
  <c r="U3283"/>
  <c r="V3283"/>
  <c r="W3283"/>
  <c r="Y3283"/>
  <c r="AA3283"/>
  <c r="AB3283"/>
  <c r="AC3283"/>
  <c r="AD3283"/>
  <c r="P3284"/>
  <c r="T3284"/>
  <c r="U3284"/>
  <c r="V3284"/>
  <c r="W3284"/>
  <c r="Y3284"/>
  <c r="AA3284"/>
  <c r="AB3284"/>
  <c r="AC3284"/>
  <c r="AD3284"/>
  <c r="P3285"/>
  <c r="T3285"/>
  <c r="U3285"/>
  <c r="V3285"/>
  <c r="W3285"/>
  <c r="Y3285"/>
  <c r="AA3285"/>
  <c r="AB3285"/>
  <c r="AC3285"/>
  <c r="AD3285"/>
  <c r="P3286"/>
  <c r="T3286"/>
  <c r="U3286"/>
  <c r="V3286"/>
  <c r="W3286"/>
  <c r="Y3286"/>
  <c r="AA3286"/>
  <c r="AB3286"/>
  <c r="AC3286"/>
  <c r="AD3286"/>
  <c r="P3287"/>
  <c r="T3287"/>
  <c r="U3287"/>
  <c r="V3287"/>
  <c r="W3287"/>
  <c r="Y3287"/>
  <c r="AA3287"/>
  <c r="AB3287"/>
  <c r="AC3287"/>
  <c r="AD3287"/>
  <c r="P3288"/>
  <c r="T3288"/>
  <c r="U3288"/>
  <c r="V3288"/>
  <c r="W3288"/>
  <c r="Y3288"/>
  <c r="AA3288"/>
  <c r="AB3288"/>
  <c r="AC3288"/>
  <c r="AD3288"/>
  <c r="P3289"/>
  <c r="T3289"/>
  <c r="U3289"/>
  <c r="V3289"/>
  <c r="W3289"/>
  <c r="Y3289"/>
  <c r="AA3289"/>
  <c r="AB3289"/>
  <c r="AC3289"/>
  <c r="AD3289"/>
  <c r="P3290"/>
  <c r="T3290"/>
  <c r="U3290"/>
  <c r="V3290"/>
  <c r="W3290"/>
  <c r="Y3290"/>
  <c r="AA3290"/>
  <c r="AB3290"/>
  <c r="AC3290"/>
  <c r="AD3290"/>
  <c r="P3291"/>
  <c r="T3291"/>
  <c r="U3291"/>
  <c r="V3291"/>
  <c r="W3291"/>
  <c r="Y3291"/>
  <c r="AA3291"/>
  <c r="AB3291"/>
  <c r="AC3291"/>
  <c r="AD3291"/>
  <c r="P3292"/>
  <c r="T3292"/>
  <c r="U3292"/>
  <c r="V3292"/>
  <c r="W3292"/>
  <c r="Y3292"/>
  <c r="AA3292"/>
  <c r="AB3292"/>
  <c r="AC3292"/>
  <c r="AD3292"/>
  <c r="P3293"/>
  <c r="T3293"/>
  <c r="U3293"/>
  <c r="V3293"/>
  <c r="W3293"/>
  <c r="Y3293"/>
  <c r="AA3293"/>
  <c r="AB3293"/>
  <c r="AC3293"/>
  <c r="AD3293"/>
  <c r="P3294"/>
  <c r="T3294"/>
  <c r="U3294"/>
  <c r="V3294"/>
  <c r="W3294"/>
  <c r="Y3294"/>
  <c r="AA3294"/>
  <c r="AB3294"/>
  <c r="AC3294"/>
  <c r="AD3294"/>
  <c r="P3295"/>
  <c r="T3295"/>
  <c r="U3295"/>
  <c r="V3295"/>
  <c r="W3295"/>
  <c r="Y3295"/>
  <c r="AA3295"/>
  <c r="AB3295"/>
  <c r="AC3295"/>
  <c r="AD3295"/>
  <c r="P3296"/>
  <c r="T3296"/>
  <c r="U3296"/>
  <c r="V3296"/>
  <c r="W3296"/>
  <c r="Y3296"/>
  <c r="AA3296"/>
  <c r="AB3296"/>
  <c r="AC3296"/>
  <c r="AD3296"/>
  <c r="P3297"/>
  <c r="T3297"/>
  <c r="U3297"/>
  <c r="V3297"/>
  <c r="W3297"/>
  <c r="Y3297"/>
  <c r="AA3297"/>
  <c r="AB3297"/>
  <c r="AC3297"/>
  <c r="AD3297"/>
  <c r="P3298"/>
  <c r="T3298"/>
  <c r="U3298"/>
  <c r="V3298"/>
  <c r="W3298"/>
  <c r="Y3298"/>
  <c r="AA3298"/>
  <c r="AB3298"/>
  <c r="AC3298"/>
  <c r="AD3298"/>
  <c r="P3299"/>
  <c r="T3299"/>
  <c r="U3299"/>
  <c r="V3299"/>
  <c r="W3299"/>
  <c r="Y3299"/>
  <c r="AA3299"/>
  <c r="AB3299"/>
  <c r="AC3299"/>
  <c r="AD3299"/>
  <c r="P3300"/>
  <c r="T3300"/>
  <c r="U3300"/>
  <c r="V3300"/>
  <c r="W3300"/>
  <c r="Y3300"/>
  <c r="AA3300"/>
  <c r="AB3300"/>
  <c r="AC3300"/>
  <c r="AD3300"/>
  <c r="P3301"/>
  <c r="T3301"/>
  <c r="U3301"/>
  <c r="V3301"/>
  <c r="W3301"/>
  <c r="Y3301"/>
  <c r="AA3301"/>
  <c r="AB3301"/>
  <c r="AC3301"/>
  <c r="AD3301"/>
  <c r="P3302"/>
  <c r="T3302"/>
  <c r="U3302"/>
  <c r="V3302"/>
  <c r="W3302"/>
  <c r="Y3302"/>
  <c r="AA3302"/>
  <c r="AB3302"/>
  <c r="AC3302"/>
  <c r="AD3302"/>
  <c r="P3303"/>
  <c r="T3303"/>
  <c r="U3303"/>
  <c r="V3303"/>
  <c r="W3303"/>
  <c r="Y3303"/>
  <c r="AA3303"/>
  <c r="AB3303"/>
  <c r="AC3303"/>
  <c r="AD3303"/>
  <c r="P3304"/>
  <c r="T3304"/>
  <c r="U3304"/>
  <c r="V3304"/>
  <c r="W3304"/>
  <c r="Y3304"/>
  <c r="AA3304"/>
  <c r="AB3304"/>
  <c r="AC3304"/>
  <c r="AD3304"/>
  <c r="P3305"/>
  <c r="T3305"/>
  <c r="U3305"/>
  <c r="V3305"/>
  <c r="W3305"/>
  <c r="Y3305"/>
  <c r="AA3305"/>
  <c r="AB3305"/>
  <c r="AC3305"/>
  <c r="AD3305"/>
  <c r="P3306"/>
  <c r="T3306"/>
  <c r="U3306"/>
  <c r="V3306"/>
  <c r="W3306"/>
  <c r="Y3306"/>
  <c r="AA3306"/>
  <c r="AB3306"/>
  <c r="AC3306"/>
  <c r="AD3306"/>
  <c r="P3307"/>
  <c r="T3307"/>
  <c r="U3307"/>
  <c r="V3307"/>
  <c r="W3307"/>
  <c r="Y3307"/>
  <c r="AA3307"/>
  <c r="AB3307"/>
  <c r="AC3307"/>
  <c r="AD3307"/>
  <c r="P3308"/>
  <c r="T3308"/>
  <c r="U3308"/>
  <c r="V3308"/>
  <c r="W3308"/>
  <c r="Y3308"/>
  <c r="AA3308"/>
  <c r="AB3308"/>
  <c r="AC3308"/>
  <c r="AD3308"/>
  <c r="P3309"/>
  <c r="T3309"/>
  <c r="U3309"/>
  <c r="V3309"/>
  <c r="W3309"/>
  <c r="Y3309"/>
  <c r="AA3309"/>
  <c r="AB3309"/>
  <c r="AC3309"/>
  <c r="AD3309"/>
  <c r="P3310"/>
  <c r="T3310"/>
  <c r="U3310"/>
  <c r="V3310"/>
  <c r="W3310"/>
  <c r="Y3310"/>
  <c r="AA3310"/>
  <c r="AB3310"/>
  <c r="AC3310"/>
  <c r="AD3310"/>
  <c r="P3311"/>
  <c r="T3311"/>
  <c r="U3311"/>
  <c r="V3311"/>
  <c r="W3311"/>
  <c r="Y3311"/>
  <c r="AA3311"/>
  <c r="AB3311"/>
  <c r="AC3311"/>
  <c r="AD3311"/>
  <c r="P3312"/>
  <c r="T3312"/>
  <c r="U3312"/>
  <c r="V3312"/>
  <c r="W3312"/>
  <c r="Y3312"/>
  <c r="AA3312"/>
  <c r="AB3312"/>
  <c r="AC3312"/>
  <c r="AD3312"/>
  <c r="P3313"/>
  <c r="T3313"/>
  <c r="U3313"/>
  <c r="V3313"/>
  <c r="W3313"/>
  <c r="Y3313"/>
  <c r="AA3313"/>
  <c r="AB3313"/>
  <c r="AC3313"/>
  <c r="AD3313"/>
  <c r="P3314"/>
  <c r="T3314"/>
  <c r="U3314"/>
  <c r="V3314"/>
  <c r="W3314"/>
  <c r="Y3314"/>
  <c r="AA3314"/>
  <c r="AB3314"/>
  <c r="AC3314"/>
  <c r="AD3314"/>
  <c r="P3315"/>
  <c r="T3315"/>
  <c r="U3315"/>
  <c r="V3315"/>
  <c r="W3315"/>
  <c r="Y3315"/>
  <c r="AA3315"/>
  <c r="AB3315"/>
  <c r="AC3315"/>
  <c r="AD3315"/>
  <c r="P3316"/>
  <c r="T3316"/>
  <c r="U3316"/>
  <c r="V3316"/>
  <c r="W3316"/>
  <c r="Y3316"/>
  <c r="AA3316"/>
  <c r="AB3316"/>
  <c r="AC3316"/>
  <c r="AD3316"/>
  <c r="P3317"/>
  <c r="T3317"/>
  <c r="U3317"/>
  <c r="V3317"/>
  <c r="W3317"/>
  <c r="Y3317"/>
  <c r="AA3317"/>
  <c r="AB3317"/>
  <c r="AC3317"/>
  <c r="AD3317"/>
  <c r="P3318"/>
  <c r="T3318"/>
  <c r="U3318"/>
  <c r="V3318"/>
  <c r="W3318"/>
  <c r="Y3318"/>
  <c r="AA3318"/>
  <c r="AB3318"/>
  <c r="AC3318"/>
  <c r="AD3318"/>
  <c r="P3319"/>
  <c r="T3319"/>
  <c r="U3319"/>
  <c r="V3319"/>
  <c r="W3319"/>
  <c r="Y3319"/>
  <c r="AA3319"/>
  <c r="AB3319"/>
  <c r="AC3319"/>
  <c r="AD3319"/>
  <c r="P3320"/>
  <c r="T3320"/>
  <c r="U3320"/>
  <c r="V3320"/>
  <c r="W3320"/>
  <c r="Y3320"/>
  <c r="AA3320"/>
  <c r="AB3320"/>
  <c r="AC3320"/>
  <c r="AD3320"/>
  <c r="P3321"/>
  <c r="T3321"/>
  <c r="U3321"/>
  <c r="V3321"/>
  <c r="W3321"/>
  <c r="Y3321"/>
  <c r="AA3321"/>
  <c r="AB3321"/>
  <c r="AC3321"/>
  <c r="AD3321"/>
  <c r="P3322"/>
  <c r="T3322"/>
  <c r="U3322"/>
  <c r="V3322"/>
  <c r="W3322"/>
  <c r="Y3322"/>
  <c r="AA3322"/>
  <c r="AB3322"/>
  <c r="AC3322"/>
  <c r="AD3322"/>
  <c r="P3323"/>
  <c r="T3323"/>
  <c r="U3323"/>
  <c r="V3323"/>
  <c r="W3323"/>
  <c r="Y3323"/>
  <c r="AA3323"/>
  <c r="AB3323"/>
  <c r="AC3323"/>
  <c r="AD3323"/>
  <c r="P3324"/>
  <c r="T3324"/>
  <c r="U3324"/>
  <c r="V3324"/>
  <c r="W3324"/>
  <c r="Y3324"/>
  <c r="AA3324"/>
  <c r="AB3324"/>
  <c r="AC3324"/>
  <c r="AD3324"/>
  <c r="P3325"/>
  <c r="T3325"/>
  <c r="U3325"/>
  <c r="V3325"/>
  <c r="W3325"/>
  <c r="Y3325"/>
  <c r="AA3325"/>
  <c r="AB3325"/>
  <c r="AC3325"/>
  <c r="AD3325"/>
  <c r="P3326"/>
  <c r="T3326"/>
  <c r="U3326"/>
  <c r="V3326"/>
  <c r="W3326"/>
  <c r="Y3326"/>
  <c r="AA3326"/>
  <c r="AB3326"/>
  <c r="AC3326"/>
  <c r="AD3326"/>
  <c r="P3327"/>
  <c r="T3327"/>
  <c r="U3327"/>
  <c r="V3327"/>
  <c r="W3327"/>
  <c r="Y3327"/>
  <c r="AA3327"/>
  <c r="AB3327"/>
  <c r="AC3327"/>
  <c r="AD3327"/>
  <c r="P3328"/>
  <c r="T3328"/>
  <c r="U3328"/>
  <c r="V3328"/>
  <c r="W3328"/>
  <c r="Y3328"/>
  <c r="AA3328"/>
  <c r="AB3328"/>
  <c r="AC3328"/>
  <c r="AD3328"/>
  <c r="P3329"/>
  <c r="T3329"/>
  <c r="U3329"/>
  <c r="V3329"/>
  <c r="W3329"/>
  <c r="Y3329"/>
  <c r="AA3329"/>
  <c r="AB3329"/>
  <c r="AC3329"/>
  <c r="AD3329"/>
  <c r="P3330"/>
  <c r="T3330"/>
  <c r="U3330"/>
  <c r="V3330"/>
  <c r="W3330"/>
  <c r="Y3330"/>
  <c r="AA3330"/>
  <c r="AB3330"/>
  <c r="AC3330"/>
  <c r="AD3330"/>
  <c r="P3331"/>
  <c r="T3331"/>
  <c r="U3331"/>
  <c r="V3331"/>
  <c r="W3331"/>
  <c r="Y3331"/>
  <c r="AA3331"/>
  <c r="AB3331"/>
  <c r="AC3331"/>
  <c r="AD3331"/>
  <c r="P3332"/>
  <c r="T3332"/>
  <c r="U3332"/>
  <c r="V3332"/>
  <c r="W3332"/>
  <c r="Y3332"/>
  <c r="AA3332"/>
  <c r="AB3332"/>
  <c r="AC3332"/>
  <c r="AD3332"/>
  <c r="P3333"/>
  <c r="T3333"/>
  <c r="U3333"/>
  <c r="V3333"/>
  <c r="W3333"/>
  <c r="Y3333"/>
  <c r="AA3333"/>
  <c r="AB3333"/>
  <c r="AC3333"/>
  <c r="AD3333"/>
  <c r="P3334"/>
  <c r="T3334"/>
  <c r="U3334"/>
  <c r="V3334"/>
  <c r="W3334"/>
  <c r="Y3334"/>
  <c r="AA3334"/>
  <c r="AB3334"/>
  <c r="AC3334"/>
  <c r="AD3334"/>
  <c r="P3335"/>
  <c r="T3335"/>
  <c r="U3335"/>
  <c r="V3335"/>
  <c r="W3335"/>
  <c r="Y3335"/>
  <c r="AA3335"/>
  <c r="AB3335"/>
  <c r="AC3335"/>
  <c r="AD3335"/>
  <c r="P3336"/>
  <c r="T3336"/>
  <c r="U3336"/>
  <c r="V3336"/>
  <c r="W3336"/>
  <c r="Y3336"/>
  <c r="AA3336"/>
  <c r="AB3336"/>
  <c r="AC3336"/>
  <c r="AD3336"/>
  <c r="P3337"/>
  <c r="T3337"/>
  <c r="U3337"/>
  <c r="V3337"/>
  <c r="W3337"/>
  <c r="Y3337"/>
  <c r="AA3337"/>
  <c r="AB3337"/>
  <c r="AC3337"/>
  <c r="AD3337"/>
  <c r="P3338"/>
  <c r="T3338"/>
  <c r="U3338"/>
  <c r="V3338"/>
  <c r="W3338"/>
  <c r="Y3338"/>
  <c r="AA3338"/>
  <c r="AB3338"/>
  <c r="AC3338"/>
  <c r="AD3338"/>
  <c r="P3339"/>
  <c r="T3339"/>
  <c r="U3339"/>
  <c r="V3339"/>
  <c r="W3339"/>
  <c r="Y3339"/>
  <c r="AA3339"/>
  <c r="AB3339"/>
  <c r="AC3339"/>
  <c r="AD3339"/>
  <c r="P3340"/>
  <c r="T3340"/>
  <c r="U3340"/>
  <c r="V3340"/>
  <c r="W3340"/>
  <c r="Y3340"/>
  <c r="AA3340"/>
  <c r="AB3340"/>
  <c r="AC3340"/>
  <c r="AD3340"/>
  <c r="P3341"/>
  <c r="T3341"/>
  <c r="U3341"/>
  <c r="V3341"/>
  <c r="W3341"/>
  <c r="Y3341"/>
  <c r="AA3341"/>
  <c r="AB3341"/>
  <c r="AC3341"/>
  <c r="AD3341"/>
  <c r="P3342"/>
  <c r="T3342"/>
  <c r="U3342"/>
  <c r="V3342"/>
  <c r="W3342"/>
  <c r="Y3342"/>
  <c r="AA3342"/>
  <c r="AB3342"/>
  <c r="AC3342"/>
  <c r="AD3342"/>
  <c r="P3343"/>
  <c r="T3343"/>
  <c r="U3343"/>
  <c r="V3343"/>
  <c r="W3343"/>
  <c r="Y3343"/>
  <c r="AA3343"/>
  <c r="AB3343"/>
  <c r="AC3343"/>
  <c r="AD3343"/>
  <c r="P3344"/>
  <c r="T3344"/>
  <c r="U3344"/>
  <c r="V3344"/>
  <c r="W3344"/>
  <c r="Y3344"/>
  <c r="AA3344"/>
  <c r="AB3344"/>
  <c r="AC3344"/>
  <c r="AD3344"/>
  <c r="P3345"/>
  <c r="T3345"/>
  <c r="U3345"/>
  <c r="V3345"/>
  <c r="W3345"/>
  <c r="Y3345"/>
  <c r="AA3345"/>
  <c r="AB3345"/>
  <c r="AC3345"/>
  <c r="AD3345"/>
  <c r="P3346"/>
  <c r="T3346"/>
  <c r="U3346"/>
  <c r="V3346"/>
  <c r="W3346"/>
  <c r="Y3346"/>
  <c r="AA3346"/>
  <c r="AB3346"/>
  <c r="AC3346"/>
  <c r="AD3346"/>
  <c r="P3347"/>
  <c r="T3347"/>
  <c r="U3347"/>
  <c r="V3347"/>
  <c r="W3347"/>
  <c r="Y3347"/>
  <c r="AA3347"/>
  <c r="AB3347"/>
  <c r="AC3347"/>
  <c r="AD3347"/>
  <c r="P3348"/>
  <c r="T3348"/>
  <c r="U3348"/>
  <c r="V3348"/>
  <c r="W3348"/>
  <c r="Y3348"/>
  <c r="AA3348"/>
  <c r="AB3348"/>
  <c r="AC3348"/>
  <c r="AD3348"/>
  <c r="P3349"/>
  <c r="T3349"/>
  <c r="U3349"/>
  <c r="V3349"/>
  <c r="W3349"/>
  <c r="Y3349"/>
  <c r="AA3349"/>
  <c r="AB3349"/>
  <c r="AC3349"/>
  <c r="AD3349"/>
  <c r="P3350"/>
  <c r="T3350"/>
  <c r="U3350"/>
  <c r="V3350"/>
  <c r="W3350"/>
  <c r="Y3350"/>
  <c r="AA3350"/>
  <c r="AB3350"/>
  <c r="AC3350"/>
  <c r="AD3350"/>
  <c r="P3351"/>
  <c r="T3351"/>
  <c r="U3351"/>
  <c r="V3351"/>
  <c r="W3351"/>
  <c r="Y3351"/>
  <c r="AA3351"/>
  <c r="AB3351"/>
  <c r="AC3351"/>
  <c r="AD3351"/>
  <c r="P3352"/>
  <c r="T3352"/>
  <c r="U3352"/>
  <c r="V3352"/>
  <c r="W3352"/>
  <c r="Y3352"/>
  <c r="AA3352"/>
  <c r="AB3352"/>
  <c r="AC3352"/>
  <c r="AD3352"/>
  <c r="P3353"/>
  <c r="T3353"/>
  <c r="U3353"/>
  <c r="V3353"/>
  <c r="W3353"/>
  <c r="Y3353"/>
  <c r="AA3353"/>
  <c r="AB3353"/>
  <c r="AC3353"/>
  <c r="AD3353"/>
  <c r="P3354"/>
  <c r="T3354"/>
  <c r="U3354"/>
  <c r="V3354"/>
  <c r="W3354"/>
  <c r="Y3354"/>
  <c r="AA3354"/>
  <c r="AB3354"/>
  <c r="AC3354"/>
  <c r="AD3354"/>
  <c r="P3355"/>
  <c r="T3355"/>
  <c r="U3355"/>
  <c r="V3355"/>
  <c r="W3355"/>
  <c r="Y3355"/>
  <c r="AA3355"/>
  <c r="AB3355"/>
  <c r="AC3355"/>
  <c r="AD3355"/>
  <c r="P3356"/>
  <c r="T3356"/>
  <c r="U3356"/>
  <c r="V3356"/>
  <c r="W3356"/>
  <c r="Y3356"/>
  <c r="AA3356"/>
  <c r="AB3356"/>
  <c r="AC3356"/>
  <c r="AD3356"/>
  <c r="B2922"/>
  <c r="A2922" s="1"/>
  <c r="E2922"/>
  <c r="AA2922" s="1"/>
  <c r="M2922"/>
  <c r="B2927"/>
  <c r="A2927" s="1"/>
  <c r="E2927"/>
  <c r="AA2927" s="1"/>
  <c r="M2927"/>
  <c r="E2996"/>
  <c r="AA2996" s="1"/>
  <c r="B2996"/>
  <c r="R2996" s="1"/>
  <c r="E2987"/>
  <c r="AA2987" s="1"/>
  <c r="B2987"/>
  <c r="S2987" s="1"/>
  <c r="E3077"/>
  <c r="AA3077" s="1"/>
  <c r="B104" i="55"/>
  <c r="A104" s="1"/>
  <c r="E106"/>
  <c r="E2576" i="34"/>
  <c r="AA2576" s="1"/>
  <c r="B2576"/>
  <c r="M2575"/>
  <c r="E2575"/>
  <c r="AA2575" s="1"/>
  <c r="B2575"/>
  <c r="M837"/>
  <c r="K837" s="1"/>
  <c r="C837"/>
  <c r="AD837" s="1"/>
  <c r="M836"/>
  <c r="K836" s="1"/>
  <c r="C836"/>
  <c r="AD836" s="1"/>
  <c r="D115" i="60"/>
  <c r="S643" i="34" l="1"/>
  <c r="Q639"/>
  <c r="A639"/>
  <c r="Q643"/>
  <c r="A643"/>
  <c r="S640"/>
  <c r="S639"/>
  <c r="R636"/>
  <c r="S644"/>
  <c r="S636"/>
  <c r="R640"/>
  <c r="Q640"/>
  <c r="Q644"/>
  <c r="R644"/>
  <c r="Q636"/>
  <c r="Q645"/>
  <c r="A645"/>
  <c r="S645"/>
  <c r="R645"/>
  <c r="Q641"/>
  <c r="A641"/>
  <c r="S641"/>
  <c r="R641"/>
  <c r="R642"/>
  <c r="Q642"/>
  <c r="A642"/>
  <c r="S642"/>
  <c r="S649"/>
  <c r="R649"/>
  <c r="Q649"/>
  <c r="A649"/>
  <c r="Q650"/>
  <c r="A650"/>
  <c r="S650"/>
  <c r="R650"/>
  <c r="Q637"/>
  <c r="A637"/>
  <c r="S637"/>
  <c r="R637"/>
  <c r="S647"/>
  <c r="R647"/>
  <c r="Q647"/>
  <c r="A647"/>
  <c r="Q648"/>
  <c r="A648"/>
  <c r="S648"/>
  <c r="R648"/>
  <c r="R646"/>
  <c r="Q646"/>
  <c r="A646"/>
  <c r="S646"/>
  <c r="R638"/>
  <c r="Q638"/>
  <c r="A638"/>
  <c r="S638"/>
  <c r="S676"/>
  <c r="Q685"/>
  <c r="A685"/>
  <c r="S685"/>
  <c r="R685"/>
  <c r="S684"/>
  <c r="R684"/>
  <c r="Q684"/>
  <c r="A684"/>
  <c r="S673"/>
  <c r="Q673"/>
  <c r="S682"/>
  <c r="R673"/>
  <c r="R682"/>
  <c r="R676"/>
  <c r="Q676"/>
  <c r="A682"/>
  <c r="Q677"/>
  <c r="A677"/>
  <c r="S677"/>
  <c r="R677"/>
  <c r="Q674"/>
  <c r="A674"/>
  <c r="S674"/>
  <c r="R674"/>
  <c r="S672"/>
  <c r="R672"/>
  <c r="Q672"/>
  <c r="A672"/>
  <c r="S675"/>
  <c r="R675"/>
  <c r="Q675"/>
  <c r="A675"/>
  <c r="Q680"/>
  <c r="A680"/>
  <c r="S680"/>
  <c r="R680"/>
  <c r="S686"/>
  <c r="R686"/>
  <c r="Q686"/>
  <c r="A686"/>
  <c r="R683"/>
  <c r="Q683"/>
  <c r="A683"/>
  <c r="S683"/>
  <c r="A681"/>
  <c r="S681"/>
  <c r="R681"/>
  <c r="Q681"/>
  <c r="Q687"/>
  <c r="A687"/>
  <c r="S687"/>
  <c r="R687"/>
  <c r="S678"/>
  <c r="R678"/>
  <c r="Q678"/>
  <c r="A678"/>
  <c r="A679"/>
  <c r="S679"/>
  <c r="R679"/>
  <c r="Q679"/>
  <c r="R669"/>
  <c r="Q669"/>
  <c r="A669"/>
  <c r="S669"/>
  <c r="Q267"/>
  <c r="A267"/>
  <c r="S267"/>
  <c r="R267"/>
  <c r="Q262"/>
  <c r="A262"/>
  <c r="S262"/>
  <c r="R262"/>
  <c r="R609"/>
  <c r="Q609"/>
  <c r="A609"/>
  <c r="S609"/>
  <c r="Q2996"/>
  <c r="R2987"/>
  <c r="Q2927"/>
  <c r="S2922"/>
  <c r="Q2987"/>
  <c r="R2922"/>
  <c r="S2996"/>
  <c r="S2927"/>
  <c r="Q2922"/>
  <c r="R2576"/>
  <c r="S2576"/>
  <c r="Q2576"/>
  <c r="Q2575"/>
  <c r="R2575"/>
  <c r="S2575"/>
  <c r="R2927"/>
  <c r="Q2955"/>
  <c r="A2956"/>
  <c r="S2956"/>
  <c r="A2955"/>
  <c r="Q2956"/>
  <c r="U2956"/>
  <c r="T2956"/>
  <c r="S2955"/>
  <c r="R2956"/>
  <c r="T2955"/>
  <c r="R2955"/>
  <c r="A2996"/>
  <c r="A2575"/>
  <c r="A2576"/>
  <c r="A2987"/>
  <c r="B837"/>
  <c r="B836"/>
  <c r="S836" l="1"/>
  <c r="Q836"/>
  <c r="R836"/>
  <c r="R837"/>
  <c r="S837"/>
  <c r="Q837"/>
  <c r="A837"/>
  <c r="A836"/>
  <c r="P21"/>
  <c r="T21"/>
  <c r="U21"/>
  <c r="V21"/>
  <c r="W21"/>
  <c r="Y21"/>
  <c r="AA21"/>
  <c r="AB21"/>
  <c r="AC21"/>
  <c r="P22"/>
  <c r="T22"/>
  <c r="U22"/>
  <c r="V22"/>
  <c r="W22"/>
  <c r="Y22"/>
  <c r="AA22"/>
  <c r="AB22"/>
  <c r="AC22"/>
  <c r="P23"/>
  <c r="T23"/>
  <c r="U23"/>
  <c r="V23"/>
  <c r="W23"/>
  <c r="Y23"/>
  <c r="AA23"/>
  <c r="AB23"/>
  <c r="AC23"/>
  <c r="P24"/>
  <c r="T24"/>
  <c r="U24"/>
  <c r="V24"/>
  <c r="W24"/>
  <c r="Y24"/>
  <c r="AA24"/>
  <c r="AB24"/>
  <c r="AC24"/>
  <c r="AD24"/>
  <c r="B3053"/>
  <c r="E3053"/>
  <c r="AA3053" s="1"/>
  <c r="B3054"/>
  <c r="E3054"/>
  <c r="AA3054" s="1"/>
  <c r="B3061"/>
  <c r="E3061"/>
  <c r="AA3061" s="1"/>
  <c r="B3062"/>
  <c r="E3062"/>
  <c r="AA3062" s="1"/>
  <c r="B3063"/>
  <c r="E3063"/>
  <c r="AA3063" s="1"/>
  <c r="B3064"/>
  <c r="E3064"/>
  <c r="AA3064" s="1"/>
  <c r="B3065"/>
  <c r="E3065"/>
  <c r="AA3065" s="1"/>
  <c r="B3066"/>
  <c r="E3066"/>
  <c r="AA3066" s="1"/>
  <c r="B3067"/>
  <c r="E3067"/>
  <c r="AA3067" s="1"/>
  <c r="B3068"/>
  <c r="E3068"/>
  <c r="AA3068" s="1"/>
  <c r="B3069"/>
  <c r="E3069"/>
  <c r="AA3069" s="1"/>
  <c r="B3070"/>
  <c r="E3070"/>
  <c r="AA3070" s="1"/>
  <c r="B3071"/>
  <c r="E3071"/>
  <c r="AA3071" s="1"/>
  <c r="B3072"/>
  <c r="E3072"/>
  <c r="AA3072" s="1"/>
  <c r="B3073"/>
  <c r="E3073"/>
  <c r="AA3073" s="1"/>
  <c r="B3074"/>
  <c r="E3074"/>
  <c r="AA3074" s="1"/>
  <c r="B3076"/>
  <c r="E3076"/>
  <c r="AA3076" s="1"/>
  <c r="M3075"/>
  <c r="E3049"/>
  <c r="AA3049" s="1"/>
  <c r="E3050"/>
  <c r="AA3050" s="1"/>
  <c r="E3051"/>
  <c r="AA3051" s="1"/>
  <c r="E3052"/>
  <c r="AA3052" s="1"/>
  <c r="E3075"/>
  <c r="AA3075" s="1"/>
  <c r="E3084"/>
  <c r="AA3084" s="1"/>
  <c r="E3085"/>
  <c r="AA3085" s="1"/>
  <c r="E3086"/>
  <c r="AA3086" s="1"/>
  <c r="E3087"/>
  <c r="AA3087" s="1"/>
  <c r="E3088"/>
  <c r="AA3088" s="1"/>
  <c r="E3089"/>
  <c r="AA3089" s="1"/>
  <c r="E3090"/>
  <c r="AA3090" s="1"/>
  <c r="E3091"/>
  <c r="AA3091" s="1"/>
  <c r="E3092"/>
  <c r="AA3092" s="1"/>
  <c r="E3093"/>
  <c r="AA3093" s="1"/>
  <c r="E3094"/>
  <c r="AA3094" s="1"/>
  <c r="E3095"/>
  <c r="AA3095" s="1"/>
  <c r="E3096"/>
  <c r="AA3096" s="1"/>
  <c r="E3097"/>
  <c r="AA3097" s="1"/>
  <c r="E3047"/>
  <c r="AA3047" s="1"/>
  <c r="E3048"/>
  <c r="AA3048" s="1"/>
  <c r="E3044"/>
  <c r="AA3044" s="1"/>
  <c r="E3045"/>
  <c r="AA3045" s="1"/>
  <c r="E3046"/>
  <c r="AA3046" s="1"/>
  <c r="E3043"/>
  <c r="AA3043" s="1"/>
  <c r="E3042"/>
  <c r="AA3042" s="1"/>
  <c r="E3041"/>
  <c r="AA3041" s="1"/>
  <c r="A20" i="62"/>
  <c r="B245" i="34"/>
  <c r="E245"/>
  <c r="AA245" s="1"/>
  <c r="K245"/>
  <c r="M245" s="1"/>
  <c r="B246"/>
  <c r="E246"/>
  <c r="AA246" s="1"/>
  <c r="K246"/>
  <c r="M246" s="1"/>
  <c r="B247"/>
  <c r="E247"/>
  <c r="AA247" s="1"/>
  <c r="K247"/>
  <c r="M247" s="1"/>
  <c r="B248"/>
  <c r="E248"/>
  <c r="AA248" s="1"/>
  <c r="K248"/>
  <c r="B249"/>
  <c r="E249"/>
  <c r="AA249" s="1"/>
  <c r="K249"/>
  <c r="M249" s="1"/>
  <c r="B250"/>
  <c r="E250"/>
  <c r="AA250" s="1"/>
  <c r="K250"/>
  <c r="M250" s="1"/>
  <c r="S245" l="1"/>
  <c r="Q245"/>
  <c r="R245"/>
  <c r="R250"/>
  <c r="S250"/>
  <c r="Q250"/>
  <c r="R246"/>
  <c r="S246"/>
  <c r="Q246"/>
  <c r="Q247"/>
  <c r="R247"/>
  <c r="S247"/>
  <c r="Q248"/>
  <c r="R248"/>
  <c r="S248"/>
  <c r="Q3074"/>
  <c r="R3074"/>
  <c r="S3074"/>
  <c r="R3072"/>
  <c r="S3072"/>
  <c r="Q3072"/>
  <c r="Q3070"/>
  <c r="R3070"/>
  <c r="S3070"/>
  <c r="R3068"/>
  <c r="S3068"/>
  <c r="Q3068"/>
  <c r="Q3066"/>
  <c r="R3066"/>
  <c r="S3066"/>
  <c r="R3064"/>
  <c r="S3064"/>
  <c r="Q3064"/>
  <c r="Q3062"/>
  <c r="R3062"/>
  <c r="S3062"/>
  <c r="R3054"/>
  <c r="S3054"/>
  <c r="Q3054"/>
  <c r="S249"/>
  <c r="Q249"/>
  <c r="R249"/>
  <c r="A3076"/>
  <c r="S3076"/>
  <c r="Q3076"/>
  <c r="R3076"/>
  <c r="A3073"/>
  <c r="Q3073"/>
  <c r="R3073"/>
  <c r="S3073"/>
  <c r="A3071"/>
  <c r="S3071"/>
  <c r="Q3071"/>
  <c r="R3071"/>
  <c r="A3069"/>
  <c r="Q3069"/>
  <c r="R3069"/>
  <c r="S3069"/>
  <c r="A3067"/>
  <c r="S3067"/>
  <c r="Q3067"/>
  <c r="R3067"/>
  <c r="A3065"/>
  <c r="Q3065"/>
  <c r="R3065"/>
  <c r="S3065"/>
  <c r="A3063"/>
  <c r="S3063"/>
  <c r="Q3063"/>
  <c r="R3063"/>
  <c r="A3061"/>
  <c r="Q3061"/>
  <c r="R3061"/>
  <c r="S3061"/>
  <c r="A3053"/>
  <c r="S3053"/>
  <c r="Q3053"/>
  <c r="R3053"/>
  <c r="A249"/>
  <c r="A245"/>
  <c r="A250"/>
  <c r="A246"/>
  <c r="A247"/>
  <c r="A248"/>
  <c r="A3074"/>
  <c r="A3072"/>
  <c r="A3070"/>
  <c r="A3068"/>
  <c r="A3066"/>
  <c r="A3064"/>
  <c r="A3062"/>
  <c r="A3054"/>
  <c r="M248"/>
  <c r="B2984" l="1"/>
  <c r="E2984"/>
  <c r="AA2984" s="1"/>
  <c r="B2983"/>
  <c r="E2983"/>
  <c r="AA2983" s="1"/>
  <c r="M2983"/>
  <c r="M2697"/>
  <c r="B2698"/>
  <c r="E2698"/>
  <c r="AA2698" s="1"/>
  <c r="K54" i="45"/>
  <c r="S2698" i="34" l="1"/>
  <c r="Q2698"/>
  <c r="R2698"/>
  <c r="S2983"/>
  <c r="Q2983"/>
  <c r="R2983"/>
  <c r="Q2984"/>
  <c r="R2984"/>
  <c r="S2984"/>
  <c r="A2984"/>
  <c r="A2698"/>
  <c r="A2983"/>
  <c r="M3016"/>
  <c r="B3017"/>
  <c r="E3017"/>
  <c r="AA3017" s="1"/>
  <c r="M2990"/>
  <c r="B2991"/>
  <c r="E2991"/>
  <c r="AA2991" s="1"/>
  <c r="Q3017" l="1"/>
  <c r="R3017"/>
  <c r="S3017"/>
  <c r="S2991"/>
  <c r="Q2991"/>
  <c r="R2991"/>
  <c r="A3017"/>
  <c r="A2991"/>
  <c r="B2952"/>
  <c r="E2952"/>
  <c r="AA2952" s="1"/>
  <c r="B2953"/>
  <c r="E2953"/>
  <c r="AA2953" s="1"/>
  <c r="B2911"/>
  <c r="B2912"/>
  <c r="B2908"/>
  <c r="B2909"/>
  <c r="B2910"/>
  <c r="B2913"/>
  <c r="B2907"/>
  <c r="E3040"/>
  <c r="AA3040" s="1"/>
  <c r="B3040"/>
  <c r="B3039"/>
  <c r="E3039"/>
  <c r="AA3039" s="1"/>
  <c r="E3038"/>
  <c r="AA3038" s="1"/>
  <c r="B3038"/>
  <c r="E3037"/>
  <c r="AA3037" s="1"/>
  <c r="E3036"/>
  <c r="AA3036" s="1"/>
  <c r="B3036"/>
  <c r="E3035"/>
  <c r="AA3035" s="1"/>
  <c r="B3035"/>
  <c r="E3034"/>
  <c r="AA3034" s="1"/>
  <c r="B3034"/>
  <c r="E3033"/>
  <c r="AA3033" s="1"/>
  <c r="B3033"/>
  <c r="E3032"/>
  <c r="AA3032" s="1"/>
  <c r="B3032"/>
  <c r="E3031"/>
  <c r="AA3031" s="1"/>
  <c r="E3030"/>
  <c r="AA3030" s="1"/>
  <c r="E3029"/>
  <c r="AA3029" s="1"/>
  <c r="E3028"/>
  <c r="AA3028" s="1"/>
  <c r="E3027"/>
  <c r="AA3027" s="1"/>
  <c r="E3026"/>
  <c r="AA3026" s="1"/>
  <c r="E3025"/>
  <c r="AA3025" s="1"/>
  <c r="E3024"/>
  <c r="AA3024" s="1"/>
  <c r="E3023"/>
  <c r="AA3023" s="1"/>
  <c r="E3022"/>
  <c r="AA3022" s="1"/>
  <c r="E3021"/>
  <c r="AA3021" s="1"/>
  <c r="E3020"/>
  <c r="AA3020" s="1"/>
  <c r="E3019"/>
  <c r="AA3019" s="1"/>
  <c r="B3019"/>
  <c r="E3018"/>
  <c r="AA3018" s="1"/>
  <c r="B3018"/>
  <c r="E3016"/>
  <c r="AA3016" s="1"/>
  <c r="B3016"/>
  <c r="B3015"/>
  <c r="E3015"/>
  <c r="AA3015" s="1"/>
  <c r="E3014"/>
  <c r="AA3014" s="1"/>
  <c r="E3013"/>
  <c r="AA3013" s="1"/>
  <c r="E3012"/>
  <c r="AA3012" s="1"/>
  <c r="E3011"/>
  <c r="AA3011" s="1"/>
  <c r="E3008"/>
  <c r="AA3008" s="1"/>
  <c r="E3009"/>
  <c r="AA3009" s="1"/>
  <c r="E3010"/>
  <c r="AA3010" s="1"/>
  <c r="E3007"/>
  <c r="AA3007" s="1"/>
  <c r="E3006"/>
  <c r="AA3006" s="1"/>
  <c r="E3005"/>
  <c r="AA3005" s="1"/>
  <c r="E3004"/>
  <c r="AA3004" s="1"/>
  <c r="E3003"/>
  <c r="AA3003" s="1"/>
  <c r="E3002"/>
  <c r="AA3002" s="1"/>
  <c r="B3000"/>
  <c r="E3000"/>
  <c r="AA3000" s="1"/>
  <c r="B3001"/>
  <c r="E3001"/>
  <c r="AA3001" s="1"/>
  <c r="B2999"/>
  <c r="E2999"/>
  <c r="AA2999" s="1"/>
  <c r="E2998"/>
  <c r="AA2998" s="1"/>
  <c r="E2995"/>
  <c r="AA2995" s="1"/>
  <c r="E2997"/>
  <c r="AA2997" s="1"/>
  <c r="B2994"/>
  <c r="E2994"/>
  <c r="AA2994" s="1"/>
  <c r="B2992"/>
  <c r="E2992"/>
  <c r="AA2992" s="1"/>
  <c r="B2962"/>
  <c r="E2993"/>
  <c r="AA2993" s="1"/>
  <c r="E2990"/>
  <c r="AA2990" s="1"/>
  <c r="B2988"/>
  <c r="E2988"/>
  <c r="AA2988" s="1"/>
  <c r="B2989"/>
  <c r="E2989"/>
  <c r="AA2989" s="1"/>
  <c r="E2986"/>
  <c r="AA2986" s="1"/>
  <c r="E2985"/>
  <c r="AA2985" s="1"/>
  <c r="M2985"/>
  <c r="B2985"/>
  <c r="M2982"/>
  <c r="M2981"/>
  <c r="M2980"/>
  <c r="M2979"/>
  <c r="M2978"/>
  <c r="M2977"/>
  <c r="M2976"/>
  <c r="M2975"/>
  <c r="M2973"/>
  <c r="M2974"/>
  <c r="M2972"/>
  <c r="M2971"/>
  <c r="M2970"/>
  <c r="M2969"/>
  <c r="M2968"/>
  <c r="E2968"/>
  <c r="AA2968" s="1"/>
  <c r="M2967"/>
  <c r="E2967"/>
  <c r="AA2967" s="1"/>
  <c r="M2966"/>
  <c r="E2966"/>
  <c r="AA2966" s="1"/>
  <c r="E2969"/>
  <c r="AA2969" s="1"/>
  <c r="E2970"/>
  <c r="AA2970" s="1"/>
  <c r="E2971"/>
  <c r="AA2971" s="1"/>
  <c r="E2972"/>
  <c r="AA2972" s="1"/>
  <c r="E2973"/>
  <c r="AA2973" s="1"/>
  <c r="E2974"/>
  <c r="AA2974" s="1"/>
  <c r="E2975"/>
  <c r="AA2975" s="1"/>
  <c r="E2976"/>
  <c r="AA2976" s="1"/>
  <c r="E2977"/>
  <c r="AA2977" s="1"/>
  <c r="E2978"/>
  <c r="AA2978" s="1"/>
  <c r="E2979"/>
  <c r="AA2979" s="1"/>
  <c r="E2980"/>
  <c r="AA2980" s="1"/>
  <c r="E2981"/>
  <c r="AA2981" s="1"/>
  <c r="E2982"/>
  <c r="AA2982" s="1"/>
  <c r="M2965"/>
  <c r="E2965"/>
  <c r="AA2965" s="1"/>
  <c r="M2964"/>
  <c r="E2964"/>
  <c r="AA2964" s="1"/>
  <c r="B2963"/>
  <c r="E2963"/>
  <c r="AA2963" s="1"/>
  <c r="M2963"/>
  <c r="M2962"/>
  <c r="E2962"/>
  <c r="AA2962" s="1"/>
  <c r="M2961"/>
  <c r="E2961"/>
  <c r="AA2961" s="1"/>
  <c r="B2961"/>
  <c r="B2960"/>
  <c r="E2960"/>
  <c r="AA2960" s="1"/>
  <c r="M2960"/>
  <c r="B2959"/>
  <c r="E2959"/>
  <c r="AA2959" s="1"/>
  <c r="M2959"/>
  <c r="B2958"/>
  <c r="E2958"/>
  <c r="AA2958" s="1"/>
  <c r="M2958"/>
  <c r="M2957"/>
  <c r="E2957"/>
  <c r="AA2957" s="1"/>
  <c r="B2957"/>
  <c r="B2947"/>
  <c r="B2948"/>
  <c r="B2949"/>
  <c r="B2950"/>
  <c r="B2951"/>
  <c r="B2954"/>
  <c r="E2954"/>
  <c r="AA2954" s="1"/>
  <c r="E2951"/>
  <c r="AA2951" s="1"/>
  <c r="E2950"/>
  <c r="AA2950" s="1"/>
  <c r="E2949"/>
  <c r="AA2949" s="1"/>
  <c r="E2948"/>
  <c r="AA2948" s="1"/>
  <c r="M2948"/>
  <c r="M2941"/>
  <c r="M2942"/>
  <c r="M2943"/>
  <c r="M2944"/>
  <c r="M2945"/>
  <c r="M2946"/>
  <c r="M2947"/>
  <c r="E2942"/>
  <c r="AA2942" s="1"/>
  <c r="E2943"/>
  <c r="AA2943" s="1"/>
  <c r="E2944"/>
  <c r="AA2944" s="1"/>
  <c r="E2945"/>
  <c r="AA2945" s="1"/>
  <c r="E2946"/>
  <c r="AA2946" s="1"/>
  <c r="E2947"/>
  <c r="AA2947" s="1"/>
  <c r="E2941"/>
  <c r="AA2941" s="1"/>
  <c r="M2940"/>
  <c r="E2940"/>
  <c r="AA2940" s="1"/>
  <c r="M2939"/>
  <c r="E2939"/>
  <c r="AA2939" s="1"/>
  <c r="B2938"/>
  <c r="E2938"/>
  <c r="AA2938" s="1"/>
  <c r="M2938"/>
  <c r="M2937"/>
  <c r="E2937"/>
  <c r="AA2937" s="1"/>
  <c r="E2764"/>
  <c r="AA2764" s="1"/>
  <c r="B2764"/>
  <c r="M2872"/>
  <c r="M2871"/>
  <c r="B2871"/>
  <c r="B2872"/>
  <c r="E2936"/>
  <c r="AA2936" s="1"/>
  <c r="E2935"/>
  <c r="AA2935" s="1"/>
  <c r="E2934"/>
  <c r="AA2934" s="1"/>
  <c r="M2923"/>
  <c r="M2924"/>
  <c r="M2925"/>
  <c r="M2926"/>
  <c r="M2804"/>
  <c r="M2803"/>
  <c r="M2802"/>
  <c r="M2801"/>
  <c r="E2923"/>
  <c r="AA2923" s="1"/>
  <c r="E2924"/>
  <c r="AA2924" s="1"/>
  <c r="E2925"/>
  <c r="AA2925" s="1"/>
  <c r="E2926"/>
  <c r="AA2926" s="1"/>
  <c r="E2928"/>
  <c r="AA2928" s="1"/>
  <c r="E2929"/>
  <c r="AA2929" s="1"/>
  <c r="E2930"/>
  <c r="AA2930" s="1"/>
  <c r="E2931"/>
  <c r="AA2931" s="1"/>
  <c r="E2932"/>
  <c r="AA2932" s="1"/>
  <c r="E2933"/>
  <c r="AA2933" s="1"/>
  <c r="E2920"/>
  <c r="AA2920" s="1"/>
  <c r="E2921"/>
  <c r="AA2921" s="1"/>
  <c r="E2919"/>
  <c r="AA2919" s="1"/>
  <c r="A38" i="12"/>
  <c r="A39"/>
  <c r="E2906" i="34"/>
  <c r="AA2906" s="1"/>
  <c r="B2906"/>
  <c r="E2905"/>
  <c r="AA2905" s="1"/>
  <c r="B2905"/>
  <c r="B2897"/>
  <c r="B244"/>
  <c r="E244"/>
  <c r="AA244" s="1"/>
  <c r="K244"/>
  <c r="M244" s="1"/>
  <c r="B243"/>
  <c r="E243"/>
  <c r="AA243" s="1"/>
  <c r="K243"/>
  <c r="M243" s="1"/>
  <c r="K242"/>
  <c r="M242" s="1"/>
  <c r="E242"/>
  <c r="AA242" s="1"/>
  <c r="B242"/>
  <c r="K241"/>
  <c r="M241" s="1"/>
  <c r="E241"/>
  <c r="AA241" s="1"/>
  <c r="B241"/>
  <c r="K240"/>
  <c r="M240" s="1"/>
  <c r="E240"/>
  <c r="AA240" s="1"/>
  <c r="B240"/>
  <c r="B2869"/>
  <c r="E2869"/>
  <c r="AA2869" s="1"/>
  <c r="B2870"/>
  <c r="E2870"/>
  <c r="AA2870" s="1"/>
  <c r="B2858"/>
  <c r="E2858"/>
  <c r="AA2858" s="1"/>
  <c r="B2859"/>
  <c r="E2859"/>
  <c r="AA2859" s="1"/>
  <c r="B2851"/>
  <c r="E2851"/>
  <c r="AA2851" s="1"/>
  <c r="B2852"/>
  <c r="E2852"/>
  <c r="AA2852" s="1"/>
  <c r="E2893"/>
  <c r="AA2893" s="1"/>
  <c r="E2904"/>
  <c r="AA2904" s="1"/>
  <c r="E2892"/>
  <c r="AA2892" s="1"/>
  <c r="E2894"/>
  <c r="AA2894" s="1"/>
  <c r="B2831"/>
  <c r="E2831"/>
  <c r="AA2831" s="1"/>
  <c r="B2832"/>
  <c r="E2832"/>
  <c r="AA2832" s="1"/>
  <c r="E2882"/>
  <c r="AA2882" s="1"/>
  <c r="E2883"/>
  <c r="AA2883" s="1"/>
  <c r="E2884"/>
  <c r="AA2884" s="1"/>
  <c r="E2879"/>
  <c r="AA2879" s="1"/>
  <c r="E2880"/>
  <c r="AA2880" s="1"/>
  <c r="E2885"/>
  <c r="AA2885" s="1"/>
  <c r="E2886"/>
  <c r="AA2886" s="1"/>
  <c r="E2887"/>
  <c r="AA2887" s="1"/>
  <c r="E2888"/>
  <c r="AA2888" s="1"/>
  <c r="E2889"/>
  <c r="AA2889" s="1"/>
  <c r="E2890"/>
  <c r="AA2890" s="1"/>
  <c r="E2891"/>
  <c r="AA2891" s="1"/>
  <c r="E2903"/>
  <c r="AA2903" s="1"/>
  <c r="E2881"/>
  <c r="AA2881" s="1"/>
  <c r="M2845"/>
  <c r="M2874"/>
  <c r="E2878"/>
  <c r="AA2878" s="1"/>
  <c r="E2877"/>
  <c r="AA2877" s="1"/>
  <c r="E2846"/>
  <c r="AA2846" s="1"/>
  <c r="E2845"/>
  <c r="AA2845" s="1"/>
  <c r="E2874"/>
  <c r="AA2874" s="1"/>
  <c r="B2873"/>
  <c r="E2873"/>
  <c r="AA2873" s="1"/>
  <c r="B2875"/>
  <c r="E2875"/>
  <c r="AA2875" s="1"/>
  <c r="E2876"/>
  <c r="AA2876" s="1"/>
  <c r="E2868"/>
  <c r="AA2868" s="1"/>
  <c r="E2865"/>
  <c r="AA2865" s="1"/>
  <c r="E2864"/>
  <c r="AA2864" s="1"/>
  <c r="E2863"/>
  <c r="AA2863" s="1"/>
  <c r="E2853"/>
  <c r="AA2853" s="1"/>
  <c r="E2834"/>
  <c r="AA2834" s="1"/>
  <c r="E2835"/>
  <c r="AA2835" s="1"/>
  <c r="E2836"/>
  <c r="AA2836" s="1"/>
  <c r="E2837"/>
  <c r="AA2837" s="1"/>
  <c r="E2838"/>
  <c r="AA2838" s="1"/>
  <c r="E2843"/>
  <c r="AA2843" s="1"/>
  <c r="E2844"/>
  <c r="AA2844" s="1"/>
  <c r="E2849"/>
  <c r="AA2849" s="1"/>
  <c r="E2850"/>
  <c r="AA2850" s="1"/>
  <c r="E2855"/>
  <c r="AA2855" s="1"/>
  <c r="E2856"/>
  <c r="AA2856" s="1"/>
  <c r="E2857"/>
  <c r="AA2857" s="1"/>
  <c r="E2833"/>
  <c r="AA2833" s="1"/>
  <c r="E2829"/>
  <c r="AA2829" s="1"/>
  <c r="E2828"/>
  <c r="AA2828" s="1"/>
  <c r="E2825"/>
  <c r="AA2825" s="1"/>
  <c r="B2815"/>
  <c r="E2815"/>
  <c r="AA2815" s="1"/>
  <c r="E2824"/>
  <c r="AA2824" s="1"/>
  <c r="E2823"/>
  <c r="AA2823" s="1"/>
  <c r="E2822"/>
  <c r="AA2822" s="1"/>
  <c r="E2821"/>
  <c r="AA2821" s="1"/>
  <c r="E2820"/>
  <c r="AA2820" s="1"/>
  <c r="E2819"/>
  <c r="AA2819" s="1"/>
  <c r="E2818"/>
  <c r="AA2818" s="1"/>
  <c r="E2817"/>
  <c r="AA2817" s="1"/>
  <c r="E2814"/>
  <c r="AA2814" s="1"/>
  <c r="E2813"/>
  <c r="AA2813" s="1"/>
  <c r="E2812"/>
  <c r="AA2812" s="1"/>
  <c r="E2811"/>
  <c r="AA2811" s="1"/>
  <c r="E2810"/>
  <c r="AA2810" s="1"/>
  <c r="E2809"/>
  <c r="AA2809" s="1"/>
  <c r="E2808"/>
  <c r="AA2808" s="1"/>
  <c r="M2645"/>
  <c r="B2645"/>
  <c r="E2645"/>
  <c r="AA2645" s="1"/>
  <c r="B2646"/>
  <c r="E2646"/>
  <c r="AA2646" s="1"/>
  <c r="E2661"/>
  <c r="AA2661" s="1"/>
  <c r="M2805"/>
  <c r="M2807"/>
  <c r="M2806"/>
  <c r="M2731"/>
  <c r="M2732"/>
  <c r="M2733"/>
  <c r="M2734"/>
  <c r="M2735"/>
  <c r="M2730"/>
  <c r="E2807"/>
  <c r="AA2807" s="1"/>
  <c r="E2806"/>
  <c r="AA2806" s="1"/>
  <c r="E2805"/>
  <c r="AA2805" s="1"/>
  <c r="E2802"/>
  <c r="AA2802" s="1"/>
  <c r="E2803"/>
  <c r="AA2803" s="1"/>
  <c r="E2804"/>
  <c r="AA2804" s="1"/>
  <c r="E2801"/>
  <c r="AA2801" s="1"/>
  <c r="E2800"/>
  <c r="AA2800" s="1"/>
  <c r="B2800"/>
  <c r="E2799"/>
  <c r="AA2799" s="1"/>
  <c r="B2799"/>
  <c r="E2798"/>
  <c r="AA2798" s="1"/>
  <c r="B2798"/>
  <c r="E2797"/>
  <c r="AA2797" s="1"/>
  <c r="B2797"/>
  <c r="E2796"/>
  <c r="AA2796" s="1"/>
  <c r="B2796"/>
  <c r="E2795"/>
  <c r="AA2795" s="1"/>
  <c r="B2795"/>
  <c r="E2794"/>
  <c r="AA2794" s="1"/>
  <c r="B2794"/>
  <c r="E2793"/>
  <c r="AA2793" s="1"/>
  <c r="B2793"/>
  <c r="E2792"/>
  <c r="AA2792" s="1"/>
  <c r="B2792"/>
  <c r="E2791"/>
  <c r="AA2791" s="1"/>
  <c r="B2791"/>
  <c r="E2790"/>
  <c r="AA2790" s="1"/>
  <c r="B2790"/>
  <c r="E2789"/>
  <c r="AA2789" s="1"/>
  <c r="B2789"/>
  <c r="B2787"/>
  <c r="B2786"/>
  <c r="B2785"/>
  <c r="E2784"/>
  <c r="AA2784" s="1"/>
  <c r="B2784"/>
  <c r="E2783"/>
  <c r="AA2783" s="1"/>
  <c r="B2783"/>
  <c r="AE2782"/>
  <c r="B2782"/>
  <c r="B2762"/>
  <c r="B2770"/>
  <c r="B2771"/>
  <c r="B2776"/>
  <c r="B2777"/>
  <c r="B2775"/>
  <c r="B2767"/>
  <c r="B2768"/>
  <c r="B2769"/>
  <c r="B2772"/>
  <c r="B2766"/>
  <c r="B2759"/>
  <c r="B2756"/>
  <c r="B2757"/>
  <c r="B2758"/>
  <c r="B2751"/>
  <c r="B2750"/>
  <c r="B2747"/>
  <c r="B2736"/>
  <c r="B2737"/>
  <c r="B2644"/>
  <c r="E2644"/>
  <c r="AA2737" s="1"/>
  <c r="E2643"/>
  <c r="AA2736" s="1"/>
  <c r="B2722"/>
  <c r="E2722"/>
  <c r="AA2722" s="1"/>
  <c r="B2721"/>
  <c r="E2721"/>
  <c r="AA2721" s="1"/>
  <c r="M2721"/>
  <c r="B2728"/>
  <c r="E2728"/>
  <c r="AA2728" s="1"/>
  <c r="B2727"/>
  <c r="E2727"/>
  <c r="AA2727" s="1"/>
  <c r="M2727"/>
  <c r="B236"/>
  <c r="E236"/>
  <c r="AA236" s="1"/>
  <c r="K236"/>
  <c r="M236" s="1"/>
  <c r="B237"/>
  <c r="E237"/>
  <c r="AA237" s="1"/>
  <c r="K237"/>
  <c r="M237" s="1"/>
  <c r="B238"/>
  <c r="E238"/>
  <c r="AA238" s="1"/>
  <c r="K238"/>
  <c r="M238" s="1"/>
  <c r="B239"/>
  <c r="E239"/>
  <c r="AA239" s="1"/>
  <c r="K239"/>
  <c r="M239" s="1"/>
  <c r="B234"/>
  <c r="E234"/>
  <c r="AA234" s="1"/>
  <c r="K234"/>
  <c r="M234" s="1"/>
  <c r="B235"/>
  <c r="E235"/>
  <c r="AA235" s="1"/>
  <c r="K235"/>
  <c r="M235" s="1"/>
  <c r="B2694"/>
  <c r="E2694"/>
  <c r="AA2694" s="1"/>
  <c r="B2735"/>
  <c r="E2735"/>
  <c r="AA2735" s="1"/>
  <c r="B2732"/>
  <c r="E2732"/>
  <c r="AA2732" s="1"/>
  <c r="B2733"/>
  <c r="E2733"/>
  <c r="AA2733" s="1"/>
  <c r="B2734"/>
  <c r="E2734"/>
  <c r="AA2734" s="1"/>
  <c r="B2731"/>
  <c r="E2731"/>
  <c r="AA2731" s="1"/>
  <c r="E2730"/>
  <c r="AA2730" s="1"/>
  <c r="B2730"/>
  <c r="B2729"/>
  <c r="E2729"/>
  <c r="AA2729" s="1"/>
  <c r="M2729"/>
  <c r="B2726"/>
  <c r="E2726"/>
  <c r="AA2726" s="1"/>
  <c r="M2726"/>
  <c r="B2725"/>
  <c r="E2725"/>
  <c r="AA2725" s="1"/>
  <c r="M2725"/>
  <c r="M2724"/>
  <c r="E2724"/>
  <c r="AA2724" s="1"/>
  <c r="B2724"/>
  <c r="M2723"/>
  <c r="E2723"/>
  <c r="AA2723" s="1"/>
  <c r="B2723"/>
  <c r="M2720"/>
  <c r="E2720"/>
  <c r="AA2720" s="1"/>
  <c r="B2719"/>
  <c r="E2719"/>
  <c r="AA2719" s="1"/>
  <c r="M2719"/>
  <c r="M2718"/>
  <c r="M2648"/>
  <c r="M2649"/>
  <c r="M2650"/>
  <c r="M2651"/>
  <c r="M2647"/>
  <c r="B44" i="55"/>
  <c r="A44" s="1"/>
  <c r="B39"/>
  <c r="A39" s="1"/>
  <c r="B38"/>
  <c r="A38" s="1"/>
  <c r="B2648" i="34"/>
  <c r="E2648"/>
  <c r="AA2648" s="1"/>
  <c r="B2649"/>
  <c r="E2649"/>
  <c r="AA2649" s="1"/>
  <c r="B2650"/>
  <c r="E2650"/>
  <c r="AA2650" s="1"/>
  <c r="B2651"/>
  <c r="E2651"/>
  <c r="AA2651" s="1"/>
  <c r="B2647"/>
  <c r="E2647"/>
  <c r="AA2647" s="1"/>
  <c r="B2652"/>
  <c r="E2652"/>
  <c r="AA2652" s="1"/>
  <c r="E2718"/>
  <c r="AA2718" s="1"/>
  <c r="B2685"/>
  <c r="E2685"/>
  <c r="AA2685" s="1"/>
  <c r="M2699"/>
  <c r="E2717"/>
  <c r="AA2717" s="1"/>
  <c r="E2716"/>
  <c r="AA2716" s="1"/>
  <c r="E2711"/>
  <c r="AA2711" s="1"/>
  <c r="E2712"/>
  <c r="AA2712" s="1"/>
  <c r="E2713"/>
  <c r="AA2713" s="1"/>
  <c r="E2714"/>
  <c r="AA2714" s="1"/>
  <c r="E2715"/>
  <c r="AA2715" s="1"/>
  <c r="M2710"/>
  <c r="E2710"/>
  <c r="AA2710" s="1"/>
  <c r="E2772"/>
  <c r="AA2772" s="1"/>
  <c r="E2709"/>
  <c r="AA2709" s="1"/>
  <c r="E2708"/>
  <c r="AA2708" s="1"/>
  <c r="B2707"/>
  <c r="E2707"/>
  <c r="AA2707" s="1"/>
  <c r="E2706"/>
  <c r="AA2706" s="1"/>
  <c r="M2705"/>
  <c r="E2705"/>
  <c r="AA2705" s="1"/>
  <c r="B2705"/>
  <c r="E2704"/>
  <c r="AA2704" s="1"/>
  <c r="E2703"/>
  <c r="AA2703" s="1"/>
  <c r="E2701"/>
  <c r="AA2701" s="1"/>
  <c r="E2702"/>
  <c r="AA2702" s="1"/>
  <c r="E2700"/>
  <c r="AA2700" s="1"/>
  <c r="E2699"/>
  <c r="AA2699" s="1"/>
  <c r="B2699"/>
  <c r="E2697"/>
  <c r="AA2697" s="1"/>
  <c r="M2696"/>
  <c r="E2696"/>
  <c r="AA2696" s="1"/>
  <c r="E2695"/>
  <c r="AA2695" s="1"/>
  <c r="E2693"/>
  <c r="AA2693" s="1"/>
  <c r="M2692"/>
  <c r="E2692"/>
  <c r="AA2692" s="1"/>
  <c r="E2691"/>
  <c r="AA2691" s="1"/>
  <c r="B2691"/>
  <c r="E2690"/>
  <c r="AA2690" s="1"/>
  <c r="B2690"/>
  <c r="E2689"/>
  <c r="AA2689" s="1"/>
  <c r="E2688"/>
  <c r="AA2688" s="1"/>
  <c r="M2687"/>
  <c r="E2687"/>
  <c r="AA2687" s="1"/>
  <c r="E2684"/>
  <c r="AA2684" s="1"/>
  <c r="E2683"/>
  <c r="AA2683" s="1"/>
  <c r="E2682"/>
  <c r="AA2682" s="1"/>
  <c r="E2681"/>
  <c r="AA2681" s="1"/>
  <c r="E2680"/>
  <c r="AA2680" s="1"/>
  <c r="E2675"/>
  <c r="AA2675" s="1"/>
  <c r="E2676"/>
  <c r="AA2676" s="1"/>
  <c r="E2677"/>
  <c r="AA2677" s="1"/>
  <c r="E2678"/>
  <c r="AA2678" s="1"/>
  <c r="E2679"/>
  <c r="AA2679" s="1"/>
  <c r="E2674"/>
  <c r="AA2674" s="1"/>
  <c r="E2673"/>
  <c r="AA2673" s="1"/>
  <c r="E2672"/>
  <c r="AA2672" s="1"/>
  <c r="E2671"/>
  <c r="AA2671" s="1"/>
  <c r="B2671"/>
  <c r="E2670"/>
  <c r="AA2670" s="1"/>
  <c r="B2670"/>
  <c r="E2669"/>
  <c r="AA2669" s="1"/>
  <c r="B2669"/>
  <c r="E2668"/>
  <c r="AA2668" s="1"/>
  <c r="B2668"/>
  <c r="E2667"/>
  <c r="AA2667" s="1"/>
  <c r="B2667"/>
  <c r="E2666"/>
  <c r="AA2666" s="1"/>
  <c r="B2666"/>
  <c r="E2665"/>
  <c r="AA2665" s="1"/>
  <c r="E2664"/>
  <c r="AA2664" s="1"/>
  <c r="E2663"/>
  <c r="AA2663" s="1"/>
  <c r="E2662"/>
  <c r="AA2662" s="1"/>
  <c r="B2658"/>
  <c r="B2660"/>
  <c r="B2659"/>
  <c r="B2657"/>
  <c r="B2656"/>
  <c r="B2655"/>
  <c r="B2661"/>
  <c r="B2662"/>
  <c r="B2663"/>
  <c r="B2664"/>
  <c r="B2665"/>
  <c r="B2654"/>
  <c r="E2654"/>
  <c r="AA2654" s="1"/>
  <c r="B2653"/>
  <c r="E2653"/>
  <c r="AA2653" s="1"/>
  <c r="M2760"/>
  <c r="E2761"/>
  <c r="E2760"/>
  <c r="B2642"/>
  <c r="E2642"/>
  <c r="AA2642" s="1"/>
  <c r="E2641"/>
  <c r="AA2641" s="1"/>
  <c r="B2489"/>
  <c r="E2489"/>
  <c r="AA2489" s="1"/>
  <c r="B2488"/>
  <c r="E2488"/>
  <c r="AA2488" s="1"/>
  <c r="M2488"/>
  <c r="B2481"/>
  <c r="E2481"/>
  <c r="AA2481" s="1"/>
  <c r="M2481"/>
  <c r="B2482"/>
  <c r="E2482"/>
  <c r="AA2482" s="1"/>
  <c r="M2482"/>
  <c r="B2483"/>
  <c r="E2483"/>
  <c r="AA2483" s="1"/>
  <c r="M2483"/>
  <c r="B2484"/>
  <c r="E2484"/>
  <c r="AA2484" s="1"/>
  <c r="M2484"/>
  <c r="B2485"/>
  <c r="E2485"/>
  <c r="AA2485" s="1"/>
  <c r="M2485"/>
  <c r="B2486"/>
  <c r="E2486"/>
  <c r="AA2486" s="1"/>
  <c r="M2486"/>
  <c r="B2487"/>
  <c r="E2487"/>
  <c r="AA2487" s="1"/>
  <c r="M2487"/>
  <c r="M2322"/>
  <c r="M2343"/>
  <c r="E2343"/>
  <c r="AA2343" s="1"/>
  <c r="B2343"/>
  <c r="M2341"/>
  <c r="E2341"/>
  <c r="AA2341" s="1"/>
  <c r="B2341"/>
  <c r="M2339"/>
  <c r="E2339"/>
  <c r="AA2339" s="1"/>
  <c r="B2339"/>
  <c r="E2262"/>
  <c r="AA2262" s="1"/>
  <c r="B2262"/>
  <c r="AE514"/>
  <c r="AA2644" l="1"/>
  <c r="AA2761"/>
  <c r="AA2643"/>
  <c r="AA2760"/>
  <c r="S2339"/>
  <c r="Q2339"/>
  <c r="R2339"/>
  <c r="R2484"/>
  <c r="S2484"/>
  <c r="Q2484"/>
  <c r="R2488"/>
  <c r="S2488"/>
  <c r="Q2488"/>
  <c r="Q2654"/>
  <c r="R2654"/>
  <c r="S2654"/>
  <c r="Q2662"/>
  <c r="R2662"/>
  <c r="S2662"/>
  <c r="R2657"/>
  <c r="S2657"/>
  <c r="Q2657"/>
  <c r="Q2666"/>
  <c r="R2666"/>
  <c r="S2666"/>
  <c r="S2668"/>
  <c r="Q2668"/>
  <c r="R2668"/>
  <c r="Q2670"/>
  <c r="R2670"/>
  <c r="S2670"/>
  <c r="Q2699"/>
  <c r="R2699"/>
  <c r="S2699"/>
  <c r="Q2707"/>
  <c r="R2707"/>
  <c r="S2707"/>
  <c r="Q2647"/>
  <c r="R2647"/>
  <c r="S2647"/>
  <c r="Q2650"/>
  <c r="R2650"/>
  <c r="S2650"/>
  <c r="S2648"/>
  <c r="Q2648"/>
  <c r="R2648"/>
  <c r="Q2719"/>
  <c r="R2719"/>
  <c r="S2719"/>
  <c r="Q239"/>
  <c r="R239"/>
  <c r="S239"/>
  <c r="Q2727"/>
  <c r="R2727"/>
  <c r="S2727"/>
  <c r="Q2736"/>
  <c r="R2736"/>
  <c r="S2736"/>
  <c r="Q2758"/>
  <c r="R2758"/>
  <c r="S2758"/>
  <c r="Q2766"/>
  <c r="R2766"/>
  <c r="S2766"/>
  <c r="S2767"/>
  <c r="Q2767"/>
  <c r="R2767"/>
  <c r="S2771"/>
  <c r="Q2771"/>
  <c r="R2771"/>
  <c r="S2789"/>
  <c r="Q2789"/>
  <c r="R2789"/>
  <c r="S2791"/>
  <c r="Q2791"/>
  <c r="R2791"/>
  <c r="S2793"/>
  <c r="Q2793"/>
  <c r="R2793"/>
  <c r="S2795"/>
  <c r="Q2795"/>
  <c r="R2795"/>
  <c r="S2797"/>
  <c r="Q2797"/>
  <c r="R2797"/>
  <c r="S2799"/>
  <c r="Q2799"/>
  <c r="R2799"/>
  <c r="R2645"/>
  <c r="S2645"/>
  <c r="Q2645"/>
  <c r="S2873"/>
  <c r="Q2873"/>
  <c r="R2873"/>
  <c r="R242"/>
  <c r="S242"/>
  <c r="Q242"/>
  <c r="Q244"/>
  <c r="R244"/>
  <c r="S244"/>
  <c r="Q2906"/>
  <c r="R2906"/>
  <c r="S2906"/>
  <c r="Q2872"/>
  <c r="R2872"/>
  <c r="S2872"/>
  <c r="R2764"/>
  <c r="S2764"/>
  <c r="Q2764"/>
  <c r="Q2960"/>
  <c r="R2960"/>
  <c r="S2960"/>
  <c r="S2963"/>
  <c r="Q2963"/>
  <c r="R2963"/>
  <c r="S2989"/>
  <c r="Q2989"/>
  <c r="R2989"/>
  <c r="Q3001"/>
  <c r="R3001"/>
  <c r="S3001"/>
  <c r="S3018"/>
  <c r="Q3018"/>
  <c r="R3018"/>
  <c r="S3032"/>
  <c r="Q3032"/>
  <c r="R3032"/>
  <c r="S3034"/>
  <c r="Q3034"/>
  <c r="R3034"/>
  <c r="S3036"/>
  <c r="Q3036"/>
  <c r="R3036"/>
  <c r="R2909"/>
  <c r="S2909"/>
  <c r="Q2909"/>
  <c r="S2262"/>
  <c r="Q2262"/>
  <c r="R2262"/>
  <c r="S2343"/>
  <c r="Q2343"/>
  <c r="R2343"/>
  <c r="Q2485"/>
  <c r="R2485"/>
  <c r="S2485"/>
  <c r="Q2481"/>
  <c r="R2481"/>
  <c r="S2481"/>
  <c r="Q2642"/>
  <c r="R2642"/>
  <c r="S2642"/>
  <c r="R2665"/>
  <c r="S2665"/>
  <c r="Q2665"/>
  <c r="R2661"/>
  <c r="S2661"/>
  <c r="Q2661"/>
  <c r="Q2659"/>
  <c r="R2659"/>
  <c r="S2659"/>
  <c r="S2690"/>
  <c r="Q2690"/>
  <c r="R2690"/>
  <c r="Q2729"/>
  <c r="R2729"/>
  <c r="S2729"/>
  <c r="Q2731"/>
  <c r="R2731"/>
  <c r="S2731"/>
  <c r="Q2733"/>
  <c r="R2733"/>
  <c r="S2733"/>
  <c r="Q2735"/>
  <c r="R2735"/>
  <c r="S2735"/>
  <c r="R234"/>
  <c r="S234"/>
  <c r="Q234"/>
  <c r="Q236"/>
  <c r="R236"/>
  <c r="S236"/>
  <c r="Q2721"/>
  <c r="R2721"/>
  <c r="S2721"/>
  <c r="Q2747"/>
  <c r="R2747"/>
  <c r="S2747"/>
  <c r="R2757"/>
  <c r="S2757"/>
  <c r="Q2757"/>
  <c r="R2772"/>
  <c r="S2772"/>
  <c r="Q2772"/>
  <c r="Q2775"/>
  <c r="R2775"/>
  <c r="S2775"/>
  <c r="Q2770"/>
  <c r="R2770"/>
  <c r="S2770"/>
  <c r="S2783"/>
  <c r="Q2783"/>
  <c r="R2783"/>
  <c r="S2785"/>
  <c r="Q2785"/>
  <c r="R2785"/>
  <c r="Q2831"/>
  <c r="R2831"/>
  <c r="S2831"/>
  <c r="Q2851"/>
  <c r="R2851"/>
  <c r="S2851"/>
  <c r="Q2858"/>
  <c r="R2858"/>
  <c r="S2858"/>
  <c r="S2869"/>
  <c r="Q2869"/>
  <c r="R2869"/>
  <c r="S241"/>
  <c r="Q241"/>
  <c r="R241"/>
  <c r="Q243"/>
  <c r="R243"/>
  <c r="S243"/>
  <c r="R2897"/>
  <c r="S2897"/>
  <c r="Q2897"/>
  <c r="Q2871"/>
  <c r="R2871"/>
  <c r="S2871"/>
  <c r="S2959"/>
  <c r="Q2959"/>
  <c r="R2959"/>
  <c r="S2961"/>
  <c r="Q2961"/>
  <c r="R2961"/>
  <c r="Q2962"/>
  <c r="R2962"/>
  <c r="S2962"/>
  <c r="Q2994"/>
  <c r="R2994"/>
  <c r="S2994"/>
  <c r="Q3015"/>
  <c r="R3015"/>
  <c r="S3015"/>
  <c r="Q2907"/>
  <c r="R2907"/>
  <c r="S2907"/>
  <c r="S2908"/>
  <c r="Q2908"/>
  <c r="R2908"/>
  <c r="Q2953"/>
  <c r="R2953"/>
  <c r="S2953"/>
  <c r="Q2487"/>
  <c r="R2487"/>
  <c r="S2487"/>
  <c r="Q2483"/>
  <c r="R2483"/>
  <c r="S2483"/>
  <c r="S2341"/>
  <c r="Q2341"/>
  <c r="R2341"/>
  <c r="R2486"/>
  <c r="S2486"/>
  <c r="Q2486"/>
  <c r="R2482"/>
  <c r="S2482"/>
  <c r="Q2482"/>
  <c r="Q2489"/>
  <c r="R2489"/>
  <c r="S2489"/>
  <c r="R2653"/>
  <c r="S2653"/>
  <c r="Q2653"/>
  <c r="S2664"/>
  <c r="Q2664"/>
  <c r="R2664"/>
  <c r="Q2655"/>
  <c r="R2655"/>
  <c r="S2655"/>
  <c r="S2660"/>
  <c r="Q2660"/>
  <c r="R2660"/>
  <c r="Q2667"/>
  <c r="R2667"/>
  <c r="S2667"/>
  <c r="R2669"/>
  <c r="S2669"/>
  <c r="Q2669"/>
  <c r="Q2671"/>
  <c r="R2671"/>
  <c r="S2671"/>
  <c r="S2652"/>
  <c r="Q2652"/>
  <c r="R2652"/>
  <c r="Q2651"/>
  <c r="R2651"/>
  <c r="S2651"/>
  <c r="R2649"/>
  <c r="S2649"/>
  <c r="Q2649"/>
  <c r="S2724"/>
  <c r="Q2724"/>
  <c r="R2724"/>
  <c r="S2726"/>
  <c r="Q2726"/>
  <c r="R2726"/>
  <c r="S2730"/>
  <c r="Q2730"/>
  <c r="R2730"/>
  <c r="Q235"/>
  <c r="R235"/>
  <c r="S235"/>
  <c r="S237"/>
  <c r="Q237"/>
  <c r="R237"/>
  <c r="S2728"/>
  <c r="Q2728"/>
  <c r="R2728"/>
  <c r="R2644"/>
  <c r="S2644"/>
  <c r="Q2644"/>
  <c r="S2750"/>
  <c r="Q2750"/>
  <c r="R2750"/>
  <c r="S2756"/>
  <c r="Q2756"/>
  <c r="R2756"/>
  <c r="Q2769"/>
  <c r="R2769"/>
  <c r="S2769"/>
  <c r="R2777"/>
  <c r="S2777"/>
  <c r="Q2777"/>
  <c r="S2762"/>
  <c r="Q2762"/>
  <c r="R2762"/>
  <c r="Q2786"/>
  <c r="R2786"/>
  <c r="S2786"/>
  <c r="Q2790"/>
  <c r="R2790"/>
  <c r="S2790"/>
  <c r="Q2792"/>
  <c r="R2792"/>
  <c r="S2792"/>
  <c r="Q2794"/>
  <c r="R2794"/>
  <c r="S2794"/>
  <c r="Q2796"/>
  <c r="R2796"/>
  <c r="S2796"/>
  <c r="Q2798"/>
  <c r="R2798"/>
  <c r="S2798"/>
  <c r="Q2800"/>
  <c r="R2800"/>
  <c r="S2800"/>
  <c r="Q2646"/>
  <c r="R2646"/>
  <c r="S2646"/>
  <c r="S2815"/>
  <c r="Q2815"/>
  <c r="R2815"/>
  <c r="R2875"/>
  <c r="S2875"/>
  <c r="Q2875"/>
  <c r="Q240"/>
  <c r="R240"/>
  <c r="S240"/>
  <c r="R2905"/>
  <c r="S2905"/>
  <c r="Q2905"/>
  <c r="Q2938"/>
  <c r="R2938"/>
  <c r="S2938"/>
  <c r="Q2958"/>
  <c r="R2958"/>
  <c r="S2958"/>
  <c r="Q2988"/>
  <c r="R2988"/>
  <c r="S2988"/>
  <c r="Q2999"/>
  <c r="R2999"/>
  <c r="S2999"/>
  <c r="S3000"/>
  <c r="Q3000"/>
  <c r="R3000"/>
  <c r="S3016"/>
  <c r="Q3016"/>
  <c r="R3016"/>
  <c r="Q3019"/>
  <c r="R3019"/>
  <c r="S3019"/>
  <c r="Q3033"/>
  <c r="R3033"/>
  <c r="S3033"/>
  <c r="Q3035"/>
  <c r="R3035"/>
  <c r="S3035"/>
  <c r="Q3039"/>
  <c r="R3039"/>
  <c r="S3039"/>
  <c r="R2913"/>
  <c r="S2913"/>
  <c r="Q2913"/>
  <c r="S2912"/>
  <c r="Q2912"/>
  <c r="R2912"/>
  <c r="Q2663"/>
  <c r="R2663"/>
  <c r="S2663"/>
  <c r="S2656"/>
  <c r="Q2656"/>
  <c r="R2656"/>
  <c r="Q2658"/>
  <c r="R2658"/>
  <c r="S2658"/>
  <c r="Q2691"/>
  <c r="R2691"/>
  <c r="S2691"/>
  <c r="Q2705"/>
  <c r="R2705"/>
  <c r="S2705"/>
  <c r="S2685"/>
  <c r="Q2685"/>
  <c r="R2685"/>
  <c r="Q2723"/>
  <c r="R2723"/>
  <c r="S2723"/>
  <c r="Q2725"/>
  <c r="R2725"/>
  <c r="S2725"/>
  <c r="S2734"/>
  <c r="Q2734"/>
  <c r="R2734"/>
  <c r="S2732"/>
  <c r="Q2732"/>
  <c r="R2732"/>
  <c r="S2694"/>
  <c r="Q2694"/>
  <c r="R2694"/>
  <c r="R238"/>
  <c r="S238"/>
  <c r="Q238"/>
  <c r="S2722"/>
  <c r="Q2722"/>
  <c r="R2722"/>
  <c r="Q2737"/>
  <c r="R2737"/>
  <c r="S2737"/>
  <c r="R2751"/>
  <c r="S2751"/>
  <c r="Q2751"/>
  <c r="Q2759"/>
  <c r="R2759"/>
  <c r="S2759"/>
  <c r="R2768"/>
  <c r="S2768"/>
  <c r="Q2768"/>
  <c r="S2776"/>
  <c r="Q2776"/>
  <c r="R2776"/>
  <c r="Q2782"/>
  <c r="R2782"/>
  <c r="S2782"/>
  <c r="Q2784"/>
  <c r="R2784"/>
  <c r="S2784"/>
  <c r="S2787"/>
  <c r="Q2787"/>
  <c r="R2787"/>
  <c r="S2832"/>
  <c r="Q2832"/>
  <c r="R2832"/>
  <c r="S2852"/>
  <c r="Q2852"/>
  <c r="R2852"/>
  <c r="Q2859"/>
  <c r="R2859"/>
  <c r="S2859"/>
  <c r="R2870"/>
  <c r="S2870"/>
  <c r="Q2870"/>
  <c r="S2985"/>
  <c r="Q2985"/>
  <c r="R2985"/>
  <c r="Q2992"/>
  <c r="R2992"/>
  <c r="S2992"/>
  <c r="S3038"/>
  <c r="Q3038"/>
  <c r="R3038"/>
  <c r="S3040"/>
  <c r="Q3040"/>
  <c r="R3040"/>
  <c r="Q2910"/>
  <c r="R2910"/>
  <c r="S2910"/>
  <c r="Q2911"/>
  <c r="R2911"/>
  <c r="S2911"/>
  <c r="S2952"/>
  <c r="Q2952"/>
  <c r="R2952"/>
  <c r="S2949"/>
  <c r="Q2949"/>
  <c r="R2949"/>
  <c r="Q2954"/>
  <c r="R2954"/>
  <c r="S2954"/>
  <c r="R2948"/>
  <c r="S2948"/>
  <c r="Q2948"/>
  <c r="Q2951"/>
  <c r="R2951"/>
  <c r="S2951"/>
  <c r="Q2947"/>
  <c r="R2947"/>
  <c r="S2947"/>
  <c r="Q2950"/>
  <c r="R2950"/>
  <c r="S2950"/>
  <c r="Q2957"/>
  <c r="R2957"/>
  <c r="S2957"/>
  <c r="A2262"/>
  <c r="A2642"/>
  <c r="A2484"/>
  <c r="A2488"/>
  <c r="A2654"/>
  <c r="A2662"/>
  <c r="A2657"/>
  <c r="A2666"/>
  <c r="A2668"/>
  <c r="A2670"/>
  <c r="A2699"/>
  <c r="A2707"/>
  <c r="A2647"/>
  <c r="A2650"/>
  <c r="A2648"/>
  <c r="A2719"/>
  <c r="A239"/>
  <c r="A2727"/>
  <c r="A2736"/>
  <c r="A2758"/>
  <c r="A2766"/>
  <c r="A2767"/>
  <c r="A2771"/>
  <c r="A2789"/>
  <c r="A2791"/>
  <c r="A2793"/>
  <c r="A2795"/>
  <c r="A2797"/>
  <c r="A2799"/>
  <c r="A2645"/>
  <c r="A2873"/>
  <c r="A242"/>
  <c r="A244"/>
  <c r="A2906"/>
  <c r="A2872"/>
  <c r="A2764"/>
  <c r="A2954"/>
  <c r="A2949"/>
  <c r="A2958"/>
  <c r="A2988"/>
  <c r="A2999"/>
  <c r="A3000"/>
  <c r="A3016"/>
  <c r="A3019"/>
  <c r="A3033"/>
  <c r="A3035"/>
  <c r="A3039"/>
  <c r="A2913"/>
  <c r="A2912"/>
  <c r="A2661"/>
  <c r="A2659"/>
  <c r="A2690"/>
  <c r="A2729"/>
  <c r="A2731"/>
  <c r="A2733"/>
  <c r="A2735"/>
  <c r="A234"/>
  <c r="A236"/>
  <c r="A2721"/>
  <c r="A2747"/>
  <c r="A2757"/>
  <c r="A2772"/>
  <c r="A2775"/>
  <c r="A2770"/>
  <c r="A2783"/>
  <c r="A2785"/>
  <c r="A2831"/>
  <c r="A2851"/>
  <c r="A2858"/>
  <c r="A2869"/>
  <c r="A241"/>
  <c r="A243"/>
  <c r="A2897"/>
  <c r="A2871"/>
  <c r="A2951"/>
  <c r="A2948"/>
  <c r="A2985"/>
  <c r="A2992"/>
  <c r="A3038"/>
  <c r="A3040"/>
  <c r="A2910"/>
  <c r="A2911"/>
  <c r="A2952"/>
  <c r="A2665"/>
  <c r="A2341"/>
  <c r="A2486"/>
  <c r="A2482"/>
  <c r="A2489"/>
  <c r="A2653"/>
  <c r="A2664"/>
  <c r="A2655"/>
  <c r="A2660"/>
  <c r="A2667"/>
  <c r="A2669"/>
  <c r="A2671"/>
  <c r="A2652"/>
  <c r="A2651"/>
  <c r="A2649"/>
  <c r="A2724"/>
  <c r="A2726"/>
  <c r="A2730"/>
  <c r="A235"/>
  <c r="A237"/>
  <c r="A2728"/>
  <c r="A2644"/>
  <c r="A2750"/>
  <c r="A2756"/>
  <c r="A2769"/>
  <c r="A2777"/>
  <c r="A2762"/>
  <c r="A2786"/>
  <c r="A2790"/>
  <c r="A2792"/>
  <c r="A2794"/>
  <c r="A2796"/>
  <c r="A2798"/>
  <c r="A2800"/>
  <c r="A2646"/>
  <c r="A2815"/>
  <c r="A2875"/>
  <c r="A240"/>
  <c r="A2905"/>
  <c r="A2938"/>
  <c r="A2950"/>
  <c r="A2947"/>
  <c r="A2960"/>
  <c r="A2963"/>
  <c r="A2989"/>
  <c r="A3001"/>
  <c r="A3018"/>
  <c r="A3032"/>
  <c r="A3034"/>
  <c r="A3036"/>
  <c r="A2909"/>
  <c r="A2343"/>
  <c r="A2485"/>
  <c r="A2481"/>
  <c r="A2339"/>
  <c r="A2487"/>
  <c r="A2483"/>
  <c r="A2663"/>
  <c r="A2656"/>
  <c r="A2658"/>
  <c r="A2691"/>
  <c r="A2705"/>
  <c r="A2685"/>
  <c r="A2723"/>
  <c r="A2725"/>
  <c r="A2734"/>
  <c r="A2732"/>
  <c r="A2694"/>
  <c r="A238"/>
  <c r="A2722"/>
  <c r="A2737"/>
  <c r="A2751"/>
  <c r="A2759"/>
  <c r="A2768"/>
  <c r="A2776"/>
  <c r="A2782"/>
  <c r="A2784"/>
  <c r="A2787"/>
  <c r="A2832"/>
  <c r="A2852"/>
  <c r="A2859"/>
  <c r="A2870"/>
  <c r="A2957"/>
  <c r="A2959"/>
  <c r="A2961"/>
  <c r="A2962"/>
  <c r="A2994"/>
  <c r="A3015"/>
  <c r="A2907"/>
  <c r="A2908"/>
  <c r="A2953"/>
  <c r="AE2403"/>
  <c r="B2403"/>
  <c r="AE2404"/>
  <c r="B2404"/>
  <c r="AE2402"/>
  <c r="B2402"/>
  <c r="AE2406"/>
  <c r="B2406"/>
  <c r="AE2405"/>
  <c r="B2405"/>
  <c r="M280"/>
  <c r="M255"/>
  <c r="M290"/>
  <c r="M291"/>
  <c r="M292"/>
  <c r="M293"/>
  <c r="M294"/>
  <c r="M295"/>
  <c r="G140"/>
  <c r="G154"/>
  <c r="M156" s="1"/>
  <c r="G126"/>
  <c r="G112"/>
  <c r="M113"/>
  <c r="M99"/>
  <c r="T140" l="1"/>
  <c r="U140"/>
  <c r="V140"/>
  <c r="Q2406"/>
  <c r="R2406"/>
  <c r="S2406"/>
  <c r="R2404"/>
  <c r="S2404"/>
  <c r="Q2404"/>
  <c r="U126"/>
  <c r="V126"/>
  <c r="T126"/>
  <c r="U154"/>
  <c r="V154"/>
  <c r="T154"/>
  <c r="V112"/>
  <c r="U112"/>
  <c r="T112"/>
  <c r="Q2405"/>
  <c r="R2405"/>
  <c r="S2405"/>
  <c r="Q2402"/>
  <c r="R2402"/>
  <c r="S2402"/>
  <c r="S2403"/>
  <c r="Q2403"/>
  <c r="R2403"/>
  <c r="M114"/>
  <c r="A2404"/>
  <c r="A2405"/>
  <c r="A2402"/>
  <c r="A2403"/>
  <c r="A2406"/>
  <c r="C22"/>
  <c r="C23"/>
  <c r="B23" l="1"/>
  <c r="AD23"/>
  <c r="B22"/>
  <c r="AD22"/>
  <c r="C82" i="12"/>
  <c r="D82"/>
  <c r="M176" i="60"/>
  <c r="D174"/>
  <c r="A46" i="12"/>
  <c r="A44"/>
  <c r="A58"/>
  <c r="A54"/>
  <c r="A59"/>
  <c r="A62"/>
  <c r="A61"/>
  <c r="A63"/>
  <c r="A43"/>
  <c r="A66"/>
  <c r="A52"/>
  <c r="A47"/>
  <c r="A55"/>
  <c r="A65"/>
  <c r="A72"/>
  <c r="AE2640" i="34"/>
  <c r="AE2639"/>
  <c r="AE2638"/>
  <c r="AE2622"/>
  <c r="AE2621"/>
  <c r="AE2620"/>
  <c r="AE2417"/>
  <c r="AE2416"/>
  <c r="AE2415"/>
  <c r="AE2637"/>
  <c r="AE2636"/>
  <c r="AE2635"/>
  <c r="AE2634"/>
  <c r="AE2631"/>
  <c r="AE2630"/>
  <c r="AE2629"/>
  <c r="AE2626"/>
  <c r="AE2625"/>
  <c r="AE2624"/>
  <c r="AE2623"/>
  <c r="AE2633"/>
  <c r="AE2632"/>
  <c r="AE2628"/>
  <c r="AE2627"/>
  <c r="AE2619"/>
  <c r="AE2618"/>
  <c r="AE2617"/>
  <c r="AE2616"/>
  <c r="AE2615"/>
  <c r="AE2427"/>
  <c r="AE2426"/>
  <c r="AE2614"/>
  <c r="AE2613"/>
  <c r="AE2429"/>
  <c r="AE2428"/>
  <c r="AE2425"/>
  <c r="AE2424"/>
  <c r="AE2423"/>
  <c r="AE2422"/>
  <c r="AE2421"/>
  <c r="AE2420"/>
  <c r="AE2419"/>
  <c r="AE2418"/>
  <c r="AE2414"/>
  <c r="AE2413"/>
  <c r="AE2398"/>
  <c r="AE2397"/>
  <c r="AE2412"/>
  <c r="AE2411"/>
  <c r="AE2410"/>
  <c r="AE2409"/>
  <c r="AE2408"/>
  <c r="AE2407"/>
  <c r="AE2252"/>
  <c r="AE2251"/>
  <c r="AE2250"/>
  <c r="AE2249"/>
  <c r="AE2248"/>
  <c r="AE2247"/>
  <c r="AE2246"/>
  <c r="AE2245"/>
  <c r="AE2244"/>
  <c r="AE2243"/>
  <c r="AE2242"/>
  <c r="AE2241"/>
  <c r="AE2240"/>
  <c r="AE2239"/>
  <c r="AE2238"/>
  <c r="AE2237"/>
  <c r="AE2236"/>
  <c r="AE2235"/>
  <c r="AE2234"/>
  <c r="AE2233"/>
  <c r="AE2232"/>
  <c r="AE1872"/>
  <c r="AE1871"/>
  <c r="AE1870"/>
  <c r="AE1869"/>
  <c r="AE1868"/>
  <c r="AE1867"/>
  <c r="AE1866"/>
  <c r="AE1865"/>
  <c r="AE1864"/>
  <c r="AE1863"/>
  <c r="AE1862"/>
  <c r="AE1861"/>
  <c r="AE1860"/>
  <c r="AE1859"/>
  <c r="AE1757"/>
  <c r="AE1756"/>
  <c r="AE1755"/>
  <c r="AE1754"/>
  <c r="AE1753"/>
  <c r="AE1752"/>
  <c r="AE1751"/>
  <c r="AE1750"/>
  <c r="AE1749"/>
  <c r="AE1748"/>
  <c r="AE1747"/>
  <c r="AE1746"/>
  <c r="AE1745"/>
  <c r="AE1744"/>
  <c r="AE1743"/>
  <c r="AE1742"/>
  <c r="AE1540"/>
  <c r="AE1539"/>
  <c r="AE1538"/>
  <c r="AE1537"/>
  <c r="AE1536"/>
  <c r="AE1535"/>
  <c r="AE1534"/>
  <c r="AE1533"/>
  <c r="AE1532"/>
  <c r="AE1531"/>
  <c r="AE1530"/>
  <c r="AE1529"/>
  <c r="AE1528"/>
  <c r="AE1527"/>
  <c r="AE1526"/>
  <c r="AE1525"/>
  <c r="AE1524"/>
  <c r="AE1523"/>
  <c r="AE1522"/>
  <c r="AE1521"/>
  <c r="AE1520"/>
  <c r="AE1519"/>
  <c r="AE1518"/>
  <c r="AE1517"/>
  <c r="AE1516"/>
  <c r="AE1515"/>
  <c r="AE1514"/>
  <c r="AE1513"/>
  <c r="AE1512"/>
  <c r="AE1511"/>
  <c r="AE1510"/>
  <c r="AE1509"/>
  <c r="AE1508"/>
  <c r="AE1507"/>
  <c r="AE1506"/>
  <c r="AE1505"/>
  <c r="AE1504"/>
  <c r="AE1503"/>
  <c r="AE1502"/>
  <c r="AE1501"/>
  <c r="AE1500"/>
  <c r="AE1499"/>
  <c r="AE1498"/>
  <c r="AE1497"/>
  <c r="AE1496"/>
  <c r="AE1495"/>
  <c r="AE1494"/>
  <c r="AE1493"/>
  <c r="AE1492"/>
  <c r="AE1491"/>
  <c r="AE1490"/>
  <c r="AE1489"/>
  <c r="AE822"/>
  <c r="AE817"/>
  <c r="AE816"/>
  <c r="AE815"/>
  <c r="AE814"/>
  <c r="AE813"/>
  <c r="AE812"/>
  <c r="AE811"/>
  <c r="AE810"/>
  <c r="AE809"/>
  <c r="AE805"/>
  <c r="AE803"/>
  <c r="AE802"/>
  <c r="AE801"/>
  <c r="AE800"/>
  <c r="AE799"/>
  <c r="AE798"/>
  <c r="AE797"/>
  <c r="AE794"/>
  <c r="AE793"/>
  <c r="AE791"/>
  <c r="AE790"/>
  <c r="AE789"/>
  <c r="AE788"/>
  <c r="AE786"/>
  <c r="AE785"/>
  <c r="AE784"/>
  <c r="AE783"/>
  <c r="AE779"/>
  <c r="AE778"/>
  <c r="AE777"/>
  <c r="AE776"/>
  <c r="AE773"/>
  <c r="AE772"/>
  <c r="AE771"/>
  <c r="AE770"/>
  <c r="AE769"/>
  <c r="AE768"/>
  <c r="AE764"/>
  <c r="AE763"/>
  <c r="AE762"/>
  <c r="AE761"/>
  <c r="AE760"/>
  <c r="AE759"/>
  <c r="AE758"/>
  <c r="AE757"/>
  <c r="AE756"/>
  <c r="AE755"/>
  <c r="AE754"/>
  <c r="AE749"/>
  <c r="AE748"/>
  <c r="AE747"/>
  <c r="AE746"/>
  <c r="AE745"/>
  <c r="AE744"/>
  <c r="AE742"/>
  <c r="AE741"/>
  <c r="AE737"/>
  <c r="AE736"/>
  <c r="AE735"/>
  <c r="AE734"/>
  <c r="AE733"/>
  <c r="AE732"/>
  <c r="AE731"/>
  <c r="AE730"/>
  <c r="AE729"/>
  <c r="AE728"/>
  <c r="AE727"/>
  <c r="AE726"/>
  <c r="AE725"/>
  <c r="AE724"/>
  <c r="AE723"/>
  <c r="AE719"/>
  <c r="AE718"/>
  <c r="AE717"/>
  <c r="AE716"/>
  <c r="AE715"/>
  <c r="AE714"/>
  <c r="AE713"/>
  <c r="AE712"/>
  <c r="AE711"/>
  <c r="AE710"/>
  <c r="AE707"/>
  <c r="AE706"/>
  <c r="AE703"/>
  <c r="AE702"/>
  <c r="AE701"/>
  <c r="AE700"/>
  <c r="AE699"/>
  <c r="AE698"/>
  <c r="AE694"/>
  <c r="AE693"/>
  <c r="AE692"/>
  <c r="AE691"/>
  <c r="AE690"/>
  <c r="AE689"/>
  <c r="AE688"/>
  <c r="AE668"/>
  <c r="AE667"/>
  <c r="AE666"/>
  <c r="AE665"/>
  <c r="AE664"/>
  <c r="AE663"/>
  <c r="AE662"/>
  <c r="AE657"/>
  <c r="AE656"/>
  <c r="AE655"/>
  <c r="AE654"/>
  <c r="AE653"/>
  <c r="AE652"/>
  <c r="AE651"/>
  <c r="AE631"/>
  <c r="AE630"/>
  <c r="AE629"/>
  <c r="AE628"/>
  <c r="AE627"/>
  <c r="AE626"/>
  <c r="AE625"/>
  <c r="AE624"/>
  <c r="AE623"/>
  <c r="AE622"/>
  <c r="AE621"/>
  <c r="AE620"/>
  <c r="AE608"/>
  <c r="AE607"/>
  <c r="AE606"/>
  <c r="AE605"/>
  <c r="AE604"/>
  <c r="AE603"/>
  <c r="AE602"/>
  <c r="AE601"/>
  <c r="AE600"/>
  <c r="AE599"/>
  <c r="AE598"/>
  <c r="AE548"/>
  <c r="AE547"/>
  <c r="AE546"/>
  <c r="AE545"/>
  <c r="AE544"/>
  <c r="AE543"/>
  <c r="AE542"/>
  <c r="AE541"/>
  <c r="AE540"/>
  <c r="AE539"/>
  <c r="AE538"/>
  <c r="AE537"/>
  <c r="AE536"/>
  <c r="AE535"/>
  <c r="AE534"/>
  <c r="AE533"/>
  <c r="AE513"/>
  <c r="AE492"/>
  <c r="AE491"/>
  <c r="AE490"/>
  <c r="AE489"/>
  <c r="AE488"/>
  <c r="AE487"/>
  <c r="AE486"/>
  <c r="AE485"/>
  <c r="AE484"/>
  <c r="AE483"/>
  <c r="AE467"/>
  <c r="AE466"/>
  <c r="AE465"/>
  <c r="AE464"/>
  <c r="AE463"/>
  <c r="AE462"/>
  <c r="AE461"/>
  <c r="AE451"/>
  <c r="AE450"/>
  <c r="AE449"/>
  <c r="AE448"/>
  <c r="AE447"/>
  <c r="AE446"/>
  <c r="AE445"/>
  <c r="AE444"/>
  <c r="AE443"/>
  <c r="AE442"/>
  <c r="AE441"/>
  <c r="AE440"/>
  <c r="AE439"/>
  <c r="AE427"/>
  <c r="AE426"/>
  <c r="AE425"/>
  <c r="AE424"/>
  <c r="AE423"/>
  <c r="AE422"/>
  <c r="AE421"/>
  <c r="AE420"/>
  <c r="AE419"/>
  <c r="AE418"/>
  <c r="AE417"/>
  <c r="AE395"/>
  <c r="AE394"/>
  <c r="AE393"/>
  <c r="AE392"/>
  <c r="AE391"/>
  <c r="AE390"/>
  <c r="AE389"/>
  <c r="AE388"/>
  <c r="AE387"/>
  <c r="AE386"/>
  <c r="AE385"/>
  <c r="AE384"/>
  <c r="AE383"/>
  <c r="AE382"/>
  <c r="AE381"/>
  <c r="AE380"/>
  <c r="AE1027"/>
  <c r="G174" i="60" l="1"/>
  <c r="G176" s="1"/>
  <c r="D176"/>
  <c r="A22" i="34"/>
  <c r="S22"/>
  <c r="Q22"/>
  <c r="R22"/>
  <c r="A23"/>
  <c r="Q23"/>
  <c r="R23"/>
  <c r="S23"/>
  <c r="M488"/>
  <c r="B488"/>
  <c r="H170" i="60" l="1"/>
  <c r="H171"/>
  <c r="H172"/>
  <c r="H173"/>
  <c r="H174"/>
  <c r="I169"/>
  <c r="I170"/>
  <c r="I171"/>
  <c r="I172"/>
  <c r="I173"/>
  <c r="I174"/>
  <c r="J169"/>
  <c r="J170"/>
  <c r="J171"/>
  <c r="J172"/>
  <c r="J173"/>
  <c r="J174"/>
  <c r="K169"/>
  <c r="K170"/>
  <c r="K171"/>
  <c r="K172"/>
  <c r="K173"/>
  <c r="K174"/>
  <c r="H169"/>
  <c r="Q488" i="34"/>
  <c r="R488"/>
  <c r="S488"/>
  <c r="A488"/>
  <c r="AE2579"/>
  <c r="AE2610"/>
  <c r="AE2548"/>
  <c r="AE2545"/>
  <c r="AE2542"/>
  <c r="AE2539"/>
  <c r="AE2536"/>
  <c r="AE2533"/>
  <c r="AE2494"/>
  <c r="AE2460"/>
  <c r="AE2457"/>
  <c r="AE2454"/>
  <c r="AE2451"/>
  <c r="AE2583"/>
  <c r="AE2374"/>
  <c r="AE2371"/>
  <c r="AE2329"/>
  <c r="AE2334"/>
  <c r="AE2303"/>
  <c r="AE2300"/>
  <c r="AE2297"/>
  <c r="AE2296"/>
  <c r="AE2290"/>
  <c r="AE2287"/>
  <c r="AE2218"/>
  <c r="AE2215"/>
  <c r="AE2204"/>
  <c r="AE2201"/>
  <c r="AE2127"/>
  <c r="AE2084"/>
  <c r="AE2066"/>
  <c r="AE2063"/>
  <c r="AE2060"/>
  <c r="AE2057"/>
  <c r="AE2054"/>
  <c r="AE2051"/>
  <c r="AE2031"/>
  <c r="AE1964"/>
  <c r="AE1941"/>
  <c r="AE1925"/>
  <c r="AE1922"/>
  <c r="AE1908"/>
  <c r="AE1873"/>
  <c r="AE1809"/>
  <c r="AE1806"/>
  <c r="AE1803"/>
  <c r="AE1800"/>
  <c r="AE1797"/>
  <c r="AE1777"/>
  <c r="AE1768"/>
  <c r="AE1720"/>
  <c r="AE1713"/>
  <c r="AE1712"/>
  <c r="AE1711"/>
  <c r="AE1672"/>
  <c r="AE1683"/>
  <c r="AE1595"/>
  <c r="AE1594"/>
  <c r="AE1593"/>
  <c r="AE1592"/>
  <c r="AE1591"/>
  <c r="AE1590"/>
  <c r="AE1589"/>
  <c r="AE1588"/>
  <c r="AE1587"/>
  <c r="AE1586"/>
  <c r="AE1585"/>
  <c r="AE1584"/>
  <c r="AE1583"/>
  <c r="AE1582"/>
  <c r="AE1486"/>
  <c r="AE1480"/>
  <c r="AE1477"/>
  <c r="AE1420"/>
  <c r="AE1413"/>
  <c r="AE1410"/>
  <c r="AE1407"/>
  <c r="AE1399"/>
  <c r="AE1396"/>
  <c r="AE1393"/>
  <c r="AE1358"/>
  <c r="AE1360"/>
  <c r="AE1310"/>
  <c r="AE1274"/>
  <c r="AE1252"/>
  <c r="AE1204"/>
  <c r="AE1201"/>
  <c r="AE1198"/>
  <c r="AE1185"/>
  <c r="AE1164"/>
  <c r="AE1161"/>
  <c r="AE1158"/>
  <c r="AE1095"/>
  <c r="AE1076"/>
  <c r="AE1050"/>
  <c r="AE1044"/>
  <c r="B24"/>
  <c r="B2340"/>
  <c r="E2340"/>
  <c r="AA2340" s="1"/>
  <c r="M2340"/>
  <c r="B2342"/>
  <c r="E2342"/>
  <c r="AA2342" s="1"/>
  <c r="M2342"/>
  <c r="B2232"/>
  <c r="N171" i="60" l="1"/>
  <c r="N169"/>
  <c r="N173"/>
  <c r="N174"/>
  <c r="N172"/>
  <c r="N170"/>
  <c r="Q2340" i="34"/>
  <c r="R2340"/>
  <c r="S2340"/>
  <c r="R2232"/>
  <c r="S2232"/>
  <c r="Q2232"/>
  <c r="Q2342"/>
  <c r="R2342"/>
  <c r="S2342"/>
  <c r="A24"/>
  <c r="S24"/>
  <c r="Q24"/>
  <c r="R24"/>
  <c r="A2340"/>
  <c r="A2342"/>
  <c r="A2232"/>
  <c r="D41" i="15"/>
  <c r="D46" s="1"/>
  <c r="C41"/>
  <c r="C46" s="1"/>
  <c r="N176" i="60" l="1"/>
  <c r="E127"/>
  <c r="E93"/>
  <c r="O93"/>
  <c r="M150"/>
  <c r="M823" i="34"/>
  <c r="C823"/>
  <c r="AD823" s="1"/>
  <c r="M822"/>
  <c r="C822"/>
  <c r="AD822" s="1"/>
  <c r="M821"/>
  <c r="C821"/>
  <c r="AD821" s="1"/>
  <c r="M820"/>
  <c r="C820"/>
  <c r="AD820" s="1"/>
  <c r="M819"/>
  <c r="C819"/>
  <c r="AD819" s="1"/>
  <c r="M818"/>
  <c r="C818"/>
  <c r="AD818" s="1"/>
  <c r="M817"/>
  <c r="C817"/>
  <c r="AD817" s="1"/>
  <c r="M816"/>
  <c r="C816"/>
  <c r="AD816" s="1"/>
  <c r="M815"/>
  <c r="C815"/>
  <c r="AD815" s="1"/>
  <c r="M814"/>
  <c r="C814"/>
  <c r="AD814" s="1"/>
  <c r="M813"/>
  <c r="C813"/>
  <c r="AD813" s="1"/>
  <c r="M812"/>
  <c r="C812"/>
  <c r="AD812" s="1"/>
  <c r="M811"/>
  <c r="C811"/>
  <c r="AD811" s="1"/>
  <c r="M810"/>
  <c r="C810"/>
  <c r="AD810" s="1"/>
  <c r="M809"/>
  <c r="C809"/>
  <c r="AD809" s="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M805"/>
  <c r="M804"/>
  <c r="C804"/>
  <c r="AD804" s="1"/>
  <c r="M803"/>
  <c r="C803"/>
  <c r="AD803" s="1"/>
  <c r="B71" i="55"/>
  <c r="A71" s="1"/>
  <c r="M808" i="34"/>
  <c r="C808"/>
  <c r="AD808" s="1"/>
  <c r="M807"/>
  <c r="C807"/>
  <c r="AD807" s="1"/>
  <c r="M806"/>
  <c r="C806"/>
  <c r="AD806" s="1"/>
  <c r="C805"/>
  <c r="AD805" s="1"/>
  <c r="M802"/>
  <c r="C802"/>
  <c r="AD802" s="1"/>
  <c r="M801"/>
  <c r="C801"/>
  <c r="AD801" s="1"/>
  <c r="M800"/>
  <c r="C800"/>
  <c r="AD800" s="1"/>
  <c r="M799"/>
  <c r="C799"/>
  <c r="AD799" s="1"/>
  <c r="M798"/>
  <c r="C798"/>
  <c r="AD798" s="1"/>
  <c r="M797"/>
  <c r="C797"/>
  <c r="AD797" s="1"/>
  <c r="M794"/>
  <c r="C794"/>
  <c r="AD794" s="1"/>
  <c r="M793"/>
  <c r="C793"/>
  <c r="AD793" s="1"/>
  <c r="M796"/>
  <c r="C796"/>
  <c r="AD796" s="1"/>
  <c r="M795"/>
  <c r="C795"/>
  <c r="AD795" s="1"/>
  <c r="M792"/>
  <c r="C792"/>
  <c r="AD792" s="1"/>
  <c r="M791"/>
  <c r="C791"/>
  <c r="AD791" s="1"/>
  <c r="M790"/>
  <c r="C790"/>
  <c r="AD790" s="1"/>
  <c r="M789"/>
  <c r="C789"/>
  <c r="AD789" s="1"/>
  <c r="M788"/>
  <c r="C788"/>
  <c r="AD788" s="1"/>
  <c r="M786"/>
  <c r="M787"/>
  <c r="C787"/>
  <c r="AD787" s="1"/>
  <c r="C786"/>
  <c r="AD786" s="1"/>
  <c r="M785"/>
  <c r="C785"/>
  <c r="AD785" s="1"/>
  <c r="M784"/>
  <c r="C784"/>
  <c r="AD784" s="1"/>
  <c r="M783"/>
  <c r="C783"/>
  <c r="AD783" s="1"/>
  <c r="M782"/>
  <c r="C782"/>
  <c r="AD782" s="1"/>
  <c r="C781"/>
  <c r="AD781" s="1"/>
  <c r="M780"/>
  <c r="C780"/>
  <c r="AD780" s="1"/>
  <c r="M779"/>
  <c r="C779"/>
  <c r="AD779" s="1"/>
  <c r="M778"/>
  <c r="C778"/>
  <c r="AD778" s="1"/>
  <c r="M777"/>
  <c r="C777"/>
  <c r="AD777" s="1"/>
  <c r="M776"/>
  <c r="C776"/>
  <c r="AD776" s="1"/>
  <c r="M775"/>
  <c r="C775"/>
  <c r="AD775" s="1"/>
  <c r="M774"/>
  <c r="C774"/>
  <c r="AD774" s="1"/>
  <c r="M773"/>
  <c r="C773"/>
  <c r="AD773" s="1"/>
  <c r="M772"/>
  <c r="C772"/>
  <c r="AD772" s="1"/>
  <c r="M771"/>
  <c r="C771"/>
  <c r="AD771" s="1"/>
  <c r="M770"/>
  <c r="C770"/>
  <c r="AD770" s="1"/>
  <c r="M769"/>
  <c r="C769"/>
  <c r="AD769" s="1"/>
  <c r="M768"/>
  <c r="C768"/>
  <c r="AD768" s="1"/>
  <c r="M766"/>
  <c r="M764"/>
  <c r="M767"/>
  <c r="C767"/>
  <c r="AD767" s="1"/>
  <c r="C766"/>
  <c r="AD766" s="1"/>
  <c r="M765"/>
  <c r="C765"/>
  <c r="AD765" s="1"/>
  <c r="C764"/>
  <c r="AD764" s="1"/>
  <c r="M763"/>
  <c r="C763"/>
  <c r="AD763" s="1"/>
  <c r="M762"/>
  <c r="C762"/>
  <c r="AD762" s="1"/>
  <c r="M761"/>
  <c r="C761"/>
  <c r="AD761" s="1"/>
  <c r="M760"/>
  <c r="C760"/>
  <c r="AD760" s="1"/>
  <c r="M759"/>
  <c r="C759"/>
  <c r="AD759" s="1"/>
  <c r="M758"/>
  <c r="C758"/>
  <c r="AD758" s="1"/>
  <c r="M757"/>
  <c r="C757"/>
  <c r="AD757" s="1"/>
  <c r="M756"/>
  <c r="C756"/>
  <c r="AD756" s="1"/>
  <c r="M755"/>
  <c r="C755"/>
  <c r="AD755" s="1"/>
  <c r="M754"/>
  <c r="C754"/>
  <c r="AD754" s="1"/>
  <c r="M753"/>
  <c r="C753"/>
  <c r="AD753" s="1"/>
  <c r="M752"/>
  <c r="C752"/>
  <c r="AD752" s="1"/>
  <c r="M750"/>
  <c r="M747"/>
  <c r="C747"/>
  <c r="AD747" s="1"/>
  <c r="M746"/>
  <c r="C746"/>
  <c r="AD746" s="1"/>
  <c r="M745"/>
  <c r="C745"/>
  <c r="AD745" s="1"/>
  <c r="M749"/>
  <c r="M751"/>
  <c r="C751"/>
  <c r="AD751" s="1"/>
  <c r="C750"/>
  <c r="AD750" s="1"/>
  <c r="C749"/>
  <c r="AD749" s="1"/>
  <c r="M748"/>
  <c r="C748"/>
  <c r="AD748" s="1"/>
  <c r="M744"/>
  <c r="C744"/>
  <c r="AD744" s="1"/>
  <c r="M743"/>
  <c r="C743"/>
  <c r="AD743" s="1"/>
  <c r="M742"/>
  <c r="C742"/>
  <c r="AD742" s="1"/>
  <c r="M741"/>
  <c r="C741"/>
  <c r="AD741" s="1"/>
  <c r="M732"/>
  <c r="C732"/>
  <c r="AD732" s="1"/>
  <c r="M731"/>
  <c r="C731"/>
  <c r="AD731" s="1"/>
  <c r="M730"/>
  <c r="C730"/>
  <c r="AD730" s="1"/>
  <c r="M737"/>
  <c r="M740"/>
  <c r="C740"/>
  <c r="AD740" s="1"/>
  <c r="M739"/>
  <c r="C739"/>
  <c r="AD739" s="1"/>
  <c r="M738"/>
  <c r="C738"/>
  <c r="AD738" s="1"/>
  <c r="C737"/>
  <c r="AD737" s="1"/>
  <c r="M736"/>
  <c r="C736"/>
  <c r="AD736" s="1"/>
  <c r="M735"/>
  <c r="C735"/>
  <c r="AD735" s="1"/>
  <c r="M734"/>
  <c r="C734"/>
  <c r="AD734" s="1"/>
  <c r="M733"/>
  <c r="C733"/>
  <c r="AD733" s="1"/>
  <c r="M729"/>
  <c r="C729"/>
  <c r="AD729" s="1"/>
  <c r="M728"/>
  <c r="C728"/>
  <c r="AD728" s="1"/>
  <c r="M727"/>
  <c r="C727"/>
  <c r="AD727" s="1"/>
  <c r="M726"/>
  <c r="C726"/>
  <c r="AD726" s="1"/>
  <c r="M725"/>
  <c r="C725"/>
  <c r="AD725" s="1"/>
  <c r="M724"/>
  <c r="C724"/>
  <c r="AD724" s="1"/>
  <c r="M723"/>
  <c r="C723"/>
  <c r="AD723" s="1"/>
  <c r="M704"/>
  <c r="C698"/>
  <c r="AD698" s="1"/>
  <c r="C699"/>
  <c r="AD699" s="1"/>
  <c r="C700"/>
  <c r="AD700" s="1"/>
  <c r="C701"/>
  <c r="AD701" s="1"/>
  <c r="C702"/>
  <c r="AD702" s="1"/>
  <c r="C703"/>
  <c r="AD703" s="1"/>
  <c r="C704"/>
  <c r="AD704" s="1"/>
  <c r="C705"/>
  <c r="AD705" s="1"/>
  <c r="M703"/>
  <c r="M702"/>
  <c r="M701"/>
  <c r="M700"/>
  <c r="M699"/>
  <c r="M698"/>
  <c r="M708"/>
  <c r="C708"/>
  <c r="AD708" s="1"/>
  <c r="M709"/>
  <c r="C709"/>
  <c r="AD709" s="1"/>
  <c r="M707"/>
  <c r="C707"/>
  <c r="AD707" s="1"/>
  <c r="M706"/>
  <c r="C706"/>
  <c r="AD706" s="1"/>
  <c r="M715"/>
  <c r="C715"/>
  <c r="AD715" s="1"/>
  <c r="M714"/>
  <c r="C714"/>
  <c r="AD714" s="1"/>
  <c r="M713"/>
  <c r="C713"/>
  <c r="AD713" s="1"/>
  <c r="M719"/>
  <c r="M711"/>
  <c r="C722"/>
  <c r="AD722" s="1"/>
  <c r="M721"/>
  <c r="C721"/>
  <c r="AD721" s="1"/>
  <c r="C720"/>
  <c r="AD720" s="1"/>
  <c r="C719"/>
  <c r="AD719" s="1"/>
  <c r="M718"/>
  <c r="C718"/>
  <c r="AD718" s="1"/>
  <c r="M717"/>
  <c r="C717"/>
  <c r="AD717" s="1"/>
  <c r="M716"/>
  <c r="C716"/>
  <c r="AD716" s="1"/>
  <c r="M712"/>
  <c r="C712"/>
  <c r="AD712" s="1"/>
  <c r="C711"/>
  <c r="AD711" s="1"/>
  <c r="M710"/>
  <c r="C710"/>
  <c r="AD710" s="1"/>
  <c r="M697"/>
  <c r="M696"/>
  <c r="C696"/>
  <c r="AD696" s="1"/>
  <c r="C688"/>
  <c r="AD688" s="1"/>
  <c r="C697"/>
  <c r="AD697" s="1"/>
  <c r="M695"/>
  <c r="C695"/>
  <c r="AD695" s="1"/>
  <c r="M694"/>
  <c r="C694"/>
  <c r="AD694" s="1"/>
  <c r="M693"/>
  <c r="C693"/>
  <c r="AD693" s="1"/>
  <c r="M692"/>
  <c r="C692"/>
  <c r="AD692" s="1"/>
  <c r="M691"/>
  <c r="C691"/>
  <c r="AD691" s="1"/>
  <c r="M690"/>
  <c r="C690"/>
  <c r="AD690" s="1"/>
  <c r="M689"/>
  <c r="C689"/>
  <c r="AD689" s="1"/>
  <c r="M688"/>
  <c r="F72" i="55"/>
  <c r="E72"/>
  <c r="M512" i="34"/>
  <c r="E512"/>
  <c r="AA512" s="1"/>
  <c r="B512"/>
  <c r="M511"/>
  <c r="E511"/>
  <c r="AA511" s="1"/>
  <c r="B511"/>
  <c r="M510"/>
  <c r="E510"/>
  <c r="AA510" s="1"/>
  <c r="B510"/>
  <c r="V132" i="60"/>
  <c r="V133"/>
  <c r="V134"/>
  <c r="M506" i="34"/>
  <c r="E506"/>
  <c r="AA506" s="1"/>
  <c r="B506"/>
  <c r="M505"/>
  <c r="E505"/>
  <c r="AA505" s="1"/>
  <c r="B505"/>
  <c r="V128" i="60"/>
  <c r="V129"/>
  <c r="M559" i="34"/>
  <c r="E559"/>
  <c r="AA559" s="1"/>
  <c r="B559"/>
  <c r="M558"/>
  <c r="E558"/>
  <c r="AA558" s="1"/>
  <c r="B558"/>
  <c r="M557"/>
  <c r="E557"/>
  <c r="AA557" s="1"/>
  <c r="B557"/>
  <c r="M561"/>
  <c r="E561"/>
  <c r="AA561" s="1"/>
  <c r="B561"/>
  <c r="M560"/>
  <c r="E560"/>
  <c r="AA560" s="1"/>
  <c r="B560"/>
  <c r="M532"/>
  <c r="E532"/>
  <c r="AA532" s="1"/>
  <c r="B532"/>
  <c r="M525"/>
  <c r="E525"/>
  <c r="AA525" s="1"/>
  <c r="B525"/>
  <c r="M524"/>
  <c r="E524"/>
  <c r="AA524" s="1"/>
  <c r="B524"/>
  <c r="M523"/>
  <c r="E523"/>
  <c r="AA523" s="1"/>
  <c r="B523"/>
  <c r="M528"/>
  <c r="E528"/>
  <c r="AA528" s="1"/>
  <c r="B528"/>
  <c r="M527"/>
  <c r="E527"/>
  <c r="AA527" s="1"/>
  <c r="B527"/>
  <c r="M526"/>
  <c r="E526"/>
  <c r="AA526" s="1"/>
  <c r="B526"/>
  <c r="M503"/>
  <c r="E503"/>
  <c r="AA503" s="1"/>
  <c r="B503"/>
  <c r="M502"/>
  <c r="E502"/>
  <c r="AA502" s="1"/>
  <c r="B502"/>
  <c r="M501"/>
  <c r="E501"/>
  <c r="AA501" s="1"/>
  <c r="B501"/>
  <c r="M508"/>
  <c r="E508"/>
  <c r="AA508" s="1"/>
  <c r="B508"/>
  <c r="M507"/>
  <c r="E507"/>
  <c r="AA507" s="1"/>
  <c r="B507"/>
  <c r="M504"/>
  <c r="E504"/>
  <c r="AA504" s="1"/>
  <c r="B504"/>
  <c r="M509"/>
  <c r="E509"/>
  <c r="AA509" s="1"/>
  <c r="B509"/>
  <c r="M478"/>
  <c r="E478"/>
  <c r="AA478" s="1"/>
  <c r="B478"/>
  <c r="M477"/>
  <c r="E477"/>
  <c r="AA477" s="1"/>
  <c r="B477"/>
  <c r="M476"/>
  <c r="E476"/>
  <c r="AA476" s="1"/>
  <c r="B476"/>
  <c r="M481"/>
  <c r="E481"/>
  <c r="AA481" s="1"/>
  <c r="B481"/>
  <c r="M480"/>
  <c r="E480"/>
  <c r="AA480" s="1"/>
  <c r="B480"/>
  <c r="M479"/>
  <c r="E479"/>
  <c r="AA479" s="1"/>
  <c r="B479"/>
  <c r="D173" i="60"/>
  <c r="D172"/>
  <c r="D171"/>
  <c r="D170"/>
  <c r="D169"/>
  <c r="V156"/>
  <c r="V157"/>
  <c r="L146" s="1"/>
  <c r="V158"/>
  <c r="L147" s="1"/>
  <c r="V159"/>
  <c r="L145" s="1"/>
  <c r="V160"/>
  <c r="L148" s="1"/>
  <c r="V161"/>
  <c r="D148"/>
  <c r="D147"/>
  <c r="D146"/>
  <c r="G146" s="1"/>
  <c r="D145"/>
  <c r="D144"/>
  <c r="G144" s="1"/>
  <c r="D119"/>
  <c r="AF210" i="34"/>
  <c r="M659"/>
  <c r="K659" s="1"/>
  <c r="C659"/>
  <c r="AD659" s="1"/>
  <c r="M658"/>
  <c r="K658" s="1"/>
  <c r="C658"/>
  <c r="AD658" s="1"/>
  <c r="V103" i="60"/>
  <c r="V104"/>
  <c r="V105"/>
  <c r="Q480" i="34" l="1"/>
  <c r="R480"/>
  <c r="S480"/>
  <c r="R479"/>
  <c r="S479"/>
  <c r="Q479"/>
  <c r="Q477"/>
  <c r="R477"/>
  <c r="S477"/>
  <c r="R507"/>
  <c r="S507"/>
  <c r="Q507"/>
  <c r="R503"/>
  <c r="S503"/>
  <c r="Q503"/>
  <c r="R523"/>
  <c r="S523"/>
  <c r="Q523"/>
  <c r="Q560"/>
  <c r="R560"/>
  <c r="S560"/>
  <c r="R559"/>
  <c r="S559"/>
  <c r="Q559"/>
  <c r="S506"/>
  <c r="Q506"/>
  <c r="R506"/>
  <c r="Q512"/>
  <c r="R512"/>
  <c r="S512"/>
  <c r="Q481"/>
  <c r="R481"/>
  <c r="S481"/>
  <c r="Q476"/>
  <c r="R476"/>
  <c r="S476"/>
  <c r="Q504"/>
  <c r="R504"/>
  <c r="S504"/>
  <c r="S502"/>
  <c r="Q502"/>
  <c r="R502"/>
  <c r="Q528"/>
  <c r="R528"/>
  <c r="S528"/>
  <c r="Q532"/>
  <c r="R532"/>
  <c r="S532"/>
  <c r="S558"/>
  <c r="Q558"/>
  <c r="R558"/>
  <c r="Q505"/>
  <c r="R505"/>
  <c r="S505"/>
  <c r="R511"/>
  <c r="S511"/>
  <c r="Q511"/>
  <c r="Q509"/>
  <c r="R509"/>
  <c r="S509"/>
  <c r="Q501"/>
  <c r="R501"/>
  <c r="S501"/>
  <c r="R527"/>
  <c r="S527"/>
  <c r="Q527"/>
  <c r="Q525"/>
  <c r="R525"/>
  <c r="S525"/>
  <c r="Q557"/>
  <c r="R557"/>
  <c r="S557"/>
  <c r="S510"/>
  <c r="Q510"/>
  <c r="R510"/>
  <c r="S478"/>
  <c r="Q478"/>
  <c r="R478"/>
  <c r="Q508"/>
  <c r="R508"/>
  <c r="S508"/>
  <c r="S526"/>
  <c r="Q526"/>
  <c r="R526"/>
  <c r="Q524"/>
  <c r="R524"/>
  <c r="S524"/>
  <c r="Q561"/>
  <c r="R561"/>
  <c r="S561"/>
  <c r="A481"/>
  <c r="A509"/>
  <c r="A479"/>
  <c r="A477"/>
  <c r="A507"/>
  <c r="A503"/>
  <c r="A523"/>
  <c r="A560"/>
  <c r="A559"/>
  <c r="A506"/>
  <c r="A512"/>
  <c r="A527"/>
  <c r="A476"/>
  <c r="A504"/>
  <c r="A502"/>
  <c r="A528"/>
  <c r="A532"/>
  <c r="A558"/>
  <c r="A505"/>
  <c r="A511"/>
  <c r="A501"/>
  <c r="A525"/>
  <c r="A557"/>
  <c r="A510"/>
  <c r="A480"/>
  <c r="A478"/>
  <c r="A508"/>
  <c r="A526"/>
  <c r="A524"/>
  <c r="A561"/>
  <c r="B702"/>
  <c r="B811"/>
  <c r="B822"/>
  <c r="B823"/>
  <c r="B821"/>
  <c r="B820"/>
  <c r="B819"/>
  <c r="B814"/>
  <c r="B812"/>
  <c r="B809"/>
  <c r="B789"/>
  <c r="B700"/>
  <c r="B698"/>
  <c r="B810"/>
  <c r="B813"/>
  <c r="B815"/>
  <c r="B817"/>
  <c r="B816"/>
  <c r="B818"/>
  <c r="B798"/>
  <c r="B779"/>
  <c r="B803"/>
  <c r="B804"/>
  <c r="B797"/>
  <c r="B799"/>
  <c r="B800"/>
  <c r="B802"/>
  <c r="B805"/>
  <c r="B807"/>
  <c r="B801"/>
  <c r="B806"/>
  <c r="B808"/>
  <c r="B793"/>
  <c r="B794"/>
  <c r="B795"/>
  <c r="B796"/>
  <c r="B788"/>
  <c r="B791"/>
  <c r="B790"/>
  <c r="B792"/>
  <c r="B787"/>
  <c r="B783"/>
  <c r="B786"/>
  <c r="B784"/>
  <c r="B785"/>
  <c r="B782"/>
  <c r="M781"/>
  <c r="B780"/>
  <c r="B781"/>
  <c r="B778"/>
  <c r="B777"/>
  <c r="B776"/>
  <c r="B768"/>
  <c r="B770"/>
  <c r="B772"/>
  <c r="B774"/>
  <c r="B769"/>
  <c r="B771"/>
  <c r="B773"/>
  <c r="B775"/>
  <c r="B754"/>
  <c r="B756"/>
  <c r="B758"/>
  <c r="B760"/>
  <c r="B762"/>
  <c r="B764"/>
  <c r="B766"/>
  <c r="B755"/>
  <c r="B757"/>
  <c r="B759"/>
  <c r="B761"/>
  <c r="B763"/>
  <c r="B765"/>
  <c r="B767"/>
  <c r="B752"/>
  <c r="B753"/>
  <c r="B750"/>
  <c r="B746"/>
  <c r="B745"/>
  <c r="B747"/>
  <c r="B751"/>
  <c r="B748"/>
  <c r="B744"/>
  <c r="B749"/>
  <c r="B742"/>
  <c r="B741"/>
  <c r="B743"/>
  <c r="B731"/>
  <c r="B730"/>
  <c r="B732"/>
  <c r="B724"/>
  <c r="B726"/>
  <c r="B728"/>
  <c r="B733"/>
  <c r="B735"/>
  <c r="B737"/>
  <c r="B739"/>
  <c r="B723"/>
  <c r="B725"/>
  <c r="B727"/>
  <c r="B729"/>
  <c r="B734"/>
  <c r="B736"/>
  <c r="B738"/>
  <c r="B740"/>
  <c r="M705"/>
  <c r="B709"/>
  <c r="A709" s="1"/>
  <c r="B708"/>
  <c r="A708" s="1"/>
  <c r="M720"/>
  <c r="M722"/>
  <c r="B707"/>
  <c r="A707" s="1"/>
  <c r="B711"/>
  <c r="A711" s="1"/>
  <c r="B699"/>
  <c r="B701"/>
  <c r="B703"/>
  <c r="B705"/>
  <c r="A705" s="1"/>
  <c r="B704"/>
  <c r="B706"/>
  <c r="A706" s="1"/>
  <c r="B716"/>
  <c r="A716" s="1"/>
  <c r="B714"/>
  <c r="A714" s="1"/>
  <c r="B713"/>
  <c r="A713" s="1"/>
  <c r="B715"/>
  <c r="A715" s="1"/>
  <c r="B718"/>
  <c r="A718" s="1"/>
  <c r="B710"/>
  <c r="A710" s="1"/>
  <c r="B712"/>
  <c r="A712" s="1"/>
  <c r="B717"/>
  <c r="A717" s="1"/>
  <c r="B719"/>
  <c r="A719" s="1"/>
  <c r="B721"/>
  <c r="A721" s="1"/>
  <c r="B720"/>
  <c r="A720" s="1"/>
  <c r="B722"/>
  <c r="B696"/>
  <c r="B689"/>
  <c r="B691"/>
  <c r="B693"/>
  <c r="B695"/>
  <c r="B688"/>
  <c r="B690"/>
  <c r="B692"/>
  <c r="B694"/>
  <c r="B697"/>
  <c r="G148" i="60"/>
  <c r="G145"/>
  <c r="G147"/>
  <c r="B659" i="34"/>
  <c r="B658"/>
  <c r="Q689" l="1"/>
  <c r="R689"/>
  <c r="S689"/>
  <c r="R714"/>
  <c r="S714"/>
  <c r="Q714"/>
  <c r="Q738"/>
  <c r="R738"/>
  <c r="S738"/>
  <c r="S731"/>
  <c r="Q731"/>
  <c r="R731"/>
  <c r="S763"/>
  <c r="Q763"/>
  <c r="R763"/>
  <c r="S695"/>
  <c r="Q695"/>
  <c r="R695"/>
  <c r="R718"/>
  <c r="S718"/>
  <c r="Q718"/>
  <c r="S707"/>
  <c r="Q707"/>
  <c r="R707"/>
  <c r="R736"/>
  <c r="S736"/>
  <c r="Q736"/>
  <c r="R724"/>
  <c r="S724"/>
  <c r="Q724"/>
  <c r="Q745"/>
  <c r="R745"/>
  <c r="S745"/>
  <c r="Q761"/>
  <c r="R761"/>
  <c r="S761"/>
  <c r="Q773"/>
  <c r="R773"/>
  <c r="S773"/>
  <c r="Q795"/>
  <c r="R795"/>
  <c r="S795"/>
  <c r="S779"/>
  <c r="Q779"/>
  <c r="R779"/>
  <c r="R692"/>
  <c r="S692"/>
  <c r="Q692"/>
  <c r="Q693"/>
  <c r="R693"/>
  <c r="S693"/>
  <c r="S717"/>
  <c r="Q717"/>
  <c r="R717"/>
  <c r="Q706"/>
  <c r="R706"/>
  <c r="S706"/>
  <c r="S723"/>
  <c r="Q723"/>
  <c r="R723"/>
  <c r="Q733"/>
  <c r="R733"/>
  <c r="S733"/>
  <c r="Q741"/>
  <c r="R741"/>
  <c r="S741"/>
  <c r="Q746"/>
  <c r="R746"/>
  <c r="S746"/>
  <c r="S767"/>
  <c r="Q767"/>
  <c r="R767"/>
  <c r="R764"/>
  <c r="S764"/>
  <c r="Q764"/>
  <c r="R756"/>
  <c r="S756"/>
  <c r="Q756"/>
  <c r="Q770"/>
  <c r="R770"/>
  <c r="S770"/>
  <c r="R782"/>
  <c r="S782"/>
  <c r="Q782"/>
  <c r="Q791"/>
  <c r="R791"/>
  <c r="S791"/>
  <c r="Q658"/>
  <c r="S658"/>
  <c r="R658"/>
  <c r="Q690"/>
  <c r="R690"/>
  <c r="S690"/>
  <c r="S691"/>
  <c r="Q691"/>
  <c r="R691"/>
  <c r="R720"/>
  <c r="S720"/>
  <c r="Q720"/>
  <c r="Q712"/>
  <c r="R712"/>
  <c r="S712"/>
  <c r="S713"/>
  <c r="Q713"/>
  <c r="R713"/>
  <c r="R704"/>
  <c r="S704"/>
  <c r="Q704"/>
  <c r="S699"/>
  <c r="Q699"/>
  <c r="R699"/>
  <c r="R740"/>
  <c r="S740"/>
  <c r="Q740"/>
  <c r="Q729"/>
  <c r="R729"/>
  <c r="S729"/>
  <c r="S739"/>
  <c r="Q739"/>
  <c r="R739"/>
  <c r="R728"/>
  <c r="S728"/>
  <c r="Q728"/>
  <c r="Q730"/>
  <c r="R730"/>
  <c r="S730"/>
  <c r="Q742"/>
  <c r="R742"/>
  <c r="S742"/>
  <c r="S751"/>
  <c r="Q751"/>
  <c r="R751"/>
  <c r="Q750"/>
  <c r="R750"/>
  <c r="S750"/>
  <c r="Q765"/>
  <c r="R765"/>
  <c r="S765"/>
  <c r="Q757"/>
  <c r="R757"/>
  <c r="S757"/>
  <c r="Q762"/>
  <c r="R762"/>
  <c r="S762"/>
  <c r="Q754"/>
  <c r="R754"/>
  <c r="S754"/>
  <c r="Q769"/>
  <c r="R769"/>
  <c r="S769"/>
  <c r="R768"/>
  <c r="S768"/>
  <c r="Q768"/>
  <c r="Q781"/>
  <c r="S781"/>
  <c r="R781"/>
  <c r="S785"/>
  <c r="Q785"/>
  <c r="R785"/>
  <c r="Q787"/>
  <c r="R787"/>
  <c r="S787"/>
  <c r="Q788"/>
  <c r="R788"/>
  <c r="S788"/>
  <c r="S793"/>
  <c r="Q793"/>
  <c r="R793"/>
  <c r="R801"/>
  <c r="S801"/>
  <c r="Q801"/>
  <c r="S800"/>
  <c r="Q800"/>
  <c r="R800"/>
  <c r="S804"/>
  <c r="Q804"/>
  <c r="R804"/>
  <c r="R817"/>
  <c r="Q817"/>
  <c r="S817"/>
  <c r="R700"/>
  <c r="S700"/>
  <c r="Q700"/>
  <c r="S814"/>
  <c r="Q814"/>
  <c r="R814"/>
  <c r="S811"/>
  <c r="Q811"/>
  <c r="R811"/>
  <c r="R688"/>
  <c r="S688"/>
  <c r="Q688"/>
  <c r="Q705"/>
  <c r="R705"/>
  <c r="S705"/>
  <c r="Q726"/>
  <c r="R726"/>
  <c r="S726"/>
  <c r="Q753"/>
  <c r="R753"/>
  <c r="S753"/>
  <c r="S755"/>
  <c r="Q755"/>
  <c r="R755"/>
  <c r="R760"/>
  <c r="S760"/>
  <c r="Q760"/>
  <c r="S775"/>
  <c r="Q775"/>
  <c r="R775"/>
  <c r="Q774"/>
  <c r="R774"/>
  <c r="S774"/>
  <c r="R776"/>
  <c r="S776"/>
  <c r="Q776"/>
  <c r="R780"/>
  <c r="Q780"/>
  <c r="S780"/>
  <c r="R784"/>
  <c r="Q784"/>
  <c r="S784"/>
  <c r="Q792"/>
  <c r="R792"/>
  <c r="S792"/>
  <c r="Q796"/>
  <c r="R796"/>
  <c r="S796"/>
  <c r="R808"/>
  <c r="Q808"/>
  <c r="S808"/>
  <c r="S807"/>
  <c r="Q807"/>
  <c r="R807"/>
  <c r="Q799"/>
  <c r="R799"/>
  <c r="S799"/>
  <c r="S803"/>
  <c r="Q803"/>
  <c r="R803"/>
  <c r="S815"/>
  <c r="Q815"/>
  <c r="R815"/>
  <c r="S810"/>
  <c r="Q810"/>
  <c r="R810"/>
  <c r="S789"/>
  <c r="Q789"/>
  <c r="R789"/>
  <c r="Q821"/>
  <c r="R821"/>
  <c r="S821"/>
  <c r="Q702"/>
  <c r="R702"/>
  <c r="S702"/>
  <c r="S659"/>
  <c r="Q659"/>
  <c r="R659"/>
  <c r="Q721"/>
  <c r="R721"/>
  <c r="S721"/>
  <c r="Q711"/>
  <c r="R711"/>
  <c r="S711"/>
  <c r="S727"/>
  <c r="Q727"/>
  <c r="R727"/>
  <c r="Q749"/>
  <c r="R749"/>
  <c r="S749"/>
  <c r="R696"/>
  <c r="S696"/>
  <c r="Q696"/>
  <c r="S703"/>
  <c r="Q703"/>
  <c r="R703"/>
  <c r="Q725"/>
  <c r="R725"/>
  <c r="S725"/>
  <c r="R744"/>
  <c r="S744"/>
  <c r="Q744"/>
  <c r="Q766"/>
  <c r="R766"/>
  <c r="S766"/>
  <c r="Q777"/>
  <c r="R777"/>
  <c r="S777"/>
  <c r="R790"/>
  <c r="S790"/>
  <c r="Q790"/>
  <c r="S806"/>
  <c r="Q806"/>
  <c r="R806"/>
  <c r="Q805"/>
  <c r="R805"/>
  <c r="S805"/>
  <c r="R798"/>
  <c r="S798"/>
  <c r="Q798"/>
  <c r="Q818"/>
  <c r="R818"/>
  <c r="S818"/>
  <c r="Q809"/>
  <c r="R809"/>
  <c r="S809"/>
  <c r="S819"/>
  <c r="Q819"/>
  <c r="R819"/>
  <c r="S823"/>
  <c r="Q823"/>
  <c r="R823"/>
  <c r="Q697"/>
  <c r="R697"/>
  <c r="S697"/>
  <c r="R710"/>
  <c r="S710"/>
  <c r="Q710"/>
  <c r="Q708"/>
  <c r="R708"/>
  <c r="S708"/>
  <c r="Q737"/>
  <c r="R737"/>
  <c r="S737"/>
  <c r="S747"/>
  <c r="Q747"/>
  <c r="R747"/>
  <c r="Q694"/>
  <c r="R694"/>
  <c r="S694"/>
  <c r="Q719"/>
  <c r="R719"/>
  <c r="S719"/>
  <c r="Q716"/>
  <c r="R716"/>
  <c r="S716"/>
  <c r="S709"/>
  <c r="Q709"/>
  <c r="R709"/>
  <c r="S735"/>
  <c r="Q735"/>
  <c r="R735"/>
  <c r="S743"/>
  <c r="Q743"/>
  <c r="R743"/>
  <c r="R752"/>
  <c r="S752"/>
  <c r="Q752"/>
  <c r="Q758"/>
  <c r="R758"/>
  <c r="S758"/>
  <c r="R772"/>
  <c r="S772"/>
  <c r="Q772"/>
  <c r="R786"/>
  <c r="S786"/>
  <c r="Q786"/>
  <c r="S797"/>
  <c r="Q797"/>
  <c r="R797"/>
  <c r="Q722"/>
  <c r="R722"/>
  <c r="S722"/>
  <c r="Q715"/>
  <c r="R715"/>
  <c r="S715"/>
  <c r="Q701"/>
  <c r="R701"/>
  <c r="S701"/>
  <c r="Q734"/>
  <c r="R734"/>
  <c r="S734"/>
  <c r="R732"/>
  <c r="S732"/>
  <c r="Q732"/>
  <c r="R748"/>
  <c r="S748"/>
  <c r="Q748"/>
  <c r="S759"/>
  <c r="Q759"/>
  <c r="R759"/>
  <c r="S771"/>
  <c r="Q771"/>
  <c r="R771"/>
  <c r="Q778"/>
  <c r="R778"/>
  <c r="S778"/>
  <c r="S783"/>
  <c r="Q783"/>
  <c r="R783"/>
  <c r="R794"/>
  <c r="S794"/>
  <c r="Q794"/>
  <c r="Q802"/>
  <c r="R802"/>
  <c r="S802"/>
  <c r="S816"/>
  <c r="Q816"/>
  <c r="R816"/>
  <c r="S813"/>
  <c r="Q813"/>
  <c r="R813"/>
  <c r="Q698"/>
  <c r="R698"/>
  <c r="S698"/>
  <c r="Q812"/>
  <c r="R812"/>
  <c r="S812"/>
  <c r="S820"/>
  <c r="Q820"/>
  <c r="R820"/>
  <c r="Q822"/>
  <c r="R822"/>
  <c r="S822"/>
  <c r="A659"/>
  <c r="A688"/>
  <c r="A727"/>
  <c r="A749"/>
  <c r="A755"/>
  <c r="A695"/>
  <c r="A725"/>
  <c r="A743"/>
  <c r="A745"/>
  <c r="A766"/>
  <c r="A773"/>
  <c r="A790"/>
  <c r="A797"/>
  <c r="A692"/>
  <c r="A722"/>
  <c r="A701"/>
  <c r="A734"/>
  <c r="A723"/>
  <c r="A732"/>
  <c r="A741"/>
  <c r="A746"/>
  <c r="A767"/>
  <c r="A764"/>
  <c r="A756"/>
  <c r="A770"/>
  <c r="A778"/>
  <c r="A783"/>
  <c r="A791"/>
  <c r="A802"/>
  <c r="A816"/>
  <c r="A813"/>
  <c r="A698"/>
  <c r="A812"/>
  <c r="A822"/>
  <c r="A658"/>
  <c r="A690"/>
  <c r="A691"/>
  <c r="A704"/>
  <c r="A699"/>
  <c r="A740"/>
  <c r="A729"/>
  <c r="A739"/>
  <c r="A728"/>
  <c r="A730"/>
  <c r="A742"/>
  <c r="A751"/>
  <c r="A750"/>
  <c r="A765"/>
  <c r="A757"/>
  <c r="A762"/>
  <c r="A754"/>
  <c r="A769"/>
  <c r="A768"/>
  <c r="A781"/>
  <c r="A785"/>
  <c r="A787"/>
  <c r="A788"/>
  <c r="A793"/>
  <c r="A801"/>
  <c r="A800"/>
  <c r="A804"/>
  <c r="A817"/>
  <c r="A700"/>
  <c r="A814"/>
  <c r="A811"/>
  <c r="A689"/>
  <c r="A731"/>
  <c r="A763"/>
  <c r="A775"/>
  <c r="A774"/>
  <c r="A776"/>
  <c r="A780"/>
  <c r="A784"/>
  <c r="A792"/>
  <c r="A796"/>
  <c r="A808"/>
  <c r="A807"/>
  <c r="A799"/>
  <c r="A803"/>
  <c r="A815"/>
  <c r="A810"/>
  <c r="A789"/>
  <c r="A821"/>
  <c r="A702"/>
  <c r="A738"/>
  <c r="A726"/>
  <c r="A753"/>
  <c r="A696"/>
  <c r="A735"/>
  <c r="A752"/>
  <c r="A772"/>
  <c r="A786"/>
  <c r="A795"/>
  <c r="A805"/>
  <c r="A779"/>
  <c r="A798"/>
  <c r="A818"/>
  <c r="A809"/>
  <c r="A819"/>
  <c r="A823"/>
  <c r="A697"/>
  <c r="A737"/>
  <c r="A747"/>
  <c r="A760"/>
  <c r="A694"/>
  <c r="A703"/>
  <c r="A736"/>
  <c r="A724"/>
  <c r="A744"/>
  <c r="A761"/>
  <c r="A758"/>
  <c r="A777"/>
  <c r="A806"/>
  <c r="A693"/>
  <c r="A733"/>
  <c r="A748"/>
  <c r="A759"/>
  <c r="A771"/>
  <c r="A782"/>
  <c r="A794"/>
  <c r="A820"/>
  <c r="V100" i="60"/>
  <c r="L87" s="1"/>
  <c r="V101"/>
  <c r="V102"/>
  <c r="V182"/>
  <c r="L172" s="1"/>
  <c r="L86" l="1"/>
  <c r="M274" i="34"/>
  <c r="E274"/>
  <c r="AA274" s="1"/>
  <c r="B274"/>
  <c r="M556"/>
  <c r="E556"/>
  <c r="AA556" s="1"/>
  <c r="B556"/>
  <c r="M555"/>
  <c r="E555"/>
  <c r="AA555" s="1"/>
  <c r="B555"/>
  <c r="M554"/>
  <c r="E554"/>
  <c r="AA554" s="1"/>
  <c r="B554"/>
  <c r="M553"/>
  <c r="E553"/>
  <c r="AA553" s="1"/>
  <c r="B553"/>
  <c r="M552"/>
  <c r="E552"/>
  <c r="AA552" s="1"/>
  <c r="B552"/>
  <c r="M551"/>
  <c r="E551"/>
  <c r="AA551" s="1"/>
  <c r="B551"/>
  <c r="M550"/>
  <c r="E550"/>
  <c r="AA550" s="1"/>
  <c r="B550"/>
  <c r="M549"/>
  <c r="E549"/>
  <c r="AA549" s="1"/>
  <c r="B549"/>
  <c r="M531"/>
  <c r="E531"/>
  <c r="AA531" s="1"/>
  <c r="B531"/>
  <c r="M530"/>
  <c r="E530"/>
  <c r="AA530" s="1"/>
  <c r="B530"/>
  <c r="M529"/>
  <c r="E529"/>
  <c r="AA529" s="1"/>
  <c r="B529"/>
  <c r="M522"/>
  <c r="E522"/>
  <c r="AA522" s="1"/>
  <c r="B522"/>
  <c r="M521"/>
  <c r="E521"/>
  <c r="AA521" s="1"/>
  <c r="B521"/>
  <c r="M520"/>
  <c r="E520"/>
  <c r="AA520" s="1"/>
  <c r="B520"/>
  <c r="M519"/>
  <c r="E519"/>
  <c r="AA519" s="1"/>
  <c r="B519"/>
  <c r="M518"/>
  <c r="E518"/>
  <c r="AA518" s="1"/>
  <c r="B518"/>
  <c r="M517"/>
  <c r="E517"/>
  <c r="AA517" s="1"/>
  <c r="B517"/>
  <c r="M516"/>
  <c r="E516"/>
  <c r="AA516" s="1"/>
  <c r="B516"/>
  <c r="M515"/>
  <c r="E515"/>
  <c r="AA515" s="1"/>
  <c r="B515"/>
  <c r="M500"/>
  <c r="E500"/>
  <c r="AA500" s="1"/>
  <c r="B500"/>
  <c r="M499"/>
  <c r="E499"/>
  <c r="AA499" s="1"/>
  <c r="B499"/>
  <c r="M498"/>
  <c r="E498"/>
  <c r="AA498" s="1"/>
  <c r="B498"/>
  <c r="M497"/>
  <c r="E497"/>
  <c r="AA497" s="1"/>
  <c r="B497"/>
  <c r="M496"/>
  <c r="E496"/>
  <c r="AA496" s="1"/>
  <c r="B496"/>
  <c r="M495"/>
  <c r="E495"/>
  <c r="AA495" s="1"/>
  <c r="B495"/>
  <c r="M494"/>
  <c r="E494"/>
  <c r="AA494" s="1"/>
  <c r="B494"/>
  <c r="M493"/>
  <c r="E493"/>
  <c r="AA493" s="1"/>
  <c r="B493"/>
  <c r="M482"/>
  <c r="E482"/>
  <c r="AA482" s="1"/>
  <c r="B482"/>
  <c r="M475"/>
  <c r="E475"/>
  <c r="AA475" s="1"/>
  <c r="B475"/>
  <c r="M474"/>
  <c r="E474"/>
  <c r="AA474" s="1"/>
  <c r="B474"/>
  <c r="M473"/>
  <c r="E473"/>
  <c r="AA473" s="1"/>
  <c r="B473"/>
  <c r="M472"/>
  <c r="E472"/>
  <c r="AA472" s="1"/>
  <c r="B472"/>
  <c r="M471"/>
  <c r="E471"/>
  <c r="AA471" s="1"/>
  <c r="B471"/>
  <c r="M470"/>
  <c r="E470"/>
  <c r="AA470" s="1"/>
  <c r="B470"/>
  <c r="M469"/>
  <c r="E469"/>
  <c r="AA469" s="1"/>
  <c r="B469"/>
  <c r="M468"/>
  <c r="E468"/>
  <c r="AA468" s="1"/>
  <c r="B468"/>
  <c r="M460"/>
  <c r="E460"/>
  <c r="AA460" s="1"/>
  <c r="B460"/>
  <c r="M459"/>
  <c r="E459"/>
  <c r="AA459" s="1"/>
  <c r="B459"/>
  <c r="M458"/>
  <c r="E458"/>
  <c r="AA458" s="1"/>
  <c r="B458"/>
  <c r="M457"/>
  <c r="E457"/>
  <c r="AA457" s="1"/>
  <c r="B457"/>
  <c r="M456"/>
  <c r="E456"/>
  <c r="AA456" s="1"/>
  <c r="B456"/>
  <c r="M455"/>
  <c r="E455"/>
  <c r="AA455" s="1"/>
  <c r="B455"/>
  <c r="M454"/>
  <c r="E454"/>
  <c r="AA454" s="1"/>
  <c r="B454"/>
  <c r="M453"/>
  <c r="E453"/>
  <c r="AA453" s="1"/>
  <c r="B453"/>
  <c r="M452"/>
  <c r="E452"/>
  <c r="AA452" s="1"/>
  <c r="B452"/>
  <c r="M430"/>
  <c r="E430"/>
  <c r="AA430" s="1"/>
  <c r="B430"/>
  <c r="S454" l="1"/>
  <c r="Q454"/>
  <c r="R454"/>
  <c r="S458"/>
  <c r="Q458"/>
  <c r="R458"/>
  <c r="Q457"/>
  <c r="R457"/>
  <c r="S457"/>
  <c r="Q452"/>
  <c r="R452"/>
  <c r="S452"/>
  <c r="Q456"/>
  <c r="R456"/>
  <c r="S456"/>
  <c r="Q460"/>
  <c r="R460"/>
  <c r="S460"/>
  <c r="R471"/>
  <c r="S471"/>
  <c r="Q471"/>
  <c r="R475"/>
  <c r="S475"/>
  <c r="Q475"/>
  <c r="R495"/>
  <c r="S495"/>
  <c r="Q495"/>
  <c r="R499"/>
  <c r="S499"/>
  <c r="Q499"/>
  <c r="Q517"/>
  <c r="R517"/>
  <c r="S517"/>
  <c r="Q521"/>
  <c r="R521"/>
  <c r="S521"/>
  <c r="R531"/>
  <c r="S531"/>
  <c r="Q531"/>
  <c r="Q552"/>
  <c r="R552"/>
  <c r="S552"/>
  <c r="Q556"/>
  <c r="R556"/>
  <c r="S556"/>
  <c r="Q469"/>
  <c r="R469"/>
  <c r="S469"/>
  <c r="Q453"/>
  <c r="R453"/>
  <c r="S453"/>
  <c r="Q430"/>
  <c r="R430"/>
  <c r="S430"/>
  <c r="R455"/>
  <c r="S455"/>
  <c r="Q455"/>
  <c r="R459"/>
  <c r="S459"/>
  <c r="Q459"/>
  <c r="S470"/>
  <c r="Q470"/>
  <c r="R470"/>
  <c r="S474"/>
  <c r="Q474"/>
  <c r="R474"/>
  <c r="S494"/>
  <c r="Q494"/>
  <c r="R494"/>
  <c r="S498"/>
  <c r="Q498"/>
  <c r="R498"/>
  <c r="Q516"/>
  <c r="R516"/>
  <c r="S516"/>
  <c r="Q520"/>
  <c r="R520"/>
  <c r="S520"/>
  <c r="S530"/>
  <c r="Q530"/>
  <c r="R530"/>
  <c r="R551"/>
  <c r="S551"/>
  <c r="Q551"/>
  <c r="R555"/>
  <c r="S555"/>
  <c r="Q555"/>
  <c r="Q493"/>
  <c r="R493"/>
  <c r="S493"/>
  <c r="Q529"/>
  <c r="R529"/>
  <c r="S529"/>
  <c r="S550"/>
  <c r="Q550"/>
  <c r="R550"/>
  <c r="S554"/>
  <c r="Q554"/>
  <c r="R554"/>
  <c r="Q473"/>
  <c r="R473"/>
  <c r="S473"/>
  <c r="Q497"/>
  <c r="R497"/>
  <c r="S497"/>
  <c r="R515"/>
  <c r="S515"/>
  <c r="Q515"/>
  <c r="R519"/>
  <c r="S519"/>
  <c r="Q519"/>
  <c r="Q468"/>
  <c r="R468"/>
  <c r="S468"/>
  <c r="Q472"/>
  <c r="R472"/>
  <c r="S472"/>
  <c r="S482"/>
  <c r="Q482"/>
  <c r="R482"/>
  <c r="Q496"/>
  <c r="R496"/>
  <c r="S496"/>
  <c r="Q500"/>
  <c r="R500"/>
  <c r="S500"/>
  <c r="S518"/>
  <c r="Q518"/>
  <c r="R518"/>
  <c r="S522"/>
  <c r="Q522"/>
  <c r="R522"/>
  <c r="Q549"/>
  <c r="R549"/>
  <c r="S549"/>
  <c r="Q553"/>
  <c r="R553"/>
  <c r="S553"/>
  <c r="Q274"/>
  <c r="R274"/>
  <c r="S274"/>
  <c r="A456"/>
  <c r="A460"/>
  <c r="A475"/>
  <c r="A474"/>
  <c r="A494"/>
  <c r="A454"/>
  <c r="A469"/>
  <c r="A473"/>
  <c r="A497"/>
  <c r="A453"/>
  <c r="A457"/>
  <c r="A468"/>
  <c r="A472"/>
  <c r="A482"/>
  <c r="A496"/>
  <c r="A500"/>
  <c r="A518"/>
  <c r="A522"/>
  <c r="A549"/>
  <c r="A553"/>
  <c r="A274"/>
  <c r="A452"/>
  <c r="A471"/>
  <c r="A495"/>
  <c r="A499"/>
  <c r="A517"/>
  <c r="A521"/>
  <c r="A531"/>
  <c r="A552"/>
  <c r="A556"/>
  <c r="A455"/>
  <c r="A498"/>
  <c r="A516"/>
  <c r="A520"/>
  <c r="A530"/>
  <c r="A551"/>
  <c r="A555"/>
  <c r="A430"/>
  <c r="A459"/>
  <c r="A470"/>
  <c r="A458"/>
  <c r="A493"/>
  <c r="A515"/>
  <c r="A519"/>
  <c r="A529"/>
  <c r="A550"/>
  <c r="A554"/>
  <c r="E57" i="55"/>
  <c r="F57"/>
  <c r="V175" i="60"/>
  <c r="M513" i="34"/>
  <c r="AB11"/>
  <c r="AB10"/>
  <c r="J1571"/>
  <c r="V70" i="60"/>
  <c r="V71"/>
  <c r="V72"/>
  <c r="V73"/>
  <c r="V74"/>
  <c r="V87"/>
  <c r="V88"/>
  <c r="V89"/>
  <c r="V90"/>
  <c r="V91"/>
  <c r="V92"/>
  <c r="V93"/>
  <c r="V113"/>
  <c r="V114"/>
  <c r="V115"/>
  <c r="V116"/>
  <c r="V117"/>
  <c r="V118"/>
  <c r="V119"/>
  <c r="V120"/>
  <c r="V169"/>
  <c r="V170"/>
  <c r="V171"/>
  <c r="V172"/>
  <c r="V173"/>
  <c r="V174"/>
  <c r="E166" i="34"/>
  <c r="AA166" s="1"/>
  <c r="B166"/>
  <c r="E165"/>
  <c r="AA165" s="1"/>
  <c r="B165"/>
  <c r="M164"/>
  <c r="M166" s="1"/>
  <c r="E164"/>
  <c r="AA164" s="1"/>
  <c r="B164"/>
  <c r="M163"/>
  <c r="M165" s="1"/>
  <c r="E163"/>
  <c r="AA163" s="1"/>
  <c r="B163"/>
  <c r="M162"/>
  <c r="E162"/>
  <c r="AA162" s="1"/>
  <c r="B162"/>
  <c r="M161"/>
  <c r="E161"/>
  <c r="AA161" s="1"/>
  <c r="B161"/>
  <c r="M160"/>
  <c r="E160"/>
  <c r="AA160" s="1"/>
  <c r="B160"/>
  <c r="M159"/>
  <c r="E159"/>
  <c r="AA159" s="1"/>
  <c r="B159"/>
  <c r="M158"/>
  <c r="E158"/>
  <c r="AA158" s="1"/>
  <c r="B158"/>
  <c r="M157"/>
  <c r="E157"/>
  <c r="AA157" s="1"/>
  <c r="B157"/>
  <c r="E156"/>
  <c r="AA156" s="1"/>
  <c r="B156"/>
  <c r="E155"/>
  <c r="AA155" s="1"/>
  <c r="B155"/>
  <c r="E154"/>
  <c r="AA154" s="1"/>
  <c r="B154"/>
  <c r="E153"/>
  <c r="AA153" s="1"/>
  <c r="B153"/>
  <c r="E152"/>
  <c r="AA152" s="1"/>
  <c r="B152"/>
  <c r="E151"/>
  <c r="AA151" s="1"/>
  <c r="B151"/>
  <c r="M150"/>
  <c r="M152" s="1"/>
  <c r="E150"/>
  <c r="AA150" s="1"/>
  <c r="B150"/>
  <c r="M149"/>
  <c r="M151" s="1"/>
  <c r="E149"/>
  <c r="AA149" s="1"/>
  <c r="B149"/>
  <c r="M148"/>
  <c r="E148"/>
  <c r="AA148" s="1"/>
  <c r="B148"/>
  <c r="M147"/>
  <c r="E147"/>
  <c r="AA147" s="1"/>
  <c r="B147"/>
  <c r="M146"/>
  <c r="E146"/>
  <c r="AA146" s="1"/>
  <c r="B146"/>
  <c r="M145"/>
  <c r="E145"/>
  <c r="AA145" s="1"/>
  <c r="B145"/>
  <c r="M144"/>
  <c r="E144"/>
  <c r="AA144" s="1"/>
  <c r="B144"/>
  <c r="M143"/>
  <c r="E143"/>
  <c r="AA143" s="1"/>
  <c r="B143"/>
  <c r="M142"/>
  <c r="E142"/>
  <c r="AA142" s="1"/>
  <c r="B142"/>
  <c r="M141"/>
  <c r="E141"/>
  <c r="AA141" s="1"/>
  <c r="B141"/>
  <c r="E140"/>
  <c r="AA140" s="1"/>
  <c r="B140"/>
  <c r="E139"/>
  <c r="AA139" s="1"/>
  <c r="B139"/>
  <c r="E331"/>
  <c r="AA331" s="1"/>
  <c r="B331"/>
  <c r="E330"/>
  <c r="AA330" s="1"/>
  <c r="B330"/>
  <c r="E329"/>
  <c r="AA329" s="1"/>
  <c r="B329"/>
  <c r="E328"/>
  <c r="AA328" s="1"/>
  <c r="B328"/>
  <c r="E327"/>
  <c r="AA327" s="1"/>
  <c r="B327"/>
  <c r="E323"/>
  <c r="AA323" s="1"/>
  <c r="B323"/>
  <c r="E322"/>
  <c r="AA322" s="1"/>
  <c r="B322"/>
  <c r="E321"/>
  <c r="AA321" s="1"/>
  <c r="B321"/>
  <c r="E320"/>
  <c r="AA320" s="1"/>
  <c r="B320"/>
  <c r="E319"/>
  <c r="AA319" s="1"/>
  <c r="B319"/>
  <c r="E318"/>
  <c r="AA318" s="1"/>
  <c r="B318"/>
  <c r="E317"/>
  <c r="AA317" s="1"/>
  <c r="B317"/>
  <c r="E316"/>
  <c r="AA316" s="1"/>
  <c r="B316"/>
  <c r="D112" i="60"/>
  <c r="G112" s="1"/>
  <c r="E305" i="34"/>
  <c r="AA305" s="1"/>
  <c r="B305"/>
  <c r="E304"/>
  <c r="AA304" s="1"/>
  <c r="B304"/>
  <c r="E303"/>
  <c r="AA303" s="1"/>
  <c r="B303"/>
  <c r="E302"/>
  <c r="AA302" s="1"/>
  <c r="B302"/>
  <c r="E301"/>
  <c r="AA301" s="1"/>
  <c r="B301"/>
  <c r="E300"/>
  <c r="AA300" s="1"/>
  <c r="B300"/>
  <c r="E299"/>
  <c r="AA299" s="1"/>
  <c r="B299"/>
  <c r="E298"/>
  <c r="AA298" s="1"/>
  <c r="B298"/>
  <c r="E297"/>
  <c r="AA297" s="1"/>
  <c r="B297"/>
  <c r="E296"/>
  <c r="AA296" s="1"/>
  <c r="B296"/>
  <c r="E289"/>
  <c r="AA289" s="1"/>
  <c r="E295"/>
  <c r="AA295" s="1"/>
  <c r="B289"/>
  <c r="E288"/>
  <c r="AA288" s="1"/>
  <c r="B288"/>
  <c r="E287"/>
  <c r="AA287" s="1"/>
  <c r="B287"/>
  <c r="E286"/>
  <c r="AA286" s="1"/>
  <c r="B286"/>
  <c r="E285"/>
  <c r="AA285" s="1"/>
  <c r="B285"/>
  <c r="D113" i="60"/>
  <c r="G113" s="1"/>
  <c r="D114"/>
  <c r="G114" s="1"/>
  <c r="G115"/>
  <c r="D116"/>
  <c r="G116" s="1"/>
  <c r="D117"/>
  <c r="G117" s="1"/>
  <c r="D118"/>
  <c r="G118" s="1"/>
  <c r="G119"/>
  <c r="D120"/>
  <c r="G120" s="1"/>
  <c r="D121"/>
  <c r="G121" s="1"/>
  <c r="D122"/>
  <c r="G122" s="1"/>
  <c r="D123"/>
  <c r="G123" s="1"/>
  <c r="D124"/>
  <c r="G124" s="1"/>
  <c r="C279" i="34"/>
  <c r="AD279" s="1"/>
  <c r="C278"/>
  <c r="AD278" s="1"/>
  <c r="C277"/>
  <c r="AD277" s="1"/>
  <c r="C276"/>
  <c r="AD276" s="1"/>
  <c r="C275"/>
  <c r="AD275" s="1"/>
  <c r="D88" i="60"/>
  <c r="G88" s="1"/>
  <c r="D89"/>
  <c r="G89" s="1"/>
  <c r="D90"/>
  <c r="G90" s="1"/>
  <c r="A91"/>
  <c r="C91"/>
  <c r="D91" s="1"/>
  <c r="G91" s="1"/>
  <c r="M270" i="34"/>
  <c r="E270"/>
  <c r="AA270" s="1"/>
  <c r="B270"/>
  <c r="M272"/>
  <c r="E272"/>
  <c r="AA272" s="1"/>
  <c r="B272"/>
  <c r="M271"/>
  <c r="E271"/>
  <c r="AA271" s="1"/>
  <c r="B271"/>
  <c r="M273"/>
  <c r="M281"/>
  <c r="M282"/>
  <c r="M283"/>
  <c r="M284"/>
  <c r="M307"/>
  <c r="M308"/>
  <c r="M309"/>
  <c r="M310"/>
  <c r="M311"/>
  <c r="M312"/>
  <c r="M313"/>
  <c r="M314"/>
  <c r="M315"/>
  <c r="M324"/>
  <c r="M325"/>
  <c r="M326"/>
  <c r="M332"/>
  <c r="M333"/>
  <c r="M334"/>
  <c r="M335"/>
  <c r="M336"/>
  <c r="M339"/>
  <c r="M340"/>
  <c r="M341"/>
  <c r="M342"/>
  <c r="M343"/>
  <c r="E343"/>
  <c r="AA343" s="1"/>
  <c r="B343"/>
  <c r="E342"/>
  <c r="AA342" s="1"/>
  <c r="B342"/>
  <c r="E341"/>
  <c r="AA341" s="1"/>
  <c r="B341"/>
  <c r="E340"/>
  <c r="AA340" s="1"/>
  <c r="B340"/>
  <c r="E339"/>
  <c r="AA339" s="1"/>
  <c r="B339"/>
  <c r="E336"/>
  <c r="AA336" s="1"/>
  <c r="B336"/>
  <c r="E335"/>
  <c r="AA335" s="1"/>
  <c r="B335"/>
  <c r="E334"/>
  <c r="AA334" s="1"/>
  <c r="B334"/>
  <c r="E333"/>
  <c r="AA333" s="1"/>
  <c r="B333"/>
  <c r="E332"/>
  <c r="AA332" s="1"/>
  <c r="B332"/>
  <c r="E326"/>
  <c r="AA326" s="1"/>
  <c r="B326"/>
  <c r="E325"/>
  <c r="AA325" s="1"/>
  <c r="B325"/>
  <c r="E324"/>
  <c r="AA324" s="1"/>
  <c r="B324"/>
  <c r="E315"/>
  <c r="AA315" s="1"/>
  <c r="B315"/>
  <c r="E314"/>
  <c r="AA314" s="1"/>
  <c r="B314"/>
  <c r="E313"/>
  <c r="AA313" s="1"/>
  <c r="B313"/>
  <c r="E312"/>
  <c r="AA312" s="1"/>
  <c r="B312"/>
  <c r="E311"/>
  <c r="AA311" s="1"/>
  <c r="B311"/>
  <c r="E310"/>
  <c r="AA310" s="1"/>
  <c r="B310"/>
  <c r="E309"/>
  <c r="AA309" s="1"/>
  <c r="B309"/>
  <c r="E308"/>
  <c r="AA308" s="1"/>
  <c r="B308"/>
  <c r="E307"/>
  <c r="AA307" s="1"/>
  <c r="B307"/>
  <c r="E306"/>
  <c r="AA306" s="1"/>
  <c r="B306"/>
  <c r="E294"/>
  <c r="AA294" s="1"/>
  <c r="B294"/>
  <c r="E293"/>
  <c r="AA293" s="1"/>
  <c r="B293"/>
  <c r="E292"/>
  <c r="AA292" s="1"/>
  <c r="B292"/>
  <c r="E291"/>
  <c r="AA291" s="1"/>
  <c r="B291"/>
  <c r="E290"/>
  <c r="AA290" s="1"/>
  <c r="B290"/>
  <c r="C284"/>
  <c r="AD284" s="1"/>
  <c r="C283"/>
  <c r="AD283" s="1"/>
  <c r="C282"/>
  <c r="AD282" s="1"/>
  <c r="C281"/>
  <c r="AD281" s="1"/>
  <c r="C280"/>
  <c r="AD280" s="1"/>
  <c r="E273"/>
  <c r="AA273" s="1"/>
  <c r="B273"/>
  <c r="E220"/>
  <c r="AA220" s="1"/>
  <c r="E221"/>
  <c r="AA221" s="1"/>
  <c r="E222"/>
  <c r="AA222" s="1"/>
  <c r="E223"/>
  <c r="AA223" s="1"/>
  <c r="E48"/>
  <c r="AA48" s="1"/>
  <c r="B48"/>
  <c r="E47"/>
  <c r="AA47" s="1"/>
  <c r="B47"/>
  <c r="E46"/>
  <c r="AA46" s="1"/>
  <c r="B46"/>
  <c r="E45"/>
  <c r="AA45" s="1"/>
  <c r="B45"/>
  <c r="E44"/>
  <c r="AA44" s="1"/>
  <c r="B44"/>
  <c r="E43"/>
  <c r="AA43" s="1"/>
  <c r="B43"/>
  <c r="E33"/>
  <c r="AA33" s="1"/>
  <c r="E34"/>
  <c r="AA34" s="1"/>
  <c r="E42"/>
  <c r="AA42" s="1"/>
  <c r="B42"/>
  <c r="E41"/>
  <c r="AA41" s="1"/>
  <c r="B41"/>
  <c r="E40"/>
  <c r="AA40" s="1"/>
  <c r="B40"/>
  <c r="E39"/>
  <c r="AA39" s="1"/>
  <c r="B39"/>
  <c r="E38"/>
  <c r="AA38" s="1"/>
  <c r="B38"/>
  <c r="E37"/>
  <c r="AA37" s="1"/>
  <c r="B37"/>
  <c r="E36"/>
  <c r="AA36" s="1"/>
  <c r="B36"/>
  <c r="E35"/>
  <c r="AA35" s="1"/>
  <c r="B35"/>
  <c r="B34"/>
  <c r="B2779"/>
  <c r="B2778"/>
  <c r="B2753"/>
  <c r="B2752"/>
  <c r="B2746"/>
  <c r="B2745"/>
  <c r="B2744"/>
  <c r="B2743"/>
  <c r="B2742"/>
  <c r="B2739"/>
  <c r="B2738"/>
  <c r="B2643"/>
  <c r="B2720"/>
  <c r="B2718"/>
  <c r="B2717"/>
  <c r="B2716"/>
  <c r="B2715"/>
  <c r="B2714"/>
  <c r="B2713"/>
  <c r="B2712"/>
  <c r="B2711"/>
  <c r="B2710"/>
  <c r="B2709"/>
  <c r="B2708"/>
  <c r="B2706"/>
  <c r="B2704"/>
  <c r="B2703"/>
  <c r="B2702"/>
  <c r="B2701"/>
  <c r="B2700"/>
  <c r="B2697"/>
  <c r="B2696"/>
  <c r="B2695"/>
  <c r="B2693"/>
  <c r="B2692"/>
  <c r="B2689"/>
  <c r="B2688"/>
  <c r="B2687"/>
  <c r="B2684"/>
  <c r="B2683"/>
  <c r="B2682"/>
  <c r="B2681"/>
  <c r="B2680"/>
  <c r="B2679"/>
  <c r="B2678"/>
  <c r="B2677"/>
  <c r="B2676"/>
  <c r="B2675"/>
  <c r="B2674"/>
  <c r="B2673"/>
  <c r="B2672"/>
  <c r="B2761"/>
  <c r="B2760"/>
  <c r="B2641"/>
  <c r="B2944"/>
  <c r="B2943"/>
  <c r="B2942"/>
  <c r="B2941"/>
  <c r="B2940"/>
  <c r="B2939"/>
  <c r="B2937"/>
  <c r="B2936"/>
  <c r="B2935"/>
  <c r="B2934"/>
  <c r="B2933"/>
  <c r="B2932"/>
  <c r="B2931"/>
  <c r="B2930"/>
  <c r="B2929"/>
  <c r="B2928"/>
  <c r="B2926"/>
  <c r="B2925"/>
  <c r="B2924"/>
  <c r="B2923"/>
  <c r="B2921"/>
  <c r="B2920"/>
  <c r="B2919"/>
  <c r="B2916"/>
  <c r="B2915"/>
  <c r="B2914"/>
  <c r="B2900"/>
  <c r="B2899"/>
  <c r="B2898"/>
  <c r="B2896"/>
  <c r="B2895"/>
  <c r="B2894"/>
  <c r="B2893"/>
  <c r="B2892"/>
  <c r="B2904"/>
  <c r="B2903"/>
  <c r="B2902"/>
  <c r="B2901"/>
  <c r="B2891"/>
  <c r="B2890"/>
  <c r="B2889"/>
  <c r="B2888"/>
  <c r="B2887"/>
  <c r="B2886"/>
  <c r="B2885"/>
  <c r="B2880"/>
  <c r="B2879"/>
  <c r="B2884"/>
  <c r="B2883"/>
  <c r="B2882"/>
  <c r="B2881"/>
  <c r="B2878"/>
  <c r="B2877"/>
  <c r="B2846"/>
  <c r="B2845"/>
  <c r="B2874"/>
  <c r="B2876"/>
  <c r="B2868"/>
  <c r="B2865"/>
  <c r="B2864"/>
  <c r="B2863"/>
  <c r="B2857"/>
  <c r="B2856"/>
  <c r="B2855"/>
  <c r="B2853"/>
  <c r="B2850"/>
  <c r="B2849"/>
  <c r="B2844"/>
  <c r="B2843"/>
  <c r="B2838"/>
  <c r="B2837"/>
  <c r="B2836"/>
  <c r="B2835"/>
  <c r="B2834"/>
  <c r="B2833"/>
  <c r="B2829"/>
  <c r="B2828"/>
  <c r="B2825"/>
  <c r="B2824"/>
  <c r="B2823"/>
  <c r="B2822"/>
  <c r="B2821"/>
  <c r="B2820"/>
  <c r="B2819"/>
  <c r="B2818"/>
  <c r="B2817"/>
  <c r="B2814"/>
  <c r="B2813"/>
  <c r="B2812"/>
  <c r="B2811"/>
  <c r="B2810"/>
  <c r="B2809"/>
  <c r="B2808"/>
  <c r="B2807"/>
  <c r="B2806"/>
  <c r="B2805"/>
  <c r="B2804"/>
  <c r="B2803"/>
  <c r="B2802"/>
  <c r="B2801"/>
  <c r="B2788"/>
  <c r="B2781"/>
  <c r="B2780"/>
  <c r="B2917"/>
  <c r="B3097"/>
  <c r="B3096"/>
  <c r="B3095"/>
  <c r="B3094"/>
  <c r="B3093"/>
  <c r="B3092"/>
  <c r="B3091"/>
  <c r="B3090"/>
  <c r="B3089"/>
  <c r="B3088"/>
  <c r="B3087"/>
  <c r="B3086"/>
  <c r="B3085"/>
  <c r="B3084"/>
  <c r="B3077"/>
  <c r="B3075"/>
  <c r="B3052"/>
  <c r="B3051"/>
  <c r="B3050"/>
  <c r="B3049"/>
  <c r="B3048"/>
  <c r="B3047"/>
  <c r="B3046"/>
  <c r="B3045"/>
  <c r="B3044"/>
  <c r="B3043"/>
  <c r="B3042"/>
  <c r="B3041"/>
  <c r="B3037"/>
  <c r="B3031"/>
  <c r="B3030"/>
  <c r="B3029"/>
  <c r="B3028"/>
  <c r="B3027"/>
  <c r="B3026"/>
  <c r="B3025"/>
  <c r="B3024"/>
  <c r="B3023"/>
  <c r="B3022"/>
  <c r="B3021"/>
  <c r="B3020"/>
  <c r="B3014"/>
  <c r="B3013"/>
  <c r="B3012"/>
  <c r="B3011"/>
  <c r="B3010"/>
  <c r="B3009"/>
  <c r="B3008"/>
  <c r="B3007"/>
  <c r="B3006"/>
  <c r="B3005"/>
  <c r="B3004"/>
  <c r="B3003"/>
  <c r="B3002"/>
  <c r="B2998"/>
  <c r="B2997"/>
  <c r="B2995"/>
  <c r="B2993"/>
  <c r="B2990"/>
  <c r="B2986"/>
  <c r="B2982"/>
  <c r="B2981"/>
  <c r="B2980"/>
  <c r="B2979"/>
  <c r="B2978"/>
  <c r="B2977"/>
  <c r="B2976"/>
  <c r="B2975"/>
  <c r="B2974"/>
  <c r="B2973"/>
  <c r="B2972"/>
  <c r="B2971"/>
  <c r="B2970"/>
  <c r="B2969"/>
  <c r="B2968"/>
  <c r="B2967"/>
  <c r="B2966"/>
  <c r="B2965"/>
  <c r="B2964"/>
  <c r="B2946"/>
  <c r="B2945"/>
  <c r="B3223"/>
  <c r="B3222"/>
  <c r="B3221"/>
  <c r="B3220"/>
  <c r="B3219"/>
  <c r="B3218"/>
  <c r="B3217"/>
  <c r="B3216"/>
  <c r="B3215"/>
  <c r="B3214"/>
  <c r="B3213"/>
  <c r="B3212"/>
  <c r="B3211"/>
  <c r="B3210"/>
  <c r="B3209"/>
  <c r="B3208"/>
  <c r="B3207"/>
  <c r="B3206"/>
  <c r="B3205"/>
  <c r="B3204"/>
  <c r="B3203"/>
  <c r="B3202"/>
  <c r="B3201"/>
  <c r="B3200"/>
  <c r="B3199"/>
  <c r="B3198"/>
  <c r="B3197"/>
  <c r="B3196"/>
  <c r="B3195"/>
  <c r="B3194"/>
  <c r="B3193"/>
  <c r="B3192"/>
  <c r="B3191"/>
  <c r="B3190"/>
  <c r="B3189"/>
  <c r="B3188"/>
  <c r="B3187"/>
  <c r="B3186"/>
  <c r="B3185"/>
  <c r="B3184"/>
  <c r="B3183"/>
  <c r="B3182"/>
  <c r="B3181"/>
  <c r="B3180"/>
  <c r="B3179"/>
  <c r="B3178"/>
  <c r="B3177"/>
  <c r="B3176"/>
  <c r="B3175"/>
  <c r="B3174"/>
  <c r="B3173"/>
  <c r="B3172"/>
  <c r="B3171"/>
  <c r="B3170"/>
  <c r="B3169"/>
  <c r="B3168"/>
  <c r="B3167"/>
  <c r="B3166"/>
  <c r="B3165"/>
  <c r="B3164"/>
  <c r="B3163"/>
  <c r="B3162"/>
  <c r="B3161"/>
  <c r="B3160"/>
  <c r="B3159"/>
  <c r="B3158"/>
  <c r="B3157"/>
  <c r="B3156"/>
  <c r="B3155"/>
  <c r="B3154"/>
  <c r="B3153"/>
  <c r="B3152"/>
  <c r="B3151"/>
  <c r="B3150"/>
  <c r="B3149"/>
  <c r="B3148"/>
  <c r="B3147"/>
  <c r="B3146"/>
  <c r="B3145"/>
  <c r="B3144"/>
  <c r="B3143"/>
  <c r="B3142"/>
  <c r="B3141"/>
  <c r="B3140"/>
  <c r="B3139"/>
  <c r="B3138"/>
  <c r="B3137"/>
  <c r="B3136"/>
  <c r="B3135"/>
  <c r="B3134"/>
  <c r="B3133"/>
  <c r="B3132"/>
  <c r="B3131"/>
  <c r="B3130"/>
  <c r="B3129"/>
  <c r="B3128"/>
  <c r="B3127"/>
  <c r="B3126"/>
  <c r="B3125"/>
  <c r="B3124"/>
  <c r="B3123"/>
  <c r="B3122"/>
  <c r="B3121"/>
  <c r="B3120"/>
  <c r="B3119"/>
  <c r="B3118"/>
  <c r="B3117"/>
  <c r="B3116"/>
  <c r="B3115"/>
  <c r="B3114"/>
  <c r="B3113"/>
  <c r="B3112"/>
  <c r="B3111"/>
  <c r="B3110"/>
  <c r="B3109"/>
  <c r="B3108"/>
  <c r="B3107"/>
  <c r="B3106"/>
  <c r="B3105"/>
  <c r="M2603"/>
  <c r="E2603"/>
  <c r="AA2603" s="1"/>
  <c r="B2603"/>
  <c r="M2600"/>
  <c r="E2601"/>
  <c r="AA2601" s="1"/>
  <c r="B2601"/>
  <c r="E2567"/>
  <c r="AA2567" s="1"/>
  <c r="B2567"/>
  <c r="M2566"/>
  <c r="E2566"/>
  <c r="AA2566" s="1"/>
  <c r="B2566"/>
  <c r="Q3115" l="1"/>
  <c r="R3115"/>
  <c r="S3115"/>
  <c r="Q3127"/>
  <c r="R3127"/>
  <c r="S3127"/>
  <c r="Q3139"/>
  <c r="R3139"/>
  <c r="S3139"/>
  <c r="Q3155"/>
  <c r="R3155"/>
  <c r="S3155"/>
  <c r="Q3167"/>
  <c r="R3167"/>
  <c r="S3167"/>
  <c r="Q3183"/>
  <c r="R3183"/>
  <c r="S3183"/>
  <c r="Q3195"/>
  <c r="R3195"/>
  <c r="S3195"/>
  <c r="Q3207"/>
  <c r="R3207"/>
  <c r="S3207"/>
  <c r="Q3219"/>
  <c r="R3219"/>
  <c r="S3219"/>
  <c r="S2965"/>
  <c r="Q2965"/>
  <c r="R2965"/>
  <c r="S2977"/>
  <c r="Q2977"/>
  <c r="R2977"/>
  <c r="S3002"/>
  <c r="Q3002"/>
  <c r="R3002"/>
  <c r="S3014"/>
  <c r="Q3014"/>
  <c r="R3014"/>
  <c r="Q3031"/>
  <c r="R3031"/>
  <c r="S3031"/>
  <c r="S3051"/>
  <c r="Q3051"/>
  <c r="R3051"/>
  <c r="Q3094"/>
  <c r="R3094"/>
  <c r="S3094"/>
  <c r="S2803"/>
  <c r="Q2803"/>
  <c r="R2803"/>
  <c r="Q2817"/>
  <c r="R2817"/>
  <c r="S2817"/>
  <c r="Q2882"/>
  <c r="R2882"/>
  <c r="S2882"/>
  <c r="S3112"/>
  <c r="Q3112"/>
  <c r="R3112"/>
  <c r="S3120"/>
  <c r="Q3120"/>
  <c r="R3120"/>
  <c r="S3128"/>
  <c r="Q3128"/>
  <c r="R3128"/>
  <c r="S3136"/>
  <c r="Q3136"/>
  <c r="R3136"/>
  <c r="S3144"/>
  <c r="Q3144"/>
  <c r="R3144"/>
  <c r="S3148"/>
  <c r="Q3148"/>
  <c r="R3148"/>
  <c r="S3156"/>
  <c r="Q3156"/>
  <c r="R3156"/>
  <c r="S3160"/>
  <c r="Q3160"/>
  <c r="R3160"/>
  <c r="S3168"/>
  <c r="Q3168"/>
  <c r="R3168"/>
  <c r="S3172"/>
  <c r="Q3172"/>
  <c r="R3172"/>
  <c r="S3176"/>
  <c r="Q3176"/>
  <c r="R3176"/>
  <c r="S3184"/>
  <c r="Q3184"/>
  <c r="R3184"/>
  <c r="S3188"/>
  <c r="Q3188"/>
  <c r="R3188"/>
  <c r="S3196"/>
  <c r="Q3196"/>
  <c r="R3196"/>
  <c r="S3200"/>
  <c r="Q3200"/>
  <c r="R3200"/>
  <c r="S3208"/>
  <c r="Q3208"/>
  <c r="R3208"/>
  <c r="S3212"/>
  <c r="Q3212"/>
  <c r="R3212"/>
  <c r="S3220"/>
  <c r="Q3220"/>
  <c r="R3220"/>
  <c r="Q2945"/>
  <c r="R2945"/>
  <c r="S2945"/>
  <c r="Q2970"/>
  <c r="R2970"/>
  <c r="S2970"/>
  <c r="Q2974"/>
  <c r="R2974"/>
  <c r="S2974"/>
  <c r="Q2982"/>
  <c r="R2982"/>
  <c r="S2982"/>
  <c r="Q3003"/>
  <c r="R3003"/>
  <c r="S3003"/>
  <c r="Q3011"/>
  <c r="R3011"/>
  <c r="S3011"/>
  <c r="S3020"/>
  <c r="Q3020"/>
  <c r="R3020"/>
  <c r="S3028"/>
  <c r="Q3028"/>
  <c r="R3028"/>
  <c r="R3044"/>
  <c r="S3044"/>
  <c r="Q3044"/>
  <c r="S3052"/>
  <c r="Q3052"/>
  <c r="R3052"/>
  <c r="Q3091"/>
  <c r="R3091"/>
  <c r="S3091"/>
  <c r="Q2804"/>
  <c r="R2804"/>
  <c r="S2804"/>
  <c r="Q2808"/>
  <c r="R2808"/>
  <c r="S2808"/>
  <c r="S2818"/>
  <c r="Q2818"/>
  <c r="R2818"/>
  <c r="R2828"/>
  <c r="S2828"/>
  <c r="Q2828"/>
  <c r="Q2843"/>
  <c r="R2843"/>
  <c r="S2843"/>
  <c r="S2863"/>
  <c r="Q2863"/>
  <c r="R2863"/>
  <c r="Q2877"/>
  <c r="R2877"/>
  <c r="S2877"/>
  <c r="Q2898"/>
  <c r="R2898"/>
  <c r="S2898"/>
  <c r="Q2567"/>
  <c r="R2567"/>
  <c r="S2567"/>
  <c r="R3105"/>
  <c r="S3105"/>
  <c r="Q3105"/>
  <c r="R3109"/>
  <c r="S3109"/>
  <c r="Q3109"/>
  <c r="R3113"/>
  <c r="S3113"/>
  <c r="Q3113"/>
  <c r="R3117"/>
  <c r="S3117"/>
  <c r="Q3117"/>
  <c r="R3121"/>
  <c r="S3121"/>
  <c r="Q3121"/>
  <c r="R3125"/>
  <c r="S3125"/>
  <c r="Q3125"/>
  <c r="R3129"/>
  <c r="S3129"/>
  <c r="Q3129"/>
  <c r="R3133"/>
  <c r="S3133"/>
  <c r="Q3133"/>
  <c r="R3137"/>
  <c r="S3137"/>
  <c r="Q3137"/>
  <c r="R3141"/>
  <c r="S3141"/>
  <c r="Q3141"/>
  <c r="R3145"/>
  <c r="S3145"/>
  <c r="Q3145"/>
  <c r="R3149"/>
  <c r="S3149"/>
  <c r="Q3149"/>
  <c r="R3153"/>
  <c r="S3153"/>
  <c r="Q3153"/>
  <c r="R3157"/>
  <c r="S3157"/>
  <c r="Q3157"/>
  <c r="R3161"/>
  <c r="S3161"/>
  <c r="Q3161"/>
  <c r="R3165"/>
  <c r="S3165"/>
  <c r="Q3165"/>
  <c r="R3169"/>
  <c r="S3169"/>
  <c r="Q3169"/>
  <c r="R3173"/>
  <c r="S3173"/>
  <c r="Q3173"/>
  <c r="R3177"/>
  <c r="S3177"/>
  <c r="Q3177"/>
  <c r="R3181"/>
  <c r="S3181"/>
  <c r="Q3181"/>
  <c r="R3185"/>
  <c r="S3185"/>
  <c r="Q3185"/>
  <c r="R3189"/>
  <c r="S3189"/>
  <c r="Q3189"/>
  <c r="R3193"/>
  <c r="S3193"/>
  <c r="Q3193"/>
  <c r="R3197"/>
  <c r="S3197"/>
  <c r="Q3197"/>
  <c r="R3201"/>
  <c r="S3201"/>
  <c r="Q3201"/>
  <c r="R3205"/>
  <c r="S3205"/>
  <c r="Q3205"/>
  <c r="R3209"/>
  <c r="S3209"/>
  <c r="Q3209"/>
  <c r="R3213"/>
  <c r="S3213"/>
  <c r="Q3213"/>
  <c r="R3217"/>
  <c r="S3217"/>
  <c r="Q3217"/>
  <c r="R3221"/>
  <c r="S3221"/>
  <c r="Q3221"/>
  <c r="R2946"/>
  <c r="S2946"/>
  <c r="Q2946"/>
  <c r="S2967"/>
  <c r="Q2967"/>
  <c r="R2967"/>
  <c r="S2971"/>
  <c r="Q2971"/>
  <c r="R2971"/>
  <c r="S2975"/>
  <c r="Q2975"/>
  <c r="R2975"/>
  <c r="S2979"/>
  <c r="Q2979"/>
  <c r="R2979"/>
  <c r="Q2986"/>
  <c r="R2986"/>
  <c r="S2986"/>
  <c r="Q2997"/>
  <c r="R2997"/>
  <c r="S2997"/>
  <c r="S3004"/>
  <c r="Q3004"/>
  <c r="R3004"/>
  <c r="S3008"/>
  <c r="Q3008"/>
  <c r="R3008"/>
  <c r="S3012"/>
  <c r="Q3012"/>
  <c r="R3012"/>
  <c r="Q3021"/>
  <c r="R3021"/>
  <c r="S3021"/>
  <c r="Q3025"/>
  <c r="R3025"/>
  <c r="S3025"/>
  <c r="Q3029"/>
  <c r="R3029"/>
  <c r="S3029"/>
  <c r="Q3041"/>
  <c r="R3041"/>
  <c r="S3041"/>
  <c r="Q3045"/>
  <c r="R3045"/>
  <c r="S3045"/>
  <c r="S3049"/>
  <c r="Q3049"/>
  <c r="R3049"/>
  <c r="S3075"/>
  <c r="Q3075"/>
  <c r="R3075"/>
  <c r="Q3084"/>
  <c r="R3084"/>
  <c r="S3084"/>
  <c r="Q3088"/>
  <c r="R3088"/>
  <c r="S3088"/>
  <c r="Q3092"/>
  <c r="R3092"/>
  <c r="S3092"/>
  <c r="Q3096"/>
  <c r="R3096"/>
  <c r="S3096"/>
  <c r="S2917"/>
  <c r="Q2917"/>
  <c r="R2917"/>
  <c r="S2801"/>
  <c r="Q2801"/>
  <c r="R2801"/>
  <c r="S2805"/>
  <c r="Q2805"/>
  <c r="R2805"/>
  <c r="S2809"/>
  <c r="Q2809"/>
  <c r="R2809"/>
  <c r="S2813"/>
  <c r="Q2813"/>
  <c r="R2813"/>
  <c r="R2819"/>
  <c r="S2819"/>
  <c r="Q2819"/>
  <c r="R2823"/>
  <c r="S2823"/>
  <c r="Q2823"/>
  <c r="Q2829"/>
  <c r="R2829"/>
  <c r="S2829"/>
  <c r="S2836"/>
  <c r="Q2836"/>
  <c r="R2836"/>
  <c r="S2844"/>
  <c r="Q2844"/>
  <c r="R2844"/>
  <c r="Q2855"/>
  <c r="R2855"/>
  <c r="S2855"/>
  <c r="R2864"/>
  <c r="S2864"/>
  <c r="Q2864"/>
  <c r="Q2874"/>
  <c r="R2874"/>
  <c r="S2874"/>
  <c r="Q2878"/>
  <c r="R2878"/>
  <c r="S2878"/>
  <c r="Q2884"/>
  <c r="R2884"/>
  <c r="S2884"/>
  <c r="R2886"/>
  <c r="Q2886"/>
  <c r="S2886"/>
  <c r="Q2890"/>
  <c r="R2890"/>
  <c r="S2890"/>
  <c r="Q2903"/>
  <c r="R2903"/>
  <c r="S2903"/>
  <c r="Q2894"/>
  <c r="R2894"/>
  <c r="S2894"/>
  <c r="Q2899"/>
  <c r="R2899"/>
  <c r="S2899"/>
  <c r="S2916"/>
  <c r="Q2916"/>
  <c r="R2916"/>
  <c r="R2923"/>
  <c r="S2923"/>
  <c r="Q2923"/>
  <c r="Q2928"/>
  <c r="R2928"/>
  <c r="S2928"/>
  <c r="Q2932"/>
  <c r="R2932"/>
  <c r="S2932"/>
  <c r="Q2936"/>
  <c r="R2936"/>
  <c r="S2936"/>
  <c r="S2941"/>
  <c r="Q2941"/>
  <c r="R2941"/>
  <c r="S2761"/>
  <c r="Q2761"/>
  <c r="R2761"/>
  <c r="Q2675"/>
  <c r="R2675"/>
  <c r="S2675"/>
  <c r="Q2679"/>
  <c r="R2679"/>
  <c r="S2679"/>
  <c r="S2683"/>
  <c r="Q2683"/>
  <c r="R2683"/>
  <c r="Q2689"/>
  <c r="R2689"/>
  <c r="S2689"/>
  <c r="S2696"/>
  <c r="Q2696"/>
  <c r="R2696"/>
  <c r="S2702"/>
  <c r="Q2702"/>
  <c r="R2702"/>
  <c r="S2708"/>
  <c r="Q2708"/>
  <c r="R2708"/>
  <c r="S2712"/>
  <c r="Q2712"/>
  <c r="R2712"/>
  <c r="S2716"/>
  <c r="Q2716"/>
  <c r="R2716"/>
  <c r="S2643"/>
  <c r="Q2643"/>
  <c r="R2643"/>
  <c r="Q2743"/>
  <c r="R2743"/>
  <c r="S2743"/>
  <c r="Q2752"/>
  <c r="R2752"/>
  <c r="S2752"/>
  <c r="Q34"/>
  <c r="R34"/>
  <c r="S34"/>
  <c r="S291"/>
  <c r="Q291"/>
  <c r="R291"/>
  <c r="Q293"/>
  <c r="R293"/>
  <c r="S293"/>
  <c r="R306"/>
  <c r="S306"/>
  <c r="Q306"/>
  <c r="R308"/>
  <c r="Q308"/>
  <c r="S308"/>
  <c r="S310"/>
  <c r="Q310"/>
  <c r="R310"/>
  <c r="Q312"/>
  <c r="R312"/>
  <c r="S312"/>
  <c r="S314"/>
  <c r="Q314"/>
  <c r="R314"/>
  <c r="Q324"/>
  <c r="R324"/>
  <c r="S324"/>
  <c r="S326"/>
  <c r="Q326"/>
  <c r="R326"/>
  <c r="S333"/>
  <c r="Q333"/>
  <c r="R333"/>
  <c r="Q335"/>
  <c r="R335"/>
  <c r="S335"/>
  <c r="S339"/>
  <c r="Q339"/>
  <c r="R339"/>
  <c r="Q341"/>
  <c r="R341"/>
  <c r="S341"/>
  <c r="S343"/>
  <c r="Q343"/>
  <c r="R343"/>
  <c r="Q270"/>
  <c r="R270"/>
  <c r="S270"/>
  <c r="R296"/>
  <c r="S296"/>
  <c r="Q296"/>
  <c r="Q298"/>
  <c r="R298"/>
  <c r="S298"/>
  <c r="R300"/>
  <c r="S300"/>
  <c r="Q300"/>
  <c r="Q302"/>
  <c r="R302"/>
  <c r="S302"/>
  <c r="R304"/>
  <c r="S304"/>
  <c r="Q304"/>
  <c r="S144"/>
  <c r="Q144"/>
  <c r="R144"/>
  <c r="S148"/>
  <c r="Q148"/>
  <c r="R148"/>
  <c r="S156"/>
  <c r="Q156"/>
  <c r="R156"/>
  <c r="S160"/>
  <c r="Q160"/>
  <c r="R160"/>
  <c r="S164"/>
  <c r="Q164"/>
  <c r="R164"/>
  <c r="S2601"/>
  <c r="Q2601"/>
  <c r="R2601"/>
  <c r="Q3107"/>
  <c r="R3107"/>
  <c r="S3107"/>
  <c r="Q3131"/>
  <c r="R3131"/>
  <c r="S3131"/>
  <c r="Q3143"/>
  <c r="R3143"/>
  <c r="S3143"/>
  <c r="Q3159"/>
  <c r="R3159"/>
  <c r="S3159"/>
  <c r="Q3171"/>
  <c r="R3171"/>
  <c r="S3171"/>
  <c r="Q3191"/>
  <c r="R3191"/>
  <c r="S3191"/>
  <c r="Q3211"/>
  <c r="R3211"/>
  <c r="S3211"/>
  <c r="S2981"/>
  <c r="Q2981"/>
  <c r="R2981"/>
  <c r="R2566"/>
  <c r="S2566"/>
  <c r="Q2566"/>
  <c r="S2603"/>
  <c r="Q2603"/>
  <c r="R2603"/>
  <c r="Q3106"/>
  <c r="R3106"/>
  <c r="S3106"/>
  <c r="Q3110"/>
  <c r="R3110"/>
  <c r="S3110"/>
  <c r="Q3114"/>
  <c r="R3114"/>
  <c r="S3114"/>
  <c r="Q3118"/>
  <c r="R3118"/>
  <c r="S3118"/>
  <c r="Q3122"/>
  <c r="R3122"/>
  <c r="S3122"/>
  <c r="Q3126"/>
  <c r="R3126"/>
  <c r="S3126"/>
  <c r="Q3130"/>
  <c r="R3130"/>
  <c r="S3130"/>
  <c r="Q3134"/>
  <c r="R3134"/>
  <c r="S3134"/>
  <c r="Q3138"/>
  <c r="R3138"/>
  <c r="S3138"/>
  <c r="Q3142"/>
  <c r="R3142"/>
  <c r="S3142"/>
  <c r="Q3146"/>
  <c r="R3146"/>
  <c r="S3146"/>
  <c r="Q3150"/>
  <c r="R3150"/>
  <c r="S3150"/>
  <c r="Q3154"/>
  <c r="R3154"/>
  <c r="S3154"/>
  <c r="Q3158"/>
  <c r="R3158"/>
  <c r="S3158"/>
  <c r="Q3162"/>
  <c r="R3162"/>
  <c r="S3162"/>
  <c r="Q3166"/>
  <c r="R3166"/>
  <c r="S3166"/>
  <c r="Q3170"/>
  <c r="R3170"/>
  <c r="S3170"/>
  <c r="Q3174"/>
  <c r="R3174"/>
  <c r="S3174"/>
  <c r="Q3178"/>
  <c r="R3178"/>
  <c r="S3178"/>
  <c r="Q3182"/>
  <c r="R3182"/>
  <c r="S3182"/>
  <c r="Q3186"/>
  <c r="R3186"/>
  <c r="S3186"/>
  <c r="Q3190"/>
  <c r="R3190"/>
  <c r="S3190"/>
  <c r="Q3194"/>
  <c r="R3194"/>
  <c r="S3194"/>
  <c r="Q3198"/>
  <c r="R3198"/>
  <c r="S3198"/>
  <c r="Q3202"/>
  <c r="R3202"/>
  <c r="S3202"/>
  <c r="Q3206"/>
  <c r="R3206"/>
  <c r="S3206"/>
  <c r="Q3210"/>
  <c r="R3210"/>
  <c r="S3210"/>
  <c r="Q3214"/>
  <c r="R3214"/>
  <c r="S3214"/>
  <c r="Q3218"/>
  <c r="R3218"/>
  <c r="S3218"/>
  <c r="Q3222"/>
  <c r="R3222"/>
  <c r="S3222"/>
  <c r="Q2964"/>
  <c r="R2964"/>
  <c r="S2964"/>
  <c r="Q2968"/>
  <c r="R2968"/>
  <c r="S2968"/>
  <c r="Q2972"/>
  <c r="R2972"/>
  <c r="S2972"/>
  <c r="Q2976"/>
  <c r="R2976"/>
  <c r="S2976"/>
  <c r="Q2980"/>
  <c r="R2980"/>
  <c r="S2980"/>
  <c r="Q2990"/>
  <c r="R2990"/>
  <c r="S2990"/>
  <c r="S2998"/>
  <c r="Q2998"/>
  <c r="R2998"/>
  <c r="Q3005"/>
  <c r="R3005"/>
  <c r="S3005"/>
  <c r="Q3009"/>
  <c r="R3009"/>
  <c r="S3009"/>
  <c r="Q3013"/>
  <c r="R3013"/>
  <c r="S3013"/>
  <c r="S3022"/>
  <c r="Q3022"/>
  <c r="R3022"/>
  <c r="S3026"/>
  <c r="Q3026"/>
  <c r="R3026"/>
  <c r="S3030"/>
  <c r="Q3030"/>
  <c r="R3030"/>
  <c r="Q3042"/>
  <c r="R3042"/>
  <c r="S3042"/>
  <c r="Q3046"/>
  <c r="R3046"/>
  <c r="S3046"/>
  <c r="S3050"/>
  <c r="Q3050"/>
  <c r="R3050"/>
  <c r="R3077"/>
  <c r="S3077"/>
  <c r="Q3077"/>
  <c r="Q3085"/>
  <c r="R3085"/>
  <c r="S3085"/>
  <c r="Q3089"/>
  <c r="R3089"/>
  <c r="S3089"/>
  <c r="Q3093"/>
  <c r="R3093"/>
  <c r="S3093"/>
  <c r="Q3097"/>
  <c r="R3097"/>
  <c r="S3097"/>
  <c r="Q2780"/>
  <c r="R2780"/>
  <c r="S2780"/>
  <c r="Q2802"/>
  <c r="R2802"/>
  <c r="S2802"/>
  <c r="Q2806"/>
  <c r="R2806"/>
  <c r="S2806"/>
  <c r="Q2810"/>
  <c r="R2810"/>
  <c r="S2810"/>
  <c r="Q2814"/>
  <c r="R2814"/>
  <c r="S2814"/>
  <c r="Q2820"/>
  <c r="R2820"/>
  <c r="S2820"/>
  <c r="Q2824"/>
  <c r="R2824"/>
  <c r="S2824"/>
  <c r="R2833"/>
  <c r="S2833"/>
  <c r="Q2833"/>
  <c r="R2837"/>
  <c r="S2837"/>
  <c r="Q2837"/>
  <c r="R2849"/>
  <c r="S2849"/>
  <c r="Q2849"/>
  <c r="S2856"/>
  <c r="Q2856"/>
  <c r="R2856"/>
  <c r="Q2865"/>
  <c r="R2865"/>
  <c r="S2865"/>
  <c r="S2845"/>
  <c r="Q2845"/>
  <c r="R2845"/>
  <c r="Q2881"/>
  <c r="R2881"/>
  <c r="S2881"/>
  <c r="S2879"/>
  <c r="Q2879"/>
  <c r="R2879"/>
  <c r="Q2887"/>
  <c r="R2887"/>
  <c r="S2887"/>
  <c r="Q2891"/>
  <c r="R2891"/>
  <c r="S2891"/>
  <c r="S2904"/>
  <c r="Q2904"/>
  <c r="R2904"/>
  <c r="Q2895"/>
  <c r="R2895"/>
  <c r="S2895"/>
  <c r="S2900"/>
  <c r="Q2900"/>
  <c r="R2900"/>
  <c r="R2919"/>
  <c r="S2919"/>
  <c r="Q2919"/>
  <c r="Q2924"/>
  <c r="R2924"/>
  <c r="S2924"/>
  <c r="R2929"/>
  <c r="S2929"/>
  <c r="Q2929"/>
  <c r="R2933"/>
  <c r="S2933"/>
  <c r="Q2933"/>
  <c r="R2937"/>
  <c r="S2937"/>
  <c r="Q2937"/>
  <c r="R2942"/>
  <c r="S2942"/>
  <c r="Q2942"/>
  <c r="S2672"/>
  <c r="Q2672"/>
  <c r="R2672"/>
  <c r="S2676"/>
  <c r="Q2676"/>
  <c r="R2676"/>
  <c r="S2680"/>
  <c r="Q2680"/>
  <c r="R2680"/>
  <c r="Q2684"/>
  <c r="R2684"/>
  <c r="S2684"/>
  <c r="S2692"/>
  <c r="Q2692"/>
  <c r="R2692"/>
  <c r="Q2697"/>
  <c r="R2697"/>
  <c r="S2697"/>
  <c r="Q2703"/>
  <c r="R2703"/>
  <c r="S2703"/>
  <c r="Q2709"/>
  <c r="R2709"/>
  <c r="S2709"/>
  <c r="Q2713"/>
  <c r="R2713"/>
  <c r="S2713"/>
  <c r="Q2717"/>
  <c r="R2717"/>
  <c r="S2717"/>
  <c r="S2738"/>
  <c r="Q2738"/>
  <c r="R2738"/>
  <c r="S2744"/>
  <c r="Q2744"/>
  <c r="R2744"/>
  <c r="Q2753"/>
  <c r="R2753"/>
  <c r="S2753"/>
  <c r="S35"/>
  <c r="Q35"/>
  <c r="R35"/>
  <c r="Q37"/>
  <c r="R37"/>
  <c r="S37"/>
  <c r="S39"/>
  <c r="Q39"/>
  <c r="R39"/>
  <c r="Q41"/>
  <c r="R41"/>
  <c r="S41"/>
  <c r="R44"/>
  <c r="S44"/>
  <c r="Q44"/>
  <c r="Q46"/>
  <c r="R46"/>
  <c r="S46"/>
  <c r="R48"/>
  <c r="S48"/>
  <c r="Q48"/>
  <c r="R272"/>
  <c r="S272"/>
  <c r="Q272"/>
  <c r="Q285"/>
  <c r="R285"/>
  <c r="S285"/>
  <c r="S287"/>
  <c r="Q287"/>
  <c r="R287"/>
  <c r="Q289"/>
  <c r="R289"/>
  <c r="S289"/>
  <c r="Q316"/>
  <c r="R316"/>
  <c r="S316"/>
  <c r="S318"/>
  <c r="Q318"/>
  <c r="R318"/>
  <c r="Q320"/>
  <c r="R320"/>
  <c r="S320"/>
  <c r="S322"/>
  <c r="Q322"/>
  <c r="R322"/>
  <c r="R327"/>
  <c r="S327"/>
  <c r="Q327"/>
  <c r="Q329"/>
  <c r="R329"/>
  <c r="S329"/>
  <c r="R331"/>
  <c r="S331"/>
  <c r="Q331"/>
  <c r="S140"/>
  <c r="Q140"/>
  <c r="R140"/>
  <c r="Q143"/>
  <c r="R143"/>
  <c r="S143"/>
  <c r="Q147"/>
  <c r="R147"/>
  <c r="S147"/>
  <c r="Q151"/>
  <c r="R151"/>
  <c r="S151"/>
  <c r="R153"/>
  <c r="S153"/>
  <c r="Q153"/>
  <c r="Q155"/>
  <c r="R155"/>
  <c r="S155"/>
  <c r="Q159"/>
  <c r="R159"/>
  <c r="S159"/>
  <c r="Q163"/>
  <c r="R163"/>
  <c r="S163"/>
  <c r="Q166"/>
  <c r="R166"/>
  <c r="S166"/>
  <c r="Q3119"/>
  <c r="R3119"/>
  <c r="S3119"/>
  <c r="Q3151"/>
  <c r="R3151"/>
  <c r="S3151"/>
  <c r="Q3179"/>
  <c r="R3179"/>
  <c r="S3179"/>
  <c r="Q3203"/>
  <c r="R3203"/>
  <c r="S3203"/>
  <c r="Q3223"/>
  <c r="R3223"/>
  <c r="S3223"/>
  <c r="S2973"/>
  <c r="Q2973"/>
  <c r="R2973"/>
  <c r="S3010"/>
  <c r="Q3010"/>
  <c r="R3010"/>
  <c r="Q3027"/>
  <c r="R3027"/>
  <c r="S3027"/>
  <c r="S3047"/>
  <c r="Q3047"/>
  <c r="R3047"/>
  <c r="Q3090"/>
  <c r="R3090"/>
  <c r="S3090"/>
  <c r="S2781"/>
  <c r="Q2781"/>
  <c r="R2781"/>
  <c r="S2811"/>
  <c r="Q2811"/>
  <c r="R2811"/>
  <c r="S2825"/>
  <c r="Q2825"/>
  <c r="R2825"/>
  <c r="Q2834"/>
  <c r="R2834"/>
  <c r="S2834"/>
  <c r="Q2838"/>
  <c r="R2838"/>
  <c r="S2838"/>
  <c r="Q2850"/>
  <c r="R2850"/>
  <c r="S2850"/>
  <c r="R2857"/>
  <c r="S2857"/>
  <c r="Q2857"/>
  <c r="R2846"/>
  <c r="S2846"/>
  <c r="Q2846"/>
  <c r="R2880"/>
  <c r="S2880"/>
  <c r="Q2880"/>
  <c r="S2888"/>
  <c r="Q2888"/>
  <c r="R2888"/>
  <c r="R2901"/>
  <c r="S2901"/>
  <c r="Q2901"/>
  <c r="S2892"/>
  <c r="Q2892"/>
  <c r="R2892"/>
  <c r="S2896"/>
  <c r="Q2896"/>
  <c r="R2896"/>
  <c r="Q2914"/>
  <c r="R2914"/>
  <c r="S2914"/>
  <c r="Q2920"/>
  <c r="R2920"/>
  <c r="S2920"/>
  <c r="R2925"/>
  <c r="S2925"/>
  <c r="Q2925"/>
  <c r="Q2930"/>
  <c r="R2930"/>
  <c r="S2930"/>
  <c r="Q2934"/>
  <c r="R2934"/>
  <c r="S2934"/>
  <c r="R2939"/>
  <c r="S2939"/>
  <c r="Q2939"/>
  <c r="Q2943"/>
  <c r="R2943"/>
  <c r="S2943"/>
  <c r="R2641"/>
  <c r="S2641"/>
  <c r="Q2641"/>
  <c r="R2673"/>
  <c r="S2673"/>
  <c r="Q2673"/>
  <c r="R2677"/>
  <c r="S2677"/>
  <c r="Q2677"/>
  <c r="R2681"/>
  <c r="S2681"/>
  <c r="Q2681"/>
  <c r="Q2687"/>
  <c r="R2687"/>
  <c r="S2687"/>
  <c r="Q2693"/>
  <c r="R2693"/>
  <c r="S2693"/>
  <c r="S2700"/>
  <c r="Q2700"/>
  <c r="R2700"/>
  <c r="S2704"/>
  <c r="Q2704"/>
  <c r="R2704"/>
  <c r="S2710"/>
  <c r="Q2710"/>
  <c r="R2710"/>
  <c r="S2714"/>
  <c r="Q2714"/>
  <c r="R2714"/>
  <c r="S2718"/>
  <c r="Q2718"/>
  <c r="R2718"/>
  <c r="R2739"/>
  <c r="S2739"/>
  <c r="Q2739"/>
  <c r="R2745"/>
  <c r="S2745"/>
  <c r="Q2745"/>
  <c r="Q2778"/>
  <c r="R2778"/>
  <c r="S2778"/>
  <c r="Q290"/>
  <c r="R290"/>
  <c r="S290"/>
  <c r="R292"/>
  <c r="S292"/>
  <c r="Q292"/>
  <c r="Q294"/>
  <c r="R294"/>
  <c r="S294"/>
  <c r="S307"/>
  <c r="Q307"/>
  <c r="R307"/>
  <c r="Q309"/>
  <c r="R309"/>
  <c r="S309"/>
  <c r="R311"/>
  <c r="S311"/>
  <c r="Q311"/>
  <c r="Q313"/>
  <c r="R313"/>
  <c r="S313"/>
  <c r="R315"/>
  <c r="S315"/>
  <c r="Q315"/>
  <c r="Q325"/>
  <c r="R325"/>
  <c r="S325"/>
  <c r="Q332"/>
  <c r="R332"/>
  <c r="S332"/>
  <c r="R334"/>
  <c r="S334"/>
  <c r="Q334"/>
  <c r="Q336"/>
  <c r="R336"/>
  <c r="S336"/>
  <c r="R340"/>
  <c r="S340"/>
  <c r="Q340"/>
  <c r="Q342"/>
  <c r="R342"/>
  <c r="S342"/>
  <c r="S271"/>
  <c r="Q271"/>
  <c r="R271"/>
  <c r="Q297"/>
  <c r="R297"/>
  <c r="S297"/>
  <c r="S299"/>
  <c r="Q299"/>
  <c r="R299"/>
  <c r="Q301"/>
  <c r="R301"/>
  <c r="S301"/>
  <c r="S303"/>
  <c r="Q303"/>
  <c r="R303"/>
  <c r="Q305"/>
  <c r="R305"/>
  <c r="S305"/>
  <c r="Q142"/>
  <c r="R142"/>
  <c r="S142"/>
  <c r="Q146"/>
  <c r="R146"/>
  <c r="S146"/>
  <c r="Q150"/>
  <c r="R150"/>
  <c r="S150"/>
  <c r="Q158"/>
  <c r="R158"/>
  <c r="S158"/>
  <c r="Q162"/>
  <c r="R162"/>
  <c r="S162"/>
  <c r="Q3111"/>
  <c r="R3111"/>
  <c r="S3111"/>
  <c r="Q3123"/>
  <c r="R3123"/>
  <c r="S3123"/>
  <c r="Q3135"/>
  <c r="R3135"/>
  <c r="S3135"/>
  <c r="Q3147"/>
  <c r="R3147"/>
  <c r="S3147"/>
  <c r="Q3163"/>
  <c r="R3163"/>
  <c r="S3163"/>
  <c r="Q3175"/>
  <c r="R3175"/>
  <c r="S3175"/>
  <c r="Q3187"/>
  <c r="R3187"/>
  <c r="S3187"/>
  <c r="Q3199"/>
  <c r="R3199"/>
  <c r="S3199"/>
  <c r="Q3215"/>
  <c r="R3215"/>
  <c r="S3215"/>
  <c r="S2969"/>
  <c r="Q2969"/>
  <c r="R2969"/>
  <c r="S2993"/>
  <c r="Q2993"/>
  <c r="R2993"/>
  <c r="S3006"/>
  <c r="Q3006"/>
  <c r="R3006"/>
  <c r="Q3023"/>
  <c r="R3023"/>
  <c r="S3023"/>
  <c r="S3043"/>
  <c r="Q3043"/>
  <c r="R3043"/>
  <c r="Q3086"/>
  <c r="R3086"/>
  <c r="S3086"/>
  <c r="S2807"/>
  <c r="Q2807"/>
  <c r="R2807"/>
  <c r="Q2821"/>
  <c r="R2821"/>
  <c r="S2821"/>
  <c r="Q2868"/>
  <c r="R2868"/>
  <c r="S2868"/>
  <c r="S3108"/>
  <c r="Q3108"/>
  <c r="R3108"/>
  <c r="S3116"/>
  <c r="Q3116"/>
  <c r="R3116"/>
  <c r="S3124"/>
  <c r="Q3124"/>
  <c r="R3124"/>
  <c r="S3132"/>
  <c r="Q3132"/>
  <c r="R3132"/>
  <c r="S3140"/>
  <c r="Q3140"/>
  <c r="R3140"/>
  <c r="S3152"/>
  <c r="Q3152"/>
  <c r="R3152"/>
  <c r="S3164"/>
  <c r="Q3164"/>
  <c r="R3164"/>
  <c r="S3180"/>
  <c r="Q3180"/>
  <c r="R3180"/>
  <c r="S3192"/>
  <c r="Q3192"/>
  <c r="R3192"/>
  <c r="S3204"/>
  <c r="Q3204"/>
  <c r="R3204"/>
  <c r="S3216"/>
  <c r="Q3216"/>
  <c r="R3216"/>
  <c r="Q2966"/>
  <c r="R2966"/>
  <c r="S2966"/>
  <c r="Q2978"/>
  <c r="R2978"/>
  <c r="S2978"/>
  <c r="S2995"/>
  <c r="Q2995"/>
  <c r="R2995"/>
  <c r="Q3007"/>
  <c r="R3007"/>
  <c r="S3007"/>
  <c r="S3024"/>
  <c r="Q3024"/>
  <c r="R3024"/>
  <c r="Q3037"/>
  <c r="R3037"/>
  <c r="S3037"/>
  <c r="S3048"/>
  <c r="Q3048"/>
  <c r="R3048"/>
  <c r="Q3087"/>
  <c r="R3087"/>
  <c r="S3087"/>
  <c r="Q3095"/>
  <c r="R3095"/>
  <c r="S3095"/>
  <c r="Q2788"/>
  <c r="R2788"/>
  <c r="S2788"/>
  <c r="Q2812"/>
  <c r="R2812"/>
  <c r="S2812"/>
  <c r="S2822"/>
  <c r="Q2822"/>
  <c r="R2822"/>
  <c r="Q2835"/>
  <c r="R2835"/>
  <c r="S2835"/>
  <c r="R2853"/>
  <c r="S2853"/>
  <c r="Q2853"/>
  <c r="Q2876"/>
  <c r="R2876"/>
  <c r="S2876"/>
  <c r="S2883"/>
  <c r="Q2883"/>
  <c r="R2883"/>
  <c r="S2885"/>
  <c r="Q2885"/>
  <c r="R2885"/>
  <c r="R2889"/>
  <c r="S2889"/>
  <c r="Q2889"/>
  <c r="Q2902"/>
  <c r="R2902"/>
  <c r="S2902"/>
  <c r="R2893"/>
  <c r="S2893"/>
  <c r="Q2893"/>
  <c r="Q2915"/>
  <c r="R2915"/>
  <c r="S2915"/>
  <c r="R2921"/>
  <c r="S2921"/>
  <c r="Q2921"/>
  <c r="Q2926"/>
  <c r="R2926"/>
  <c r="S2926"/>
  <c r="R2931"/>
  <c r="S2931"/>
  <c r="Q2931"/>
  <c r="R2935"/>
  <c r="S2935"/>
  <c r="Q2935"/>
  <c r="Q2940"/>
  <c r="R2940"/>
  <c r="S2940"/>
  <c r="R2944"/>
  <c r="S2944"/>
  <c r="Q2944"/>
  <c r="Q2760"/>
  <c r="R2760"/>
  <c r="S2760"/>
  <c r="Q2674"/>
  <c r="R2674"/>
  <c r="S2674"/>
  <c r="Q2678"/>
  <c r="R2678"/>
  <c r="S2678"/>
  <c r="Q2682"/>
  <c r="R2682"/>
  <c r="S2682"/>
  <c r="S2688"/>
  <c r="Q2688"/>
  <c r="R2688"/>
  <c r="Q2695"/>
  <c r="R2695"/>
  <c r="S2695"/>
  <c r="Q2701"/>
  <c r="R2701"/>
  <c r="S2701"/>
  <c r="S2706"/>
  <c r="Q2706"/>
  <c r="R2706"/>
  <c r="Q2711"/>
  <c r="R2711"/>
  <c r="S2711"/>
  <c r="Q2715"/>
  <c r="R2715"/>
  <c r="S2715"/>
  <c r="S2720"/>
  <c r="Q2720"/>
  <c r="R2720"/>
  <c r="Q2742"/>
  <c r="R2742"/>
  <c r="S2742"/>
  <c r="Q2746"/>
  <c r="R2746"/>
  <c r="S2746"/>
  <c r="S2779"/>
  <c r="Q2779"/>
  <c r="R2779"/>
  <c r="R36"/>
  <c r="S36"/>
  <c r="Q36"/>
  <c r="Q38"/>
  <c r="R38"/>
  <c r="S38"/>
  <c r="R40"/>
  <c r="S40"/>
  <c r="Q40"/>
  <c r="Q42"/>
  <c r="R42"/>
  <c r="S42"/>
  <c r="S43"/>
  <c r="Q43"/>
  <c r="R43"/>
  <c r="Q45"/>
  <c r="R45"/>
  <c r="S45"/>
  <c r="S47"/>
  <c r="Q47"/>
  <c r="R47"/>
  <c r="Q273"/>
  <c r="R273"/>
  <c r="S273"/>
  <c r="Q286"/>
  <c r="R286"/>
  <c r="S286"/>
  <c r="R288"/>
  <c r="S288"/>
  <c r="Q288"/>
  <c r="Q317"/>
  <c r="R317"/>
  <c r="S317"/>
  <c r="R319"/>
  <c r="S319"/>
  <c r="Q319"/>
  <c r="Q321"/>
  <c r="R321"/>
  <c r="S321"/>
  <c r="R323"/>
  <c r="S323"/>
  <c r="Q323"/>
  <c r="Q328"/>
  <c r="R328"/>
  <c r="S328"/>
  <c r="S330"/>
  <c r="Q330"/>
  <c r="R330"/>
  <c r="Q139"/>
  <c r="R139"/>
  <c r="S139"/>
  <c r="R141"/>
  <c r="S141"/>
  <c r="Q141"/>
  <c r="R145"/>
  <c r="S145"/>
  <c r="Q145"/>
  <c r="R149"/>
  <c r="S149"/>
  <c r="Q149"/>
  <c r="S152"/>
  <c r="Q152"/>
  <c r="R152"/>
  <c r="Q154"/>
  <c r="R154"/>
  <c r="S154"/>
  <c r="R157"/>
  <c r="S157"/>
  <c r="Q157"/>
  <c r="R161"/>
  <c r="S161"/>
  <c r="Q161"/>
  <c r="R165"/>
  <c r="S165"/>
  <c r="Q165"/>
  <c r="A3116"/>
  <c r="A3128"/>
  <c r="A3140"/>
  <c r="A3156"/>
  <c r="A3172"/>
  <c r="A3109"/>
  <c r="A3121"/>
  <c r="A3129"/>
  <c r="A3137"/>
  <c r="A3149"/>
  <c r="A3157"/>
  <c r="A3165"/>
  <c r="A3169"/>
  <c r="A3173"/>
  <c r="A3181"/>
  <c r="A3185"/>
  <c r="A3189"/>
  <c r="A3193"/>
  <c r="A3197"/>
  <c r="A3201"/>
  <c r="A3205"/>
  <c r="A3209"/>
  <c r="A3213"/>
  <c r="A3217"/>
  <c r="A2566"/>
  <c r="A2603"/>
  <c r="A3106"/>
  <c r="A3110"/>
  <c r="A3114"/>
  <c r="A3118"/>
  <c r="A3122"/>
  <c r="A3126"/>
  <c r="A3130"/>
  <c r="A3134"/>
  <c r="A3138"/>
  <c r="A3142"/>
  <c r="A3146"/>
  <c r="A3150"/>
  <c r="A3154"/>
  <c r="A3158"/>
  <c r="A3162"/>
  <c r="A3166"/>
  <c r="A3170"/>
  <c r="A3174"/>
  <c r="A3178"/>
  <c r="A3182"/>
  <c r="A3186"/>
  <c r="A3194"/>
  <c r="A3202"/>
  <c r="A3206"/>
  <c r="A3214"/>
  <c r="A3218"/>
  <c r="A2964"/>
  <c r="A2972"/>
  <c r="A2976"/>
  <c r="A2990"/>
  <c r="A2998"/>
  <c r="A3009"/>
  <c r="A3013"/>
  <c r="A3026"/>
  <c r="A3042"/>
  <c r="A3050"/>
  <c r="A3093"/>
  <c r="A2601"/>
  <c r="A3107"/>
  <c r="A3111"/>
  <c r="A3115"/>
  <c r="A3119"/>
  <c r="A3123"/>
  <c r="A3127"/>
  <c r="A3131"/>
  <c r="A3135"/>
  <c r="A3139"/>
  <c r="A3143"/>
  <c r="A3147"/>
  <c r="A3151"/>
  <c r="A3155"/>
  <c r="A3159"/>
  <c r="A3163"/>
  <c r="A3167"/>
  <c r="A3171"/>
  <c r="A3175"/>
  <c r="A3179"/>
  <c r="A3183"/>
  <c r="A3187"/>
  <c r="A3191"/>
  <c r="A3195"/>
  <c r="A3199"/>
  <c r="A3203"/>
  <c r="A3207"/>
  <c r="A3211"/>
  <c r="A3215"/>
  <c r="A3219"/>
  <c r="A3223"/>
  <c r="A2965"/>
  <c r="A2969"/>
  <c r="A2973"/>
  <c r="A2977"/>
  <c r="A2981"/>
  <c r="A2993"/>
  <c r="A3002"/>
  <c r="A3006"/>
  <c r="A3010"/>
  <c r="A3014"/>
  <c r="A3023"/>
  <c r="A3027"/>
  <c r="A3031"/>
  <c r="A3043"/>
  <c r="A3047"/>
  <c r="A3051"/>
  <c r="A3086"/>
  <c r="A3090"/>
  <c r="A3094"/>
  <c r="A2781"/>
  <c r="A2803"/>
  <c r="A2807"/>
  <c r="A2811"/>
  <c r="A2817"/>
  <c r="A2821"/>
  <c r="A2825"/>
  <c r="A2834"/>
  <c r="A2838"/>
  <c r="A2850"/>
  <c r="A2857"/>
  <c r="A2868"/>
  <c r="A2846"/>
  <c r="A2882"/>
  <c r="A2880"/>
  <c r="A2888"/>
  <c r="A2901"/>
  <c r="A2892"/>
  <c r="A2896"/>
  <c r="A2914"/>
  <c r="A2920"/>
  <c r="A2924"/>
  <c r="A2928"/>
  <c r="A2932"/>
  <c r="A2936"/>
  <c r="A2941"/>
  <c r="A2761"/>
  <c r="A2675"/>
  <c r="A2679"/>
  <c r="A2683"/>
  <c r="A2689"/>
  <c r="A2696"/>
  <c r="A2702"/>
  <c r="A2708"/>
  <c r="A2712"/>
  <c r="A2716"/>
  <c r="A2643"/>
  <c r="A2743"/>
  <c r="A2752"/>
  <c r="A34"/>
  <c r="A291"/>
  <c r="A293"/>
  <c r="A306"/>
  <c r="A308"/>
  <c r="A310"/>
  <c r="A312"/>
  <c r="A314"/>
  <c r="A324"/>
  <c r="A326"/>
  <c r="A333"/>
  <c r="A335"/>
  <c r="A339"/>
  <c r="A341"/>
  <c r="A343"/>
  <c r="A270"/>
  <c r="A296"/>
  <c r="A298"/>
  <c r="A300"/>
  <c r="A302"/>
  <c r="A304"/>
  <c r="A144"/>
  <c r="A148"/>
  <c r="A156"/>
  <c r="A160"/>
  <c r="A164"/>
  <c r="A3108"/>
  <c r="A3132"/>
  <c r="A3148"/>
  <c r="A3160"/>
  <c r="A3168"/>
  <c r="A3176"/>
  <c r="A3180"/>
  <c r="A3184"/>
  <c r="A3188"/>
  <c r="A3192"/>
  <c r="A3196"/>
  <c r="A3200"/>
  <c r="A3204"/>
  <c r="A3208"/>
  <c r="A3212"/>
  <c r="A3216"/>
  <c r="A3220"/>
  <c r="A2945"/>
  <c r="A2966"/>
  <c r="A2970"/>
  <c r="A2974"/>
  <c r="A2978"/>
  <c r="A2982"/>
  <c r="A2995"/>
  <c r="A3003"/>
  <c r="A3007"/>
  <c r="A3011"/>
  <c r="A3020"/>
  <c r="A3024"/>
  <c r="A3028"/>
  <c r="A3037"/>
  <c r="A3044"/>
  <c r="A3048"/>
  <c r="A3052"/>
  <c r="A3087"/>
  <c r="A3091"/>
  <c r="A3095"/>
  <c r="A2788"/>
  <c r="A2804"/>
  <c r="A2808"/>
  <c r="A2812"/>
  <c r="A2818"/>
  <c r="A2822"/>
  <c r="A2828"/>
  <c r="A2835"/>
  <c r="A2843"/>
  <c r="A2853"/>
  <c r="A2863"/>
  <c r="A2876"/>
  <c r="A2877"/>
  <c r="A2883"/>
  <c r="A2885"/>
  <c r="A2889"/>
  <c r="A2902"/>
  <c r="A2893"/>
  <c r="A2898"/>
  <c r="A2915"/>
  <c r="A2921"/>
  <c r="A2925"/>
  <c r="A2929"/>
  <c r="A2933"/>
  <c r="A2937"/>
  <c r="A2942"/>
  <c r="A2672"/>
  <c r="A2676"/>
  <c r="A2680"/>
  <c r="A2684"/>
  <c r="A2692"/>
  <c r="A2697"/>
  <c r="A2703"/>
  <c r="A2709"/>
  <c r="A2713"/>
  <c r="A2717"/>
  <c r="A2738"/>
  <c r="A2744"/>
  <c r="A2753"/>
  <c r="A35"/>
  <c r="A37"/>
  <c r="A39"/>
  <c r="A41"/>
  <c r="A44"/>
  <c r="A46"/>
  <c r="A48"/>
  <c r="A272"/>
  <c r="A285"/>
  <c r="A287"/>
  <c r="A289"/>
  <c r="A316"/>
  <c r="A318"/>
  <c r="A320"/>
  <c r="A322"/>
  <c r="A327"/>
  <c r="A329"/>
  <c r="A331"/>
  <c r="A140"/>
  <c r="A143"/>
  <c r="A147"/>
  <c r="A151"/>
  <c r="A153"/>
  <c r="A155"/>
  <c r="A159"/>
  <c r="A163"/>
  <c r="A166"/>
  <c r="A3112"/>
  <c r="A3120"/>
  <c r="A3144"/>
  <c r="A3105"/>
  <c r="A3117"/>
  <c r="A3141"/>
  <c r="A3153"/>
  <c r="A3177"/>
  <c r="A3221"/>
  <c r="A2946"/>
  <c r="A2967"/>
  <c r="A2971"/>
  <c r="A2975"/>
  <c r="A2979"/>
  <c r="A2986"/>
  <c r="A2997"/>
  <c r="A3004"/>
  <c r="A3008"/>
  <c r="A3012"/>
  <c r="A3021"/>
  <c r="A3025"/>
  <c r="A3029"/>
  <c r="A3041"/>
  <c r="A3045"/>
  <c r="A3049"/>
  <c r="A3075"/>
  <c r="A3084"/>
  <c r="A3088"/>
  <c r="A3092"/>
  <c r="A3096"/>
  <c r="A2917"/>
  <c r="A2801"/>
  <c r="A2805"/>
  <c r="A2809"/>
  <c r="A2813"/>
  <c r="A2819"/>
  <c r="A2823"/>
  <c r="A2829"/>
  <c r="A2836"/>
  <c r="A2844"/>
  <c r="A2855"/>
  <c r="A2864"/>
  <c r="A2874"/>
  <c r="A2878"/>
  <c r="A2884"/>
  <c r="A2886"/>
  <c r="A2890"/>
  <c r="A2903"/>
  <c r="A2894"/>
  <c r="A2899"/>
  <c r="A2916"/>
  <c r="A2926"/>
  <c r="A2930"/>
  <c r="A2934"/>
  <c r="A2939"/>
  <c r="A2943"/>
  <c r="A2641"/>
  <c r="A2673"/>
  <c r="A2677"/>
  <c r="A2681"/>
  <c r="A2687"/>
  <c r="A2693"/>
  <c r="A2700"/>
  <c r="A2704"/>
  <c r="A2710"/>
  <c r="A2714"/>
  <c r="A2718"/>
  <c r="A2739"/>
  <c r="A2745"/>
  <c r="A2778"/>
  <c r="A290"/>
  <c r="A292"/>
  <c r="A294"/>
  <c r="A307"/>
  <c r="A309"/>
  <c r="A311"/>
  <c r="A313"/>
  <c r="A315"/>
  <c r="A325"/>
  <c r="A332"/>
  <c r="A334"/>
  <c r="A336"/>
  <c r="A340"/>
  <c r="A342"/>
  <c r="A271"/>
  <c r="A297"/>
  <c r="A299"/>
  <c r="A301"/>
  <c r="A303"/>
  <c r="A305"/>
  <c r="A142"/>
  <c r="A146"/>
  <c r="A150"/>
  <c r="A158"/>
  <c r="A162"/>
  <c r="A3124"/>
  <c r="A3136"/>
  <c r="A3152"/>
  <c r="A3164"/>
  <c r="A2567"/>
  <c r="A3113"/>
  <c r="A3125"/>
  <c r="A3133"/>
  <c r="A3145"/>
  <c r="A3161"/>
  <c r="A3190"/>
  <c r="A3198"/>
  <c r="A3210"/>
  <c r="A3222"/>
  <c r="A2968"/>
  <c r="A2980"/>
  <c r="A3005"/>
  <c r="A3022"/>
  <c r="A3030"/>
  <c r="A3046"/>
  <c r="A3077"/>
  <c r="A3085"/>
  <c r="A3089"/>
  <c r="A3097"/>
  <c r="A2780"/>
  <c r="A2802"/>
  <c r="A2806"/>
  <c r="A2810"/>
  <c r="A2814"/>
  <c r="A2820"/>
  <c r="A2824"/>
  <c r="A2833"/>
  <c r="A2837"/>
  <c r="A2849"/>
  <c r="A2856"/>
  <c r="A2865"/>
  <c r="A2845"/>
  <c r="A2881"/>
  <c r="A2879"/>
  <c r="A2887"/>
  <c r="A2891"/>
  <c r="A2904"/>
  <c r="A2895"/>
  <c r="A2900"/>
  <c r="A2919"/>
  <c r="A2923"/>
  <c r="A2931"/>
  <c r="A2935"/>
  <c r="A2940"/>
  <c r="A2944"/>
  <c r="A2760"/>
  <c r="A2674"/>
  <c r="A2678"/>
  <c r="A2682"/>
  <c r="A2688"/>
  <c r="A2695"/>
  <c r="A2701"/>
  <c r="A2706"/>
  <c r="A2711"/>
  <c r="A2715"/>
  <c r="A2720"/>
  <c r="A2742"/>
  <c r="A2746"/>
  <c r="A2779"/>
  <c r="A36"/>
  <c r="A38"/>
  <c r="A40"/>
  <c r="A42"/>
  <c r="A43"/>
  <c r="A45"/>
  <c r="A47"/>
  <c r="A273"/>
  <c r="A286"/>
  <c r="A288"/>
  <c r="A317"/>
  <c r="A319"/>
  <c r="A321"/>
  <c r="A323"/>
  <c r="A328"/>
  <c r="A330"/>
  <c r="A139"/>
  <c r="A141"/>
  <c r="A145"/>
  <c r="A149"/>
  <c r="A152"/>
  <c r="A154"/>
  <c r="A157"/>
  <c r="A161"/>
  <c r="A165"/>
  <c r="B295"/>
  <c r="B276"/>
  <c r="B278"/>
  <c r="B275"/>
  <c r="B277"/>
  <c r="B279"/>
  <c r="B283"/>
  <c r="B284"/>
  <c r="B280"/>
  <c r="B282"/>
  <c r="B281"/>
  <c r="S279" l="1"/>
  <c r="Q279"/>
  <c r="R279"/>
  <c r="Q277"/>
  <c r="R277"/>
  <c r="S277"/>
  <c r="R284"/>
  <c r="S284"/>
  <c r="Q284"/>
  <c r="S275"/>
  <c r="Q275"/>
  <c r="R275"/>
  <c r="Q282"/>
  <c r="R282"/>
  <c r="S282"/>
  <c r="R280"/>
  <c r="S280"/>
  <c r="Q280"/>
  <c r="S295"/>
  <c r="Q295"/>
  <c r="R295"/>
  <c r="Q281"/>
  <c r="R281"/>
  <c r="S281"/>
  <c r="S283"/>
  <c r="Q283"/>
  <c r="R283"/>
  <c r="Q278"/>
  <c r="R278"/>
  <c r="S278"/>
  <c r="R276"/>
  <c r="S276"/>
  <c r="Q276"/>
  <c r="A284"/>
  <c r="A281"/>
  <c r="A278"/>
  <c r="A282"/>
  <c r="A279"/>
  <c r="A276"/>
  <c r="A275"/>
  <c r="A280"/>
  <c r="A277"/>
  <c r="A295"/>
  <c r="A283"/>
  <c r="M2569"/>
  <c r="E2569"/>
  <c r="AA2569" s="1"/>
  <c r="B2569"/>
  <c r="E2531"/>
  <c r="AA2531" s="1"/>
  <c r="B2531"/>
  <c r="Q2531" l="1"/>
  <c r="S2531"/>
  <c r="R2531"/>
  <c r="Q2569"/>
  <c r="R2569"/>
  <c r="S2569"/>
  <c r="A2569"/>
  <c r="A2531"/>
  <c r="B2634"/>
  <c r="B2635"/>
  <c r="A34" i="12"/>
  <c r="B2638" i="34"/>
  <c r="B2639"/>
  <c r="B2640"/>
  <c r="Q2639" l="1"/>
  <c r="R2639"/>
  <c r="S2639"/>
  <c r="Q2638"/>
  <c r="R2638"/>
  <c r="S2638"/>
  <c r="Q2634"/>
  <c r="R2634"/>
  <c r="S2634"/>
  <c r="S2640"/>
  <c r="Q2640"/>
  <c r="R2640"/>
  <c r="Q2635"/>
  <c r="R2635"/>
  <c r="S2635"/>
  <c r="A2638"/>
  <c r="A2634"/>
  <c r="A2640"/>
  <c r="A2639"/>
  <c r="A2635"/>
  <c r="E2560"/>
  <c r="AA2560" s="1"/>
  <c r="B2560"/>
  <c r="Q2560" l="1"/>
  <c r="R2560"/>
  <c r="S2560"/>
  <c r="A2560"/>
  <c r="E2522"/>
  <c r="AA2522" s="1"/>
  <c r="B2522"/>
  <c r="M2521"/>
  <c r="E2564"/>
  <c r="AA2564" s="1"/>
  <c r="B2564"/>
  <c r="R2564" l="1"/>
  <c r="S2564"/>
  <c r="Q2564"/>
  <c r="S2522"/>
  <c r="R2522"/>
  <c r="Q2522"/>
  <c r="A2522"/>
  <c r="A2564"/>
  <c r="M2506"/>
  <c r="M2609"/>
  <c r="M2448" l="1"/>
  <c r="M2480"/>
  <c r="M2431"/>
  <c r="M2432"/>
  <c r="M2449"/>
  <c r="M2501"/>
  <c r="M2502"/>
  <c r="M2503"/>
  <c r="M2447"/>
  <c r="B2592"/>
  <c r="E2592"/>
  <c r="AA2592" s="1"/>
  <c r="M2592"/>
  <c r="B2593"/>
  <c r="E2593"/>
  <c r="AA2593" s="1"/>
  <c r="M2593"/>
  <c r="E2607"/>
  <c r="AA2607" s="1"/>
  <c r="B2607"/>
  <c r="E2606"/>
  <c r="AA2606" s="1"/>
  <c r="B2606"/>
  <c r="E2604"/>
  <c r="AA2604" s="1"/>
  <c r="B2604"/>
  <c r="E2602"/>
  <c r="AA2602" s="1"/>
  <c r="B2602"/>
  <c r="E2600"/>
  <c r="AA2600" s="1"/>
  <c r="B2600"/>
  <c r="E2578"/>
  <c r="AA2578" s="1"/>
  <c r="B2578"/>
  <c r="E2577"/>
  <c r="AA2577" s="1"/>
  <c r="B2577"/>
  <c r="E2561"/>
  <c r="AA2561" s="1"/>
  <c r="B2561"/>
  <c r="E2552"/>
  <c r="AA2552" s="1"/>
  <c r="B2552"/>
  <c r="E2551"/>
  <c r="AA2551" s="1"/>
  <c r="B2551"/>
  <c r="B2530"/>
  <c r="E2530"/>
  <c r="AA2530" s="1"/>
  <c r="B2524"/>
  <c r="E2524"/>
  <c r="AA2524" s="1"/>
  <c r="M2523"/>
  <c r="E2523"/>
  <c r="AA2523" s="1"/>
  <c r="B2523"/>
  <c r="M2520"/>
  <c r="K233"/>
  <c r="M233" s="1"/>
  <c r="K232"/>
  <c r="M232" s="1"/>
  <c r="B231"/>
  <c r="E231"/>
  <c r="AA231" s="1"/>
  <c r="K231"/>
  <c r="M231" s="1"/>
  <c r="B230"/>
  <c r="E230"/>
  <c r="AA230" s="1"/>
  <c r="K230"/>
  <c r="M230" s="1"/>
  <c r="B229"/>
  <c r="E229"/>
  <c r="AA229" s="1"/>
  <c r="K229"/>
  <c r="M229" s="1"/>
  <c r="B228"/>
  <c r="E228"/>
  <c r="AA228" s="1"/>
  <c r="K228"/>
  <c r="M228" s="1"/>
  <c r="B225"/>
  <c r="E225"/>
  <c r="AA225" s="1"/>
  <c r="K225"/>
  <c r="M225" s="1"/>
  <c r="B226"/>
  <c r="E226"/>
  <c r="AA226" s="1"/>
  <c r="K226"/>
  <c r="M226" s="1"/>
  <c r="B227"/>
  <c r="E227"/>
  <c r="AA227" s="1"/>
  <c r="K227"/>
  <c r="M227" s="1"/>
  <c r="K224"/>
  <c r="M224" s="1"/>
  <c r="E224"/>
  <c r="AA224" s="1"/>
  <c r="B224"/>
  <c r="Q2551" l="1"/>
  <c r="R2551"/>
  <c r="S2551"/>
  <c r="Q2602"/>
  <c r="R2602"/>
  <c r="S2602"/>
  <c r="Q2523"/>
  <c r="S2523"/>
  <c r="R2523"/>
  <c r="R226"/>
  <c r="S226"/>
  <c r="Q226"/>
  <c r="R230"/>
  <c r="S230"/>
  <c r="Q230"/>
  <c r="R2552"/>
  <c r="S2552"/>
  <c r="Q2552"/>
  <c r="Q227"/>
  <c r="R227"/>
  <c r="S227"/>
  <c r="S229"/>
  <c r="Q229"/>
  <c r="R229"/>
  <c r="S2530"/>
  <c r="Q2530"/>
  <c r="R2530"/>
  <c r="Q228"/>
  <c r="R228"/>
  <c r="S228"/>
  <c r="R2578"/>
  <c r="S2578"/>
  <c r="Q2578"/>
  <c r="S2606"/>
  <c r="Q2606"/>
  <c r="R2606"/>
  <c r="S2592"/>
  <c r="Q2592"/>
  <c r="R2592"/>
  <c r="R2561"/>
  <c r="S2561"/>
  <c r="Q2561"/>
  <c r="S225"/>
  <c r="Q225"/>
  <c r="R225"/>
  <c r="Q231"/>
  <c r="R231"/>
  <c r="S231"/>
  <c r="S2524"/>
  <c r="Q2524"/>
  <c r="R2524"/>
  <c r="Q224"/>
  <c r="R224"/>
  <c r="S224"/>
  <c r="Q2577"/>
  <c r="R2577"/>
  <c r="S2577"/>
  <c r="Q2600"/>
  <c r="R2600"/>
  <c r="S2600"/>
  <c r="Q2604"/>
  <c r="R2604"/>
  <c r="S2604"/>
  <c r="Q2607"/>
  <c r="R2607"/>
  <c r="S2607"/>
  <c r="Q2593"/>
  <c r="R2593"/>
  <c r="S2593"/>
  <c r="A231"/>
  <c r="A2524"/>
  <c r="A230"/>
  <c r="A2577"/>
  <c r="A2600"/>
  <c r="A2604"/>
  <c r="A2593"/>
  <c r="A227"/>
  <c r="A229"/>
  <c r="A2530"/>
  <c r="A2551"/>
  <c r="A2561"/>
  <c r="A2578"/>
  <c r="A2602"/>
  <c r="A2606"/>
  <c r="A228"/>
  <c r="A225"/>
  <c r="A2592"/>
  <c r="A2523"/>
  <c r="A224"/>
  <c r="A226"/>
  <c r="A2552"/>
  <c r="A2607"/>
  <c r="M2574"/>
  <c r="E2574"/>
  <c r="AA2574" s="1"/>
  <c r="B2574"/>
  <c r="M2572"/>
  <c r="E2572"/>
  <c r="AA2572" s="1"/>
  <c r="B2572"/>
  <c r="M2573"/>
  <c r="M2594"/>
  <c r="M2571"/>
  <c r="B2075"/>
  <c r="B2076"/>
  <c r="B2077"/>
  <c r="B2078"/>
  <c r="Q2075" l="1"/>
  <c r="R2075"/>
  <c r="S2075"/>
  <c r="R2572"/>
  <c r="S2572"/>
  <c r="Q2572"/>
  <c r="R2078"/>
  <c r="S2078"/>
  <c r="Q2078"/>
  <c r="Q2077"/>
  <c r="R2077"/>
  <c r="S2077"/>
  <c r="R2574"/>
  <c r="S2574"/>
  <c r="Q2574"/>
  <c r="R2076"/>
  <c r="S2076"/>
  <c r="Q2076"/>
  <c r="A2076"/>
  <c r="A2574"/>
  <c r="A2572"/>
  <c r="A2075"/>
  <c r="A2078"/>
  <c r="A2077"/>
  <c r="E2312"/>
  <c r="AA2312" s="1"/>
  <c r="B2312"/>
  <c r="M2273"/>
  <c r="E2273"/>
  <c r="AA2273" s="1"/>
  <c r="B2273"/>
  <c r="E2126"/>
  <c r="AA2126" s="1"/>
  <c r="B2126"/>
  <c r="B1975"/>
  <c r="E1972"/>
  <c r="AA1972" s="1"/>
  <c r="B1972"/>
  <c r="Q2126" l="1"/>
  <c r="R2126"/>
  <c r="S2126"/>
  <c r="Q2312"/>
  <c r="R2312"/>
  <c r="S2312"/>
  <c r="Q2273"/>
  <c r="R2273"/>
  <c r="S2273"/>
  <c r="R1975"/>
  <c r="S1975"/>
  <c r="Q1975"/>
  <c r="Q1972"/>
  <c r="R1972"/>
  <c r="S1972"/>
  <c r="A2126"/>
  <c r="A1972"/>
  <c r="A1975"/>
  <c r="A2312"/>
  <c r="A2273"/>
  <c r="E2346"/>
  <c r="AA2346" s="1"/>
  <c r="B2346"/>
  <c r="M2345"/>
  <c r="E2345"/>
  <c r="AA2345" s="1"/>
  <c r="B2345"/>
  <c r="M2344"/>
  <c r="E2344"/>
  <c r="AA2344" s="1"/>
  <c r="B2344"/>
  <c r="M2338"/>
  <c r="M2347"/>
  <c r="M2348"/>
  <c r="M2349"/>
  <c r="E2078"/>
  <c r="AA2078" s="1"/>
  <c r="M2075"/>
  <c r="E2075"/>
  <c r="AA2075" s="1"/>
  <c r="E2120"/>
  <c r="AA2120" s="1"/>
  <c r="M2285"/>
  <c r="M2284"/>
  <c r="M2277"/>
  <c r="E2284"/>
  <c r="AA2284" s="1"/>
  <c r="B2284"/>
  <c r="E2278"/>
  <c r="AA2278" s="1"/>
  <c r="B2278"/>
  <c r="M2268"/>
  <c r="M2267"/>
  <c r="E2267"/>
  <c r="AA2267" s="1"/>
  <c r="B2267"/>
  <c r="M2264"/>
  <c r="E2265"/>
  <c r="AA2265" s="1"/>
  <c r="B2265"/>
  <c r="E2177"/>
  <c r="AA2177" s="1"/>
  <c r="B2177"/>
  <c r="A14" i="62"/>
  <c r="A15"/>
  <c r="A16"/>
  <c r="A17"/>
  <c r="A18"/>
  <c r="A19"/>
  <c r="M2310" i="34"/>
  <c r="M2337"/>
  <c r="M2311"/>
  <c r="M2106"/>
  <c r="M2116"/>
  <c r="M2131"/>
  <c r="E2131"/>
  <c r="AA2131" s="1"/>
  <c r="B2131"/>
  <c r="E2222"/>
  <c r="AA2222" s="1"/>
  <c r="B2222"/>
  <c r="E2022"/>
  <c r="AA2022" s="1"/>
  <c r="B2022"/>
  <c r="E2020"/>
  <c r="AA2020" s="1"/>
  <c r="B2020"/>
  <c r="E1999"/>
  <c r="AA1999" s="1"/>
  <c r="B1999"/>
  <c r="E2155"/>
  <c r="AA2155" s="1"/>
  <c r="B2155"/>
  <c r="E2152"/>
  <c r="AA2152" s="1"/>
  <c r="B2152"/>
  <c r="E2149"/>
  <c r="AA2149" s="1"/>
  <c r="B2149"/>
  <c r="E2146"/>
  <c r="AA2146" s="1"/>
  <c r="B2146"/>
  <c r="E2158"/>
  <c r="AA2158" s="1"/>
  <c r="B2158"/>
  <c r="E2142"/>
  <c r="AA2142" s="1"/>
  <c r="B2142"/>
  <c r="E2139"/>
  <c r="AA2139" s="1"/>
  <c r="B2139"/>
  <c r="E2136"/>
  <c r="AA2136" s="1"/>
  <c r="B2136"/>
  <c r="E2133"/>
  <c r="AA2133" s="1"/>
  <c r="B2133"/>
  <c r="E2161"/>
  <c r="AA2161" s="1"/>
  <c r="B2161"/>
  <c r="E2164"/>
  <c r="AA2164" s="1"/>
  <c r="B2164"/>
  <c r="E2167"/>
  <c r="AA2167" s="1"/>
  <c r="B2167"/>
  <c r="M2141"/>
  <c r="E2141"/>
  <c r="AA2141" s="1"/>
  <c r="B2141"/>
  <c r="M2138"/>
  <c r="E2138"/>
  <c r="AA2138" s="1"/>
  <c r="B2138"/>
  <c r="M2135"/>
  <c r="E2135"/>
  <c r="AA2135" s="1"/>
  <c r="B2135"/>
  <c r="A41" i="45"/>
  <c r="A35"/>
  <c r="A36"/>
  <c r="A37"/>
  <c r="A8"/>
  <c r="A33"/>
  <c r="A34"/>
  <c r="A38"/>
  <c r="A40"/>
  <c r="A39"/>
  <c r="A42"/>
  <c r="A43"/>
  <c r="A44"/>
  <c r="A45"/>
  <c r="A46"/>
  <c r="A48"/>
  <c r="A47"/>
  <c r="A49"/>
  <c r="M2163" i="34"/>
  <c r="M2160"/>
  <c r="M2132"/>
  <c r="M2157"/>
  <c r="M2145"/>
  <c r="M2148"/>
  <c r="M2151"/>
  <c r="M2154"/>
  <c r="M2166"/>
  <c r="Q2136" l="1"/>
  <c r="R2136"/>
  <c r="S2136"/>
  <c r="Q2146"/>
  <c r="R2146"/>
  <c r="S2146"/>
  <c r="R2022"/>
  <c r="S2022"/>
  <c r="Q2022"/>
  <c r="Q2265"/>
  <c r="R2265"/>
  <c r="S2265"/>
  <c r="Q2141"/>
  <c r="R2141"/>
  <c r="S2141"/>
  <c r="R2138"/>
  <c r="S2138"/>
  <c r="Q2138"/>
  <c r="R2164"/>
  <c r="S2164"/>
  <c r="Q2164"/>
  <c r="R2133"/>
  <c r="S2133"/>
  <c r="Q2133"/>
  <c r="Q2139"/>
  <c r="R2139"/>
  <c r="S2139"/>
  <c r="Q2158"/>
  <c r="R2158"/>
  <c r="S2158"/>
  <c r="S2149"/>
  <c r="Q2149"/>
  <c r="R2149"/>
  <c r="Q2155"/>
  <c r="R2155"/>
  <c r="S2155"/>
  <c r="R2020"/>
  <c r="S2020"/>
  <c r="Q2020"/>
  <c r="Q2222"/>
  <c r="R2222"/>
  <c r="S2222"/>
  <c r="S2177"/>
  <c r="R2177"/>
  <c r="Q2177"/>
  <c r="Q2344"/>
  <c r="R2344"/>
  <c r="S2344"/>
  <c r="S2135"/>
  <c r="Q2135"/>
  <c r="R2135"/>
  <c r="Q2267"/>
  <c r="R2267"/>
  <c r="S2267"/>
  <c r="Q2278"/>
  <c r="R2278"/>
  <c r="S2278"/>
  <c r="S2161"/>
  <c r="Q2161"/>
  <c r="R2161"/>
  <c r="R2152"/>
  <c r="S2152"/>
  <c r="Q2152"/>
  <c r="R2131"/>
  <c r="S2131"/>
  <c r="Q2131"/>
  <c r="Q2346"/>
  <c r="R2346"/>
  <c r="S2346"/>
  <c r="Q2167"/>
  <c r="R2167"/>
  <c r="S2167"/>
  <c r="S2142"/>
  <c r="Q2142"/>
  <c r="R2142"/>
  <c r="Q1999"/>
  <c r="R1999"/>
  <c r="S1999"/>
  <c r="Q2284"/>
  <c r="R2284"/>
  <c r="S2284"/>
  <c r="S2345"/>
  <c r="Q2345"/>
  <c r="R2345"/>
  <c r="A2135"/>
  <c r="A2161"/>
  <c r="A2142"/>
  <c r="A1999"/>
  <c r="A2131"/>
  <c r="A2138"/>
  <c r="A2164"/>
  <c r="A2133"/>
  <c r="A2139"/>
  <c r="A2158"/>
  <c r="A2149"/>
  <c r="A2155"/>
  <c r="A2020"/>
  <c r="A2222"/>
  <c r="A2177"/>
  <c r="A2344"/>
  <c r="A2267"/>
  <c r="A2278"/>
  <c r="A2146"/>
  <c r="A2265"/>
  <c r="A2346"/>
  <c r="A2167"/>
  <c r="A2136"/>
  <c r="A2152"/>
  <c r="A2022"/>
  <c r="A2141"/>
  <c r="A2284"/>
  <c r="A2345"/>
  <c r="E2266"/>
  <c r="AA2266" s="1"/>
  <c r="B2266"/>
  <c r="A5" i="43"/>
  <c r="E6"/>
  <c r="P11" i="34"/>
  <c r="T11"/>
  <c r="U11"/>
  <c r="V11"/>
  <c r="W11"/>
  <c r="Y11"/>
  <c r="AC11"/>
  <c r="S2266" l="1"/>
  <c r="Q2266"/>
  <c r="R2266"/>
  <c r="A2266"/>
  <c r="B2630"/>
  <c r="B2631"/>
  <c r="A31" i="12"/>
  <c r="A32"/>
  <c r="B548" i="34"/>
  <c r="E548"/>
  <c r="AA548" s="1"/>
  <c r="M545"/>
  <c r="M546"/>
  <c r="M547"/>
  <c r="M544"/>
  <c r="B50" i="55"/>
  <c r="A50" s="1"/>
  <c r="B51"/>
  <c r="A51" s="1"/>
  <c r="B52"/>
  <c r="A52" s="1"/>
  <c r="B544" i="34"/>
  <c r="E544"/>
  <c r="AA544" s="1"/>
  <c r="B545"/>
  <c r="E545"/>
  <c r="AA545" s="1"/>
  <c r="M2584"/>
  <c r="B48" i="55"/>
  <c r="A48" s="1"/>
  <c r="B49"/>
  <c r="A49" s="1"/>
  <c r="M542" i="34"/>
  <c r="M539"/>
  <c r="M540"/>
  <c r="E539"/>
  <c r="AA539" s="1"/>
  <c r="M538"/>
  <c r="M2470"/>
  <c r="M534"/>
  <c r="M535"/>
  <c r="M536"/>
  <c r="M533"/>
  <c r="B46" i="55"/>
  <c r="A46" s="1"/>
  <c r="B45"/>
  <c r="A45" s="1"/>
  <c r="B43"/>
  <c r="A43" s="1"/>
  <c r="B534" i="34"/>
  <c r="E534"/>
  <c r="AA534" s="1"/>
  <c r="B535"/>
  <c r="E535"/>
  <c r="AA535" s="1"/>
  <c r="B536"/>
  <c r="E536"/>
  <c r="AA536" s="1"/>
  <c r="E537"/>
  <c r="AA537" s="1"/>
  <c r="B537"/>
  <c r="E533"/>
  <c r="AA533" s="1"/>
  <c r="B533"/>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2472"/>
  <c r="E2472"/>
  <c r="AA2472" s="1"/>
  <c r="B538"/>
  <c r="E538"/>
  <c r="AA538" s="1"/>
  <c r="B539"/>
  <c r="B540"/>
  <c r="E540"/>
  <c r="AA540" s="1"/>
  <c r="B541"/>
  <c r="E541"/>
  <c r="AA541" s="1"/>
  <c r="B542"/>
  <c r="E542"/>
  <c r="AA542" s="1"/>
  <c r="B543"/>
  <c r="E543"/>
  <c r="AA543" s="1"/>
  <c r="B2584"/>
  <c r="E2584"/>
  <c r="AA2584" s="1"/>
  <c r="B2585"/>
  <c r="E2585"/>
  <c r="AA2585" s="1"/>
  <c r="B546"/>
  <c r="E546"/>
  <c r="AA546" s="1"/>
  <c r="B547"/>
  <c r="E547"/>
  <c r="AA547" s="1"/>
  <c r="B2426"/>
  <c r="B2427"/>
  <c r="B2615"/>
  <c r="B2616"/>
  <c r="B2617"/>
  <c r="B2618"/>
  <c r="B2619"/>
  <c r="B2627"/>
  <c r="B2628"/>
  <c r="B2632"/>
  <c r="B2633"/>
  <c r="B2623"/>
  <c r="B2624"/>
  <c r="B2625"/>
  <c r="B2626"/>
  <c r="B2629"/>
  <c r="B2636"/>
  <c r="B2637"/>
  <c r="B2415"/>
  <c r="B2416"/>
  <c r="B2417"/>
  <c r="B2620"/>
  <c r="B2621"/>
  <c r="B2622"/>
  <c r="B2166"/>
  <c r="E2166"/>
  <c r="AA2166" s="1"/>
  <c r="B2163"/>
  <c r="E2163"/>
  <c r="AA2163" s="1"/>
  <c r="B2160"/>
  <c r="E2160"/>
  <c r="AA2160" s="1"/>
  <c r="B2132"/>
  <c r="E2132"/>
  <c r="AA2132" s="1"/>
  <c r="B2157"/>
  <c r="E2157"/>
  <c r="AA2157" s="1"/>
  <c r="B2145"/>
  <c r="E2145"/>
  <c r="AA2145" s="1"/>
  <c r="B2148"/>
  <c r="E2148"/>
  <c r="AA2148" s="1"/>
  <c r="B2151"/>
  <c r="E2151"/>
  <c r="AA2151" s="1"/>
  <c r="B2154"/>
  <c r="E2154"/>
  <c r="AA2154" s="1"/>
  <c r="B2310"/>
  <c r="E2310"/>
  <c r="AA2310" s="1"/>
  <c r="B2337"/>
  <c r="E2337"/>
  <c r="AA2337" s="1"/>
  <c r="B2311"/>
  <c r="E2311"/>
  <c r="AA2311" s="1"/>
  <c r="B2347"/>
  <c r="E2347"/>
  <c r="AA2347" s="1"/>
  <c r="B2348"/>
  <c r="E2348"/>
  <c r="AA2348" s="1"/>
  <c r="B2349"/>
  <c r="E2349"/>
  <c r="AA2349" s="1"/>
  <c r="B2571"/>
  <c r="E2571"/>
  <c r="AA2571" s="1"/>
  <c r="B2573"/>
  <c r="E2573"/>
  <c r="AA2573" s="1"/>
  <c r="B2594"/>
  <c r="E2594"/>
  <c r="AA2594" s="1"/>
  <c r="B2446"/>
  <c r="E2446"/>
  <c r="AA2446" s="1"/>
  <c r="B232"/>
  <c r="E232"/>
  <c r="AA232" s="1"/>
  <c r="B233"/>
  <c r="E233"/>
  <c r="AA233" s="1"/>
  <c r="B2520"/>
  <c r="E2520"/>
  <c r="AA2520" s="1"/>
  <c r="B2521"/>
  <c r="E2521"/>
  <c r="AA2521" s="1"/>
  <c r="B2525"/>
  <c r="E2525"/>
  <c r="AA2525" s="1"/>
  <c r="B2526"/>
  <c r="E2526"/>
  <c r="AA2526" s="1"/>
  <c r="B2527"/>
  <c r="E2527"/>
  <c r="AA2527" s="1"/>
  <c r="B2528"/>
  <c r="E2528"/>
  <c r="AA2528" s="1"/>
  <c r="B2529"/>
  <c r="E2529"/>
  <c r="AA2529" s="1"/>
  <c r="B2553"/>
  <c r="E2553"/>
  <c r="AA2553" s="1"/>
  <c r="B2554"/>
  <c r="E2554"/>
  <c r="AA2554" s="1"/>
  <c r="B2555"/>
  <c r="E2555"/>
  <c r="AA2555" s="1"/>
  <c r="B2556"/>
  <c r="E2556"/>
  <c r="AA2556" s="1"/>
  <c r="B2557"/>
  <c r="E2557"/>
  <c r="AA2557" s="1"/>
  <c r="B2582"/>
  <c r="E2582"/>
  <c r="AA2582" s="1"/>
  <c r="B2447"/>
  <c r="E2447"/>
  <c r="AA2447" s="1"/>
  <c r="B2448"/>
  <c r="E2448"/>
  <c r="AA2448" s="1"/>
  <c r="B2480"/>
  <c r="E2480"/>
  <c r="AA2480" s="1"/>
  <c r="B2431"/>
  <c r="E2431"/>
  <c r="AA2431" s="1"/>
  <c r="B2432"/>
  <c r="E2432"/>
  <c r="AA2432" s="1"/>
  <c r="B2449"/>
  <c r="E2449"/>
  <c r="AA2449" s="1"/>
  <c r="B2450"/>
  <c r="E2450"/>
  <c r="AA2450" s="1"/>
  <c r="B2501"/>
  <c r="E2501"/>
  <c r="AA2501" s="1"/>
  <c r="B2502"/>
  <c r="E2502"/>
  <c r="AA2502" s="1"/>
  <c r="B2503"/>
  <c r="E2503"/>
  <c r="AA2503" s="1"/>
  <c r="B2506"/>
  <c r="E2506"/>
  <c r="AA2506" s="1"/>
  <c r="B2609"/>
  <c r="E2609"/>
  <c r="AA2609" s="1"/>
  <c r="B2493"/>
  <c r="E2493"/>
  <c r="AA2493" s="1"/>
  <c r="B2433"/>
  <c r="E2433"/>
  <c r="AA2433" s="1"/>
  <c r="B2434"/>
  <c r="E2434"/>
  <c r="AA2434" s="1"/>
  <c r="B2451"/>
  <c r="E2451"/>
  <c r="AA2451" s="1"/>
  <c r="B2452"/>
  <c r="E2452"/>
  <c r="AA2452" s="1"/>
  <c r="B2453"/>
  <c r="E2453"/>
  <c r="AA2453" s="1"/>
  <c r="B2454"/>
  <c r="E2454"/>
  <c r="AA2454" s="1"/>
  <c r="B2455"/>
  <c r="E2455"/>
  <c r="AA2455" s="1"/>
  <c r="B2456"/>
  <c r="E2456"/>
  <c r="AA2456" s="1"/>
  <c r="B2457"/>
  <c r="E2457"/>
  <c r="AA2457" s="1"/>
  <c r="B2458"/>
  <c r="E2458"/>
  <c r="AA2458" s="1"/>
  <c r="B2459"/>
  <c r="E2459"/>
  <c r="AA2459" s="1"/>
  <c r="B2460"/>
  <c r="E2460"/>
  <c r="AA2460" s="1"/>
  <c r="B2461"/>
  <c r="E2461"/>
  <c r="AA2461" s="1"/>
  <c r="B2462"/>
  <c r="E2462"/>
  <c r="AA2462" s="1"/>
  <c r="B2463"/>
  <c r="E2463"/>
  <c r="AA2463" s="1"/>
  <c r="B2464"/>
  <c r="E2464"/>
  <c r="AA2464" s="1"/>
  <c r="B2465"/>
  <c r="E2465"/>
  <c r="AA2465" s="1"/>
  <c r="B2494"/>
  <c r="E2494"/>
  <c r="AA2494" s="1"/>
  <c r="B2495"/>
  <c r="E2495"/>
  <c r="AA2495" s="1"/>
  <c r="B2496"/>
  <c r="E2496"/>
  <c r="AA2496" s="1"/>
  <c r="B2532"/>
  <c r="E2532"/>
  <c r="AA2532" s="1"/>
  <c r="B2533"/>
  <c r="E2533"/>
  <c r="AA2533" s="1"/>
  <c r="B2534"/>
  <c r="E2534"/>
  <c r="AA2534" s="1"/>
  <c r="B2535"/>
  <c r="E2535"/>
  <c r="AA2535" s="1"/>
  <c r="B2536"/>
  <c r="E2536"/>
  <c r="AA2536" s="1"/>
  <c r="B2537"/>
  <c r="E2537"/>
  <c r="AA2537" s="1"/>
  <c r="B2538"/>
  <c r="E2538"/>
  <c r="AA2538" s="1"/>
  <c r="B2539"/>
  <c r="E2539"/>
  <c r="AA2539" s="1"/>
  <c r="B2540"/>
  <c r="E2540"/>
  <c r="AA2540" s="1"/>
  <c r="B2541"/>
  <c r="E2541"/>
  <c r="AA2541" s="1"/>
  <c r="B2542"/>
  <c r="E2542"/>
  <c r="AA2542" s="1"/>
  <c r="B2543"/>
  <c r="E2543"/>
  <c r="AA2543" s="1"/>
  <c r="B2544"/>
  <c r="E2544"/>
  <c r="AA2544" s="1"/>
  <c r="B2545"/>
  <c r="E2545"/>
  <c r="AA2545" s="1"/>
  <c r="B2546"/>
  <c r="E2546"/>
  <c r="AA2546" s="1"/>
  <c r="B2547"/>
  <c r="E2547"/>
  <c r="AA2547" s="1"/>
  <c r="B2548"/>
  <c r="E2548"/>
  <c r="AA2548" s="1"/>
  <c r="B2549"/>
  <c r="E2549"/>
  <c r="AA2549" s="1"/>
  <c r="B2610"/>
  <c r="E2610"/>
  <c r="AA2610" s="1"/>
  <c r="B2611"/>
  <c r="E2611"/>
  <c r="AA2611" s="1"/>
  <c r="B2612"/>
  <c r="E2612"/>
  <c r="AA2612" s="1"/>
  <c r="B2550"/>
  <c r="E2550"/>
  <c r="AA2550" s="1"/>
  <c r="B2466"/>
  <c r="E2466"/>
  <c r="AA2466" s="1"/>
  <c r="B2467"/>
  <c r="E2467"/>
  <c r="AA2467" s="1"/>
  <c r="B2468"/>
  <c r="E2468"/>
  <c r="AA2468" s="1"/>
  <c r="B2507"/>
  <c r="E2507"/>
  <c r="AA2507" s="1"/>
  <c r="B2508"/>
  <c r="E2508"/>
  <c r="AA2508" s="1"/>
  <c r="B2509"/>
  <c r="E2509"/>
  <c r="AA2509" s="1"/>
  <c r="B2510"/>
  <c r="E2510"/>
  <c r="AA2510" s="1"/>
  <c r="B2511"/>
  <c r="E2511"/>
  <c r="AA2511" s="1"/>
  <c r="B2579"/>
  <c r="E2579"/>
  <c r="AA2579" s="1"/>
  <c r="B2580"/>
  <c r="E2580"/>
  <c r="AA2580" s="1"/>
  <c r="B2581"/>
  <c r="E2581"/>
  <c r="AA2581" s="1"/>
  <c r="B2595"/>
  <c r="E2595"/>
  <c r="AA2595" s="1"/>
  <c r="B2596"/>
  <c r="E2596"/>
  <c r="AA2596" s="1"/>
  <c r="B2597"/>
  <c r="E2597"/>
  <c r="AA2597" s="1"/>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353"/>
  <c r="B3354"/>
  <c r="B3355"/>
  <c r="B3356"/>
  <c r="B2613"/>
  <c r="B2614"/>
  <c r="B2470"/>
  <c r="B2608"/>
  <c r="E2591"/>
  <c r="AA2591" s="1"/>
  <c r="E2598"/>
  <c r="AA2598" s="1"/>
  <c r="E2599"/>
  <c r="AA2599" s="1"/>
  <c r="E2608"/>
  <c r="AA2608" s="1"/>
  <c r="E2470"/>
  <c r="AA2470" s="1"/>
  <c r="B2512"/>
  <c r="B2513"/>
  <c r="B2514"/>
  <c r="B2558"/>
  <c r="B2559"/>
  <c r="B2562"/>
  <c r="B2563"/>
  <c r="B2583"/>
  <c r="B2586"/>
  <c r="B2587"/>
  <c r="B2588"/>
  <c r="B2589"/>
  <c r="B2590"/>
  <c r="B2591"/>
  <c r="B2598"/>
  <c r="B2599"/>
  <c r="E2504"/>
  <c r="AA2504" s="1"/>
  <c r="E2500"/>
  <c r="AA2500" s="1"/>
  <c r="E2492"/>
  <c r="AA2492" s="1"/>
  <c r="E2498"/>
  <c r="AA2498" s="1"/>
  <c r="E2499"/>
  <c r="AA2499" s="1"/>
  <c r="E2505"/>
  <c r="AA2505" s="1"/>
  <c r="E2512"/>
  <c r="AA2512" s="1"/>
  <c r="E2513"/>
  <c r="AA2513" s="1"/>
  <c r="E2514"/>
  <c r="AA2514" s="1"/>
  <c r="E2558"/>
  <c r="AA2558" s="1"/>
  <c r="E2559"/>
  <c r="AA2559" s="1"/>
  <c r="E2562"/>
  <c r="AA2562" s="1"/>
  <c r="E2563"/>
  <c r="AA2563" s="1"/>
  <c r="E2583"/>
  <c r="AA2583" s="1"/>
  <c r="E2586"/>
  <c r="AA2586" s="1"/>
  <c r="E2587"/>
  <c r="AA2587" s="1"/>
  <c r="E2588"/>
  <c r="AA2588" s="1"/>
  <c r="E2589"/>
  <c r="AA2589" s="1"/>
  <c r="E2590"/>
  <c r="AA2590" s="1"/>
  <c r="E2469"/>
  <c r="AA2469" s="1"/>
  <c r="E2473"/>
  <c r="AA2473" s="1"/>
  <c r="E2474"/>
  <c r="AA2474" s="1"/>
  <c r="E2476"/>
  <c r="AA2476" s="1"/>
  <c r="E2477"/>
  <c r="AA2477" s="1"/>
  <c r="E2478"/>
  <c r="AA2478" s="1"/>
  <c r="E2479"/>
  <c r="AA2479" s="1"/>
  <c r="E2490"/>
  <c r="AA2490" s="1"/>
  <c r="E2491"/>
  <c r="AA2491" s="1"/>
  <c r="E2444"/>
  <c r="AA2444" s="1"/>
  <c r="B2443"/>
  <c r="E2443"/>
  <c r="AA2443" s="1"/>
  <c r="E2442"/>
  <c r="AA2442" s="1"/>
  <c r="B2442"/>
  <c r="B2444"/>
  <c r="B2469"/>
  <c r="B2473"/>
  <c r="B2474"/>
  <c r="B2476"/>
  <c r="B2477"/>
  <c r="B2478"/>
  <c r="B2479"/>
  <c r="B2490"/>
  <c r="B2491"/>
  <c r="B2492"/>
  <c r="B2498"/>
  <c r="B2499"/>
  <c r="B2500"/>
  <c r="B2504"/>
  <c r="B2505"/>
  <c r="B2437"/>
  <c r="E2437"/>
  <c r="AA2437" s="1"/>
  <c r="B1579"/>
  <c r="E1579"/>
  <c r="AA1579" s="1"/>
  <c r="E2441"/>
  <c r="AA2441" s="1"/>
  <c r="E2438"/>
  <c r="AA2438" s="1"/>
  <c r="E1578"/>
  <c r="AA1578" s="1"/>
  <c r="E1577"/>
  <c r="AA1577" s="1"/>
  <c r="E2445"/>
  <c r="AA2445" s="1"/>
  <c r="E2570"/>
  <c r="AA2570" s="1"/>
  <c r="E2568"/>
  <c r="AA2568" s="1"/>
  <c r="E2565"/>
  <c r="AA2565" s="1"/>
  <c r="B2565"/>
  <c r="M2565"/>
  <c r="B2568"/>
  <c r="M2568"/>
  <c r="B2570"/>
  <c r="M2570"/>
  <c r="B2445"/>
  <c r="B1577"/>
  <c r="B1578"/>
  <c r="B2438"/>
  <c r="B2441"/>
  <c r="B2517"/>
  <c r="E2517"/>
  <c r="AA2517" s="1"/>
  <c r="M2517"/>
  <c r="B2518"/>
  <c r="E2518"/>
  <c r="AA2518" s="1"/>
  <c r="M2518"/>
  <c r="B2519"/>
  <c r="E2519"/>
  <c r="AA2519" s="1"/>
  <c r="M2519"/>
  <c r="M2516"/>
  <c r="E2516"/>
  <c r="AA2516" s="1"/>
  <c r="B2516"/>
  <c r="M2471"/>
  <c r="E2471"/>
  <c r="AA2471" s="1"/>
  <c r="B2471"/>
  <c r="M2440"/>
  <c r="E2440"/>
  <c r="AA2440" s="1"/>
  <c r="M2439"/>
  <c r="E2439"/>
  <c r="AA2439" s="1"/>
  <c r="B2439"/>
  <c r="M2436"/>
  <c r="E2436"/>
  <c r="AA2436" s="1"/>
  <c r="M2435"/>
  <c r="E2435"/>
  <c r="AA2435" s="1"/>
  <c r="M2430"/>
  <c r="E2430"/>
  <c r="AA2430" s="1"/>
  <c r="M2388"/>
  <c r="E2388"/>
  <c r="AA2388" s="1"/>
  <c r="B2388"/>
  <c r="M2387"/>
  <c r="E2387"/>
  <c r="AA2387" s="1"/>
  <c r="B2383"/>
  <c r="E2383"/>
  <c r="AA2383" s="1"/>
  <c r="M2383"/>
  <c r="M2382"/>
  <c r="M2367"/>
  <c r="E2367"/>
  <c r="AA2367" s="1"/>
  <c r="M2358"/>
  <c r="M2263"/>
  <c r="B2387"/>
  <c r="B2430"/>
  <c r="B2435"/>
  <c r="B2436"/>
  <c r="B2440"/>
  <c r="M2260"/>
  <c r="E2260"/>
  <c r="AA2260" s="1"/>
  <c r="A30" i="12"/>
  <c r="K223" i="34"/>
  <c r="M223" s="1"/>
  <c r="B222"/>
  <c r="M221"/>
  <c r="K220"/>
  <c r="M220" s="1"/>
  <c r="B220"/>
  <c r="B221"/>
  <c r="B223"/>
  <c r="E2382"/>
  <c r="AA2382" s="1"/>
  <c r="B2382"/>
  <c r="E2381"/>
  <c r="AA2381" s="1"/>
  <c r="B2381"/>
  <c r="E2360"/>
  <c r="AA2360" s="1"/>
  <c r="E2361"/>
  <c r="AA2361" s="1"/>
  <c r="E2362"/>
  <c r="AA2362" s="1"/>
  <c r="E2363"/>
  <c r="AA2363" s="1"/>
  <c r="E2364"/>
  <c r="AA2364" s="1"/>
  <c r="E2365"/>
  <c r="AA2365" s="1"/>
  <c r="E2366"/>
  <c r="AA2366" s="1"/>
  <c r="B2359"/>
  <c r="E2359"/>
  <c r="AA2359" s="1"/>
  <c r="E2285"/>
  <c r="AA2285" s="1"/>
  <c r="B2285"/>
  <c r="B2277"/>
  <c r="E2277"/>
  <c r="AA2277" s="1"/>
  <c r="E2268"/>
  <c r="AA2268" s="1"/>
  <c r="B2268"/>
  <c r="E2178"/>
  <c r="AA2178" s="1"/>
  <c r="E2181"/>
  <c r="AA2181" s="1"/>
  <c r="E2261"/>
  <c r="AA2261" s="1"/>
  <c r="E1570"/>
  <c r="AA1570" s="1"/>
  <c r="E2263"/>
  <c r="AA2263" s="1"/>
  <c r="E2264"/>
  <c r="AA2264" s="1"/>
  <c r="E2358"/>
  <c r="AA2358" s="1"/>
  <c r="B2178"/>
  <c r="B2181"/>
  <c r="B2261"/>
  <c r="B1570"/>
  <c r="B2263"/>
  <c r="B2264"/>
  <c r="B2358"/>
  <c r="E2123"/>
  <c r="AA2123" s="1"/>
  <c r="B22" i="55"/>
  <c r="A22" s="1"/>
  <c r="Q2261" i="34" l="1"/>
  <c r="R2261"/>
  <c r="S2261"/>
  <c r="S2264"/>
  <c r="Q2264"/>
  <c r="R2264"/>
  <c r="S2181"/>
  <c r="Q2181"/>
  <c r="R2181"/>
  <c r="S2277"/>
  <c r="Q2277"/>
  <c r="R2277"/>
  <c r="R2359"/>
  <c r="S2359"/>
  <c r="Q2359"/>
  <c r="R2381"/>
  <c r="S2381"/>
  <c r="Q2381"/>
  <c r="Q223"/>
  <c r="R223"/>
  <c r="S223"/>
  <c r="R2435"/>
  <c r="S2435"/>
  <c r="Q2435"/>
  <c r="Q1578"/>
  <c r="R1578"/>
  <c r="S1578"/>
  <c r="R2570"/>
  <c r="S2570"/>
  <c r="Q2570"/>
  <c r="Q2565"/>
  <c r="R2565"/>
  <c r="S2565"/>
  <c r="S2437"/>
  <c r="Q2437"/>
  <c r="R2437"/>
  <c r="Q2499"/>
  <c r="R2499"/>
  <c r="S2499"/>
  <c r="Q2490"/>
  <c r="R2490"/>
  <c r="S2490"/>
  <c r="Q2476"/>
  <c r="R2476"/>
  <c r="S2476"/>
  <c r="R2444"/>
  <c r="S2444"/>
  <c r="Q2444"/>
  <c r="Q2443"/>
  <c r="R2443"/>
  <c r="S2443"/>
  <c r="Q2591"/>
  <c r="R2591"/>
  <c r="S2591"/>
  <c r="Q2587"/>
  <c r="R2587"/>
  <c r="S2587"/>
  <c r="Q2562"/>
  <c r="R2562"/>
  <c r="S2562"/>
  <c r="Q2513"/>
  <c r="R2513"/>
  <c r="S2513"/>
  <c r="Q2470"/>
  <c r="R2470"/>
  <c r="S2470"/>
  <c r="R3355"/>
  <c r="Q3355"/>
  <c r="S3355"/>
  <c r="Q3286"/>
  <c r="R3286"/>
  <c r="S3286"/>
  <c r="Q3282"/>
  <c r="R3282"/>
  <c r="S3282"/>
  <c r="Q3278"/>
  <c r="R3278"/>
  <c r="S3278"/>
  <c r="Q3274"/>
  <c r="R3274"/>
  <c r="S3274"/>
  <c r="Q3270"/>
  <c r="R3270"/>
  <c r="S3270"/>
  <c r="Q3266"/>
  <c r="R3266"/>
  <c r="S3266"/>
  <c r="Q3262"/>
  <c r="R3262"/>
  <c r="S3262"/>
  <c r="Q3258"/>
  <c r="R3258"/>
  <c r="S3258"/>
  <c r="Q3254"/>
  <c r="R3254"/>
  <c r="S3254"/>
  <c r="Q3250"/>
  <c r="R3250"/>
  <c r="S3250"/>
  <c r="Q3246"/>
  <c r="R3246"/>
  <c r="S3246"/>
  <c r="Q3242"/>
  <c r="R3242"/>
  <c r="S3242"/>
  <c r="Q3238"/>
  <c r="R3238"/>
  <c r="S3238"/>
  <c r="Q3234"/>
  <c r="R3234"/>
  <c r="S3234"/>
  <c r="Q3230"/>
  <c r="R3230"/>
  <c r="S3230"/>
  <c r="Q3226"/>
  <c r="R3226"/>
  <c r="S3226"/>
  <c r="S2596"/>
  <c r="Q2596"/>
  <c r="R2596"/>
  <c r="Q2581"/>
  <c r="R2581"/>
  <c r="S2581"/>
  <c r="Q2579"/>
  <c r="R2579"/>
  <c r="S2579"/>
  <c r="S2510"/>
  <c r="R2510"/>
  <c r="Q2510"/>
  <c r="S2508"/>
  <c r="R2508"/>
  <c r="Q2508"/>
  <c r="Q2468"/>
  <c r="R2468"/>
  <c r="S2468"/>
  <c r="Q2466"/>
  <c r="R2466"/>
  <c r="S2466"/>
  <c r="Q2612"/>
  <c r="R2612"/>
  <c r="S2612"/>
  <c r="Q2610"/>
  <c r="R2610"/>
  <c r="S2610"/>
  <c r="R2548"/>
  <c r="S2548"/>
  <c r="Q2548"/>
  <c r="R2546"/>
  <c r="S2546"/>
  <c r="Q2546"/>
  <c r="R2544"/>
  <c r="S2544"/>
  <c r="Q2544"/>
  <c r="R2542"/>
  <c r="S2542"/>
  <c r="Q2542"/>
  <c r="R2540"/>
  <c r="S2540"/>
  <c r="Q2540"/>
  <c r="R2538"/>
  <c r="S2538"/>
  <c r="Q2538"/>
  <c r="S2536"/>
  <c r="Q2536"/>
  <c r="R2536"/>
  <c r="S2534"/>
  <c r="Q2534"/>
  <c r="R2534"/>
  <c r="S2532"/>
  <c r="Q2532"/>
  <c r="R2532"/>
  <c r="S2495"/>
  <c r="Q2495"/>
  <c r="R2495"/>
  <c r="R2465"/>
  <c r="S2465"/>
  <c r="Q2465"/>
  <c r="R2463"/>
  <c r="S2463"/>
  <c r="Q2463"/>
  <c r="R2461"/>
  <c r="S2461"/>
  <c r="Q2461"/>
  <c r="R2459"/>
  <c r="S2459"/>
  <c r="Q2459"/>
  <c r="R2457"/>
  <c r="S2457"/>
  <c r="Q2457"/>
  <c r="R2455"/>
  <c r="S2455"/>
  <c r="Q2455"/>
  <c r="R2453"/>
  <c r="S2453"/>
  <c r="Q2453"/>
  <c r="R2451"/>
  <c r="S2451"/>
  <c r="Q2451"/>
  <c r="R2433"/>
  <c r="S2433"/>
  <c r="Q2433"/>
  <c r="R2609"/>
  <c r="S2609"/>
  <c r="Q2609"/>
  <c r="S2503"/>
  <c r="R2503"/>
  <c r="Q2503"/>
  <c r="S2501"/>
  <c r="R2501"/>
  <c r="Q2501"/>
  <c r="R2449"/>
  <c r="S2449"/>
  <c r="Q2449"/>
  <c r="R2431"/>
  <c r="S2431"/>
  <c r="Q2431"/>
  <c r="Q2448"/>
  <c r="R2448"/>
  <c r="S2448"/>
  <c r="R2582"/>
  <c r="S2582"/>
  <c r="Q2582"/>
  <c r="R2556"/>
  <c r="S2556"/>
  <c r="Q2556"/>
  <c r="R2554"/>
  <c r="S2554"/>
  <c r="Q2554"/>
  <c r="Q2529"/>
  <c r="R2529"/>
  <c r="S2529"/>
  <c r="Q2527"/>
  <c r="S2527"/>
  <c r="R2527"/>
  <c r="Q2525"/>
  <c r="R2525"/>
  <c r="S2525"/>
  <c r="S2520"/>
  <c r="R2520"/>
  <c r="Q2520"/>
  <c r="Q232"/>
  <c r="R232"/>
  <c r="S232"/>
  <c r="S2594"/>
  <c r="Q2594"/>
  <c r="R2594"/>
  <c r="Q2571"/>
  <c r="R2571"/>
  <c r="S2571"/>
  <c r="Q2348"/>
  <c r="R2348"/>
  <c r="S2348"/>
  <c r="S2311"/>
  <c r="Q2311"/>
  <c r="R2311"/>
  <c r="Q2310"/>
  <c r="R2310"/>
  <c r="S2310"/>
  <c r="Q2151"/>
  <c r="R2151"/>
  <c r="S2151"/>
  <c r="R2145"/>
  <c r="S2145"/>
  <c r="Q2145"/>
  <c r="Q2132"/>
  <c r="R2132"/>
  <c r="S2132"/>
  <c r="Q2163"/>
  <c r="R2163"/>
  <c r="S2163"/>
  <c r="R2621"/>
  <c r="S2621"/>
  <c r="Q2621"/>
  <c r="S2415"/>
  <c r="Q2415"/>
  <c r="R2415"/>
  <c r="Q2626"/>
  <c r="R2626"/>
  <c r="S2626"/>
  <c r="R2633"/>
  <c r="S2633"/>
  <c r="Q2633"/>
  <c r="Q2619"/>
  <c r="R2619"/>
  <c r="S2619"/>
  <c r="Q2615"/>
  <c r="R2615"/>
  <c r="S2615"/>
  <c r="R547"/>
  <c r="S547"/>
  <c r="Q547"/>
  <c r="R2585"/>
  <c r="S2585"/>
  <c r="Q2585"/>
  <c r="R543"/>
  <c r="S543"/>
  <c r="Q543"/>
  <c r="Q541"/>
  <c r="R541"/>
  <c r="S541"/>
  <c r="S3352"/>
  <c r="Q3352"/>
  <c r="R3352"/>
  <c r="S3348"/>
  <c r="Q3348"/>
  <c r="R3348"/>
  <c r="S3344"/>
  <c r="Q3344"/>
  <c r="R3344"/>
  <c r="S3340"/>
  <c r="Q3340"/>
  <c r="R3340"/>
  <c r="S3336"/>
  <c r="Q3336"/>
  <c r="R3336"/>
  <c r="S3332"/>
  <c r="Q3332"/>
  <c r="R3332"/>
  <c r="S3328"/>
  <c r="Q3328"/>
  <c r="R3328"/>
  <c r="S3324"/>
  <c r="Q3324"/>
  <c r="R3324"/>
  <c r="S3320"/>
  <c r="Q3320"/>
  <c r="R3320"/>
  <c r="S3316"/>
  <c r="Q3316"/>
  <c r="R3316"/>
  <c r="S3312"/>
  <c r="Q3312"/>
  <c r="R3312"/>
  <c r="S3308"/>
  <c r="Q3308"/>
  <c r="R3308"/>
  <c r="S3304"/>
  <c r="Q3304"/>
  <c r="R3304"/>
  <c r="S3300"/>
  <c r="Q3300"/>
  <c r="R3300"/>
  <c r="S3296"/>
  <c r="Q3296"/>
  <c r="R3296"/>
  <c r="S3292"/>
  <c r="Q3292"/>
  <c r="R3292"/>
  <c r="S3288"/>
  <c r="Q3288"/>
  <c r="R3288"/>
  <c r="R535"/>
  <c r="S535"/>
  <c r="Q535"/>
  <c r="Q545"/>
  <c r="R545"/>
  <c r="S545"/>
  <c r="Q2263"/>
  <c r="R2263"/>
  <c r="S2263"/>
  <c r="Q2178"/>
  <c r="R2178"/>
  <c r="S2178"/>
  <c r="S2268"/>
  <c r="Q2268"/>
  <c r="R2268"/>
  <c r="S2285"/>
  <c r="Q2285"/>
  <c r="R2285"/>
  <c r="R221"/>
  <c r="S221"/>
  <c r="Q221"/>
  <c r="Q2430"/>
  <c r="R2430"/>
  <c r="S2430"/>
  <c r="S2388"/>
  <c r="Q2388"/>
  <c r="R2388"/>
  <c r="Q2517"/>
  <c r="S2517"/>
  <c r="R2517"/>
  <c r="R1577"/>
  <c r="S1577"/>
  <c r="Q1577"/>
  <c r="S2505"/>
  <c r="R2505"/>
  <c r="Q2505"/>
  <c r="Q2498"/>
  <c r="R2498"/>
  <c r="S2498"/>
  <c r="Q2479"/>
  <c r="R2479"/>
  <c r="S2479"/>
  <c r="Q2474"/>
  <c r="R2474"/>
  <c r="S2474"/>
  <c r="R2442"/>
  <c r="S2442"/>
  <c r="Q2442"/>
  <c r="Q2590"/>
  <c r="R2590"/>
  <c r="S2590"/>
  <c r="Q2586"/>
  <c r="R2586"/>
  <c r="S2586"/>
  <c r="Q2559"/>
  <c r="R2559"/>
  <c r="S2559"/>
  <c r="R2512"/>
  <c r="Q2512"/>
  <c r="S2512"/>
  <c r="Q2614"/>
  <c r="R2614"/>
  <c r="S2614"/>
  <c r="Q3354"/>
  <c r="S3354"/>
  <c r="R3354"/>
  <c r="R3285"/>
  <c r="S3285"/>
  <c r="Q3285"/>
  <c r="R3281"/>
  <c r="S3281"/>
  <c r="Q3281"/>
  <c r="R3277"/>
  <c r="S3277"/>
  <c r="Q3277"/>
  <c r="R3273"/>
  <c r="S3273"/>
  <c r="Q3273"/>
  <c r="R3269"/>
  <c r="S3269"/>
  <c r="Q3269"/>
  <c r="R3265"/>
  <c r="S3265"/>
  <c r="Q3265"/>
  <c r="R3261"/>
  <c r="S3261"/>
  <c r="Q3261"/>
  <c r="R3257"/>
  <c r="S3257"/>
  <c r="Q3257"/>
  <c r="R3253"/>
  <c r="S3253"/>
  <c r="Q3253"/>
  <c r="R3249"/>
  <c r="S3249"/>
  <c r="Q3249"/>
  <c r="R3245"/>
  <c r="S3245"/>
  <c r="Q3245"/>
  <c r="R3241"/>
  <c r="S3241"/>
  <c r="Q3241"/>
  <c r="R3237"/>
  <c r="S3237"/>
  <c r="Q3237"/>
  <c r="R3233"/>
  <c r="S3233"/>
  <c r="Q3233"/>
  <c r="R3229"/>
  <c r="S3229"/>
  <c r="Q3229"/>
  <c r="R3225"/>
  <c r="S3225"/>
  <c r="Q3225"/>
  <c r="S2620"/>
  <c r="Q2620"/>
  <c r="R2620"/>
  <c r="R2637"/>
  <c r="S2637"/>
  <c r="Q2637"/>
  <c r="R2625"/>
  <c r="S2625"/>
  <c r="Q2625"/>
  <c r="S2632"/>
  <c r="Q2632"/>
  <c r="R2632"/>
  <c r="Q2618"/>
  <c r="R2618"/>
  <c r="S2618"/>
  <c r="S2427"/>
  <c r="Q2427"/>
  <c r="R2427"/>
  <c r="S538"/>
  <c r="Q538"/>
  <c r="R538"/>
  <c r="R3351"/>
  <c r="S3351"/>
  <c r="Q3351"/>
  <c r="Q3347"/>
  <c r="R3347"/>
  <c r="S3347"/>
  <c r="Q3343"/>
  <c r="R3343"/>
  <c r="S3343"/>
  <c r="R3339"/>
  <c r="S3339"/>
  <c r="Q3339"/>
  <c r="Q3335"/>
  <c r="R3335"/>
  <c r="S3335"/>
  <c r="Q3331"/>
  <c r="R3331"/>
  <c r="S3331"/>
  <c r="Q3327"/>
  <c r="R3327"/>
  <c r="S3327"/>
  <c r="Q3323"/>
  <c r="R3323"/>
  <c r="S3323"/>
  <c r="Q3319"/>
  <c r="R3319"/>
  <c r="S3319"/>
  <c r="Q3315"/>
  <c r="R3315"/>
  <c r="S3315"/>
  <c r="Q3311"/>
  <c r="R3311"/>
  <c r="S3311"/>
  <c r="Q3307"/>
  <c r="R3307"/>
  <c r="S3307"/>
  <c r="Q3303"/>
  <c r="R3303"/>
  <c r="S3303"/>
  <c r="Q3299"/>
  <c r="R3299"/>
  <c r="S3299"/>
  <c r="Q3295"/>
  <c r="R3295"/>
  <c r="S3295"/>
  <c r="Q3291"/>
  <c r="R3291"/>
  <c r="S3291"/>
  <c r="Q533"/>
  <c r="R533"/>
  <c r="S533"/>
  <c r="R222"/>
  <c r="S222"/>
  <c r="Q222"/>
  <c r="Q1570"/>
  <c r="R1570"/>
  <c r="S1570"/>
  <c r="Q2382"/>
  <c r="R2382"/>
  <c r="S2382"/>
  <c r="S220"/>
  <c r="Q220"/>
  <c r="R220"/>
  <c r="R2440"/>
  <c r="S2440"/>
  <c r="Q2440"/>
  <c r="Q2387"/>
  <c r="R2387"/>
  <c r="S2387"/>
  <c r="R2383"/>
  <c r="S2383"/>
  <c r="Q2383"/>
  <c r="Q2439"/>
  <c r="R2439"/>
  <c r="S2439"/>
  <c r="S2516"/>
  <c r="R2516"/>
  <c r="Q2516"/>
  <c r="S2518"/>
  <c r="R2518"/>
  <c r="Q2518"/>
  <c r="Q2441"/>
  <c r="R2441"/>
  <c r="S2441"/>
  <c r="R2445"/>
  <c r="S2445"/>
  <c r="Q2445"/>
  <c r="R2568"/>
  <c r="S2568"/>
  <c r="Q2568"/>
  <c r="Q1579"/>
  <c r="R1579"/>
  <c r="S1579"/>
  <c r="S2504"/>
  <c r="Q2504"/>
  <c r="R2504"/>
  <c r="R2492"/>
  <c r="S2492"/>
  <c r="Q2492"/>
  <c r="R2478"/>
  <c r="S2478"/>
  <c r="Q2478"/>
  <c r="R2473"/>
  <c r="S2473"/>
  <c r="Q2473"/>
  <c r="R2599"/>
  <c r="S2599"/>
  <c r="Q2599"/>
  <c r="R2589"/>
  <c r="S2589"/>
  <c r="Q2589"/>
  <c r="Q2583"/>
  <c r="R2583"/>
  <c r="S2583"/>
  <c r="R2558"/>
  <c r="S2558"/>
  <c r="Q2558"/>
  <c r="R2613"/>
  <c r="S2613"/>
  <c r="Q2613"/>
  <c r="R3353"/>
  <c r="S3353"/>
  <c r="Q3353"/>
  <c r="S3284"/>
  <c r="Q3284"/>
  <c r="R3284"/>
  <c r="S3280"/>
  <c r="Q3280"/>
  <c r="R3280"/>
  <c r="S3276"/>
  <c r="Q3276"/>
  <c r="R3276"/>
  <c r="S3272"/>
  <c r="Q3272"/>
  <c r="R3272"/>
  <c r="S3268"/>
  <c r="Q3268"/>
  <c r="R3268"/>
  <c r="S3264"/>
  <c r="Q3264"/>
  <c r="R3264"/>
  <c r="S3260"/>
  <c r="Q3260"/>
  <c r="R3260"/>
  <c r="S3256"/>
  <c r="Q3256"/>
  <c r="R3256"/>
  <c r="S3252"/>
  <c r="Q3252"/>
  <c r="R3252"/>
  <c r="S3248"/>
  <c r="Q3248"/>
  <c r="R3248"/>
  <c r="S3244"/>
  <c r="Q3244"/>
  <c r="R3244"/>
  <c r="S3240"/>
  <c r="Q3240"/>
  <c r="R3240"/>
  <c r="S3236"/>
  <c r="Q3236"/>
  <c r="R3236"/>
  <c r="S3232"/>
  <c r="Q3232"/>
  <c r="R3232"/>
  <c r="S3228"/>
  <c r="Q3228"/>
  <c r="R3228"/>
  <c r="S3224"/>
  <c r="Q3224"/>
  <c r="R3224"/>
  <c r="Q2597"/>
  <c r="R2597"/>
  <c r="S2597"/>
  <c r="Q2595"/>
  <c r="R2595"/>
  <c r="S2595"/>
  <c r="R2580"/>
  <c r="S2580"/>
  <c r="Q2580"/>
  <c r="Q2511"/>
  <c r="S2511"/>
  <c r="R2511"/>
  <c r="Q2509"/>
  <c r="S2509"/>
  <c r="R2509"/>
  <c r="Q2507"/>
  <c r="S2507"/>
  <c r="R2507"/>
  <c r="R2467"/>
  <c r="S2467"/>
  <c r="Q2467"/>
  <c r="R2550"/>
  <c r="S2550"/>
  <c r="Q2550"/>
  <c r="R2611"/>
  <c r="S2611"/>
  <c r="Q2611"/>
  <c r="Q2549"/>
  <c r="R2549"/>
  <c r="S2549"/>
  <c r="Q2547"/>
  <c r="R2547"/>
  <c r="S2547"/>
  <c r="Q2545"/>
  <c r="R2545"/>
  <c r="S2545"/>
  <c r="Q2543"/>
  <c r="R2543"/>
  <c r="S2543"/>
  <c r="Q2541"/>
  <c r="R2541"/>
  <c r="S2541"/>
  <c r="Q2539"/>
  <c r="R2539"/>
  <c r="S2539"/>
  <c r="Q2537"/>
  <c r="R2537"/>
  <c r="S2537"/>
  <c r="Q2535"/>
  <c r="S2535"/>
  <c r="R2535"/>
  <c r="Q2533"/>
  <c r="R2533"/>
  <c r="S2533"/>
  <c r="Q2496"/>
  <c r="R2496"/>
  <c r="S2496"/>
  <c r="Q2494"/>
  <c r="R2494"/>
  <c r="S2494"/>
  <c r="Q2464"/>
  <c r="R2464"/>
  <c r="S2464"/>
  <c r="Q2462"/>
  <c r="R2462"/>
  <c r="S2462"/>
  <c r="Q2460"/>
  <c r="R2460"/>
  <c r="S2460"/>
  <c r="Q2458"/>
  <c r="R2458"/>
  <c r="S2458"/>
  <c r="Q2456"/>
  <c r="R2456"/>
  <c r="S2456"/>
  <c r="Q2454"/>
  <c r="R2454"/>
  <c r="S2454"/>
  <c r="Q2452"/>
  <c r="R2452"/>
  <c r="S2452"/>
  <c r="Q2434"/>
  <c r="R2434"/>
  <c r="S2434"/>
  <c r="S2493"/>
  <c r="Q2493"/>
  <c r="R2493"/>
  <c r="S2506"/>
  <c r="R2506"/>
  <c r="Q2506"/>
  <c r="Q2502"/>
  <c r="R2502"/>
  <c r="S2502"/>
  <c r="Q2450"/>
  <c r="R2450"/>
  <c r="S2450"/>
  <c r="Q2432"/>
  <c r="R2432"/>
  <c r="S2432"/>
  <c r="R2480"/>
  <c r="S2480"/>
  <c r="Q2480"/>
  <c r="R2447"/>
  <c r="S2447"/>
  <c r="Q2447"/>
  <c r="Q2557"/>
  <c r="R2557"/>
  <c r="S2557"/>
  <c r="Q2555"/>
  <c r="R2555"/>
  <c r="S2555"/>
  <c r="Q2553"/>
  <c r="R2553"/>
  <c r="S2553"/>
  <c r="S2528"/>
  <c r="Q2528"/>
  <c r="R2528"/>
  <c r="S2526"/>
  <c r="Q2526"/>
  <c r="R2526"/>
  <c r="Q2521"/>
  <c r="S2521"/>
  <c r="R2521"/>
  <c r="S233"/>
  <c r="Q233"/>
  <c r="R233"/>
  <c r="Q2446"/>
  <c r="R2446"/>
  <c r="S2446"/>
  <c r="Q2573"/>
  <c r="R2573"/>
  <c r="S2573"/>
  <c r="S2349"/>
  <c r="Q2349"/>
  <c r="R2349"/>
  <c r="S2347"/>
  <c r="Q2347"/>
  <c r="R2347"/>
  <c r="S2337"/>
  <c r="Q2337"/>
  <c r="R2337"/>
  <c r="S2154"/>
  <c r="Q2154"/>
  <c r="R2154"/>
  <c r="Q2148"/>
  <c r="R2148"/>
  <c r="S2148"/>
  <c r="R2157"/>
  <c r="S2157"/>
  <c r="Q2157"/>
  <c r="Q2160"/>
  <c r="R2160"/>
  <c r="S2160"/>
  <c r="S2166"/>
  <c r="Q2166"/>
  <c r="R2166"/>
  <c r="Q2417"/>
  <c r="R2417"/>
  <c r="S2417"/>
  <c r="S2636"/>
  <c r="Q2636"/>
  <c r="R2636"/>
  <c r="S2624"/>
  <c r="Q2624"/>
  <c r="R2624"/>
  <c r="S2628"/>
  <c r="Q2628"/>
  <c r="R2628"/>
  <c r="R2617"/>
  <c r="S2617"/>
  <c r="Q2617"/>
  <c r="Q2426"/>
  <c r="R2426"/>
  <c r="S2426"/>
  <c r="S546"/>
  <c r="Q546"/>
  <c r="R546"/>
  <c r="S2584"/>
  <c r="Q2584"/>
  <c r="R2584"/>
  <c r="S542"/>
  <c r="Q542"/>
  <c r="R542"/>
  <c r="Q540"/>
  <c r="R540"/>
  <c r="S540"/>
  <c r="Q3350"/>
  <c r="S3350"/>
  <c r="R3350"/>
  <c r="Q3346"/>
  <c r="R3346"/>
  <c r="S3346"/>
  <c r="Q3342"/>
  <c r="R3342"/>
  <c r="S3342"/>
  <c r="Q3338"/>
  <c r="R3338"/>
  <c r="S3338"/>
  <c r="Q3334"/>
  <c r="R3334"/>
  <c r="S3334"/>
  <c r="Q3330"/>
  <c r="R3330"/>
  <c r="S3330"/>
  <c r="Q3326"/>
  <c r="R3326"/>
  <c r="S3326"/>
  <c r="Q3322"/>
  <c r="R3322"/>
  <c r="S3322"/>
  <c r="Q3318"/>
  <c r="R3318"/>
  <c r="S3318"/>
  <c r="Q3314"/>
  <c r="R3314"/>
  <c r="S3314"/>
  <c r="Q3310"/>
  <c r="R3310"/>
  <c r="S3310"/>
  <c r="Q3306"/>
  <c r="R3306"/>
  <c r="S3306"/>
  <c r="Q3302"/>
  <c r="R3302"/>
  <c r="S3302"/>
  <c r="Q3298"/>
  <c r="R3298"/>
  <c r="S3298"/>
  <c r="Q3294"/>
  <c r="R3294"/>
  <c r="S3294"/>
  <c r="Q3290"/>
  <c r="R3290"/>
  <c r="S3290"/>
  <c r="Q536"/>
  <c r="R536"/>
  <c r="S536"/>
  <c r="S534"/>
  <c r="Q534"/>
  <c r="R534"/>
  <c r="Q544"/>
  <c r="R544"/>
  <c r="S544"/>
  <c r="Q2631"/>
  <c r="R2631"/>
  <c r="S2631"/>
  <c r="Q2358"/>
  <c r="R2358"/>
  <c r="S2358"/>
  <c r="Q2436"/>
  <c r="R2436"/>
  <c r="S2436"/>
  <c r="Q2471"/>
  <c r="R2471"/>
  <c r="S2471"/>
  <c r="Q2519"/>
  <c r="S2519"/>
  <c r="R2519"/>
  <c r="R2438"/>
  <c r="S2438"/>
  <c r="Q2438"/>
  <c r="Q2500"/>
  <c r="R2500"/>
  <c r="S2500"/>
  <c r="S2491"/>
  <c r="Q2491"/>
  <c r="R2491"/>
  <c r="S2477"/>
  <c r="Q2477"/>
  <c r="R2477"/>
  <c r="Q2469"/>
  <c r="R2469"/>
  <c r="S2469"/>
  <c r="S2598"/>
  <c r="Q2598"/>
  <c r="R2598"/>
  <c r="S2588"/>
  <c r="Q2588"/>
  <c r="R2588"/>
  <c r="S2563"/>
  <c r="Q2563"/>
  <c r="R2563"/>
  <c r="S2514"/>
  <c r="Q2514"/>
  <c r="R2514"/>
  <c r="S2608"/>
  <c r="Q2608"/>
  <c r="R2608"/>
  <c r="S3356"/>
  <c r="Q3356"/>
  <c r="R3356"/>
  <c r="Q3287"/>
  <c r="R3287"/>
  <c r="S3287"/>
  <c r="Q3283"/>
  <c r="R3283"/>
  <c r="S3283"/>
  <c r="Q3279"/>
  <c r="R3279"/>
  <c r="S3279"/>
  <c r="Q3275"/>
  <c r="R3275"/>
  <c r="S3275"/>
  <c r="Q3271"/>
  <c r="R3271"/>
  <c r="S3271"/>
  <c r="Q3267"/>
  <c r="R3267"/>
  <c r="S3267"/>
  <c r="Q3263"/>
  <c r="R3263"/>
  <c r="S3263"/>
  <c r="Q3259"/>
  <c r="R3259"/>
  <c r="S3259"/>
  <c r="Q3255"/>
  <c r="R3255"/>
  <c r="S3255"/>
  <c r="Q3251"/>
  <c r="R3251"/>
  <c r="S3251"/>
  <c r="Q3247"/>
  <c r="R3247"/>
  <c r="S3247"/>
  <c r="Q3243"/>
  <c r="R3243"/>
  <c r="S3243"/>
  <c r="Q3239"/>
  <c r="R3239"/>
  <c r="S3239"/>
  <c r="Q3235"/>
  <c r="R3235"/>
  <c r="S3235"/>
  <c r="Q3231"/>
  <c r="R3231"/>
  <c r="S3231"/>
  <c r="Q3227"/>
  <c r="R3227"/>
  <c r="S3227"/>
  <c r="Q2622"/>
  <c r="R2622"/>
  <c r="S2622"/>
  <c r="R2416"/>
  <c r="S2416"/>
  <c r="Q2416"/>
  <c r="R2629"/>
  <c r="S2629"/>
  <c r="Q2629"/>
  <c r="Q2623"/>
  <c r="R2623"/>
  <c r="S2623"/>
  <c r="Q2627"/>
  <c r="R2627"/>
  <c r="S2627"/>
  <c r="S2616"/>
  <c r="Q2616"/>
  <c r="R2616"/>
  <c r="R539"/>
  <c r="S539"/>
  <c r="Q539"/>
  <c r="S2472"/>
  <c r="Q2472"/>
  <c r="R2472"/>
  <c r="R3349"/>
  <c r="S3349"/>
  <c r="Q3349"/>
  <c r="R3345"/>
  <c r="S3345"/>
  <c r="Q3345"/>
  <c r="R3341"/>
  <c r="S3341"/>
  <c r="Q3341"/>
  <c r="R3337"/>
  <c r="Q3337"/>
  <c r="S3337"/>
  <c r="R3333"/>
  <c r="S3333"/>
  <c r="Q3333"/>
  <c r="R3329"/>
  <c r="S3329"/>
  <c r="Q3329"/>
  <c r="R3325"/>
  <c r="S3325"/>
  <c r="Q3325"/>
  <c r="R3321"/>
  <c r="S3321"/>
  <c r="Q3321"/>
  <c r="R3317"/>
  <c r="S3317"/>
  <c r="Q3317"/>
  <c r="R3313"/>
  <c r="S3313"/>
  <c r="Q3313"/>
  <c r="R3309"/>
  <c r="S3309"/>
  <c r="Q3309"/>
  <c r="R3305"/>
  <c r="S3305"/>
  <c r="Q3305"/>
  <c r="R3301"/>
  <c r="S3301"/>
  <c r="Q3301"/>
  <c r="R3297"/>
  <c r="S3297"/>
  <c r="Q3297"/>
  <c r="R3293"/>
  <c r="S3293"/>
  <c r="Q3293"/>
  <c r="R3289"/>
  <c r="S3289"/>
  <c r="Q3289"/>
  <c r="Q537"/>
  <c r="R537"/>
  <c r="S537"/>
  <c r="Q548"/>
  <c r="R548"/>
  <c r="S548"/>
  <c r="Q2630"/>
  <c r="R2630"/>
  <c r="S2630"/>
  <c r="A222"/>
  <c r="A2430"/>
  <c r="A2388"/>
  <c r="A2358"/>
  <c r="A2436"/>
  <c r="A2519"/>
  <c r="A2438"/>
  <c r="A2500"/>
  <c r="A2491"/>
  <c r="A2477"/>
  <c r="A2469"/>
  <c r="A2598"/>
  <c r="A2588"/>
  <c r="A2563"/>
  <c r="A2514"/>
  <c r="A2608"/>
  <c r="A3287"/>
  <c r="A3283"/>
  <c r="A3279"/>
  <c r="A3275"/>
  <c r="A3271"/>
  <c r="A3267"/>
  <c r="A3263"/>
  <c r="A3259"/>
  <c r="A3255"/>
  <c r="A3251"/>
  <c r="A3247"/>
  <c r="A3243"/>
  <c r="A3239"/>
  <c r="A3235"/>
  <c r="A3231"/>
  <c r="A3227"/>
  <c r="A2622"/>
  <c r="A2416"/>
  <c r="A2629"/>
  <c r="A2623"/>
  <c r="A2627"/>
  <c r="A2616"/>
  <c r="A539"/>
  <c r="A2472"/>
  <c r="A3313"/>
  <c r="A3309"/>
  <c r="A3305"/>
  <c r="A3301"/>
  <c r="A3297"/>
  <c r="A3293"/>
  <c r="A3289"/>
  <c r="A537"/>
  <c r="A548"/>
  <c r="A2630"/>
  <c r="A2178"/>
  <c r="A2268"/>
  <c r="A2285"/>
  <c r="A221"/>
  <c r="A2261"/>
  <c r="A2471"/>
  <c r="A2264"/>
  <c r="A2181"/>
  <c r="A2277"/>
  <c r="A2359"/>
  <c r="A2381"/>
  <c r="A223"/>
  <c r="A2435"/>
  <c r="A1578"/>
  <c r="A2570"/>
  <c r="A2565"/>
  <c r="A2437"/>
  <c r="A2499"/>
  <c r="A2490"/>
  <c r="A2476"/>
  <c r="A2444"/>
  <c r="A2443"/>
  <c r="A2591"/>
  <c r="A2587"/>
  <c r="A2562"/>
  <c r="A2513"/>
  <c r="A2470"/>
  <c r="A3286"/>
  <c r="A3282"/>
  <c r="A3278"/>
  <c r="A3274"/>
  <c r="A3270"/>
  <c r="A3266"/>
  <c r="A3262"/>
  <c r="A3258"/>
  <c r="A3254"/>
  <c r="A3250"/>
  <c r="A3246"/>
  <c r="A3242"/>
  <c r="A3238"/>
  <c r="A3234"/>
  <c r="A3230"/>
  <c r="A3226"/>
  <c r="A2596"/>
  <c r="A2581"/>
  <c r="A2579"/>
  <c r="A2510"/>
  <c r="A2508"/>
  <c r="A2468"/>
  <c r="A2466"/>
  <c r="A2612"/>
  <c r="A2610"/>
  <c r="A2548"/>
  <c r="A2546"/>
  <c r="A2544"/>
  <c r="A2542"/>
  <c r="A2540"/>
  <c r="A2538"/>
  <c r="A2536"/>
  <c r="A2534"/>
  <c r="A2532"/>
  <c r="A2495"/>
  <c r="A2465"/>
  <c r="A2463"/>
  <c r="A2461"/>
  <c r="A2459"/>
  <c r="A2457"/>
  <c r="A2455"/>
  <c r="A2453"/>
  <c r="A2451"/>
  <c r="A2433"/>
  <c r="A2609"/>
  <c r="A2503"/>
  <c r="A2501"/>
  <c r="A2449"/>
  <c r="A2431"/>
  <c r="A2448"/>
  <c r="A2582"/>
  <c r="A2556"/>
  <c r="A2554"/>
  <c r="A2529"/>
  <c r="A2527"/>
  <c r="A2525"/>
  <c r="A2520"/>
  <c r="A232"/>
  <c r="A2594"/>
  <c r="A2571"/>
  <c r="A2348"/>
  <c r="A2311"/>
  <c r="A2310"/>
  <c r="A2151"/>
  <c r="A2145"/>
  <c r="A2132"/>
  <c r="A2163"/>
  <c r="A2621"/>
  <c r="A2415"/>
  <c r="A2626"/>
  <c r="A2633"/>
  <c r="A2619"/>
  <c r="A2615"/>
  <c r="A547"/>
  <c r="A2585"/>
  <c r="A543"/>
  <c r="A541"/>
  <c r="A3312"/>
  <c r="A3308"/>
  <c r="A3304"/>
  <c r="A3300"/>
  <c r="A3296"/>
  <c r="A3292"/>
  <c r="A3288"/>
  <c r="A535"/>
  <c r="A545"/>
  <c r="A2263"/>
  <c r="A2517"/>
  <c r="A2498"/>
  <c r="A2474"/>
  <c r="A2590"/>
  <c r="A2559"/>
  <c r="A2614"/>
  <c r="A3285"/>
  <c r="A3281"/>
  <c r="A3277"/>
  <c r="A3269"/>
  <c r="A3265"/>
  <c r="A3261"/>
  <c r="A3257"/>
  <c r="A3253"/>
  <c r="A3249"/>
  <c r="A3245"/>
  <c r="A3241"/>
  <c r="A3237"/>
  <c r="A3233"/>
  <c r="A3229"/>
  <c r="A3225"/>
  <c r="A2620"/>
  <c r="A2637"/>
  <c r="A2625"/>
  <c r="A2632"/>
  <c r="A2618"/>
  <c r="A2427"/>
  <c r="A538"/>
  <c r="A3311"/>
  <c r="A3307"/>
  <c r="A3303"/>
  <c r="A3299"/>
  <c r="A3295"/>
  <c r="A3291"/>
  <c r="A533"/>
  <c r="A1577"/>
  <c r="A2505"/>
  <c r="A2479"/>
  <c r="A2442"/>
  <c r="A2586"/>
  <c r="A2512"/>
  <c r="A3273"/>
  <c r="A1570"/>
  <c r="A2382"/>
  <c r="A220"/>
  <c r="A2440"/>
  <c r="A2387"/>
  <c r="A2383"/>
  <c r="A2439"/>
  <c r="A2516"/>
  <c r="A2518"/>
  <c r="A2441"/>
  <c r="A2445"/>
  <c r="A2568"/>
  <c r="A1579"/>
  <c r="A2504"/>
  <c r="A2492"/>
  <c r="A2478"/>
  <c r="A2473"/>
  <c r="A2599"/>
  <c r="A2589"/>
  <c r="A2583"/>
  <c r="A2558"/>
  <c r="A2613"/>
  <c r="A3284"/>
  <c r="A3280"/>
  <c r="A3276"/>
  <c r="A3272"/>
  <c r="A3268"/>
  <c r="A3264"/>
  <c r="A3260"/>
  <c r="A3256"/>
  <c r="A3252"/>
  <c r="A3248"/>
  <c r="A3244"/>
  <c r="A3240"/>
  <c r="A3236"/>
  <c r="A3232"/>
  <c r="A3228"/>
  <c r="A3224"/>
  <c r="A2597"/>
  <c r="A2595"/>
  <c r="A2580"/>
  <c r="A2511"/>
  <c r="A2509"/>
  <c r="A2507"/>
  <c r="A2467"/>
  <c r="A2550"/>
  <c r="A2611"/>
  <c r="A2549"/>
  <c r="A2547"/>
  <c r="A2545"/>
  <c r="A2543"/>
  <c r="A2541"/>
  <c r="A2539"/>
  <c r="A2537"/>
  <c r="A2535"/>
  <c r="A2533"/>
  <c r="A2496"/>
  <c r="A2494"/>
  <c r="A2464"/>
  <c r="A2462"/>
  <c r="A2460"/>
  <c r="A2458"/>
  <c r="A2456"/>
  <c r="A2454"/>
  <c r="A2452"/>
  <c r="A2434"/>
  <c r="A2493"/>
  <c r="A2506"/>
  <c r="A2502"/>
  <c r="A2450"/>
  <c r="A2432"/>
  <c r="A2480"/>
  <c r="A2447"/>
  <c r="A2557"/>
  <c r="A2555"/>
  <c r="A2553"/>
  <c r="A2528"/>
  <c r="A2526"/>
  <c r="A2521"/>
  <c r="A233"/>
  <c r="A2446"/>
  <c r="A2573"/>
  <c r="A2349"/>
  <c r="A2347"/>
  <c r="A2337"/>
  <c r="A2154"/>
  <c r="A2148"/>
  <c r="A2157"/>
  <c r="A2160"/>
  <c r="A2166"/>
  <c r="A2417"/>
  <c r="A2636"/>
  <c r="A2624"/>
  <c r="A2628"/>
  <c r="A2617"/>
  <c r="A2426"/>
  <c r="A546"/>
  <c r="A2584"/>
  <c r="A542"/>
  <c r="A540"/>
  <c r="A3314"/>
  <c r="A3310"/>
  <c r="A3306"/>
  <c r="A3302"/>
  <c r="A3298"/>
  <c r="A3294"/>
  <c r="A3290"/>
  <c r="A536"/>
  <c r="A534"/>
  <c r="A544"/>
  <c r="A2631"/>
  <c r="A3356"/>
  <c r="A3355"/>
  <c r="A3354"/>
  <c r="A3353"/>
  <c r="A3352"/>
  <c r="A3351"/>
  <c r="A3350"/>
  <c r="A3349"/>
  <c r="A3348"/>
  <c r="A3347"/>
  <c r="A3346"/>
  <c r="A3345"/>
  <c r="A3344"/>
  <c r="A3343"/>
  <c r="A3342"/>
  <c r="A3341"/>
  <c r="A3340"/>
  <c r="A3339"/>
  <c r="A3338"/>
  <c r="A3337"/>
  <c r="A3336"/>
  <c r="A3335"/>
  <c r="A3334"/>
  <c r="A3333"/>
  <c r="A3332"/>
  <c r="A3331"/>
  <c r="A3330"/>
  <c r="A3329"/>
  <c r="A3328"/>
  <c r="A3327"/>
  <c r="A3326"/>
  <c r="A3325"/>
  <c r="A3324"/>
  <c r="A3323"/>
  <c r="A3322"/>
  <c r="A3321"/>
  <c r="A3320"/>
  <c r="A3319"/>
  <c r="A3318"/>
  <c r="A3317"/>
  <c r="A3316"/>
  <c r="A3315"/>
  <c r="B36" i="55"/>
  <c r="A36" s="1"/>
  <c r="B37"/>
  <c r="A37" s="1"/>
  <c r="B40"/>
  <c r="A40" s="1"/>
  <c r="B41"/>
  <c r="A41" s="1"/>
  <c r="B42"/>
  <c r="A42" s="1"/>
  <c r="B47"/>
  <c r="A47" s="1"/>
  <c r="E2380" i="34" l="1"/>
  <c r="AA2380" s="1"/>
  <c r="E2369"/>
  <c r="AA2369" s="1"/>
  <c r="B2369"/>
  <c r="E2378"/>
  <c r="AA2378" s="1"/>
  <c r="B2378"/>
  <c r="E2377"/>
  <c r="AA2377" s="1"/>
  <c r="B2377"/>
  <c r="E2368"/>
  <c r="AA2368" s="1"/>
  <c r="B2368"/>
  <c r="E2376"/>
  <c r="AA2376" s="1"/>
  <c r="B2376"/>
  <c r="E2375"/>
  <c r="AA2375" s="1"/>
  <c r="B2375"/>
  <c r="E2374"/>
  <c r="AA2374" s="1"/>
  <c r="B2374"/>
  <c r="E2373"/>
  <c r="AA2373" s="1"/>
  <c r="B2373"/>
  <c r="E2372"/>
  <c r="AA2372" s="1"/>
  <c r="B2372"/>
  <c r="E2371"/>
  <c r="AA2371" s="1"/>
  <c r="B2371"/>
  <c r="E2370"/>
  <c r="AA2370" s="1"/>
  <c r="B2370"/>
  <c r="E2357"/>
  <c r="AA2357" s="1"/>
  <c r="Q2370" l="1"/>
  <c r="R2370"/>
  <c r="S2370"/>
  <c r="Q2374"/>
  <c r="R2374"/>
  <c r="S2374"/>
  <c r="R2377"/>
  <c r="S2377"/>
  <c r="Q2377"/>
  <c r="R2369"/>
  <c r="S2369"/>
  <c r="Q2369"/>
  <c r="Q2372"/>
  <c r="R2372"/>
  <c r="S2372"/>
  <c r="Q2376"/>
  <c r="R2376"/>
  <c r="S2376"/>
  <c r="R2371"/>
  <c r="S2371"/>
  <c r="Q2371"/>
  <c r="R2373"/>
  <c r="S2373"/>
  <c r="Q2373"/>
  <c r="R2375"/>
  <c r="S2375"/>
  <c r="Q2375"/>
  <c r="Q2368"/>
  <c r="R2368"/>
  <c r="S2368"/>
  <c r="Q2378"/>
  <c r="R2378"/>
  <c r="S2378"/>
  <c r="A2370"/>
  <c r="A2374"/>
  <c r="A2369"/>
  <c r="A2372"/>
  <c r="A2376"/>
  <c r="A2377"/>
  <c r="A2371"/>
  <c r="A2373"/>
  <c r="A2375"/>
  <c r="A2368"/>
  <c r="A2378"/>
  <c r="E2336"/>
  <c r="AA2336" s="1"/>
  <c r="B2336"/>
  <c r="E2335"/>
  <c r="AA2335" s="1"/>
  <c r="B2335"/>
  <c r="E2334"/>
  <c r="AA2334" s="1"/>
  <c r="B2334"/>
  <c r="E2333"/>
  <c r="AA2333" s="1"/>
  <c r="E2327"/>
  <c r="AA2327" s="1"/>
  <c r="B2327"/>
  <c r="E2305"/>
  <c r="AA2305" s="1"/>
  <c r="B2305"/>
  <c r="E2304"/>
  <c r="AA2304" s="1"/>
  <c r="B2304"/>
  <c r="E2303"/>
  <c r="AA2303" s="1"/>
  <c r="B2303"/>
  <c r="B2318"/>
  <c r="E2318"/>
  <c r="AA2318" s="1"/>
  <c r="E2302"/>
  <c r="AA2302" s="1"/>
  <c r="B2302"/>
  <c r="E2301"/>
  <c r="AA2301" s="1"/>
  <c r="B2301"/>
  <c r="E2300"/>
  <c r="AA2300" s="1"/>
  <c r="B2300"/>
  <c r="E2299"/>
  <c r="AA2299" s="1"/>
  <c r="B2299"/>
  <c r="E2298"/>
  <c r="AA2298" s="1"/>
  <c r="B2298"/>
  <c r="E2297"/>
  <c r="AA2297" s="1"/>
  <c r="B2297"/>
  <c r="E2296"/>
  <c r="AA2296" s="1"/>
  <c r="B2296"/>
  <c r="E2295"/>
  <c r="AA2295" s="1"/>
  <c r="E2294"/>
  <c r="AA2294" s="1"/>
  <c r="E2293"/>
  <c r="AA2293" s="1"/>
  <c r="E2292"/>
  <c r="AA2292" s="1"/>
  <c r="B2292"/>
  <c r="E2291"/>
  <c r="AA2291" s="1"/>
  <c r="B2291"/>
  <c r="E2290"/>
  <c r="AA2290" s="1"/>
  <c r="B2290"/>
  <c r="E2288"/>
  <c r="AA2288" s="1"/>
  <c r="E2289"/>
  <c r="AA2289" s="1"/>
  <c r="E2287"/>
  <c r="AA2287" s="1"/>
  <c r="E2281"/>
  <c r="AA2281" s="1"/>
  <c r="B2272"/>
  <c r="E2272"/>
  <c r="AA2272" s="1"/>
  <c r="E2271"/>
  <c r="AA2271" s="1"/>
  <c r="B2425"/>
  <c r="B2424"/>
  <c r="B2419"/>
  <c r="B2418"/>
  <c r="B2423"/>
  <c r="B2422"/>
  <c r="B2421"/>
  <c r="B2420"/>
  <c r="B2410"/>
  <c r="B2398"/>
  <c r="E2307"/>
  <c r="AA2307" s="1"/>
  <c r="E2306"/>
  <c r="AA2306" s="1"/>
  <c r="M2429"/>
  <c r="B2429"/>
  <c r="M2428"/>
  <c r="B2269"/>
  <c r="E2269"/>
  <c r="AA2269" s="1"/>
  <c r="B2270"/>
  <c r="E2270"/>
  <c r="AA2270" s="1"/>
  <c r="B514"/>
  <c r="E514"/>
  <c r="AA514" s="1"/>
  <c r="B513"/>
  <c r="E513"/>
  <c r="AA513" s="1"/>
  <c r="B2414"/>
  <c r="B2413"/>
  <c r="B1572"/>
  <c r="E1572"/>
  <c r="AA1572" s="1"/>
  <c r="B1571"/>
  <c r="E1571"/>
  <c r="AA1571" s="1"/>
  <c r="E2257"/>
  <c r="AA2257" s="1"/>
  <c r="E2258"/>
  <c r="AA2258" s="1"/>
  <c r="E2286"/>
  <c r="AA2286" s="1"/>
  <c r="E2317"/>
  <c r="AA2317" s="1"/>
  <c r="E2330"/>
  <c r="AA2330" s="1"/>
  <c r="E2379"/>
  <c r="AA2379" s="1"/>
  <c r="B2258"/>
  <c r="B2286"/>
  <c r="B2317"/>
  <c r="B2330"/>
  <c r="B2379"/>
  <c r="B1573"/>
  <c r="E1573"/>
  <c r="AA1573" s="1"/>
  <c r="B2400"/>
  <c r="E2400"/>
  <c r="AA2400" s="1"/>
  <c r="B2399"/>
  <c r="E2399"/>
  <c r="AA2399" s="1"/>
  <c r="B2408"/>
  <c r="B2428"/>
  <c r="B2306"/>
  <c r="B2307"/>
  <c r="B2397"/>
  <c r="B2409"/>
  <c r="B2411"/>
  <c r="B2412"/>
  <c r="B2271"/>
  <c r="B2281"/>
  <c r="B2287"/>
  <c r="B2288"/>
  <c r="B2289"/>
  <c r="B2293"/>
  <c r="B2294"/>
  <c r="B2295"/>
  <c r="B2333"/>
  <c r="B2357"/>
  <c r="B2380"/>
  <c r="B2123"/>
  <c r="B2360"/>
  <c r="B2361"/>
  <c r="B2362"/>
  <c r="B2363"/>
  <c r="B2364"/>
  <c r="B2365"/>
  <c r="B2366"/>
  <c r="B2260"/>
  <c r="B2367"/>
  <c r="B2401"/>
  <c r="E2401"/>
  <c r="AA2401" s="1"/>
  <c r="E2396"/>
  <c r="AA2396" s="1"/>
  <c r="B2396"/>
  <c r="E2395"/>
  <c r="AA2395" s="1"/>
  <c r="B2395"/>
  <c r="E2394"/>
  <c r="AA2394" s="1"/>
  <c r="E2393"/>
  <c r="AA2393" s="1"/>
  <c r="E2392"/>
  <c r="AA2392" s="1"/>
  <c r="B2392"/>
  <c r="E2391"/>
  <c r="AA2391" s="1"/>
  <c r="B2391"/>
  <c r="E2390"/>
  <c r="AA2390" s="1"/>
  <c r="B2390"/>
  <c r="E2389"/>
  <c r="AA2389" s="1"/>
  <c r="B2389"/>
  <c r="B2386"/>
  <c r="E2386"/>
  <c r="AA2386" s="1"/>
  <c r="B2385"/>
  <c r="E2385"/>
  <c r="AA2385" s="1"/>
  <c r="B2384"/>
  <c r="E2384"/>
  <c r="AA2384" s="1"/>
  <c r="E2354"/>
  <c r="AA2354" s="1"/>
  <c r="B2354"/>
  <c r="E2353"/>
  <c r="AA2353" s="1"/>
  <c r="B2353"/>
  <c r="E2324"/>
  <c r="AA2324" s="1"/>
  <c r="B2324"/>
  <c r="E2323"/>
  <c r="AA2323" s="1"/>
  <c r="B2323"/>
  <c r="B2352"/>
  <c r="E2352"/>
  <c r="AA2352" s="1"/>
  <c r="E2351"/>
  <c r="AA2351" s="1"/>
  <c r="E2329"/>
  <c r="AA2329" s="1"/>
  <c r="E2328"/>
  <c r="AA2328" s="1"/>
  <c r="E2326"/>
  <c r="AA2326" s="1"/>
  <c r="B2326"/>
  <c r="E2325"/>
  <c r="AA2325" s="1"/>
  <c r="B2325"/>
  <c r="M2321"/>
  <c r="E2321"/>
  <c r="AA2321" s="1"/>
  <c r="E2322"/>
  <c r="AA2322" s="1"/>
  <c r="B2322"/>
  <c r="B2321"/>
  <c r="E2320"/>
  <c r="AA2320" s="1"/>
  <c r="B2320"/>
  <c r="E2319"/>
  <c r="AA2319" s="1"/>
  <c r="B2319"/>
  <c r="B2316"/>
  <c r="E2316"/>
  <c r="AA2316" s="1"/>
  <c r="B2315"/>
  <c r="E2315"/>
  <c r="AA2315" s="1"/>
  <c r="B2309"/>
  <c r="E2309"/>
  <c r="AA2309" s="1"/>
  <c r="B2308"/>
  <c r="E2308"/>
  <c r="AA2308" s="1"/>
  <c r="B2283"/>
  <c r="E2283"/>
  <c r="AA2283" s="1"/>
  <c r="B2282"/>
  <c r="E2282"/>
  <c r="AA2282" s="1"/>
  <c r="B2280"/>
  <c r="E2280"/>
  <c r="AA2280" s="1"/>
  <c r="B2279"/>
  <c r="E2279"/>
  <c r="AA2279" s="1"/>
  <c r="B2276"/>
  <c r="E2276"/>
  <c r="AA2276" s="1"/>
  <c r="E2275"/>
  <c r="AA2275" s="1"/>
  <c r="B2356"/>
  <c r="E2356"/>
  <c r="AA2356" s="1"/>
  <c r="E2355"/>
  <c r="AA2355" s="1"/>
  <c r="B1575"/>
  <c r="E1575"/>
  <c r="AA1575" s="1"/>
  <c r="E1574"/>
  <c r="AA1574" s="1"/>
  <c r="B2229"/>
  <c r="B2093"/>
  <c r="E2093"/>
  <c r="AA2093" s="1"/>
  <c r="B2092"/>
  <c r="E2092"/>
  <c r="AA2092" s="1"/>
  <c r="M2092"/>
  <c r="B2120"/>
  <c r="B2045"/>
  <c r="E2045"/>
  <c r="AA2045" s="1"/>
  <c r="M2045"/>
  <c r="B2111"/>
  <c r="B2251"/>
  <c r="B2252"/>
  <c r="B2209"/>
  <c r="E2209"/>
  <c r="AA2209" s="1"/>
  <c r="M2209"/>
  <c r="B2210"/>
  <c r="E2210"/>
  <c r="AA2210" s="1"/>
  <c r="M2210"/>
  <c r="B2211"/>
  <c r="E2211"/>
  <c r="AA2211" s="1"/>
  <c r="M2211"/>
  <c r="B2117"/>
  <c r="E2117"/>
  <c r="AA2117" s="1"/>
  <c r="M2117"/>
  <c r="B2118"/>
  <c r="E2118"/>
  <c r="AA2118" s="1"/>
  <c r="M2118"/>
  <c r="B2119"/>
  <c r="E2119"/>
  <c r="AA2119" s="1"/>
  <c r="M2119"/>
  <c r="B2088"/>
  <c r="E2088"/>
  <c r="AA2088" s="1"/>
  <c r="M2088"/>
  <c r="B2089"/>
  <c r="E2089"/>
  <c r="AA2089" s="1"/>
  <c r="M2089"/>
  <c r="B2090"/>
  <c r="E2090"/>
  <c r="AA2090" s="1"/>
  <c r="M2090"/>
  <c r="B2091"/>
  <c r="E2091"/>
  <c r="AA2091" s="1"/>
  <c r="M2091"/>
  <c r="M2076"/>
  <c r="M2077"/>
  <c r="E2076"/>
  <c r="AA2076" s="1"/>
  <c r="E2077"/>
  <c r="AA2077" s="1"/>
  <c r="M2044"/>
  <c r="M2043"/>
  <c r="M2042"/>
  <c r="M2041"/>
  <c r="E2041"/>
  <c r="AA2041" s="1"/>
  <c r="E2042"/>
  <c r="AA2042" s="1"/>
  <c r="E2043"/>
  <c r="AA2043" s="1"/>
  <c r="E2044"/>
  <c r="AA2044" s="1"/>
  <c r="B2041"/>
  <c r="B2042"/>
  <c r="B2043"/>
  <c r="B2044"/>
  <c r="B1992"/>
  <c r="E1992"/>
  <c r="AA1992" s="1"/>
  <c r="M1992"/>
  <c r="B1993"/>
  <c r="E1993"/>
  <c r="AA1993" s="1"/>
  <c r="M1993"/>
  <c r="B1994"/>
  <c r="E1994"/>
  <c r="AA1994" s="1"/>
  <c r="M1994"/>
  <c r="B2200"/>
  <c r="E2200"/>
  <c r="AA2200" s="1"/>
  <c r="B2082"/>
  <c r="E2082"/>
  <c r="AA2082" s="1"/>
  <c r="E206"/>
  <c r="AA206" s="1"/>
  <c r="E207"/>
  <c r="AA207" s="1"/>
  <c r="E208"/>
  <c r="AA208" s="1"/>
  <c r="E209"/>
  <c r="AA209" s="1"/>
  <c r="E210"/>
  <c r="AA210" s="1"/>
  <c r="E211"/>
  <c r="AA211" s="1"/>
  <c r="E212"/>
  <c r="AA212" s="1"/>
  <c r="E213"/>
  <c r="AA213" s="1"/>
  <c r="E214"/>
  <c r="AA214" s="1"/>
  <c r="E215"/>
  <c r="AA215" s="1"/>
  <c r="E216"/>
  <c r="AA216" s="1"/>
  <c r="E217"/>
  <c r="AA217" s="1"/>
  <c r="E218"/>
  <c r="AA218" s="1"/>
  <c r="E219"/>
  <c r="AA219" s="1"/>
  <c r="E205"/>
  <c r="AA205" s="1"/>
  <c r="B219"/>
  <c r="K219"/>
  <c r="M219" s="1"/>
  <c r="B208"/>
  <c r="K208"/>
  <c r="M208" s="1"/>
  <c r="B209"/>
  <c r="K209"/>
  <c r="M209" s="1"/>
  <c r="B210"/>
  <c r="K210"/>
  <c r="M210" s="1"/>
  <c r="B211"/>
  <c r="K211"/>
  <c r="M211" s="1"/>
  <c r="B212"/>
  <c r="K212"/>
  <c r="M212" s="1"/>
  <c r="B213"/>
  <c r="K213"/>
  <c r="M213" s="1"/>
  <c r="B214"/>
  <c r="K214"/>
  <c r="M214" s="1"/>
  <c r="B215"/>
  <c r="K215"/>
  <c r="M215" s="1"/>
  <c r="B216"/>
  <c r="K216"/>
  <c r="M216" s="1"/>
  <c r="B217"/>
  <c r="K217"/>
  <c r="M217" s="1"/>
  <c r="B218"/>
  <c r="K218"/>
  <c r="M218" s="1"/>
  <c r="B2221"/>
  <c r="E2221"/>
  <c r="AA2221" s="1"/>
  <c r="M2221"/>
  <c r="M2021"/>
  <c r="M2019"/>
  <c r="B2214"/>
  <c r="B2215"/>
  <c r="B2216"/>
  <c r="B2217"/>
  <c r="B2218"/>
  <c r="B2219"/>
  <c r="B2220"/>
  <c r="B1998"/>
  <c r="B2019"/>
  <c r="B2021"/>
  <c r="M1998"/>
  <c r="E2220"/>
  <c r="AA2220" s="1"/>
  <c r="E2219"/>
  <c r="AA2219" s="1"/>
  <c r="E2216"/>
  <c r="AA2216" s="1"/>
  <c r="E2217"/>
  <c r="AA2217" s="1"/>
  <c r="E2214"/>
  <c r="AA2214" s="1"/>
  <c r="E2215"/>
  <c r="AA2215" s="1"/>
  <c r="E2218"/>
  <c r="AA2218" s="1"/>
  <c r="E1998"/>
  <c r="AA1998" s="1"/>
  <c r="E2019"/>
  <c r="AA2019" s="1"/>
  <c r="E2021"/>
  <c r="AA2021" s="1"/>
  <c r="M2213"/>
  <c r="E2213"/>
  <c r="AA2213" s="1"/>
  <c r="E2169"/>
  <c r="AA2169" s="1"/>
  <c r="E2168"/>
  <c r="AA2168" s="1"/>
  <c r="M2015"/>
  <c r="E2015"/>
  <c r="AA2015" s="1"/>
  <c r="E2016"/>
  <c r="AA2016" s="1"/>
  <c r="E2017"/>
  <c r="AA2017" s="1"/>
  <c r="E2018"/>
  <c r="AA2018" s="1"/>
  <c r="E2094"/>
  <c r="AA2094" s="1"/>
  <c r="E2095"/>
  <c r="AA2095" s="1"/>
  <c r="E2096"/>
  <c r="AA2096" s="1"/>
  <c r="E2097"/>
  <c r="AA2097" s="1"/>
  <c r="E2180"/>
  <c r="AA2180" s="1"/>
  <c r="E2014"/>
  <c r="AA2014" s="1"/>
  <c r="M2009"/>
  <c r="M2010"/>
  <c r="M2011"/>
  <c r="M2012"/>
  <c r="M2028"/>
  <c r="M2029"/>
  <c r="M2040"/>
  <c r="M2074"/>
  <c r="M2084"/>
  <c r="M2085"/>
  <c r="M2086"/>
  <c r="M2087"/>
  <c r="M2100"/>
  <c r="M2101"/>
  <c r="M2102"/>
  <c r="M2103"/>
  <c r="M2104"/>
  <c r="M2105"/>
  <c r="M2115"/>
  <c r="M2125"/>
  <c r="M2208"/>
  <c r="M2223"/>
  <c r="M2253"/>
  <c r="M1991"/>
  <c r="M1996"/>
  <c r="E1997"/>
  <c r="AA1997" s="1"/>
  <c r="E1996"/>
  <c r="AA1996" s="1"/>
  <c r="E2253"/>
  <c r="AA2253" s="1"/>
  <c r="B2253"/>
  <c r="E2223"/>
  <c r="AA2223" s="1"/>
  <c r="E2208"/>
  <c r="AA2208" s="1"/>
  <c r="B2245"/>
  <c r="B2246"/>
  <c r="B2247"/>
  <c r="B2248"/>
  <c r="B2249"/>
  <c r="B2250"/>
  <c r="E2125"/>
  <c r="AA2125" s="1"/>
  <c r="E2115"/>
  <c r="AA2115" s="1"/>
  <c r="E2104"/>
  <c r="AA2104" s="1"/>
  <c r="E2105"/>
  <c r="AA2105" s="1"/>
  <c r="E2106"/>
  <c r="AA2106" s="1"/>
  <c r="E2102"/>
  <c r="AA2102" s="1"/>
  <c r="E2103"/>
  <c r="AA2103" s="1"/>
  <c r="B2101"/>
  <c r="E2101"/>
  <c r="AA2101" s="1"/>
  <c r="E2100"/>
  <c r="AA2100" s="1"/>
  <c r="A29" i="12"/>
  <c r="B489" i="34"/>
  <c r="M489"/>
  <c r="B490"/>
  <c r="E2087"/>
  <c r="AA2087" s="1"/>
  <c r="B2087"/>
  <c r="E2086"/>
  <c r="AA2086" s="1"/>
  <c r="E2085"/>
  <c r="AA2085" s="1"/>
  <c r="E2084"/>
  <c r="AA2084" s="1"/>
  <c r="B2074"/>
  <c r="E2074"/>
  <c r="AA2074" s="1"/>
  <c r="E2040"/>
  <c r="AA2040" s="1"/>
  <c r="E2010"/>
  <c r="AA2010" s="1"/>
  <c r="E2011"/>
  <c r="AA2011" s="1"/>
  <c r="E2012"/>
  <c r="AA2012" s="1"/>
  <c r="E2028"/>
  <c r="AA2028" s="1"/>
  <c r="E2029"/>
  <c r="AA2029" s="1"/>
  <c r="E2009"/>
  <c r="AA2009" s="1"/>
  <c r="E1991"/>
  <c r="AA1991" s="1"/>
  <c r="B2009"/>
  <c r="B2010"/>
  <c r="B2011"/>
  <c r="B2012"/>
  <c r="B2028"/>
  <c r="B2029"/>
  <c r="B2040"/>
  <c r="B2084"/>
  <c r="B2085"/>
  <c r="B2086"/>
  <c r="B2100"/>
  <c r="B2102"/>
  <c r="B2103"/>
  <c r="B2104"/>
  <c r="B2105"/>
  <c r="B2106"/>
  <c r="B2115"/>
  <c r="B2125"/>
  <c r="B2208"/>
  <c r="B2223"/>
  <c r="B1996"/>
  <c r="B1997"/>
  <c r="B2014"/>
  <c r="B2015"/>
  <c r="B2016"/>
  <c r="B2017"/>
  <c r="B2018"/>
  <c r="B2094"/>
  <c r="B2095"/>
  <c r="B2096"/>
  <c r="B2097"/>
  <c r="B2168"/>
  <c r="B2169"/>
  <c r="B2180"/>
  <c r="B2213"/>
  <c r="B2257"/>
  <c r="B1574"/>
  <c r="B2355"/>
  <c r="B2275"/>
  <c r="B2328"/>
  <c r="B2329"/>
  <c r="B2351"/>
  <c r="B2004"/>
  <c r="B2025"/>
  <c r="B2038"/>
  <c r="B2071"/>
  <c r="B2098"/>
  <c r="B2114"/>
  <c r="B2176"/>
  <c r="B1562"/>
  <c r="B1563"/>
  <c r="B1564"/>
  <c r="B1565"/>
  <c r="B1566"/>
  <c r="B1567"/>
  <c r="B1568"/>
  <c r="B1569"/>
  <c r="B1959"/>
  <c r="B1960"/>
  <c r="B1963"/>
  <c r="B1969"/>
  <c r="B1970"/>
  <c r="B1971"/>
  <c r="B1973"/>
  <c r="B1974"/>
  <c r="B1976"/>
  <c r="B1977"/>
  <c r="B2001"/>
  <c r="B2002"/>
  <c r="B2023"/>
  <c r="B2024"/>
  <c r="B2030"/>
  <c r="B2034"/>
  <c r="B2035"/>
  <c r="B2069"/>
  <c r="B2070"/>
  <c r="B2107"/>
  <c r="B2108"/>
  <c r="B2109"/>
  <c r="B2110"/>
  <c r="B2112"/>
  <c r="B2113"/>
  <c r="B2121"/>
  <c r="B2122"/>
  <c r="B2124"/>
  <c r="B2170"/>
  <c r="B2171"/>
  <c r="B2172"/>
  <c r="B2173"/>
  <c r="B2175"/>
  <c r="B2190"/>
  <c r="B2191"/>
  <c r="B2192"/>
  <c r="B2193"/>
  <c r="B2194"/>
  <c r="B2195"/>
  <c r="B2196"/>
  <c r="B2197"/>
  <c r="B2256"/>
  <c r="B2225"/>
  <c r="B2226"/>
  <c r="B2227"/>
  <c r="B2228"/>
  <c r="B2230"/>
  <c r="B2231"/>
  <c r="B2233"/>
  <c r="B2234"/>
  <c r="B2235"/>
  <c r="B2236"/>
  <c r="B2237"/>
  <c r="B2238"/>
  <c r="B2239"/>
  <c r="B2240"/>
  <c r="B2241"/>
  <c r="B2242"/>
  <c r="B2243"/>
  <c r="B2244"/>
  <c r="B483"/>
  <c r="B484"/>
  <c r="B485"/>
  <c r="B486"/>
  <c r="B487"/>
  <c r="B491"/>
  <c r="B492"/>
  <c r="B1964"/>
  <c r="B1965"/>
  <c r="B1966"/>
  <c r="B1967"/>
  <c r="B1968"/>
  <c r="B1978"/>
  <c r="B1979"/>
  <c r="B1980"/>
  <c r="B1981"/>
  <c r="B1982"/>
  <c r="B1983"/>
  <c r="B1984"/>
  <c r="B1985"/>
  <c r="B1986"/>
  <c r="B1987"/>
  <c r="B1988"/>
  <c r="B1990"/>
  <c r="B1995"/>
  <c r="B2005"/>
  <c r="B2006"/>
  <c r="B2013"/>
  <c r="B2007"/>
  <c r="B2008"/>
  <c r="B2026"/>
  <c r="B2027"/>
  <c r="B2031"/>
  <c r="B2032"/>
  <c r="B2033"/>
  <c r="B2039"/>
  <c r="B2046"/>
  <c r="B2047"/>
  <c r="B2048"/>
  <c r="B2049"/>
  <c r="B2050"/>
  <c r="B2051"/>
  <c r="B2052"/>
  <c r="B2053"/>
  <c r="B2054"/>
  <c r="B2055"/>
  <c r="B2056"/>
  <c r="B2057"/>
  <c r="B2058"/>
  <c r="B2059"/>
  <c r="B2060"/>
  <c r="B2061"/>
  <c r="B2062"/>
  <c r="B2063"/>
  <c r="B2064"/>
  <c r="B2065"/>
  <c r="B2066"/>
  <c r="B2067"/>
  <c r="B2068"/>
  <c r="B2079"/>
  <c r="B2080"/>
  <c r="B2072"/>
  <c r="B2081"/>
  <c r="B2073"/>
  <c r="B2083"/>
  <c r="B2099"/>
  <c r="B2116"/>
  <c r="B2127"/>
  <c r="B2128"/>
  <c r="B2129"/>
  <c r="B2134"/>
  <c r="B2137"/>
  <c r="B2140"/>
  <c r="B2143"/>
  <c r="B2130"/>
  <c r="B2144"/>
  <c r="B2147"/>
  <c r="B2150"/>
  <c r="B2153"/>
  <c r="B2156"/>
  <c r="B2159"/>
  <c r="B2162"/>
  <c r="B2165"/>
  <c r="B2179"/>
  <c r="B2182"/>
  <c r="B2183"/>
  <c r="B2184"/>
  <c r="B2185"/>
  <c r="B2186"/>
  <c r="B2187"/>
  <c r="B2188"/>
  <c r="B2189"/>
  <c r="B2212"/>
  <c r="B2199"/>
  <c r="B2201"/>
  <c r="B2202"/>
  <c r="B2203"/>
  <c r="B2204"/>
  <c r="B2205"/>
  <c r="B2206"/>
  <c r="B2207"/>
  <c r="B2254"/>
  <c r="B2255"/>
  <c r="B1991"/>
  <c r="B2393"/>
  <c r="B2394"/>
  <c r="B2407"/>
  <c r="E2255"/>
  <c r="AA2255" s="1"/>
  <c r="E2254"/>
  <c r="AA2254" s="1"/>
  <c r="E2207"/>
  <c r="AA2207" s="1"/>
  <c r="E2201"/>
  <c r="AA2201" s="1"/>
  <c r="E2202"/>
  <c r="AA2202" s="1"/>
  <c r="E2203"/>
  <c r="AA2203" s="1"/>
  <c r="E2204"/>
  <c r="AA2204" s="1"/>
  <c r="E2205"/>
  <c r="AA2205" s="1"/>
  <c r="E2206"/>
  <c r="AA2206" s="1"/>
  <c r="E2199"/>
  <c r="AA2199" s="1"/>
  <c r="E2212"/>
  <c r="AA2212" s="1"/>
  <c r="E2183"/>
  <c r="AA2183" s="1"/>
  <c r="E2184"/>
  <c r="AA2184" s="1"/>
  <c r="E2185"/>
  <c r="AA2185" s="1"/>
  <c r="E2186"/>
  <c r="AA2186" s="1"/>
  <c r="E2187"/>
  <c r="AA2187" s="1"/>
  <c r="E2188"/>
  <c r="AA2188" s="1"/>
  <c r="E2189"/>
  <c r="AA2189" s="1"/>
  <c r="E2182"/>
  <c r="AA2182" s="1"/>
  <c r="E2179"/>
  <c r="AA2179" s="1"/>
  <c r="E2147"/>
  <c r="AA2147" s="1"/>
  <c r="E2150"/>
  <c r="AA2150" s="1"/>
  <c r="E2153"/>
  <c r="AA2153" s="1"/>
  <c r="E2156"/>
  <c r="AA2156" s="1"/>
  <c r="E2159"/>
  <c r="AA2159" s="1"/>
  <c r="E2162"/>
  <c r="AA2162" s="1"/>
  <c r="E2165"/>
  <c r="AA2165" s="1"/>
  <c r="E2079"/>
  <c r="AA2079" s="1"/>
  <c r="E2080"/>
  <c r="AA2080" s="1"/>
  <c r="E2072"/>
  <c r="AA2072" s="1"/>
  <c r="E2081"/>
  <c r="AA2081" s="1"/>
  <c r="E2073"/>
  <c r="AA2073" s="1"/>
  <c r="E2083"/>
  <c r="AA2083" s="1"/>
  <c r="E2099"/>
  <c r="AA2099" s="1"/>
  <c r="E2116"/>
  <c r="AA2116" s="1"/>
  <c r="E2127"/>
  <c r="AA2127" s="1"/>
  <c r="E2128"/>
  <c r="AA2128" s="1"/>
  <c r="E2129"/>
  <c r="AA2129" s="1"/>
  <c r="E2134"/>
  <c r="AA2134" s="1"/>
  <c r="E2137"/>
  <c r="AA2137" s="1"/>
  <c r="E2140"/>
  <c r="AA2140" s="1"/>
  <c r="E2143"/>
  <c r="AA2143" s="1"/>
  <c r="E2130"/>
  <c r="AA2130" s="1"/>
  <c r="E2144"/>
  <c r="AA2144" s="1"/>
  <c r="E2063"/>
  <c r="AA2063" s="1"/>
  <c r="E2064"/>
  <c r="AA2064" s="1"/>
  <c r="E2065"/>
  <c r="AA2065" s="1"/>
  <c r="E2066"/>
  <c r="AA2066" s="1"/>
  <c r="E2067"/>
  <c r="AA2067" s="1"/>
  <c r="E2068"/>
  <c r="AA2068" s="1"/>
  <c r="E2062"/>
  <c r="AA2062" s="1"/>
  <c r="E2054"/>
  <c r="AA2054" s="1"/>
  <c r="E2055"/>
  <c r="AA2055" s="1"/>
  <c r="E2056"/>
  <c r="AA2056" s="1"/>
  <c r="E2057"/>
  <c r="AA2057" s="1"/>
  <c r="E2058"/>
  <c r="AA2058" s="1"/>
  <c r="E2059"/>
  <c r="AA2059" s="1"/>
  <c r="E2060"/>
  <c r="AA2060" s="1"/>
  <c r="E2061"/>
  <c r="AA2061" s="1"/>
  <c r="E2052"/>
  <c r="AA2052" s="1"/>
  <c r="E2053"/>
  <c r="AA2053" s="1"/>
  <c r="E2048"/>
  <c r="AA2048" s="1"/>
  <c r="E2049"/>
  <c r="AA2049" s="1"/>
  <c r="E2050"/>
  <c r="AA2050" s="1"/>
  <c r="E2051"/>
  <c r="AA2051" s="1"/>
  <c r="E2007"/>
  <c r="AA2007" s="1"/>
  <c r="E2008"/>
  <c r="AA2008" s="1"/>
  <c r="E2026"/>
  <c r="AA2026" s="1"/>
  <c r="E2027"/>
  <c r="AA2027" s="1"/>
  <c r="E2031"/>
  <c r="AA2031" s="1"/>
  <c r="E2032"/>
  <c r="AA2032" s="1"/>
  <c r="E2033"/>
  <c r="AA2033" s="1"/>
  <c r="E2039"/>
  <c r="AA2039" s="1"/>
  <c r="E2046"/>
  <c r="AA2046" s="1"/>
  <c r="E2047"/>
  <c r="AA2047" s="1"/>
  <c r="E2013"/>
  <c r="AA2013" s="1"/>
  <c r="E2006"/>
  <c r="AA2006" s="1"/>
  <c r="E2005"/>
  <c r="AA2005" s="1"/>
  <c r="E1995"/>
  <c r="AA1995" s="1"/>
  <c r="E1990"/>
  <c r="AA1990" s="1"/>
  <c r="E1987"/>
  <c r="AA1987" s="1"/>
  <c r="E1988"/>
  <c r="AA1988" s="1"/>
  <c r="E1965"/>
  <c r="AA1965" s="1"/>
  <c r="E1966"/>
  <c r="AA1966" s="1"/>
  <c r="E1967"/>
  <c r="AA1967" s="1"/>
  <c r="E1968"/>
  <c r="AA1968" s="1"/>
  <c r="E1978"/>
  <c r="AA1978" s="1"/>
  <c r="E1979"/>
  <c r="AA1979" s="1"/>
  <c r="E1980"/>
  <c r="AA1980" s="1"/>
  <c r="E1981"/>
  <c r="AA1981" s="1"/>
  <c r="E1982"/>
  <c r="AA1982" s="1"/>
  <c r="E1983"/>
  <c r="AA1983" s="1"/>
  <c r="E1984"/>
  <c r="AA1984" s="1"/>
  <c r="E1985"/>
  <c r="AA1985" s="1"/>
  <c r="E1986"/>
  <c r="AA1986" s="1"/>
  <c r="E1964"/>
  <c r="AA1964" s="1"/>
  <c r="M491"/>
  <c r="M487"/>
  <c r="M484"/>
  <c r="M485"/>
  <c r="M483"/>
  <c r="Q2394" l="1"/>
  <c r="R2394"/>
  <c r="S2394"/>
  <c r="S2254"/>
  <c r="Q2254"/>
  <c r="R2254"/>
  <c r="Q2204"/>
  <c r="R2204"/>
  <c r="S2204"/>
  <c r="S2199"/>
  <c r="Q2199"/>
  <c r="R2199"/>
  <c r="S2187"/>
  <c r="Q2187"/>
  <c r="R2187"/>
  <c r="S2183"/>
  <c r="Q2183"/>
  <c r="R2183"/>
  <c r="R2162"/>
  <c r="S2162"/>
  <c r="Q2162"/>
  <c r="R2150"/>
  <c r="S2150"/>
  <c r="Q2150"/>
  <c r="R2143"/>
  <c r="S2143"/>
  <c r="Q2143"/>
  <c r="R2129"/>
  <c r="S2129"/>
  <c r="Q2129"/>
  <c r="Q2099"/>
  <c r="R2099"/>
  <c r="S2099"/>
  <c r="R2072"/>
  <c r="S2072"/>
  <c r="Q2072"/>
  <c r="R2067"/>
  <c r="S2067"/>
  <c r="Q2067"/>
  <c r="R2063"/>
  <c r="S2063"/>
  <c r="Q2063"/>
  <c r="R2059"/>
  <c r="S2059"/>
  <c r="Q2059"/>
  <c r="R2055"/>
  <c r="S2055"/>
  <c r="Q2055"/>
  <c r="R2051"/>
  <c r="S2051"/>
  <c r="Q2051"/>
  <c r="R2047"/>
  <c r="S2047"/>
  <c r="Q2047"/>
  <c r="Q2032"/>
  <c r="R2032"/>
  <c r="S2032"/>
  <c r="R2008"/>
  <c r="S2008"/>
  <c r="Q2008"/>
  <c r="Q2005"/>
  <c r="R2005"/>
  <c r="S2005"/>
  <c r="Q1987"/>
  <c r="R1987"/>
  <c r="S1987"/>
  <c r="Q1983"/>
  <c r="R1983"/>
  <c r="S1983"/>
  <c r="Q1979"/>
  <c r="R1979"/>
  <c r="S1979"/>
  <c r="Q1966"/>
  <c r="R1966"/>
  <c r="S1966"/>
  <c r="R491"/>
  <c r="S491"/>
  <c r="Q491"/>
  <c r="Q484"/>
  <c r="R484"/>
  <c r="S484"/>
  <c r="Q2242"/>
  <c r="R2242"/>
  <c r="S2242"/>
  <c r="Q2238"/>
  <c r="R2238"/>
  <c r="S2238"/>
  <c r="Q2234"/>
  <c r="R2234"/>
  <c r="S2234"/>
  <c r="R2228"/>
  <c r="S2228"/>
  <c r="Q2228"/>
  <c r="S2256"/>
  <c r="Q2256"/>
  <c r="R2256"/>
  <c r="S2194"/>
  <c r="Q2194"/>
  <c r="R2194"/>
  <c r="S2190"/>
  <c r="Q2190"/>
  <c r="R2190"/>
  <c r="Q2171"/>
  <c r="R2171"/>
  <c r="S2171"/>
  <c r="Q2121"/>
  <c r="R2121"/>
  <c r="S2121"/>
  <c r="Q2109"/>
  <c r="R2109"/>
  <c r="S2109"/>
  <c r="Q2069"/>
  <c r="R2069"/>
  <c r="S2069"/>
  <c r="R2024"/>
  <c r="S2024"/>
  <c r="Q2024"/>
  <c r="S1977"/>
  <c r="Q1977"/>
  <c r="R1977"/>
  <c r="S1971"/>
  <c r="Q1971"/>
  <c r="R1971"/>
  <c r="S1960"/>
  <c r="Q1960"/>
  <c r="R1960"/>
  <c r="S1567"/>
  <c r="Q1567"/>
  <c r="R1567"/>
  <c r="R1563"/>
  <c r="S1563"/>
  <c r="Q1563"/>
  <c r="S2098"/>
  <c r="Q2098"/>
  <c r="R2098"/>
  <c r="R2004"/>
  <c r="S2004"/>
  <c r="Q2004"/>
  <c r="S2275"/>
  <c r="Q2275"/>
  <c r="R2275"/>
  <c r="S2213"/>
  <c r="Q2213"/>
  <c r="R2213"/>
  <c r="Q2097"/>
  <c r="R2097"/>
  <c r="S2097"/>
  <c r="R2018"/>
  <c r="S2018"/>
  <c r="Q2018"/>
  <c r="R2014"/>
  <c r="S2014"/>
  <c r="Q2014"/>
  <c r="Q2208"/>
  <c r="R2208"/>
  <c r="S2208"/>
  <c r="Q2105"/>
  <c r="R2105"/>
  <c r="S2105"/>
  <c r="S2100"/>
  <c r="Q2100"/>
  <c r="R2100"/>
  <c r="Q2040"/>
  <c r="R2040"/>
  <c r="S2040"/>
  <c r="Q2011"/>
  <c r="R2011"/>
  <c r="S2011"/>
  <c r="R2074"/>
  <c r="S2074"/>
  <c r="Q2074"/>
  <c r="Q2087"/>
  <c r="R2087"/>
  <c r="S2087"/>
  <c r="Q489"/>
  <c r="R489"/>
  <c r="S489"/>
  <c r="Q2101"/>
  <c r="R2101"/>
  <c r="S2101"/>
  <c r="Q2250"/>
  <c r="R2250"/>
  <c r="S2250"/>
  <c r="Q2246"/>
  <c r="R2246"/>
  <c r="S2246"/>
  <c r="Q2253"/>
  <c r="R2253"/>
  <c r="S2253"/>
  <c r="Q2019"/>
  <c r="R2019"/>
  <c r="S2019"/>
  <c r="Q2218"/>
  <c r="R2218"/>
  <c r="S2218"/>
  <c r="Q2214"/>
  <c r="R2214"/>
  <c r="S2214"/>
  <c r="Q2200"/>
  <c r="R2200"/>
  <c r="S2200"/>
  <c r="Q2042"/>
  <c r="R2042"/>
  <c r="S2042"/>
  <c r="Q2091"/>
  <c r="R2091"/>
  <c r="S2091"/>
  <c r="Q2119"/>
  <c r="R2119"/>
  <c r="S2119"/>
  <c r="Q2210"/>
  <c r="R2210"/>
  <c r="S2210"/>
  <c r="R2252"/>
  <c r="S2252"/>
  <c r="Q2252"/>
  <c r="Q2229"/>
  <c r="R2229"/>
  <c r="S2229"/>
  <c r="Q2320"/>
  <c r="R2320"/>
  <c r="S2320"/>
  <c r="Q2323"/>
  <c r="R2323"/>
  <c r="S2323"/>
  <c r="R2353"/>
  <c r="S2353"/>
  <c r="Q2353"/>
  <c r="Q2390"/>
  <c r="R2390"/>
  <c r="S2390"/>
  <c r="R2392"/>
  <c r="S2392"/>
  <c r="Q2392"/>
  <c r="S2395"/>
  <c r="Q2395"/>
  <c r="R2395"/>
  <c r="Q2366"/>
  <c r="R2366"/>
  <c r="S2366"/>
  <c r="Q2362"/>
  <c r="R2362"/>
  <c r="S2362"/>
  <c r="Q2380"/>
  <c r="R2380"/>
  <c r="S2380"/>
  <c r="Q2294"/>
  <c r="R2294"/>
  <c r="S2294"/>
  <c r="S2287"/>
  <c r="Q2287"/>
  <c r="R2287"/>
  <c r="S2411"/>
  <c r="Q2411"/>
  <c r="R2411"/>
  <c r="S2306"/>
  <c r="Q2306"/>
  <c r="R2306"/>
  <c r="S2399"/>
  <c r="Q2399"/>
  <c r="R2399"/>
  <c r="Q1573"/>
  <c r="R1573"/>
  <c r="S1573"/>
  <c r="Q2286"/>
  <c r="R2286"/>
  <c r="S2286"/>
  <c r="Q2413"/>
  <c r="R2413"/>
  <c r="S2413"/>
  <c r="Q2410"/>
  <c r="R2410"/>
  <c r="S2410"/>
  <c r="S2423"/>
  <c r="Q2423"/>
  <c r="R2423"/>
  <c r="Q2425"/>
  <c r="R2425"/>
  <c r="S2425"/>
  <c r="Q2290"/>
  <c r="R2290"/>
  <c r="S2290"/>
  <c r="Q2292"/>
  <c r="R2292"/>
  <c r="S2292"/>
  <c r="S2318"/>
  <c r="Q2318"/>
  <c r="R2318"/>
  <c r="S2335"/>
  <c r="Q2335"/>
  <c r="R2335"/>
  <c r="Q2393"/>
  <c r="R2393"/>
  <c r="S2393"/>
  <c r="S2207"/>
  <c r="Q2207"/>
  <c r="R2207"/>
  <c r="S2203"/>
  <c r="Q2203"/>
  <c r="R2203"/>
  <c r="Q2212"/>
  <c r="R2212"/>
  <c r="S2212"/>
  <c r="Q2186"/>
  <c r="R2186"/>
  <c r="S2186"/>
  <c r="Q2182"/>
  <c r="R2182"/>
  <c r="S2182"/>
  <c r="S2159"/>
  <c r="Q2159"/>
  <c r="R2159"/>
  <c r="S2147"/>
  <c r="Q2147"/>
  <c r="R2147"/>
  <c r="S2140"/>
  <c r="Q2140"/>
  <c r="R2140"/>
  <c r="Q2128"/>
  <c r="R2128"/>
  <c r="S2128"/>
  <c r="Q2083"/>
  <c r="R2083"/>
  <c r="S2083"/>
  <c r="S2080"/>
  <c r="Q2080"/>
  <c r="R2080"/>
  <c r="Q2066"/>
  <c r="R2066"/>
  <c r="S2066"/>
  <c r="Q2062"/>
  <c r="R2062"/>
  <c r="S2062"/>
  <c r="Q2058"/>
  <c r="R2058"/>
  <c r="S2058"/>
  <c r="Q2054"/>
  <c r="R2054"/>
  <c r="S2054"/>
  <c r="Q2050"/>
  <c r="R2050"/>
  <c r="S2050"/>
  <c r="Q2046"/>
  <c r="R2046"/>
  <c r="S2046"/>
  <c r="R2031"/>
  <c r="S2031"/>
  <c r="Q2031"/>
  <c r="Q2007"/>
  <c r="R2007"/>
  <c r="S2007"/>
  <c r="Q1995"/>
  <c r="R1995"/>
  <c r="S1995"/>
  <c r="R1986"/>
  <c r="S1986"/>
  <c r="Q1986"/>
  <c r="R1982"/>
  <c r="S1982"/>
  <c r="Q1982"/>
  <c r="R1978"/>
  <c r="S1978"/>
  <c r="Q1978"/>
  <c r="S1965"/>
  <c r="Q1965"/>
  <c r="R1965"/>
  <c r="R487"/>
  <c r="S487"/>
  <c r="Q487"/>
  <c r="R483"/>
  <c r="S483"/>
  <c r="Q483"/>
  <c r="Q2241"/>
  <c r="R2241"/>
  <c r="S2241"/>
  <c r="Q2237"/>
  <c r="R2237"/>
  <c r="S2237"/>
  <c r="Q2233"/>
  <c r="R2233"/>
  <c r="S2233"/>
  <c r="S2227"/>
  <c r="Q2227"/>
  <c r="R2227"/>
  <c r="Q2197"/>
  <c r="R2197"/>
  <c r="S2197"/>
  <c r="Q2193"/>
  <c r="R2193"/>
  <c r="S2193"/>
  <c r="Q2175"/>
  <c r="R2175"/>
  <c r="S2175"/>
  <c r="R2170"/>
  <c r="S2170"/>
  <c r="Q2170"/>
  <c r="S2113"/>
  <c r="Q2113"/>
  <c r="R2113"/>
  <c r="R2108"/>
  <c r="S2108"/>
  <c r="Q2108"/>
  <c r="Q2035"/>
  <c r="R2035"/>
  <c r="S2035"/>
  <c r="S2023"/>
  <c r="Q2023"/>
  <c r="R2023"/>
  <c r="Q1976"/>
  <c r="R1976"/>
  <c r="S1976"/>
  <c r="Q1970"/>
  <c r="R1970"/>
  <c r="S1970"/>
  <c r="Q1959"/>
  <c r="R1959"/>
  <c r="S1959"/>
  <c r="S1566"/>
  <c r="Q1566"/>
  <c r="R1566"/>
  <c r="S1562"/>
  <c r="Q1562"/>
  <c r="R1562"/>
  <c r="Q2071"/>
  <c r="R2071"/>
  <c r="S2071"/>
  <c r="Q2351"/>
  <c r="R2351"/>
  <c r="S2351"/>
  <c r="Q2355"/>
  <c r="R2355"/>
  <c r="S2355"/>
  <c r="Q2180"/>
  <c r="R2180"/>
  <c r="S2180"/>
  <c r="S2096"/>
  <c r="Q2096"/>
  <c r="R2096"/>
  <c r="Q2017"/>
  <c r="R2017"/>
  <c r="S2017"/>
  <c r="Q1997"/>
  <c r="R1997"/>
  <c r="S1997"/>
  <c r="R2125"/>
  <c r="S2125"/>
  <c r="Q2125"/>
  <c r="S2104"/>
  <c r="Q2104"/>
  <c r="R2104"/>
  <c r="S2086"/>
  <c r="Q2086"/>
  <c r="R2086"/>
  <c r="R2029"/>
  <c r="S2029"/>
  <c r="Q2029"/>
  <c r="R2010"/>
  <c r="S2010"/>
  <c r="Q2010"/>
  <c r="Q2249"/>
  <c r="R2249"/>
  <c r="S2249"/>
  <c r="Q2245"/>
  <c r="R2245"/>
  <c r="S2245"/>
  <c r="R1998"/>
  <c r="S1998"/>
  <c r="Q1998"/>
  <c r="S2217"/>
  <c r="Q2217"/>
  <c r="R2217"/>
  <c r="S2221"/>
  <c r="Q2221"/>
  <c r="R2221"/>
  <c r="R217"/>
  <c r="Q217"/>
  <c r="S217"/>
  <c r="R215"/>
  <c r="Q215"/>
  <c r="S215"/>
  <c r="R213"/>
  <c r="Q213"/>
  <c r="S213"/>
  <c r="R211"/>
  <c r="S211"/>
  <c r="Q211"/>
  <c r="R209"/>
  <c r="Q209"/>
  <c r="S209"/>
  <c r="R219"/>
  <c r="Q219"/>
  <c r="S219"/>
  <c r="R1992"/>
  <c r="S1992"/>
  <c r="Q1992"/>
  <c r="R2041"/>
  <c r="S2041"/>
  <c r="Q2041"/>
  <c r="S2088"/>
  <c r="Q2088"/>
  <c r="R2088"/>
  <c r="S2211"/>
  <c r="Q2211"/>
  <c r="R2211"/>
  <c r="S2251"/>
  <c r="Q2251"/>
  <c r="R2251"/>
  <c r="R2045"/>
  <c r="S2045"/>
  <c r="Q2045"/>
  <c r="S2092"/>
  <c r="Q2092"/>
  <c r="R2092"/>
  <c r="R2276"/>
  <c r="S2276"/>
  <c r="Q2276"/>
  <c r="Q2280"/>
  <c r="R2280"/>
  <c r="S2280"/>
  <c r="R2283"/>
  <c r="S2283"/>
  <c r="Q2283"/>
  <c r="Q2309"/>
  <c r="R2309"/>
  <c r="S2309"/>
  <c r="Q2316"/>
  <c r="R2316"/>
  <c r="S2316"/>
  <c r="Q2326"/>
  <c r="R2326"/>
  <c r="S2326"/>
  <c r="Q2384"/>
  <c r="R2384"/>
  <c r="S2384"/>
  <c r="R2386"/>
  <c r="S2386"/>
  <c r="Q2386"/>
  <c r="Q2401"/>
  <c r="R2401"/>
  <c r="S2401"/>
  <c r="R2365"/>
  <c r="S2365"/>
  <c r="Q2365"/>
  <c r="R2361"/>
  <c r="S2361"/>
  <c r="Q2361"/>
  <c r="R2357"/>
  <c r="S2357"/>
  <c r="Q2357"/>
  <c r="S2293"/>
  <c r="Q2293"/>
  <c r="R2293"/>
  <c r="Q2281"/>
  <c r="R2281"/>
  <c r="S2281"/>
  <c r="Q2409"/>
  <c r="R2409"/>
  <c r="S2409"/>
  <c r="R2428"/>
  <c r="S2428"/>
  <c r="Q2428"/>
  <c r="R2379"/>
  <c r="S2379"/>
  <c r="Q2379"/>
  <c r="S2258"/>
  <c r="Q2258"/>
  <c r="R2258"/>
  <c r="S1571"/>
  <c r="Q1571"/>
  <c r="R1571"/>
  <c r="Q2414"/>
  <c r="R2414"/>
  <c r="S2414"/>
  <c r="S514"/>
  <c r="Q514"/>
  <c r="R514"/>
  <c r="Q2269"/>
  <c r="R2269"/>
  <c r="S2269"/>
  <c r="R2420"/>
  <c r="S2420"/>
  <c r="Q2420"/>
  <c r="Q2418"/>
  <c r="R2418"/>
  <c r="S2418"/>
  <c r="Q2296"/>
  <c r="R2296"/>
  <c r="S2296"/>
  <c r="Q2298"/>
  <c r="R2298"/>
  <c r="S2298"/>
  <c r="Q2300"/>
  <c r="R2300"/>
  <c r="S2300"/>
  <c r="Q2302"/>
  <c r="R2302"/>
  <c r="S2302"/>
  <c r="S2303"/>
  <c r="Q2303"/>
  <c r="R2303"/>
  <c r="S2305"/>
  <c r="Q2305"/>
  <c r="R2305"/>
  <c r="Q1991"/>
  <c r="R1991"/>
  <c r="S1991"/>
  <c r="Q2206"/>
  <c r="R2206"/>
  <c r="S2206"/>
  <c r="Q2202"/>
  <c r="R2202"/>
  <c r="S2202"/>
  <c r="S2189"/>
  <c r="Q2189"/>
  <c r="R2189"/>
  <c r="S2185"/>
  <c r="Q2185"/>
  <c r="R2185"/>
  <c r="S2179"/>
  <c r="Q2179"/>
  <c r="R2179"/>
  <c r="Q2156"/>
  <c r="R2156"/>
  <c r="S2156"/>
  <c r="Q2144"/>
  <c r="R2144"/>
  <c r="S2144"/>
  <c r="Q2137"/>
  <c r="R2137"/>
  <c r="S2137"/>
  <c r="R2127"/>
  <c r="S2127"/>
  <c r="Q2127"/>
  <c r="Q2073"/>
  <c r="R2073"/>
  <c r="S2073"/>
  <c r="Q2079"/>
  <c r="R2079"/>
  <c r="S2079"/>
  <c r="R2065"/>
  <c r="S2065"/>
  <c r="Q2065"/>
  <c r="R2061"/>
  <c r="S2061"/>
  <c r="Q2061"/>
  <c r="R2057"/>
  <c r="S2057"/>
  <c r="Q2057"/>
  <c r="R2053"/>
  <c r="S2053"/>
  <c r="Q2053"/>
  <c r="R2049"/>
  <c r="S2049"/>
  <c r="Q2049"/>
  <c r="R2039"/>
  <c r="S2039"/>
  <c r="Q2039"/>
  <c r="R2027"/>
  <c r="S2027"/>
  <c r="Q2027"/>
  <c r="Q2013"/>
  <c r="R2013"/>
  <c r="S2013"/>
  <c r="R1990"/>
  <c r="S1990"/>
  <c r="Q1990"/>
  <c r="Q1985"/>
  <c r="R1985"/>
  <c r="S1985"/>
  <c r="Q1981"/>
  <c r="R1981"/>
  <c r="S1981"/>
  <c r="Q1968"/>
  <c r="R1968"/>
  <c r="S1968"/>
  <c r="Q1964"/>
  <c r="R1964"/>
  <c r="S1964"/>
  <c r="S486"/>
  <c r="Q486"/>
  <c r="R486"/>
  <c r="R2244"/>
  <c r="S2244"/>
  <c r="Q2244"/>
  <c r="R2240"/>
  <c r="S2240"/>
  <c r="Q2240"/>
  <c r="R2236"/>
  <c r="S2236"/>
  <c r="Q2236"/>
  <c r="S2231"/>
  <c r="Q2231"/>
  <c r="R2231"/>
  <c r="Q2226"/>
  <c r="R2226"/>
  <c r="S2226"/>
  <c r="Q2196"/>
  <c r="R2196"/>
  <c r="S2196"/>
  <c r="Q2192"/>
  <c r="R2192"/>
  <c r="S2192"/>
  <c r="R2173"/>
  <c r="Q2173"/>
  <c r="S2173"/>
  <c r="S2124"/>
  <c r="Q2124"/>
  <c r="R2124"/>
  <c r="Q2112"/>
  <c r="R2112"/>
  <c r="S2112"/>
  <c r="S2107"/>
  <c r="Q2107"/>
  <c r="R2107"/>
  <c r="R2034"/>
  <c r="S2034"/>
  <c r="Q2034"/>
  <c r="Q2002"/>
  <c r="R2002"/>
  <c r="S2002"/>
  <c r="Q1974"/>
  <c r="R1974"/>
  <c r="S1974"/>
  <c r="Q1969"/>
  <c r="R1969"/>
  <c r="S1969"/>
  <c r="Q1569"/>
  <c r="R1569"/>
  <c r="S1569"/>
  <c r="Q1565"/>
  <c r="R1565"/>
  <c r="S1565"/>
  <c r="Q2176"/>
  <c r="R2176"/>
  <c r="S2176"/>
  <c r="Q2038"/>
  <c r="R2038"/>
  <c r="S2038"/>
  <c r="Q2329"/>
  <c r="R2329"/>
  <c r="S2329"/>
  <c r="S1574"/>
  <c r="Q1574"/>
  <c r="R1574"/>
  <c r="R2169"/>
  <c r="S2169"/>
  <c r="Q2169"/>
  <c r="Q2095"/>
  <c r="R2095"/>
  <c r="S2095"/>
  <c r="R2016"/>
  <c r="S2016"/>
  <c r="Q2016"/>
  <c r="R1996"/>
  <c r="S1996"/>
  <c r="Q1996"/>
  <c r="Q2115"/>
  <c r="R2115"/>
  <c r="S2115"/>
  <c r="Q2103"/>
  <c r="R2103"/>
  <c r="S2103"/>
  <c r="Q2085"/>
  <c r="R2085"/>
  <c r="S2085"/>
  <c r="Q2028"/>
  <c r="R2028"/>
  <c r="S2028"/>
  <c r="Q2009"/>
  <c r="R2009"/>
  <c r="S2009"/>
  <c r="S490"/>
  <c r="Q490"/>
  <c r="R490"/>
  <c r="R2248"/>
  <c r="S2248"/>
  <c r="Q2248"/>
  <c r="Q2220"/>
  <c r="R2220"/>
  <c r="S2220"/>
  <c r="Q2216"/>
  <c r="R2216"/>
  <c r="S2216"/>
  <c r="S2082"/>
  <c r="Q2082"/>
  <c r="R2082"/>
  <c r="Q1993"/>
  <c r="R1993"/>
  <c r="S1993"/>
  <c r="Q2044"/>
  <c r="R2044"/>
  <c r="S2044"/>
  <c r="Q2089"/>
  <c r="R2089"/>
  <c r="S2089"/>
  <c r="Q2117"/>
  <c r="R2117"/>
  <c r="S2117"/>
  <c r="S2111"/>
  <c r="Q2111"/>
  <c r="R2111"/>
  <c r="R2120"/>
  <c r="S2120"/>
  <c r="Q2120"/>
  <c r="S2356"/>
  <c r="Q2356"/>
  <c r="R2356"/>
  <c r="Q2319"/>
  <c r="R2319"/>
  <c r="S2319"/>
  <c r="S2321"/>
  <c r="Q2321"/>
  <c r="R2321"/>
  <c r="Q2324"/>
  <c r="R2324"/>
  <c r="S2324"/>
  <c r="Q2354"/>
  <c r="R2354"/>
  <c r="S2354"/>
  <c r="Q2389"/>
  <c r="R2389"/>
  <c r="S2389"/>
  <c r="S2391"/>
  <c r="Q2391"/>
  <c r="R2391"/>
  <c r="R2396"/>
  <c r="S2396"/>
  <c r="Q2396"/>
  <c r="R2367"/>
  <c r="S2367"/>
  <c r="Q2367"/>
  <c r="Q2364"/>
  <c r="R2364"/>
  <c r="S2364"/>
  <c r="Q2360"/>
  <c r="R2360"/>
  <c r="S2360"/>
  <c r="S2333"/>
  <c r="Q2333"/>
  <c r="R2333"/>
  <c r="S2289"/>
  <c r="Q2289"/>
  <c r="R2289"/>
  <c r="Q2271"/>
  <c r="R2271"/>
  <c r="S2271"/>
  <c r="Q2397"/>
  <c r="R2397"/>
  <c r="S2397"/>
  <c r="R2408"/>
  <c r="S2408"/>
  <c r="Q2408"/>
  <c r="R2400"/>
  <c r="S2400"/>
  <c r="Q2400"/>
  <c r="S2330"/>
  <c r="Q2330"/>
  <c r="R2330"/>
  <c r="Q2421"/>
  <c r="R2421"/>
  <c r="S2421"/>
  <c r="S2419"/>
  <c r="Q2419"/>
  <c r="R2419"/>
  <c r="S2291"/>
  <c r="Q2291"/>
  <c r="R2291"/>
  <c r="Q2334"/>
  <c r="R2334"/>
  <c r="S2334"/>
  <c r="Q2336"/>
  <c r="R2336"/>
  <c r="S2336"/>
  <c r="S2407"/>
  <c r="Q2407"/>
  <c r="R2407"/>
  <c r="Q2255"/>
  <c r="R2255"/>
  <c r="S2255"/>
  <c r="S2205"/>
  <c r="Q2205"/>
  <c r="R2205"/>
  <c r="S2201"/>
  <c r="Q2201"/>
  <c r="R2201"/>
  <c r="Q2188"/>
  <c r="R2188"/>
  <c r="S2188"/>
  <c r="Q2184"/>
  <c r="R2184"/>
  <c r="S2184"/>
  <c r="Q2165"/>
  <c r="R2165"/>
  <c r="S2165"/>
  <c r="Q2153"/>
  <c r="R2153"/>
  <c r="S2153"/>
  <c r="Q2130"/>
  <c r="R2130"/>
  <c r="S2130"/>
  <c r="Q2134"/>
  <c r="R2134"/>
  <c r="S2134"/>
  <c r="R2116"/>
  <c r="S2116"/>
  <c r="Q2116"/>
  <c r="Q2081"/>
  <c r="R2081"/>
  <c r="S2081"/>
  <c r="Q2068"/>
  <c r="R2068"/>
  <c r="S2068"/>
  <c r="Q2064"/>
  <c r="R2064"/>
  <c r="S2064"/>
  <c r="Q2060"/>
  <c r="R2060"/>
  <c r="S2060"/>
  <c r="Q2056"/>
  <c r="R2056"/>
  <c r="S2056"/>
  <c r="Q2052"/>
  <c r="R2052"/>
  <c r="S2052"/>
  <c r="Q2048"/>
  <c r="R2048"/>
  <c r="S2048"/>
  <c r="R2033"/>
  <c r="S2033"/>
  <c r="Q2033"/>
  <c r="Q2026"/>
  <c r="R2026"/>
  <c r="S2026"/>
  <c r="R2006"/>
  <c r="S2006"/>
  <c r="Q2006"/>
  <c r="R1988"/>
  <c r="S1988"/>
  <c r="Q1988"/>
  <c r="R1984"/>
  <c r="S1984"/>
  <c r="Q1984"/>
  <c r="R1980"/>
  <c r="S1980"/>
  <c r="Q1980"/>
  <c r="S1967"/>
  <c r="Q1967"/>
  <c r="R1967"/>
  <c r="Q492"/>
  <c r="R492"/>
  <c r="S492"/>
  <c r="Q485"/>
  <c r="R485"/>
  <c r="S485"/>
  <c r="S2243"/>
  <c r="Q2243"/>
  <c r="R2243"/>
  <c r="S2239"/>
  <c r="Q2239"/>
  <c r="R2239"/>
  <c r="S2235"/>
  <c r="Q2235"/>
  <c r="R2235"/>
  <c r="Q2230"/>
  <c r="R2230"/>
  <c r="S2230"/>
  <c r="Q2225"/>
  <c r="R2225"/>
  <c r="S2225"/>
  <c r="R2195"/>
  <c r="S2195"/>
  <c r="Q2195"/>
  <c r="R2191"/>
  <c r="S2191"/>
  <c r="Q2191"/>
  <c r="Q2172"/>
  <c r="S2172"/>
  <c r="R2172"/>
  <c r="Q2122"/>
  <c r="R2122"/>
  <c r="S2122"/>
  <c r="Q2110"/>
  <c r="R2110"/>
  <c r="S2110"/>
  <c r="Q2070"/>
  <c r="R2070"/>
  <c r="S2070"/>
  <c r="Q2030"/>
  <c r="R2030"/>
  <c r="S2030"/>
  <c r="Q2001"/>
  <c r="R2001"/>
  <c r="S2001"/>
  <c r="R1973"/>
  <c r="S1973"/>
  <c r="Q1973"/>
  <c r="R1963"/>
  <c r="S1963"/>
  <c r="Q1963"/>
  <c r="R1568"/>
  <c r="S1568"/>
  <c r="Q1568"/>
  <c r="Q1564"/>
  <c r="R1564"/>
  <c r="S1564"/>
  <c r="R2114"/>
  <c r="S2114"/>
  <c r="Q2114"/>
  <c r="R2025"/>
  <c r="S2025"/>
  <c r="Q2025"/>
  <c r="Q2328"/>
  <c r="R2328"/>
  <c r="S2328"/>
  <c r="Q2257"/>
  <c r="R2257"/>
  <c r="S2257"/>
  <c r="Q2168"/>
  <c r="R2168"/>
  <c r="S2168"/>
  <c r="S2094"/>
  <c r="Q2094"/>
  <c r="R2094"/>
  <c r="Q2015"/>
  <c r="R2015"/>
  <c r="S2015"/>
  <c r="S2223"/>
  <c r="Q2223"/>
  <c r="R2223"/>
  <c r="S2106"/>
  <c r="Q2106"/>
  <c r="R2106"/>
  <c r="S2102"/>
  <c r="Q2102"/>
  <c r="R2102"/>
  <c r="S2084"/>
  <c r="Q2084"/>
  <c r="R2084"/>
  <c r="R2012"/>
  <c r="S2012"/>
  <c r="Q2012"/>
  <c r="S2247"/>
  <c r="Q2247"/>
  <c r="R2247"/>
  <c r="Q2021"/>
  <c r="R2021"/>
  <c r="S2021"/>
  <c r="S2219"/>
  <c r="Q2219"/>
  <c r="R2219"/>
  <c r="S2215"/>
  <c r="Q2215"/>
  <c r="R2215"/>
  <c r="Q218"/>
  <c r="S218"/>
  <c r="R218"/>
  <c r="S216"/>
  <c r="Q216"/>
  <c r="R216"/>
  <c r="Q214"/>
  <c r="S214"/>
  <c r="R214"/>
  <c r="S212"/>
  <c r="Q212"/>
  <c r="R212"/>
  <c r="Q210"/>
  <c r="S210"/>
  <c r="R210"/>
  <c r="S208"/>
  <c r="Q208"/>
  <c r="R208"/>
  <c r="R1994"/>
  <c r="S1994"/>
  <c r="Q1994"/>
  <c r="R2043"/>
  <c r="S2043"/>
  <c r="Q2043"/>
  <c r="S2090"/>
  <c r="Q2090"/>
  <c r="R2090"/>
  <c r="R2118"/>
  <c r="S2118"/>
  <c r="Q2118"/>
  <c r="S2209"/>
  <c r="Q2209"/>
  <c r="R2209"/>
  <c r="Q2093"/>
  <c r="R2093"/>
  <c r="S2093"/>
  <c r="R1575"/>
  <c r="S1575"/>
  <c r="Q1575"/>
  <c r="Q2279"/>
  <c r="R2279"/>
  <c r="S2279"/>
  <c r="S2282"/>
  <c r="Q2282"/>
  <c r="R2282"/>
  <c r="Q2308"/>
  <c r="R2308"/>
  <c r="S2308"/>
  <c r="Q2315"/>
  <c r="R2315"/>
  <c r="S2315"/>
  <c r="R2322"/>
  <c r="S2322"/>
  <c r="Q2322"/>
  <c r="Q2325"/>
  <c r="R2325"/>
  <c r="S2325"/>
  <c r="S2352"/>
  <c r="Q2352"/>
  <c r="R2352"/>
  <c r="S2385"/>
  <c r="Q2385"/>
  <c r="R2385"/>
  <c r="S2260"/>
  <c r="Q2260"/>
  <c r="R2260"/>
  <c r="R2363"/>
  <c r="S2363"/>
  <c r="Q2363"/>
  <c r="R2123"/>
  <c r="S2123"/>
  <c r="Q2123"/>
  <c r="S2295"/>
  <c r="Q2295"/>
  <c r="R2295"/>
  <c r="Q2288"/>
  <c r="R2288"/>
  <c r="S2288"/>
  <c r="R2412"/>
  <c r="S2412"/>
  <c r="Q2412"/>
  <c r="R2307"/>
  <c r="S2307"/>
  <c r="Q2307"/>
  <c r="S2317"/>
  <c r="Q2317"/>
  <c r="R2317"/>
  <c r="R1572"/>
  <c r="S1572"/>
  <c r="Q1572"/>
  <c r="Q513"/>
  <c r="R513"/>
  <c r="S513"/>
  <c r="S2270"/>
  <c r="Q2270"/>
  <c r="R2270"/>
  <c r="Q2429"/>
  <c r="R2429"/>
  <c r="S2429"/>
  <c r="Q2398"/>
  <c r="R2398"/>
  <c r="S2398"/>
  <c r="Q2422"/>
  <c r="R2422"/>
  <c r="S2422"/>
  <c r="R2424"/>
  <c r="S2424"/>
  <c r="Q2424"/>
  <c r="S2272"/>
  <c r="Q2272"/>
  <c r="R2272"/>
  <c r="S2297"/>
  <c r="Q2297"/>
  <c r="R2297"/>
  <c r="S2299"/>
  <c r="Q2299"/>
  <c r="R2299"/>
  <c r="S2301"/>
  <c r="Q2301"/>
  <c r="R2301"/>
  <c r="Q2304"/>
  <c r="R2304"/>
  <c r="S2304"/>
  <c r="S2327"/>
  <c r="Q2327"/>
  <c r="R2327"/>
  <c r="A2407"/>
  <c r="A2255"/>
  <c r="A2205"/>
  <c r="A2201"/>
  <c r="A2188"/>
  <c r="A2184"/>
  <c r="A2165"/>
  <c r="A2153"/>
  <c r="A2130"/>
  <c r="A2134"/>
  <c r="A2116"/>
  <c r="A2081"/>
  <c r="A2068"/>
  <c r="A2064"/>
  <c r="A2060"/>
  <c r="A2056"/>
  <c r="A2052"/>
  <c r="A2048"/>
  <c r="A2033"/>
  <c r="A2026"/>
  <c r="A2006"/>
  <c r="A1988"/>
  <c r="A1984"/>
  <c r="A1980"/>
  <c r="A1967"/>
  <c r="A492"/>
  <c r="A485"/>
  <c r="A2243"/>
  <c r="A2239"/>
  <c r="A2235"/>
  <c r="A2230"/>
  <c r="A2225"/>
  <c r="A2195"/>
  <c r="A2191"/>
  <c r="A2172"/>
  <c r="A2122"/>
  <c r="A2110"/>
  <c r="A2070"/>
  <c r="A2030"/>
  <c r="A2001"/>
  <c r="A1973"/>
  <c r="A1963"/>
  <c r="A1568"/>
  <c r="A1564"/>
  <c r="A2114"/>
  <c r="A2025"/>
  <c r="A2328"/>
  <c r="A2257"/>
  <c r="A2168"/>
  <c r="A2094"/>
  <c r="A2015"/>
  <c r="A2223"/>
  <c r="A2106"/>
  <c r="A2102"/>
  <c r="A2084"/>
  <c r="A2012"/>
  <c r="A2247"/>
  <c r="A2021"/>
  <c r="A2219"/>
  <c r="A2215"/>
  <c r="A218"/>
  <c r="A216"/>
  <c r="A214"/>
  <c r="A212"/>
  <c r="A210"/>
  <c r="A208"/>
  <c r="A1994"/>
  <c r="A2043"/>
  <c r="A2090"/>
  <c r="A2118"/>
  <c r="A2209"/>
  <c r="A2093"/>
  <c r="A1575"/>
  <c r="A2279"/>
  <c r="A2282"/>
  <c r="A2308"/>
  <c r="A2315"/>
  <c r="A2322"/>
  <c r="A2325"/>
  <c r="A2352"/>
  <c r="A2385"/>
  <c r="A2260"/>
  <c r="A2363"/>
  <c r="A2123"/>
  <c r="A2295"/>
  <c r="A2288"/>
  <c r="A2412"/>
  <c r="A2307"/>
  <c r="A2317"/>
  <c r="A1572"/>
  <c r="A513"/>
  <c r="A2270"/>
  <c r="A2429"/>
  <c r="A2398"/>
  <c r="A2422"/>
  <c r="A2424"/>
  <c r="A2272"/>
  <c r="A2297"/>
  <c r="A2299"/>
  <c r="A2301"/>
  <c r="A2304"/>
  <c r="A2327"/>
  <c r="A2394"/>
  <c r="A2254"/>
  <c r="A2204"/>
  <c r="A2199"/>
  <c r="A2187"/>
  <c r="A2183"/>
  <c r="A2162"/>
  <c r="A2150"/>
  <c r="A2143"/>
  <c r="A2129"/>
  <c r="A2099"/>
  <c r="A2072"/>
  <c r="A2067"/>
  <c r="A2063"/>
  <c r="A2059"/>
  <c r="A2055"/>
  <c r="A2051"/>
  <c r="A2047"/>
  <c r="A2032"/>
  <c r="A2008"/>
  <c r="A2005"/>
  <c r="A1987"/>
  <c r="A1983"/>
  <c r="A1979"/>
  <c r="A1966"/>
  <c r="A491"/>
  <c r="A484"/>
  <c r="A2242"/>
  <c r="A2238"/>
  <c r="A2234"/>
  <c r="A2228"/>
  <c r="A2256"/>
  <c r="A2194"/>
  <c r="A2190"/>
  <c r="A2171"/>
  <c r="A2121"/>
  <c r="A2109"/>
  <c r="A2069"/>
  <c r="A2024"/>
  <c r="A1977"/>
  <c r="A1971"/>
  <c r="A1960"/>
  <c r="A1567"/>
  <c r="A1563"/>
  <c r="A2098"/>
  <c r="A2004"/>
  <c r="A2275"/>
  <c r="A2213"/>
  <c r="A2097"/>
  <c r="A2018"/>
  <c r="A2014"/>
  <c r="A2208"/>
  <c r="A2105"/>
  <c r="A2100"/>
  <c r="A2040"/>
  <c r="A2011"/>
  <c r="A2074"/>
  <c r="A2087"/>
  <c r="A489"/>
  <c r="A2101"/>
  <c r="A2250"/>
  <c r="A2246"/>
  <c r="A2253"/>
  <c r="A2019"/>
  <c r="A2218"/>
  <c r="A2214"/>
  <c r="A2200"/>
  <c r="A2042"/>
  <c r="A2091"/>
  <c r="A2119"/>
  <c r="A2210"/>
  <c r="A2252"/>
  <c r="A2229"/>
  <c r="A2320"/>
  <c r="A2323"/>
  <c r="A2353"/>
  <c r="A2390"/>
  <c r="A2392"/>
  <c r="A2395"/>
  <c r="A2366"/>
  <c r="A2362"/>
  <c r="A2380"/>
  <c r="A2294"/>
  <c r="A2287"/>
  <c r="A2411"/>
  <c r="A2306"/>
  <c r="A2399"/>
  <c r="A1573"/>
  <c r="A2286"/>
  <c r="A2413"/>
  <c r="A2410"/>
  <c r="A2423"/>
  <c r="A2425"/>
  <c r="A2290"/>
  <c r="A2292"/>
  <c r="A2318"/>
  <c r="A2335"/>
  <c r="A2393"/>
  <c r="A2207"/>
  <c r="A2203"/>
  <c r="A2212"/>
  <c r="A2186"/>
  <c r="A2182"/>
  <c r="A2159"/>
  <c r="A2147"/>
  <c r="A2140"/>
  <c r="A2128"/>
  <c r="A2083"/>
  <c r="A2080"/>
  <c r="A2066"/>
  <c r="A2062"/>
  <c r="A2058"/>
  <c r="A2054"/>
  <c r="A2050"/>
  <c r="A2046"/>
  <c r="A2031"/>
  <c r="A2007"/>
  <c r="A1995"/>
  <c r="A1986"/>
  <c r="A1982"/>
  <c r="A1978"/>
  <c r="A1965"/>
  <c r="A487"/>
  <c r="A483"/>
  <c r="A2241"/>
  <c r="A2237"/>
  <c r="A2233"/>
  <c r="A2227"/>
  <c r="A2197"/>
  <c r="A2193"/>
  <c r="A2175"/>
  <c r="A2170"/>
  <c r="A2113"/>
  <c r="A2108"/>
  <c r="A2035"/>
  <c r="A2023"/>
  <c r="A1976"/>
  <c r="A1970"/>
  <c r="A1959"/>
  <c r="A1566"/>
  <c r="A1562"/>
  <c r="A2071"/>
  <c r="A2351"/>
  <c r="A2355"/>
  <c r="A2180"/>
  <c r="A2096"/>
  <c r="A2017"/>
  <c r="A1997"/>
  <c r="A2125"/>
  <c r="A2104"/>
  <c r="A2086"/>
  <c r="A2029"/>
  <c r="A2010"/>
  <c r="A2249"/>
  <c r="A2245"/>
  <c r="A1998"/>
  <c r="A2217"/>
  <c r="A2221"/>
  <c r="A217"/>
  <c r="A215"/>
  <c r="A213"/>
  <c r="A211"/>
  <c r="A209"/>
  <c r="A219"/>
  <c r="A1992"/>
  <c r="A2041"/>
  <c r="A2088"/>
  <c r="A2211"/>
  <c r="A2251"/>
  <c r="A2045"/>
  <c r="A2092"/>
  <c r="A2276"/>
  <c r="A2280"/>
  <c r="A2283"/>
  <c r="A2309"/>
  <c r="A2316"/>
  <c r="A2326"/>
  <c r="A2384"/>
  <c r="A2386"/>
  <c r="A2401"/>
  <c r="A2365"/>
  <c r="A2361"/>
  <c r="A2357"/>
  <c r="A2293"/>
  <c r="A2281"/>
  <c r="A2409"/>
  <c r="A2428"/>
  <c r="A2379"/>
  <c r="A2258"/>
  <c r="A1571"/>
  <c r="A2414"/>
  <c r="A514"/>
  <c r="A2269"/>
  <c r="A2420"/>
  <c r="A2418"/>
  <c r="A2296"/>
  <c r="A2298"/>
  <c r="A2300"/>
  <c r="A2302"/>
  <c r="A2303"/>
  <c r="A2305"/>
  <c r="A1991"/>
  <c r="A2206"/>
  <c r="A2202"/>
  <c r="A2189"/>
  <c r="A2185"/>
  <c r="A2179"/>
  <c r="A2156"/>
  <c r="A2144"/>
  <c r="A2137"/>
  <c r="A2127"/>
  <c r="A2073"/>
  <c r="A2079"/>
  <c r="A2065"/>
  <c r="A2061"/>
  <c r="A2057"/>
  <c r="A2053"/>
  <c r="A2049"/>
  <c r="A2039"/>
  <c r="A2027"/>
  <c r="A2013"/>
  <c r="A1990"/>
  <c r="A1985"/>
  <c r="A1981"/>
  <c r="A1968"/>
  <c r="A1964"/>
  <c r="A486"/>
  <c r="A2244"/>
  <c r="A2240"/>
  <c r="A2236"/>
  <c r="A2231"/>
  <c r="A2226"/>
  <c r="A2196"/>
  <c r="A2192"/>
  <c r="A2173"/>
  <c r="A2124"/>
  <c r="A2112"/>
  <c r="A2107"/>
  <c r="A2034"/>
  <c r="A2002"/>
  <c r="A1974"/>
  <c r="A1969"/>
  <c r="A1569"/>
  <c r="A1565"/>
  <c r="A2176"/>
  <c r="A2038"/>
  <c r="A2329"/>
  <c r="A1574"/>
  <c r="A2169"/>
  <c r="A2095"/>
  <c r="A2016"/>
  <c r="A1996"/>
  <c r="A2115"/>
  <c r="A2103"/>
  <c r="A2085"/>
  <c r="A2028"/>
  <c r="A2009"/>
  <c r="A490"/>
  <c r="A2248"/>
  <c r="A2220"/>
  <c r="A2216"/>
  <c r="A2082"/>
  <c r="A1993"/>
  <c r="A2044"/>
  <c r="A2089"/>
  <c r="A2117"/>
  <c r="A2111"/>
  <c r="A2120"/>
  <c r="A2356"/>
  <c r="A2319"/>
  <c r="A2321"/>
  <c r="A2324"/>
  <c r="A2354"/>
  <c r="A2389"/>
  <c r="A2391"/>
  <c r="A2396"/>
  <c r="A2367"/>
  <c r="A2364"/>
  <c r="A2360"/>
  <c r="A2333"/>
  <c r="A2289"/>
  <c r="A2271"/>
  <c r="A2397"/>
  <c r="A2408"/>
  <c r="A2400"/>
  <c r="A2330"/>
  <c r="A2421"/>
  <c r="A2419"/>
  <c r="A2291"/>
  <c r="A2334"/>
  <c r="A2336"/>
  <c r="K205"/>
  <c r="M205" s="1"/>
  <c r="B205"/>
  <c r="K207"/>
  <c r="M207" s="1"/>
  <c r="B207"/>
  <c r="K206"/>
  <c r="M206" s="1"/>
  <c r="B206"/>
  <c r="Q206" l="1"/>
  <c r="R206"/>
  <c r="S206"/>
  <c r="Q207"/>
  <c r="R207"/>
  <c r="S207"/>
  <c r="R205"/>
  <c r="S205"/>
  <c r="Q205"/>
  <c r="A205"/>
  <c r="A207"/>
  <c r="A206"/>
  <c r="C1958"/>
  <c r="AD1958" s="1"/>
  <c r="C201"/>
  <c r="AD201" s="1"/>
  <c r="C202"/>
  <c r="AD202" s="1"/>
  <c r="C203"/>
  <c r="AD203" s="1"/>
  <c r="C204"/>
  <c r="AD204" s="1"/>
  <c r="C200"/>
  <c r="AD200" s="1"/>
  <c r="C1948"/>
  <c r="AD1948" s="1"/>
  <c r="C1949"/>
  <c r="AD1949" s="1"/>
  <c r="C1950"/>
  <c r="AD1950" s="1"/>
  <c r="C1951"/>
  <c r="AD1951" s="1"/>
  <c r="C1952"/>
  <c r="AD1952" s="1"/>
  <c r="C1953"/>
  <c r="AD1953" s="1"/>
  <c r="C1954"/>
  <c r="AD1954" s="1"/>
  <c r="C1955"/>
  <c r="AD1955" s="1"/>
  <c r="C1956"/>
  <c r="AD1956" s="1"/>
  <c r="C1957"/>
  <c r="AD1957" s="1"/>
  <c r="C1938"/>
  <c r="AD1938" s="1"/>
  <c r="C1939"/>
  <c r="AD1939" s="1"/>
  <c r="C1940"/>
  <c r="AD1940" s="1"/>
  <c r="C1941"/>
  <c r="AD1941" s="1"/>
  <c r="C1942"/>
  <c r="AD1942" s="1"/>
  <c r="C1943"/>
  <c r="AD1943" s="1"/>
  <c r="C1944"/>
  <c r="AD1944" s="1"/>
  <c r="C1945"/>
  <c r="AD1945" s="1"/>
  <c r="C1946"/>
  <c r="AD1946" s="1"/>
  <c r="C1925"/>
  <c r="AD1925" s="1"/>
  <c r="C1926"/>
  <c r="AD1926" s="1"/>
  <c r="C1927"/>
  <c r="AD1927" s="1"/>
  <c r="C1928"/>
  <c r="AD1928" s="1"/>
  <c r="C1929"/>
  <c r="AD1929" s="1"/>
  <c r="C1930"/>
  <c r="AD1930" s="1"/>
  <c r="C1931"/>
  <c r="AD1931" s="1"/>
  <c r="C1932"/>
  <c r="AD1932" s="1"/>
  <c r="C1933"/>
  <c r="AD1933" s="1"/>
  <c r="C1934"/>
  <c r="AD1934" s="1"/>
  <c r="C1935"/>
  <c r="AD1935" s="1"/>
  <c r="C1936"/>
  <c r="AD1936" s="1"/>
  <c r="C1937"/>
  <c r="AD1937" s="1"/>
  <c r="B1873"/>
  <c r="C1903"/>
  <c r="AD1903" s="1"/>
  <c r="C1902"/>
  <c r="AD1902" s="1"/>
  <c r="C1905"/>
  <c r="AD1905" s="1"/>
  <c r="C1904"/>
  <c r="AD1904" s="1"/>
  <c r="C1898"/>
  <c r="AD1898" s="1"/>
  <c r="C1897"/>
  <c r="AD1897" s="1"/>
  <c r="C1914"/>
  <c r="AD1914" s="1"/>
  <c r="C1915"/>
  <c r="AD1915" s="1"/>
  <c r="C1916"/>
  <c r="AD1916" s="1"/>
  <c r="C1917"/>
  <c r="AD1917" s="1"/>
  <c r="C1918"/>
  <c r="AD1918" s="1"/>
  <c r="C1919"/>
  <c r="AD1919" s="1"/>
  <c r="C1920"/>
  <c r="AD1920" s="1"/>
  <c r="C1921"/>
  <c r="AD1921" s="1"/>
  <c r="C1922"/>
  <c r="AD1922" s="1"/>
  <c r="C1923"/>
  <c r="AD1923" s="1"/>
  <c r="C1924"/>
  <c r="AD1924" s="1"/>
  <c r="C1912"/>
  <c r="AD1912" s="1"/>
  <c r="C1913"/>
  <c r="AD1913" s="1"/>
  <c r="C1906"/>
  <c r="AD1906" s="1"/>
  <c r="C1901"/>
  <c r="AD1901" s="1"/>
  <c r="C1900"/>
  <c r="AD1900" s="1"/>
  <c r="C1896"/>
  <c r="AD1896" s="1"/>
  <c r="C1895"/>
  <c r="AD1895" s="1"/>
  <c r="C1911"/>
  <c r="AD1911" s="1"/>
  <c r="C1910"/>
  <c r="AD1910" s="1"/>
  <c r="C1909"/>
  <c r="AD1909" s="1"/>
  <c r="C1908"/>
  <c r="AD1908" s="1"/>
  <c r="C1907"/>
  <c r="AD1907" s="1"/>
  <c r="C1899"/>
  <c r="AD1899" s="1"/>
  <c r="C1894"/>
  <c r="AD1894" s="1"/>
  <c r="M1892"/>
  <c r="C1892"/>
  <c r="AD1892" s="1"/>
  <c r="M1893"/>
  <c r="C1893"/>
  <c r="AD1893" s="1"/>
  <c r="C1891"/>
  <c r="AD1891" s="1"/>
  <c r="C1881"/>
  <c r="AD1881" s="1"/>
  <c r="M1888"/>
  <c r="C1888"/>
  <c r="AD1888" s="1"/>
  <c r="M1883"/>
  <c r="C1883"/>
  <c r="AD1883" s="1"/>
  <c r="M1882"/>
  <c r="C1882"/>
  <c r="AD1882" s="1"/>
  <c r="C1890"/>
  <c r="AD1890" s="1"/>
  <c r="M1878"/>
  <c r="C1878"/>
  <c r="AD1878" s="1"/>
  <c r="M1880"/>
  <c r="C1880"/>
  <c r="AD1880" s="1"/>
  <c r="M1879"/>
  <c r="C1879"/>
  <c r="AD1879" s="1"/>
  <c r="C1855"/>
  <c r="AD1855" s="1"/>
  <c r="C1854"/>
  <c r="AD1854" s="1"/>
  <c r="C1849"/>
  <c r="AD1849" s="1"/>
  <c r="C1848"/>
  <c r="AD1848" s="1"/>
  <c r="C1841"/>
  <c r="AD1841" s="1"/>
  <c r="C1840"/>
  <c r="AD1840" s="1"/>
  <c r="C1833"/>
  <c r="AD1833" s="1"/>
  <c r="C1832"/>
  <c r="AD1832" s="1"/>
  <c r="B1856"/>
  <c r="C1839"/>
  <c r="AD1839" s="1"/>
  <c r="C1838"/>
  <c r="AD1838" s="1"/>
  <c r="C1837"/>
  <c r="AD1837" s="1"/>
  <c r="C1836"/>
  <c r="AD1836" s="1"/>
  <c r="C1851"/>
  <c r="AD1851" s="1"/>
  <c r="C1850"/>
  <c r="AD1850" s="1"/>
  <c r="C1845"/>
  <c r="AD1845" s="1"/>
  <c r="C1844"/>
  <c r="AD1844" s="1"/>
  <c r="B1858"/>
  <c r="B1857"/>
  <c r="M462"/>
  <c r="M463"/>
  <c r="M464"/>
  <c r="M465"/>
  <c r="M466"/>
  <c r="M1824"/>
  <c r="M1852"/>
  <c r="M461"/>
  <c r="C1825"/>
  <c r="AD1825" s="1"/>
  <c r="C1852"/>
  <c r="AD1852" s="1"/>
  <c r="C1853"/>
  <c r="AD1853" s="1"/>
  <c r="C1824"/>
  <c r="AD1824" s="1"/>
  <c r="B2003"/>
  <c r="K203"/>
  <c r="M203" s="1"/>
  <c r="K204"/>
  <c r="M204" s="1"/>
  <c r="K202"/>
  <c r="M202" s="1"/>
  <c r="K201"/>
  <c r="M201" s="1"/>
  <c r="K200"/>
  <c r="M200" s="1"/>
  <c r="M1886"/>
  <c r="M1887"/>
  <c r="M1889"/>
  <c r="M1890"/>
  <c r="M1884"/>
  <c r="M1885"/>
  <c r="M1877"/>
  <c r="R1856" l="1"/>
  <c r="S1856"/>
  <c r="Q1856"/>
  <c r="Q1857"/>
  <c r="S1857"/>
  <c r="R1857"/>
  <c r="S1873"/>
  <c r="Q1873"/>
  <c r="R1873"/>
  <c r="R1858"/>
  <c r="S1858"/>
  <c r="Q1858"/>
  <c r="Q2003"/>
  <c r="R2003"/>
  <c r="S2003"/>
  <c r="A1857"/>
  <c r="A1858"/>
  <c r="A1873"/>
  <c r="A1856"/>
  <c r="A2003"/>
  <c r="B1832"/>
  <c r="B1848"/>
  <c r="B1899"/>
  <c r="B1900"/>
  <c r="B1921"/>
  <c r="B1917"/>
  <c r="B1897"/>
  <c r="B1902"/>
  <c r="B1936"/>
  <c r="B1932"/>
  <c r="B1938"/>
  <c r="B1954"/>
  <c r="B1950"/>
  <c r="B1911"/>
  <c r="B1924"/>
  <c r="B1916"/>
  <c r="B1935"/>
  <c r="B203"/>
  <c r="B1838"/>
  <c r="B1840"/>
  <c r="B1854"/>
  <c r="B1923"/>
  <c r="B1919"/>
  <c r="B1904"/>
  <c r="B1926"/>
  <c r="B1956"/>
  <c r="B1952"/>
  <c r="B1844"/>
  <c r="B1836"/>
  <c r="B1909"/>
  <c r="B1913"/>
  <c r="B1918"/>
  <c r="B1914"/>
  <c r="B1937"/>
  <c r="B1933"/>
  <c r="B1925"/>
  <c r="B1943"/>
  <c r="B1955"/>
  <c r="B1951"/>
  <c r="B200"/>
  <c r="B201"/>
  <c r="B1944"/>
  <c r="B202"/>
  <c r="B204"/>
  <c r="B1940"/>
  <c r="B1930"/>
  <c r="B1942"/>
  <c r="B1946"/>
  <c r="B1948"/>
  <c r="B1928"/>
  <c r="B1907"/>
  <c r="B1920"/>
  <c r="B1927"/>
  <c r="B1929"/>
  <c r="B1941"/>
  <c r="B1945"/>
  <c r="B1949"/>
  <c r="B1953"/>
  <c r="B1939"/>
  <c r="B1908"/>
  <c r="B1922"/>
  <c r="B1931"/>
  <c r="B1958"/>
  <c r="B1934"/>
  <c r="B1906"/>
  <c r="B1912"/>
  <c r="B1845"/>
  <c r="B1850"/>
  <c r="B1894"/>
  <c r="B1915"/>
  <c r="B1851"/>
  <c r="B1910"/>
  <c r="B1957"/>
  <c r="B1903"/>
  <c r="B1905"/>
  <c r="B1898"/>
  <c r="B1901"/>
  <c r="B1895"/>
  <c r="B1896"/>
  <c r="B1892"/>
  <c r="B1893"/>
  <c r="B1891"/>
  <c r="B1881"/>
  <c r="B1833"/>
  <c r="B1852"/>
  <c r="B1853"/>
  <c r="B1888"/>
  <c r="B1883"/>
  <c r="B1882"/>
  <c r="B1878"/>
  <c r="B1879"/>
  <c r="B1880"/>
  <c r="B1855"/>
  <c r="B1849"/>
  <c r="B1841"/>
  <c r="B1839"/>
  <c r="B1837"/>
  <c r="O16" i="63"/>
  <c r="N16"/>
  <c r="M16"/>
  <c r="L16"/>
  <c r="C1886" i="34"/>
  <c r="AD1886" s="1"/>
  <c r="C1887"/>
  <c r="AD1887" s="1"/>
  <c r="C1889"/>
  <c r="AD1889" s="1"/>
  <c r="C1884"/>
  <c r="AD1884" s="1"/>
  <c r="C1885"/>
  <c r="AD1885" s="1"/>
  <c r="C1877"/>
  <c r="AD1877" s="1"/>
  <c r="B462"/>
  <c r="B463"/>
  <c r="B464"/>
  <c r="B465"/>
  <c r="B466"/>
  <c r="B467"/>
  <c r="B1860"/>
  <c r="B1859"/>
  <c r="B1866"/>
  <c r="B1865"/>
  <c r="B1864"/>
  <c r="B1861"/>
  <c r="A28" i="12"/>
  <c r="B1872" i="34"/>
  <c r="B1871"/>
  <c r="B1870"/>
  <c r="B1869"/>
  <c r="B1868"/>
  <c r="B1867"/>
  <c r="B1555"/>
  <c r="B1556"/>
  <c r="B1557"/>
  <c r="B1559"/>
  <c r="B1754"/>
  <c r="B1755"/>
  <c r="B1756"/>
  <c r="B1757"/>
  <c r="B1753"/>
  <c r="B1752"/>
  <c r="B1749"/>
  <c r="B1750"/>
  <c r="B1751"/>
  <c r="C1818"/>
  <c r="AD1818" s="1"/>
  <c r="K1817"/>
  <c r="K1816"/>
  <c r="C1817"/>
  <c r="AD1817" s="1"/>
  <c r="K1815"/>
  <c r="C1816"/>
  <c r="AD1816" s="1"/>
  <c r="C1815"/>
  <c r="AD1815" s="1"/>
  <c r="K1813"/>
  <c r="M1814"/>
  <c r="C1814"/>
  <c r="AD1814" s="1"/>
  <c r="C1783"/>
  <c r="AD1783" s="1"/>
  <c r="C1782"/>
  <c r="AD1782" s="1"/>
  <c r="C1784"/>
  <c r="AD1784" s="1"/>
  <c r="C1785"/>
  <c r="AD1785" s="1"/>
  <c r="C1731"/>
  <c r="AD1731" s="1"/>
  <c r="C1807"/>
  <c r="AD1807" s="1"/>
  <c r="C1808"/>
  <c r="AD1808" s="1"/>
  <c r="C1732"/>
  <c r="AD1732" s="1"/>
  <c r="C1809"/>
  <c r="AD1809" s="1"/>
  <c r="C1810"/>
  <c r="AD1810" s="1"/>
  <c r="C1811"/>
  <c r="AD1811" s="1"/>
  <c r="C1812"/>
  <c r="AD1812" s="1"/>
  <c r="C1813"/>
  <c r="AD1813" s="1"/>
  <c r="C1819"/>
  <c r="AD1819" s="1"/>
  <c r="C1797"/>
  <c r="AD1797" s="1"/>
  <c r="C1798"/>
  <c r="AD1798" s="1"/>
  <c r="C1799"/>
  <c r="AD1799" s="1"/>
  <c r="C1800"/>
  <c r="AD1800" s="1"/>
  <c r="C1801"/>
  <c r="AD1801" s="1"/>
  <c r="C1802"/>
  <c r="AD1802" s="1"/>
  <c r="C1803"/>
  <c r="AD1803" s="1"/>
  <c r="C1804"/>
  <c r="AD1804" s="1"/>
  <c r="C1805"/>
  <c r="AD1805" s="1"/>
  <c r="C1806"/>
  <c r="AD1806" s="1"/>
  <c r="C1790"/>
  <c r="AD1790" s="1"/>
  <c r="C1791"/>
  <c r="AD1791" s="1"/>
  <c r="C1792"/>
  <c r="AD1792" s="1"/>
  <c r="C1793"/>
  <c r="AD1793" s="1"/>
  <c r="C1794"/>
  <c r="AD1794" s="1"/>
  <c r="C1795"/>
  <c r="AD1795" s="1"/>
  <c r="C1796"/>
  <c r="AD1796" s="1"/>
  <c r="Q1749" l="1"/>
  <c r="R1749"/>
  <c r="S1749"/>
  <c r="S1751"/>
  <c r="Q1751"/>
  <c r="R1751"/>
  <c r="Q1753"/>
  <c r="R1753"/>
  <c r="S1753"/>
  <c r="Q1754"/>
  <c r="R1754"/>
  <c r="S1754"/>
  <c r="Q1555"/>
  <c r="R1555"/>
  <c r="S1555"/>
  <c r="Q1870"/>
  <c r="R1870"/>
  <c r="S1870"/>
  <c r="Q1866"/>
  <c r="R1866"/>
  <c r="S1866"/>
  <c r="S466"/>
  <c r="Q466"/>
  <c r="R466"/>
  <c r="S462"/>
  <c r="Q462"/>
  <c r="R462"/>
  <c r="R1839"/>
  <c r="S1839"/>
  <c r="Q1839"/>
  <c r="Q1880"/>
  <c r="R1880"/>
  <c r="S1880"/>
  <c r="S1883"/>
  <c r="Q1883"/>
  <c r="R1883"/>
  <c r="R1833"/>
  <c r="S1833"/>
  <c r="Q1833"/>
  <c r="R1892"/>
  <c r="S1892"/>
  <c r="Q1892"/>
  <c r="R1898"/>
  <c r="S1898"/>
  <c r="Q1898"/>
  <c r="R1910"/>
  <c r="S1910"/>
  <c r="Q1910"/>
  <c r="R1850"/>
  <c r="S1850"/>
  <c r="Q1850"/>
  <c r="R1934"/>
  <c r="S1934"/>
  <c r="Q1934"/>
  <c r="R1908"/>
  <c r="S1908"/>
  <c r="Q1908"/>
  <c r="Q1945"/>
  <c r="R1945"/>
  <c r="S1945"/>
  <c r="R1920"/>
  <c r="S1920"/>
  <c r="Q1920"/>
  <c r="R1946"/>
  <c r="S1946"/>
  <c r="Q1946"/>
  <c r="S204"/>
  <c r="Q204"/>
  <c r="R204"/>
  <c r="S200"/>
  <c r="Q200"/>
  <c r="R200"/>
  <c r="Q1925"/>
  <c r="R1925"/>
  <c r="S1925"/>
  <c r="R1918"/>
  <c r="S1918"/>
  <c r="Q1918"/>
  <c r="Q1844"/>
  <c r="R1844"/>
  <c r="S1844"/>
  <c r="R1904"/>
  <c r="S1904"/>
  <c r="Q1904"/>
  <c r="Q1840"/>
  <c r="R1840"/>
  <c r="S1840"/>
  <c r="R1916"/>
  <c r="S1916"/>
  <c r="Q1916"/>
  <c r="Q1954"/>
  <c r="R1954"/>
  <c r="S1954"/>
  <c r="R1902"/>
  <c r="S1902"/>
  <c r="Q1902"/>
  <c r="R1900"/>
  <c r="S1900"/>
  <c r="Q1900"/>
  <c r="Q1750"/>
  <c r="R1750"/>
  <c r="S1750"/>
  <c r="Q1757"/>
  <c r="R1757"/>
  <c r="S1757"/>
  <c r="S1559"/>
  <c r="Q1559"/>
  <c r="R1559"/>
  <c r="Q1867"/>
  <c r="R1867"/>
  <c r="S1867"/>
  <c r="Q1871"/>
  <c r="R1871"/>
  <c r="S1871"/>
  <c r="R1861"/>
  <c r="S1861"/>
  <c r="Q1861"/>
  <c r="Q1859"/>
  <c r="R1859"/>
  <c r="S1859"/>
  <c r="Q465"/>
  <c r="R465"/>
  <c r="S465"/>
  <c r="Q1841"/>
  <c r="R1841"/>
  <c r="S1841"/>
  <c r="R1879"/>
  <c r="S1879"/>
  <c r="Q1879"/>
  <c r="Q1888"/>
  <c r="R1888"/>
  <c r="S1888"/>
  <c r="R1881"/>
  <c r="S1881"/>
  <c r="Q1881"/>
  <c r="R1896"/>
  <c r="S1896"/>
  <c r="Q1896"/>
  <c r="Q1905"/>
  <c r="R1905"/>
  <c r="S1905"/>
  <c r="Q1851"/>
  <c r="S1851"/>
  <c r="R1851"/>
  <c r="Q1845"/>
  <c r="R1845"/>
  <c r="S1845"/>
  <c r="Q1958"/>
  <c r="R1958"/>
  <c r="S1958"/>
  <c r="Q1939"/>
  <c r="R1939"/>
  <c r="S1939"/>
  <c r="Q1941"/>
  <c r="R1941"/>
  <c r="S1941"/>
  <c r="Q1907"/>
  <c r="R1907"/>
  <c r="S1907"/>
  <c r="R1942"/>
  <c r="S1942"/>
  <c r="Q1942"/>
  <c r="Q202"/>
  <c r="R202"/>
  <c r="S202"/>
  <c r="R1951"/>
  <c r="S1951"/>
  <c r="Q1951"/>
  <c r="Q1933"/>
  <c r="R1933"/>
  <c r="S1933"/>
  <c r="Q1913"/>
  <c r="R1913"/>
  <c r="S1913"/>
  <c r="Q1952"/>
  <c r="R1952"/>
  <c r="S1952"/>
  <c r="Q1919"/>
  <c r="R1919"/>
  <c r="S1919"/>
  <c r="S1838"/>
  <c r="Q1838"/>
  <c r="R1838"/>
  <c r="R1924"/>
  <c r="S1924"/>
  <c r="Q1924"/>
  <c r="R1938"/>
  <c r="S1938"/>
  <c r="Q1938"/>
  <c r="Q1897"/>
  <c r="R1897"/>
  <c r="S1897"/>
  <c r="Q1899"/>
  <c r="R1899"/>
  <c r="S1899"/>
  <c r="R1557"/>
  <c r="S1557"/>
  <c r="Q1557"/>
  <c r="S1868"/>
  <c r="Q1868"/>
  <c r="R1868"/>
  <c r="S1872"/>
  <c r="Q1872"/>
  <c r="R1872"/>
  <c r="S1864"/>
  <c r="Q1864"/>
  <c r="R1864"/>
  <c r="S1860"/>
  <c r="Q1860"/>
  <c r="R1860"/>
  <c r="Q464"/>
  <c r="R464"/>
  <c r="S464"/>
  <c r="S1849"/>
  <c r="R1849"/>
  <c r="Q1849"/>
  <c r="Q1878"/>
  <c r="R1878"/>
  <c r="S1878"/>
  <c r="S1853"/>
  <c r="Q1853"/>
  <c r="R1853"/>
  <c r="S1891"/>
  <c r="Q1891"/>
  <c r="R1891"/>
  <c r="Q1895"/>
  <c r="R1895"/>
  <c r="S1895"/>
  <c r="Q1903"/>
  <c r="R1903"/>
  <c r="S1903"/>
  <c r="Q1915"/>
  <c r="R1915"/>
  <c r="S1915"/>
  <c r="R1912"/>
  <c r="S1912"/>
  <c r="Q1912"/>
  <c r="Q1931"/>
  <c r="R1931"/>
  <c r="S1931"/>
  <c r="R1953"/>
  <c r="S1953"/>
  <c r="Q1953"/>
  <c r="Q1929"/>
  <c r="R1929"/>
  <c r="S1929"/>
  <c r="R1928"/>
  <c r="S1928"/>
  <c r="Q1928"/>
  <c r="R1930"/>
  <c r="S1930"/>
  <c r="Q1930"/>
  <c r="R1944"/>
  <c r="S1944"/>
  <c r="Q1944"/>
  <c r="R1955"/>
  <c r="S1955"/>
  <c r="Q1955"/>
  <c r="Q1937"/>
  <c r="R1937"/>
  <c r="S1937"/>
  <c r="Q1909"/>
  <c r="R1909"/>
  <c r="S1909"/>
  <c r="Q1956"/>
  <c r="R1956"/>
  <c r="S1956"/>
  <c r="Q1923"/>
  <c r="R1923"/>
  <c r="S1923"/>
  <c r="Q203"/>
  <c r="R203"/>
  <c r="S203"/>
  <c r="Q1911"/>
  <c r="R1911"/>
  <c r="S1911"/>
  <c r="R1932"/>
  <c r="S1932"/>
  <c r="Q1932"/>
  <c r="Q1917"/>
  <c r="R1917"/>
  <c r="S1917"/>
  <c r="Q1848"/>
  <c r="R1848"/>
  <c r="S1848"/>
  <c r="R1756"/>
  <c r="S1756"/>
  <c r="Q1756"/>
  <c r="R1752"/>
  <c r="S1752"/>
  <c r="Q1752"/>
  <c r="S1755"/>
  <c r="Q1755"/>
  <c r="R1755"/>
  <c r="S1556"/>
  <c r="Q1556"/>
  <c r="R1556"/>
  <c r="R1869"/>
  <c r="S1869"/>
  <c r="Q1869"/>
  <c r="R1865"/>
  <c r="S1865"/>
  <c r="Q1865"/>
  <c r="R467"/>
  <c r="S467"/>
  <c r="Q467"/>
  <c r="R463"/>
  <c r="S463"/>
  <c r="Q463"/>
  <c r="Q1837"/>
  <c r="R1837"/>
  <c r="S1837"/>
  <c r="S1855"/>
  <c r="R1855"/>
  <c r="Q1855"/>
  <c r="Q1882"/>
  <c r="R1882"/>
  <c r="S1882"/>
  <c r="Q1852"/>
  <c r="R1852"/>
  <c r="S1852"/>
  <c r="Q1893"/>
  <c r="R1893"/>
  <c r="S1893"/>
  <c r="Q1901"/>
  <c r="R1901"/>
  <c r="S1901"/>
  <c r="R1957"/>
  <c r="S1957"/>
  <c r="Q1957"/>
  <c r="R1894"/>
  <c r="S1894"/>
  <c r="Q1894"/>
  <c r="R1906"/>
  <c r="S1906"/>
  <c r="Q1906"/>
  <c r="R1922"/>
  <c r="S1922"/>
  <c r="Q1922"/>
  <c r="R1949"/>
  <c r="S1949"/>
  <c r="Q1949"/>
  <c r="Q1927"/>
  <c r="R1927"/>
  <c r="S1927"/>
  <c r="Q1948"/>
  <c r="R1948"/>
  <c r="S1948"/>
  <c r="R1940"/>
  <c r="S1940"/>
  <c r="Q1940"/>
  <c r="R201"/>
  <c r="S201"/>
  <c r="Q201"/>
  <c r="Q1943"/>
  <c r="R1943"/>
  <c r="S1943"/>
  <c r="R1914"/>
  <c r="S1914"/>
  <c r="Q1914"/>
  <c r="Q1836"/>
  <c r="R1836"/>
  <c r="S1836"/>
  <c r="R1926"/>
  <c r="S1926"/>
  <c r="Q1926"/>
  <c r="R1854"/>
  <c r="S1854"/>
  <c r="Q1854"/>
  <c r="Q1935"/>
  <c r="R1935"/>
  <c r="S1935"/>
  <c r="Q1950"/>
  <c r="R1950"/>
  <c r="S1950"/>
  <c r="R1936"/>
  <c r="S1936"/>
  <c r="Q1936"/>
  <c r="Q1921"/>
  <c r="R1921"/>
  <c r="S1921"/>
  <c r="S1832"/>
  <c r="Q1832"/>
  <c r="R1832"/>
  <c r="A1749"/>
  <c r="A1872"/>
  <c r="A1751"/>
  <c r="A1753"/>
  <c r="A1754"/>
  <c r="A1555"/>
  <c r="A1870"/>
  <c r="A1866"/>
  <c r="A466"/>
  <c r="A462"/>
  <c r="A1839"/>
  <c r="A1880"/>
  <c r="A1883"/>
  <c r="A1833"/>
  <c r="A1892"/>
  <c r="A1898"/>
  <c r="A1910"/>
  <c r="A1850"/>
  <c r="A1934"/>
  <c r="A1908"/>
  <c r="A1945"/>
  <c r="A1920"/>
  <c r="A1946"/>
  <c r="A204"/>
  <c r="A200"/>
  <c r="A1925"/>
  <c r="A1918"/>
  <c r="A1844"/>
  <c r="A1904"/>
  <c r="A1840"/>
  <c r="A1916"/>
  <c r="A1954"/>
  <c r="A1902"/>
  <c r="A1900"/>
  <c r="A1750"/>
  <c r="A1757"/>
  <c r="A1559"/>
  <c r="A1867"/>
  <c r="A1871"/>
  <c r="A1861"/>
  <c r="A1859"/>
  <c r="A465"/>
  <c r="A1841"/>
  <c r="A1879"/>
  <c r="A1888"/>
  <c r="A1881"/>
  <c r="A1896"/>
  <c r="A1905"/>
  <c r="A1851"/>
  <c r="A1845"/>
  <c r="A1958"/>
  <c r="A1939"/>
  <c r="A1941"/>
  <c r="A1907"/>
  <c r="A1942"/>
  <c r="A202"/>
  <c r="A1951"/>
  <c r="A1933"/>
  <c r="A1913"/>
  <c r="A1952"/>
  <c r="A1919"/>
  <c r="A1838"/>
  <c r="A1924"/>
  <c r="A1938"/>
  <c r="A1897"/>
  <c r="A1899"/>
  <c r="A1557"/>
  <c r="A1868"/>
  <c r="A1864"/>
  <c r="A1860"/>
  <c r="A464"/>
  <c r="A1849"/>
  <c r="A1878"/>
  <c r="A1853"/>
  <c r="A1891"/>
  <c r="A1895"/>
  <c r="A1903"/>
  <c r="A1915"/>
  <c r="A1912"/>
  <c r="A1931"/>
  <c r="A1953"/>
  <c r="A1929"/>
  <c r="A1928"/>
  <c r="A1930"/>
  <c r="A1944"/>
  <c r="A1955"/>
  <c r="A1937"/>
  <c r="A1909"/>
  <c r="A1956"/>
  <c r="A1923"/>
  <c r="A203"/>
  <c r="A1911"/>
  <c r="A1932"/>
  <c r="A1917"/>
  <c r="A1848"/>
  <c r="A1756"/>
  <c r="A1752"/>
  <c r="A1755"/>
  <c r="A1556"/>
  <c r="A1869"/>
  <c r="A1865"/>
  <c r="A467"/>
  <c r="A463"/>
  <c r="A1837"/>
  <c r="A1855"/>
  <c r="A1882"/>
  <c r="A1852"/>
  <c r="A1893"/>
  <c r="A1901"/>
  <c r="A1957"/>
  <c r="A1894"/>
  <c r="A1906"/>
  <c r="A1922"/>
  <c r="A1949"/>
  <c r="A1927"/>
  <c r="A1948"/>
  <c r="A1940"/>
  <c r="A201"/>
  <c r="A1943"/>
  <c r="A1914"/>
  <c r="A1836"/>
  <c r="A1926"/>
  <c r="A1854"/>
  <c r="A1935"/>
  <c r="A1950"/>
  <c r="A1936"/>
  <c r="A1921"/>
  <c r="A1832"/>
  <c r="B1782"/>
  <c r="B1818"/>
  <c r="B1817"/>
  <c r="B1816"/>
  <c r="B1815"/>
  <c r="B1814"/>
  <c r="B1783"/>
  <c r="B1784"/>
  <c r="B1785"/>
  <c r="B1731"/>
  <c r="C1719"/>
  <c r="AD1719" s="1"/>
  <c r="C1777"/>
  <c r="AD1777" s="1"/>
  <c r="C1778"/>
  <c r="AD1778" s="1"/>
  <c r="C1779"/>
  <c r="AD1779" s="1"/>
  <c r="C1780"/>
  <c r="AD1780" s="1"/>
  <c r="C1781"/>
  <c r="AD1781" s="1"/>
  <c r="C1786"/>
  <c r="AD1786" s="1"/>
  <c r="C1787"/>
  <c r="AD1787" s="1"/>
  <c r="C1788"/>
  <c r="AD1788" s="1"/>
  <c r="C1789"/>
  <c r="AD1789" s="1"/>
  <c r="C1768"/>
  <c r="AD1768" s="1"/>
  <c r="C1769"/>
  <c r="AD1769" s="1"/>
  <c r="C1770"/>
  <c r="AD1770" s="1"/>
  <c r="C1771"/>
  <c r="AD1771" s="1"/>
  <c r="C1772"/>
  <c r="AD1772" s="1"/>
  <c r="C1773"/>
  <c r="AD1773" s="1"/>
  <c r="C1774"/>
  <c r="AD1774" s="1"/>
  <c r="C1775"/>
  <c r="AD1775" s="1"/>
  <c r="C1776"/>
  <c r="AD1776" s="1"/>
  <c r="M1762"/>
  <c r="M1763"/>
  <c r="M1764"/>
  <c r="M1765"/>
  <c r="M1766"/>
  <c r="M1767"/>
  <c r="M1759"/>
  <c r="M1760"/>
  <c r="M1761"/>
  <c r="M1758"/>
  <c r="C1759"/>
  <c r="AD1759" s="1"/>
  <c r="C1760"/>
  <c r="AD1760" s="1"/>
  <c r="C1761"/>
  <c r="AD1761" s="1"/>
  <c r="C1762"/>
  <c r="AD1762" s="1"/>
  <c r="C1763"/>
  <c r="AD1763" s="1"/>
  <c r="C1764"/>
  <c r="AD1764" s="1"/>
  <c r="C1765"/>
  <c r="AD1765" s="1"/>
  <c r="C1766"/>
  <c r="AD1766" s="1"/>
  <c r="C1767"/>
  <c r="AD1767" s="1"/>
  <c r="C1758"/>
  <c r="AD1758" s="1"/>
  <c r="M450"/>
  <c r="B450"/>
  <c r="E450"/>
  <c r="AA450" s="1"/>
  <c r="B451"/>
  <c r="E451"/>
  <c r="AA451" s="1"/>
  <c r="B1739"/>
  <c r="E1739"/>
  <c r="AA1739" s="1"/>
  <c r="B1740"/>
  <c r="E1740"/>
  <c r="AA1740" s="1"/>
  <c r="B1729"/>
  <c r="B1730"/>
  <c r="B1735"/>
  <c r="B1736"/>
  <c r="A16" i="12"/>
  <c r="B1747" i="34"/>
  <c r="B1748"/>
  <c r="A19" i="12"/>
  <c r="B1535" i="34"/>
  <c r="B1733"/>
  <c r="B1734"/>
  <c r="E448"/>
  <c r="AA448" s="1"/>
  <c r="E449"/>
  <c r="AA449" s="1"/>
  <c r="M448"/>
  <c r="B448"/>
  <c r="B449"/>
  <c r="B1728"/>
  <c r="B1550"/>
  <c r="E1550"/>
  <c r="AA1550" s="1"/>
  <c r="B1743"/>
  <c r="B1720"/>
  <c r="E1720"/>
  <c r="AA1720" s="1"/>
  <c r="A15" i="12"/>
  <c r="B21" i="55"/>
  <c r="A21" s="1"/>
  <c r="B447" i="34"/>
  <c r="E447"/>
  <c r="AA447" s="1"/>
  <c r="M446"/>
  <c r="B446"/>
  <c r="E446"/>
  <c r="AA446" s="1"/>
  <c r="B445"/>
  <c r="E445"/>
  <c r="AA445" s="1"/>
  <c r="M444"/>
  <c r="B444"/>
  <c r="E444"/>
  <c r="AA444" s="1"/>
  <c r="B443"/>
  <c r="E443"/>
  <c r="AA443" s="1"/>
  <c r="M442"/>
  <c r="B442"/>
  <c r="E442"/>
  <c r="AA442" s="1"/>
  <c r="B441"/>
  <c r="E441"/>
  <c r="AA441" s="1"/>
  <c r="B440"/>
  <c r="E440"/>
  <c r="AA440" s="1"/>
  <c r="M440"/>
  <c r="M439"/>
  <c r="E439"/>
  <c r="AA439" s="1"/>
  <c r="B439"/>
  <c r="E1741"/>
  <c r="AA1741" s="1"/>
  <c r="B1738"/>
  <c r="E1738"/>
  <c r="AA1738" s="1"/>
  <c r="E1737"/>
  <c r="AA1737" s="1"/>
  <c r="B1725"/>
  <c r="E1725"/>
  <c r="AA1725" s="1"/>
  <c r="E1724"/>
  <c r="AA1724" s="1"/>
  <c r="E1723"/>
  <c r="AA1723" s="1"/>
  <c r="E1722"/>
  <c r="AA1722" s="1"/>
  <c r="E1721"/>
  <c r="AA1721" s="1"/>
  <c r="B1718"/>
  <c r="E1718"/>
  <c r="AA1718" s="1"/>
  <c r="E1717"/>
  <c r="AA1717" s="1"/>
  <c r="B1716"/>
  <c r="E1716"/>
  <c r="AA1716" s="1"/>
  <c r="B1714"/>
  <c r="E1714"/>
  <c r="AA1714" s="1"/>
  <c r="B1715"/>
  <c r="E1715"/>
  <c r="AA1715" s="1"/>
  <c r="B1551"/>
  <c r="E1551"/>
  <c r="AA1551" s="1"/>
  <c r="S1716" l="1"/>
  <c r="Q1716"/>
  <c r="R1716"/>
  <c r="Q1725"/>
  <c r="R1725"/>
  <c r="S1725"/>
  <c r="R1736"/>
  <c r="S1736"/>
  <c r="Q1736"/>
  <c r="Q1718"/>
  <c r="R1718"/>
  <c r="S1718"/>
  <c r="R440"/>
  <c r="Q440"/>
  <c r="S440"/>
  <c r="S442"/>
  <c r="Q442"/>
  <c r="R442"/>
  <c r="Q445"/>
  <c r="R445"/>
  <c r="S445"/>
  <c r="S1550"/>
  <c r="Q1550"/>
  <c r="R1550"/>
  <c r="Q1733"/>
  <c r="R1733"/>
  <c r="S1733"/>
  <c r="S1747"/>
  <c r="Q1747"/>
  <c r="R1747"/>
  <c r="R1730"/>
  <c r="S1730"/>
  <c r="Q1730"/>
  <c r="Q1784"/>
  <c r="R1784"/>
  <c r="S1784"/>
  <c r="Q1816"/>
  <c r="R1816"/>
  <c r="S1816"/>
  <c r="Q1715"/>
  <c r="R1715"/>
  <c r="S1715"/>
  <c r="Q1738"/>
  <c r="R1738"/>
  <c r="S1738"/>
  <c r="Q444"/>
  <c r="R444"/>
  <c r="S444"/>
  <c r="R447"/>
  <c r="S447"/>
  <c r="Q447"/>
  <c r="R1720"/>
  <c r="S1720"/>
  <c r="Q1720"/>
  <c r="Q1728"/>
  <c r="R1728"/>
  <c r="S1728"/>
  <c r="Q1535"/>
  <c r="R1535"/>
  <c r="S1535"/>
  <c r="S1729"/>
  <c r="Q1729"/>
  <c r="R1729"/>
  <c r="S1739"/>
  <c r="Q1739"/>
  <c r="R1739"/>
  <c r="S450"/>
  <c r="Q450"/>
  <c r="R450"/>
  <c r="R1783"/>
  <c r="S1783"/>
  <c r="Q1783"/>
  <c r="R1817"/>
  <c r="S1817"/>
  <c r="Q1817"/>
  <c r="S1743"/>
  <c r="Q1743"/>
  <c r="R1743"/>
  <c r="Q1731"/>
  <c r="R1731"/>
  <c r="S1731"/>
  <c r="Q1818"/>
  <c r="R1818"/>
  <c r="S1818"/>
  <c r="S441"/>
  <c r="Q441"/>
  <c r="R441"/>
  <c r="S446"/>
  <c r="Q446"/>
  <c r="R446"/>
  <c r="Q449"/>
  <c r="R449"/>
  <c r="S449"/>
  <c r="Q1814"/>
  <c r="R1814"/>
  <c r="S1814"/>
  <c r="R1551"/>
  <c r="S1551"/>
  <c r="Q1551"/>
  <c r="Q1714"/>
  <c r="R1714"/>
  <c r="S1714"/>
  <c r="S439"/>
  <c r="Q439"/>
  <c r="R439"/>
  <c r="R443"/>
  <c r="S443"/>
  <c r="Q443"/>
  <c r="Q448"/>
  <c r="R448"/>
  <c r="S448"/>
  <c r="Q1734"/>
  <c r="R1734"/>
  <c r="S1734"/>
  <c r="R1748"/>
  <c r="S1748"/>
  <c r="Q1748"/>
  <c r="S1735"/>
  <c r="Q1735"/>
  <c r="R1735"/>
  <c r="R1740"/>
  <c r="S1740"/>
  <c r="Q1740"/>
  <c r="R451"/>
  <c r="S451"/>
  <c r="Q451"/>
  <c r="R1785"/>
  <c r="S1785"/>
  <c r="Q1785"/>
  <c r="R1815"/>
  <c r="S1815"/>
  <c r="Q1815"/>
  <c r="Q1782"/>
  <c r="R1782"/>
  <c r="S1782"/>
  <c r="A1716"/>
  <c r="A447"/>
  <c r="A1725"/>
  <c r="A446"/>
  <c r="A1551"/>
  <c r="A439"/>
  <c r="A448"/>
  <c r="A1748"/>
  <c r="A1740"/>
  <c r="A1815"/>
  <c r="A1782"/>
  <c r="A1718"/>
  <c r="A440"/>
  <c r="A442"/>
  <c r="A445"/>
  <c r="A1550"/>
  <c r="A1733"/>
  <c r="A1747"/>
  <c r="A1730"/>
  <c r="A1784"/>
  <c r="A1816"/>
  <c r="A1715"/>
  <c r="A1720"/>
  <c r="A1728"/>
  <c r="A1535"/>
  <c r="A1729"/>
  <c r="A1739"/>
  <c r="A450"/>
  <c r="A1783"/>
  <c r="A1817"/>
  <c r="A1743"/>
  <c r="A1731"/>
  <c r="A1814"/>
  <c r="A1818"/>
  <c r="A1738"/>
  <c r="A444"/>
  <c r="A441"/>
  <c r="A449"/>
  <c r="A1736"/>
  <c r="A1714"/>
  <c r="A443"/>
  <c r="A1734"/>
  <c r="A1735"/>
  <c r="A451"/>
  <c r="A1785"/>
  <c r="B1758"/>
  <c r="B1759"/>
  <c r="B1299"/>
  <c r="B1320"/>
  <c r="B1325"/>
  <c r="B1323"/>
  <c r="B1321"/>
  <c r="B1304"/>
  <c r="B1302"/>
  <c r="B1300"/>
  <c r="B1379"/>
  <c r="B1417"/>
  <c r="B1373"/>
  <c r="B1374"/>
  <c r="B1375"/>
  <c r="B1376"/>
  <c r="B1297"/>
  <c r="B1298"/>
  <c r="B1303"/>
  <c r="B1471"/>
  <c r="K199"/>
  <c r="M199" s="1"/>
  <c r="E199"/>
  <c r="AA199" s="1"/>
  <c r="B199"/>
  <c r="E138"/>
  <c r="AA138" s="1"/>
  <c r="B138"/>
  <c r="E137"/>
  <c r="AA137" s="1"/>
  <c r="B137"/>
  <c r="M136"/>
  <c r="M138" s="1"/>
  <c r="E136"/>
  <c r="AA136" s="1"/>
  <c r="B136"/>
  <c r="M135"/>
  <c r="M137" s="1"/>
  <c r="E135"/>
  <c r="AA135" s="1"/>
  <c r="B135"/>
  <c r="M134"/>
  <c r="E134"/>
  <c r="AA134" s="1"/>
  <c r="B134"/>
  <c r="M133"/>
  <c r="E133"/>
  <c r="AA133" s="1"/>
  <c r="B133"/>
  <c r="M132"/>
  <c r="E132"/>
  <c r="AA132" s="1"/>
  <c r="B132"/>
  <c r="M131"/>
  <c r="E131"/>
  <c r="AA131" s="1"/>
  <c r="B131"/>
  <c r="M130"/>
  <c r="E130"/>
  <c r="AA130" s="1"/>
  <c r="B130"/>
  <c r="M129"/>
  <c r="E129"/>
  <c r="AA129" s="1"/>
  <c r="B129"/>
  <c r="M128"/>
  <c r="E128"/>
  <c r="AA128" s="1"/>
  <c r="B128"/>
  <c r="M127"/>
  <c r="E127"/>
  <c r="AA127" s="1"/>
  <c r="B127"/>
  <c r="E126"/>
  <c r="AA126" s="1"/>
  <c r="B126"/>
  <c r="E125"/>
  <c r="AA125" s="1"/>
  <c r="B125"/>
  <c r="E124"/>
  <c r="AA124" s="1"/>
  <c r="B124"/>
  <c r="E123"/>
  <c r="AA123" s="1"/>
  <c r="B123"/>
  <c r="M122"/>
  <c r="M124" s="1"/>
  <c r="E122"/>
  <c r="AA122" s="1"/>
  <c r="B122"/>
  <c r="M121"/>
  <c r="M123" s="1"/>
  <c r="E121"/>
  <c r="AA121" s="1"/>
  <c r="B121"/>
  <c r="M120"/>
  <c r="E120"/>
  <c r="AA120" s="1"/>
  <c r="B120"/>
  <c r="M119"/>
  <c r="E119"/>
  <c r="AA119" s="1"/>
  <c r="B119"/>
  <c r="M118"/>
  <c r="E118"/>
  <c r="AA118" s="1"/>
  <c r="B118"/>
  <c r="M117"/>
  <c r="E117"/>
  <c r="AA117" s="1"/>
  <c r="B117"/>
  <c r="M116"/>
  <c r="E116"/>
  <c r="AA116" s="1"/>
  <c r="B116"/>
  <c r="M115"/>
  <c r="E115"/>
  <c r="AA115" s="1"/>
  <c r="B115"/>
  <c r="E114"/>
  <c r="AA114" s="1"/>
  <c r="B114"/>
  <c r="E113"/>
  <c r="AA113" s="1"/>
  <c r="B113"/>
  <c r="E112"/>
  <c r="AA112" s="1"/>
  <c r="B112"/>
  <c r="E111"/>
  <c r="AA111" s="1"/>
  <c r="B111"/>
  <c r="E110"/>
  <c r="AA110" s="1"/>
  <c r="B110"/>
  <c r="E109"/>
  <c r="AA109" s="1"/>
  <c r="B109"/>
  <c r="M108"/>
  <c r="M110" s="1"/>
  <c r="E108"/>
  <c r="AA108" s="1"/>
  <c r="B108"/>
  <c r="M107"/>
  <c r="M109" s="1"/>
  <c r="E107"/>
  <c r="AA107" s="1"/>
  <c r="B107"/>
  <c r="M106"/>
  <c r="E106"/>
  <c r="AA106" s="1"/>
  <c r="B106"/>
  <c r="M105"/>
  <c r="E105"/>
  <c r="AA105" s="1"/>
  <c r="B105"/>
  <c r="M104"/>
  <c r="E104"/>
  <c r="AA104" s="1"/>
  <c r="B104"/>
  <c r="M103"/>
  <c r="E103"/>
  <c r="AA103" s="1"/>
  <c r="B103"/>
  <c r="M102"/>
  <c r="E102"/>
  <c r="AA102" s="1"/>
  <c r="B102"/>
  <c r="M101"/>
  <c r="E101"/>
  <c r="AA101" s="1"/>
  <c r="B101"/>
  <c r="M100"/>
  <c r="E100"/>
  <c r="AA100" s="1"/>
  <c r="B100"/>
  <c r="E99"/>
  <c r="AA99" s="1"/>
  <c r="B99"/>
  <c r="E98"/>
  <c r="AA98" s="1"/>
  <c r="B98"/>
  <c r="E97"/>
  <c r="AA97" s="1"/>
  <c r="B97"/>
  <c r="S97" l="1"/>
  <c r="Q97"/>
  <c r="R97"/>
  <c r="R98"/>
  <c r="S98"/>
  <c r="Q98"/>
  <c r="Q100"/>
  <c r="R100"/>
  <c r="S100"/>
  <c r="Q104"/>
  <c r="R104"/>
  <c r="S104"/>
  <c r="Q108"/>
  <c r="R108"/>
  <c r="S108"/>
  <c r="Q118"/>
  <c r="R118"/>
  <c r="S118"/>
  <c r="Q122"/>
  <c r="R122"/>
  <c r="S122"/>
  <c r="Q130"/>
  <c r="R130"/>
  <c r="S130"/>
  <c r="Q134"/>
  <c r="R134"/>
  <c r="S134"/>
  <c r="R1471"/>
  <c r="S1471"/>
  <c r="Q1471"/>
  <c r="S1376"/>
  <c r="Q1376"/>
  <c r="R1376"/>
  <c r="Q1417"/>
  <c r="R1417"/>
  <c r="S1417"/>
  <c r="Q1304"/>
  <c r="R1304"/>
  <c r="S1304"/>
  <c r="Q1320"/>
  <c r="S1320"/>
  <c r="R1320"/>
  <c r="Q103"/>
  <c r="R103"/>
  <c r="S103"/>
  <c r="Q107"/>
  <c r="R107"/>
  <c r="S107"/>
  <c r="R110"/>
  <c r="S110"/>
  <c r="Q110"/>
  <c r="R112"/>
  <c r="Q112"/>
  <c r="S112"/>
  <c r="Q114"/>
  <c r="R114"/>
  <c r="S114"/>
  <c r="R117"/>
  <c r="S117"/>
  <c r="Q117"/>
  <c r="R121"/>
  <c r="S121"/>
  <c r="Q121"/>
  <c r="S124"/>
  <c r="Q124"/>
  <c r="R124"/>
  <c r="Q126"/>
  <c r="R126"/>
  <c r="S126"/>
  <c r="R129"/>
  <c r="S129"/>
  <c r="Q129"/>
  <c r="R133"/>
  <c r="S133"/>
  <c r="Q133"/>
  <c r="R137"/>
  <c r="S137"/>
  <c r="Q137"/>
  <c r="Q199"/>
  <c r="R199"/>
  <c r="S199"/>
  <c r="Q1303"/>
  <c r="R1303"/>
  <c r="S1303"/>
  <c r="Q1375"/>
  <c r="R1375"/>
  <c r="S1375"/>
  <c r="R1379"/>
  <c r="S1379"/>
  <c r="Q1379"/>
  <c r="R1321"/>
  <c r="Q1321"/>
  <c r="S1321"/>
  <c r="Q1299"/>
  <c r="R1299"/>
  <c r="S1299"/>
  <c r="Q99"/>
  <c r="R99"/>
  <c r="S99"/>
  <c r="R102"/>
  <c r="S102"/>
  <c r="Q102"/>
  <c r="R106"/>
  <c r="S106"/>
  <c r="Q106"/>
  <c r="S116"/>
  <c r="Q116"/>
  <c r="R116"/>
  <c r="S120"/>
  <c r="Q120"/>
  <c r="R120"/>
  <c r="S128"/>
  <c r="Q128"/>
  <c r="R128"/>
  <c r="S132"/>
  <c r="Q132"/>
  <c r="R132"/>
  <c r="S136"/>
  <c r="Q136"/>
  <c r="R136"/>
  <c r="R1298"/>
  <c r="S1298"/>
  <c r="Q1298"/>
  <c r="Q1374"/>
  <c r="R1374"/>
  <c r="S1374"/>
  <c r="Q1300"/>
  <c r="R1300"/>
  <c r="S1300"/>
  <c r="R1323"/>
  <c r="Q1323"/>
  <c r="S1323"/>
  <c r="R1759"/>
  <c r="S1759"/>
  <c r="Q1759"/>
  <c r="S101"/>
  <c r="Q101"/>
  <c r="R101"/>
  <c r="S105"/>
  <c r="Q105"/>
  <c r="R105"/>
  <c r="S109"/>
  <c r="Q109"/>
  <c r="R109"/>
  <c r="Q111"/>
  <c r="R111"/>
  <c r="S111"/>
  <c r="Q113"/>
  <c r="R113"/>
  <c r="S113"/>
  <c r="Q115"/>
  <c r="R115"/>
  <c r="S115"/>
  <c r="Q119"/>
  <c r="R119"/>
  <c r="S119"/>
  <c r="Q123"/>
  <c r="R123"/>
  <c r="S123"/>
  <c r="R125"/>
  <c r="S125"/>
  <c r="Q125"/>
  <c r="Q127"/>
  <c r="R127"/>
  <c r="S127"/>
  <c r="Q131"/>
  <c r="R131"/>
  <c r="S131"/>
  <c r="Q135"/>
  <c r="R135"/>
  <c r="S135"/>
  <c r="Q138"/>
  <c r="R138"/>
  <c r="S138"/>
  <c r="S1297"/>
  <c r="Q1297"/>
  <c r="R1297"/>
  <c r="R1373"/>
  <c r="S1373"/>
  <c r="Q1373"/>
  <c r="R1302"/>
  <c r="S1302"/>
  <c r="Q1302"/>
  <c r="Q1325"/>
  <c r="R1325"/>
  <c r="S1325"/>
  <c r="Q1758"/>
  <c r="R1758"/>
  <c r="S1758"/>
  <c r="A99"/>
  <c r="A102"/>
  <c r="A106"/>
  <c r="A116"/>
  <c r="A101"/>
  <c r="A111"/>
  <c r="A119"/>
  <c r="A125"/>
  <c r="A127"/>
  <c r="A135"/>
  <c r="A98"/>
  <c r="A100"/>
  <c r="A104"/>
  <c r="A108"/>
  <c r="A118"/>
  <c r="A122"/>
  <c r="A130"/>
  <c r="A134"/>
  <c r="A1471"/>
  <c r="A1376"/>
  <c r="A1417"/>
  <c r="A1304"/>
  <c r="A1320"/>
  <c r="A103"/>
  <c r="A107"/>
  <c r="A110"/>
  <c r="A112"/>
  <c r="A114"/>
  <c r="A117"/>
  <c r="A121"/>
  <c r="A124"/>
  <c r="A126"/>
  <c r="A129"/>
  <c r="A133"/>
  <c r="A137"/>
  <c r="A199"/>
  <c r="A1303"/>
  <c r="A1375"/>
  <c r="A1379"/>
  <c r="A1321"/>
  <c r="A1299"/>
  <c r="A120"/>
  <c r="A128"/>
  <c r="A132"/>
  <c r="A136"/>
  <c r="A1298"/>
  <c r="A1374"/>
  <c r="A1300"/>
  <c r="A1323"/>
  <c r="A1759"/>
  <c r="A97"/>
  <c r="A105"/>
  <c r="A109"/>
  <c r="A113"/>
  <c r="A115"/>
  <c r="A123"/>
  <c r="A131"/>
  <c r="A138"/>
  <c r="A1297"/>
  <c r="A1373"/>
  <c r="A1302"/>
  <c r="A1325"/>
  <c r="A1758"/>
  <c r="A70" i="60"/>
  <c r="D70"/>
  <c r="A71"/>
  <c r="D71"/>
  <c r="G71" s="1"/>
  <c r="M1322" i="34"/>
  <c r="C1419"/>
  <c r="AD1419" s="1"/>
  <c r="C1713"/>
  <c r="AD1713" s="1"/>
  <c r="C1712"/>
  <c r="AD1712" s="1"/>
  <c r="C1711"/>
  <c r="AD1711" s="1"/>
  <c r="AD1672"/>
  <c r="AD1683"/>
  <c r="B1547"/>
  <c r="E1547"/>
  <c r="AA1547" s="1"/>
  <c r="B1548"/>
  <c r="E1548"/>
  <c r="AA1548" s="1"/>
  <c r="B1487"/>
  <c r="E1487"/>
  <c r="AA1487" s="1"/>
  <c r="B1488"/>
  <c r="E1488"/>
  <c r="AA1488" s="1"/>
  <c r="Q1487" l="1"/>
  <c r="R1487"/>
  <c r="S1487"/>
  <c r="R1547"/>
  <c r="S1547"/>
  <c r="Q1547"/>
  <c r="S1488"/>
  <c r="Q1488"/>
  <c r="R1488"/>
  <c r="Q1548"/>
  <c r="R1548"/>
  <c r="S1548"/>
  <c r="A1487"/>
  <c r="A1547"/>
  <c r="A1548"/>
  <c r="A1488"/>
  <c r="G70" i="60"/>
  <c r="E1541" i="34"/>
  <c r="AA1541" s="1"/>
  <c r="B1541"/>
  <c r="E68" i="60"/>
  <c r="D68"/>
  <c r="D69"/>
  <c r="M438" i="34"/>
  <c r="E438"/>
  <c r="AA438" s="1"/>
  <c r="B438"/>
  <c r="E266"/>
  <c r="AA266" s="1"/>
  <c r="M266"/>
  <c r="B266"/>
  <c r="C662"/>
  <c r="AD662" s="1"/>
  <c r="C663"/>
  <c r="AD663" s="1"/>
  <c r="C664"/>
  <c r="AD664" s="1"/>
  <c r="C665"/>
  <c r="AD665" s="1"/>
  <c r="C666"/>
  <c r="AD666" s="1"/>
  <c r="C667"/>
  <c r="AD667" s="1"/>
  <c r="C668"/>
  <c r="AD668" s="1"/>
  <c r="M668"/>
  <c r="M667"/>
  <c r="M666"/>
  <c r="M665"/>
  <c r="M664"/>
  <c r="M663"/>
  <c r="M662"/>
  <c r="M426"/>
  <c r="E427"/>
  <c r="AA427" s="1"/>
  <c r="E1486"/>
  <c r="AA1486" s="1"/>
  <c r="E426"/>
  <c r="AA426" s="1"/>
  <c r="D49" i="60"/>
  <c r="G49" s="1"/>
  <c r="M436" i="34"/>
  <c r="E436"/>
  <c r="AA436" s="1"/>
  <c r="B436"/>
  <c r="E429"/>
  <c r="AA429" s="1"/>
  <c r="E431"/>
  <c r="AA431" s="1"/>
  <c r="E432"/>
  <c r="AA432" s="1"/>
  <c r="E433"/>
  <c r="AA433" s="1"/>
  <c r="E434"/>
  <c r="AA434" s="1"/>
  <c r="E435"/>
  <c r="AA435" s="1"/>
  <c r="E437"/>
  <c r="AA437" s="1"/>
  <c r="E428"/>
  <c r="AA428" s="1"/>
  <c r="M437"/>
  <c r="B437"/>
  <c r="M435"/>
  <c r="B435"/>
  <c r="M434"/>
  <c r="M433"/>
  <c r="B433"/>
  <c r="M432"/>
  <c r="B432"/>
  <c r="M431"/>
  <c r="B431"/>
  <c r="M429"/>
  <c r="M428"/>
  <c r="B428"/>
  <c r="M268"/>
  <c r="C268"/>
  <c r="AD268" s="1"/>
  <c r="S435" l="1"/>
  <c r="Q435"/>
  <c r="R435"/>
  <c r="R436"/>
  <c r="Q436"/>
  <c r="S436"/>
  <c r="S1541"/>
  <c r="Q1541"/>
  <c r="R1541"/>
  <c r="Q1683"/>
  <c r="R1683"/>
  <c r="S1683"/>
  <c r="Q433"/>
  <c r="S433"/>
  <c r="R433"/>
  <c r="Q1712"/>
  <c r="R1712"/>
  <c r="S1712"/>
  <c r="S431"/>
  <c r="Q431"/>
  <c r="R431"/>
  <c r="R428"/>
  <c r="S428"/>
  <c r="Q428"/>
  <c r="Q437"/>
  <c r="S437"/>
  <c r="R437"/>
  <c r="R438"/>
  <c r="S438"/>
  <c r="Q438"/>
  <c r="Q1713"/>
  <c r="R1713"/>
  <c r="S1713"/>
  <c r="S1672"/>
  <c r="Q1672"/>
  <c r="R1672"/>
  <c r="R432"/>
  <c r="Q432"/>
  <c r="S432"/>
  <c r="S266"/>
  <c r="Q266"/>
  <c r="R266"/>
  <c r="R1711"/>
  <c r="S1711"/>
  <c r="Q1711"/>
  <c r="A437"/>
  <c r="A266"/>
  <c r="A435"/>
  <c r="A436"/>
  <c r="A431"/>
  <c r="A433"/>
  <c r="A1541"/>
  <c r="A1683"/>
  <c r="A438"/>
  <c r="A1712"/>
  <c r="A1672"/>
  <c r="A428"/>
  <c r="A432"/>
  <c r="A1713"/>
  <c r="A1711"/>
  <c r="B662"/>
  <c r="B667"/>
  <c r="B663"/>
  <c r="B664"/>
  <c r="B666"/>
  <c r="G69" i="60"/>
  <c r="B665" i="34"/>
  <c r="B668"/>
  <c r="B268"/>
  <c r="B429"/>
  <c r="B434"/>
  <c r="B425"/>
  <c r="B424"/>
  <c r="B420"/>
  <c r="B421"/>
  <c r="Q665" l="1"/>
  <c r="R665"/>
  <c r="S665"/>
  <c r="Q425"/>
  <c r="R425"/>
  <c r="S425"/>
  <c r="Q668"/>
  <c r="R668"/>
  <c r="S668"/>
  <c r="Q664"/>
  <c r="R664"/>
  <c r="S664"/>
  <c r="Q421"/>
  <c r="R421"/>
  <c r="S421"/>
  <c r="R420"/>
  <c r="S420"/>
  <c r="Q420"/>
  <c r="Q429"/>
  <c r="R429"/>
  <c r="S429"/>
  <c r="R667"/>
  <c r="S667"/>
  <c r="Q667"/>
  <c r="R434"/>
  <c r="S434"/>
  <c r="Q434"/>
  <c r="R663"/>
  <c r="S663"/>
  <c r="Q663"/>
  <c r="R424"/>
  <c r="S424"/>
  <c r="Q424"/>
  <c r="R268"/>
  <c r="S268"/>
  <c r="Q268"/>
  <c r="S666"/>
  <c r="Q666"/>
  <c r="R666"/>
  <c r="Q662"/>
  <c r="S662"/>
  <c r="R662"/>
  <c r="A434"/>
  <c r="A663"/>
  <c r="A420"/>
  <c r="A424"/>
  <c r="A666"/>
  <c r="A662"/>
  <c r="A425"/>
  <c r="A668"/>
  <c r="A664"/>
  <c r="A429"/>
  <c r="A421"/>
  <c r="A665"/>
  <c r="A667"/>
  <c r="A268"/>
  <c r="J42" i="69"/>
  <c r="A4"/>
  <c r="B1545" i="34" l="1"/>
  <c r="B1546"/>
  <c r="B1295"/>
  <c r="B1296"/>
  <c r="B1301"/>
  <c r="B1305"/>
  <c r="B1306"/>
  <c r="B1307"/>
  <c r="B1308"/>
  <c r="B1309"/>
  <c r="B1310"/>
  <c r="B1311"/>
  <c r="B1312"/>
  <c r="B1314"/>
  <c r="B1315"/>
  <c r="B1316"/>
  <c r="B1317"/>
  <c r="B1318"/>
  <c r="B1319"/>
  <c r="B1322"/>
  <c r="B1324"/>
  <c r="B1326"/>
  <c r="B1327"/>
  <c r="B1328"/>
  <c r="B1329"/>
  <c r="B1330"/>
  <c r="B1331"/>
  <c r="B1332"/>
  <c r="B1333"/>
  <c r="B1334"/>
  <c r="B1343"/>
  <c r="B1335"/>
  <c r="B1336"/>
  <c r="B1337"/>
  <c r="B1338"/>
  <c r="B1339"/>
  <c r="B1340"/>
  <c r="B1341"/>
  <c r="B1342"/>
  <c r="B1345"/>
  <c r="B1346"/>
  <c r="B1357"/>
  <c r="B1347"/>
  <c r="B1348"/>
  <c r="B1349"/>
  <c r="B1350"/>
  <c r="B1351"/>
  <c r="B1352"/>
  <c r="B1353"/>
  <c r="B1359"/>
  <c r="B1354"/>
  <c r="B1355"/>
  <c r="B1356"/>
  <c r="B1360"/>
  <c r="B1358"/>
  <c r="B1362"/>
  <c r="B1363"/>
  <c r="B1361"/>
  <c r="B1364"/>
  <c r="B1365"/>
  <c r="B1366"/>
  <c r="B1367"/>
  <c r="B1368"/>
  <c r="B1369"/>
  <c r="B1370"/>
  <c r="B1371"/>
  <c r="B1372"/>
  <c r="B1377"/>
  <c r="B1378"/>
  <c r="B1416"/>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20"/>
  <c r="B1421"/>
  <c r="B1430"/>
  <c r="B1431"/>
  <c r="B1432"/>
  <c r="B1422"/>
  <c r="B1423"/>
  <c r="B1424"/>
  <c r="B1425"/>
  <c r="B1426"/>
  <c r="B1427"/>
  <c r="B1428"/>
  <c r="B1429"/>
  <c r="B1433"/>
  <c r="B1443"/>
  <c r="B1444"/>
  <c r="B1445"/>
  <c r="B1434"/>
  <c r="B1435"/>
  <c r="B1436"/>
  <c r="B1437"/>
  <c r="B1438"/>
  <c r="B1439"/>
  <c r="B1440"/>
  <c r="B1441"/>
  <c r="B1442"/>
  <c r="B1446"/>
  <c r="B1448"/>
  <c r="B1449"/>
  <c r="B1450"/>
  <c r="B1447"/>
  <c r="B1452"/>
  <c r="B1461"/>
  <c r="B1462"/>
  <c r="B1463"/>
  <c r="B1453"/>
  <c r="B1454"/>
  <c r="B1455"/>
  <c r="B1456"/>
  <c r="B1457"/>
  <c r="B1458"/>
  <c r="B1459"/>
  <c r="B1460"/>
  <c r="B1464"/>
  <c r="B1465"/>
  <c r="B1466"/>
  <c r="B1467"/>
  <c r="B1477"/>
  <c r="B1478"/>
  <c r="B1479"/>
  <c r="B1468"/>
  <c r="B1469"/>
  <c r="B1470"/>
  <c r="B1472"/>
  <c r="B1473"/>
  <c r="B1474"/>
  <c r="B1475"/>
  <c r="B1476"/>
  <c r="B1483"/>
  <c r="B1484"/>
  <c r="B1485"/>
  <c r="B1480"/>
  <c r="B1481"/>
  <c r="B1482"/>
  <c r="B1549"/>
  <c r="B426"/>
  <c r="B427"/>
  <c r="B1486"/>
  <c r="B1717"/>
  <c r="M85"/>
  <c r="E96"/>
  <c r="AA96" s="1"/>
  <c r="E95"/>
  <c r="AA95" s="1"/>
  <c r="M94"/>
  <c r="M96" s="1"/>
  <c r="E94"/>
  <c r="AA94" s="1"/>
  <c r="M93"/>
  <c r="M95" s="1"/>
  <c r="E93"/>
  <c r="AA93" s="1"/>
  <c r="M92"/>
  <c r="E92"/>
  <c r="AA92" s="1"/>
  <c r="M91"/>
  <c r="E91"/>
  <c r="AA91" s="1"/>
  <c r="M90"/>
  <c r="E90"/>
  <c r="AA90" s="1"/>
  <c r="M89"/>
  <c r="E89"/>
  <c r="AA89" s="1"/>
  <c r="M88"/>
  <c r="E88"/>
  <c r="AA88" s="1"/>
  <c r="M87"/>
  <c r="E87"/>
  <c r="AA87" s="1"/>
  <c r="M86"/>
  <c r="E86"/>
  <c r="AA86" s="1"/>
  <c r="E85"/>
  <c r="AA85" s="1"/>
  <c r="E84"/>
  <c r="AA84" s="1"/>
  <c r="E83"/>
  <c r="AA83" s="1"/>
  <c r="E82"/>
  <c r="AA82" s="1"/>
  <c r="E81"/>
  <c r="AA81" s="1"/>
  <c r="M80"/>
  <c r="M82" s="1"/>
  <c r="E80"/>
  <c r="AA80" s="1"/>
  <c r="M79"/>
  <c r="M81" s="1"/>
  <c r="E79"/>
  <c r="AA79" s="1"/>
  <c r="M78"/>
  <c r="E78"/>
  <c r="AA78" s="1"/>
  <c r="M77"/>
  <c r="E77"/>
  <c r="AA77" s="1"/>
  <c r="M76"/>
  <c r="E76"/>
  <c r="AA76" s="1"/>
  <c r="M75"/>
  <c r="E75"/>
  <c r="AA75" s="1"/>
  <c r="M74"/>
  <c r="E74"/>
  <c r="AA74" s="1"/>
  <c r="M73"/>
  <c r="E73"/>
  <c r="AA73" s="1"/>
  <c r="M72"/>
  <c r="E72"/>
  <c r="AA72" s="1"/>
  <c r="M71"/>
  <c r="E71"/>
  <c r="AA71" s="1"/>
  <c r="E70"/>
  <c r="AA70" s="1"/>
  <c r="E69"/>
  <c r="AA69" s="1"/>
  <c r="E68"/>
  <c r="AA68" s="1"/>
  <c r="E67"/>
  <c r="AA67" s="1"/>
  <c r="M66"/>
  <c r="M68" s="1"/>
  <c r="E66"/>
  <c r="AA66" s="1"/>
  <c r="M65"/>
  <c r="M67" s="1"/>
  <c r="E65"/>
  <c r="AA65" s="1"/>
  <c r="M64"/>
  <c r="E64"/>
  <c r="AA64" s="1"/>
  <c r="M63"/>
  <c r="E63"/>
  <c r="AA63" s="1"/>
  <c r="M62"/>
  <c r="E62"/>
  <c r="AA62" s="1"/>
  <c r="M61"/>
  <c r="E61"/>
  <c r="AA61" s="1"/>
  <c r="M60"/>
  <c r="E60"/>
  <c r="AA60" s="1"/>
  <c r="M59"/>
  <c r="E59"/>
  <c r="AA59" s="1"/>
  <c r="M58"/>
  <c r="E58"/>
  <c r="AA58" s="1"/>
  <c r="M57"/>
  <c r="E57"/>
  <c r="AA57" s="1"/>
  <c r="E56"/>
  <c r="AA56" s="1"/>
  <c r="E55"/>
  <c r="AA55" s="1"/>
  <c r="Q426" l="1"/>
  <c r="R426"/>
  <c r="S426"/>
  <c r="S1480"/>
  <c r="Q1480"/>
  <c r="R1480"/>
  <c r="Q1476"/>
  <c r="R1476"/>
  <c r="S1476"/>
  <c r="Q1472"/>
  <c r="R1472"/>
  <c r="S1472"/>
  <c r="Q1479"/>
  <c r="R1479"/>
  <c r="S1479"/>
  <c r="Q1466"/>
  <c r="R1466"/>
  <c r="S1466"/>
  <c r="S1459"/>
  <c r="Q1459"/>
  <c r="R1459"/>
  <c r="S1455"/>
  <c r="Q1455"/>
  <c r="R1455"/>
  <c r="Q1462"/>
  <c r="R1462"/>
  <c r="S1462"/>
  <c r="S1450"/>
  <c r="Q1450"/>
  <c r="R1450"/>
  <c r="Q1442"/>
  <c r="R1442"/>
  <c r="S1442"/>
  <c r="Q1438"/>
  <c r="R1438"/>
  <c r="S1438"/>
  <c r="Q1434"/>
  <c r="R1434"/>
  <c r="S1434"/>
  <c r="Q1433"/>
  <c r="R1433"/>
  <c r="S1433"/>
  <c r="Q1426"/>
  <c r="R1426"/>
  <c r="S1426"/>
  <c r="Q1422"/>
  <c r="R1422"/>
  <c r="S1422"/>
  <c r="Q1421"/>
  <c r="R1421"/>
  <c r="S1421"/>
  <c r="Q1413"/>
  <c r="R1413"/>
  <c r="S1413"/>
  <c r="Q1409"/>
  <c r="R1409"/>
  <c r="S1409"/>
  <c r="Q1405"/>
  <c r="R1405"/>
  <c r="S1405"/>
  <c r="Q1401"/>
  <c r="R1401"/>
  <c r="S1401"/>
  <c r="Q1397"/>
  <c r="R1397"/>
  <c r="S1397"/>
  <c r="Q1393"/>
  <c r="R1393"/>
  <c r="S1393"/>
  <c r="Q1389"/>
  <c r="R1389"/>
  <c r="S1389"/>
  <c r="Q1385"/>
  <c r="R1385"/>
  <c r="S1385"/>
  <c r="Q1381"/>
  <c r="R1381"/>
  <c r="S1381"/>
  <c r="Q1377"/>
  <c r="R1377"/>
  <c r="S1377"/>
  <c r="R1369"/>
  <c r="S1369"/>
  <c r="Q1369"/>
  <c r="R1365"/>
  <c r="S1365"/>
  <c r="Q1365"/>
  <c r="Q1362"/>
  <c r="R1362"/>
  <c r="S1362"/>
  <c r="Q1355"/>
  <c r="R1355"/>
  <c r="S1355"/>
  <c r="S1352"/>
  <c r="Q1352"/>
  <c r="R1352"/>
  <c r="S1348"/>
  <c r="Q1348"/>
  <c r="R1348"/>
  <c r="S1345"/>
  <c r="Q1345"/>
  <c r="R1345"/>
  <c r="S1339"/>
  <c r="Q1339"/>
  <c r="R1339"/>
  <c r="S1335"/>
  <c r="Q1335"/>
  <c r="R1335"/>
  <c r="Q1332"/>
  <c r="R1332"/>
  <c r="S1332"/>
  <c r="Q1328"/>
  <c r="R1328"/>
  <c r="S1328"/>
  <c r="S1322"/>
  <c r="Q1322"/>
  <c r="R1322"/>
  <c r="Q1316"/>
  <c r="S1316"/>
  <c r="R1316"/>
  <c r="S1311"/>
  <c r="Q1311"/>
  <c r="R1311"/>
  <c r="Q1307"/>
  <c r="R1307"/>
  <c r="S1307"/>
  <c r="Q1296"/>
  <c r="R1296"/>
  <c r="S1296"/>
  <c r="R1717"/>
  <c r="S1717"/>
  <c r="Q1717"/>
  <c r="Q1549"/>
  <c r="R1549"/>
  <c r="S1549"/>
  <c r="Q1485"/>
  <c r="R1485"/>
  <c r="S1485"/>
  <c r="R1475"/>
  <c r="S1475"/>
  <c r="Q1475"/>
  <c r="Q1470"/>
  <c r="R1470"/>
  <c r="S1470"/>
  <c r="R1478"/>
  <c r="S1478"/>
  <c r="Q1478"/>
  <c r="R1465"/>
  <c r="S1465"/>
  <c r="Q1465"/>
  <c r="Q1458"/>
  <c r="R1458"/>
  <c r="S1458"/>
  <c r="Q1454"/>
  <c r="R1454"/>
  <c r="S1454"/>
  <c r="R1461"/>
  <c r="S1461"/>
  <c r="Q1461"/>
  <c r="Q1449"/>
  <c r="R1449"/>
  <c r="S1449"/>
  <c r="R1441"/>
  <c r="S1441"/>
  <c r="Q1441"/>
  <c r="R1437"/>
  <c r="S1437"/>
  <c r="Q1437"/>
  <c r="Q1445"/>
  <c r="R1445"/>
  <c r="S1445"/>
  <c r="R1429"/>
  <c r="S1429"/>
  <c r="Q1429"/>
  <c r="R1425"/>
  <c r="S1425"/>
  <c r="Q1425"/>
  <c r="Q1432"/>
  <c r="R1432"/>
  <c r="S1432"/>
  <c r="Q1420"/>
  <c r="R1420"/>
  <c r="S1420"/>
  <c r="S1412"/>
  <c r="Q1412"/>
  <c r="R1412"/>
  <c r="S1408"/>
  <c r="Q1408"/>
  <c r="R1408"/>
  <c r="S1404"/>
  <c r="Q1404"/>
  <c r="R1404"/>
  <c r="S1400"/>
  <c r="Q1400"/>
  <c r="R1400"/>
  <c r="S1396"/>
  <c r="Q1396"/>
  <c r="R1396"/>
  <c r="S1392"/>
  <c r="Q1392"/>
  <c r="R1392"/>
  <c r="S1388"/>
  <c r="Q1388"/>
  <c r="R1388"/>
  <c r="S1384"/>
  <c r="Q1384"/>
  <c r="R1384"/>
  <c r="S1380"/>
  <c r="Q1380"/>
  <c r="R1380"/>
  <c r="S1372"/>
  <c r="Q1372"/>
  <c r="R1372"/>
  <c r="S1368"/>
  <c r="Q1368"/>
  <c r="R1368"/>
  <c r="S1364"/>
  <c r="Q1364"/>
  <c r="R1364"/>
  <c r="Q1358"/>
  <c r="R1358"/>
  <c r="S1358"/>
  <c r="S1354"/>
  <c r="Q1354"/>
  <c r="R1354"/>
  <c r="Q1351"/>
  <c r="R1351"/>
  <c r="S1351"/>
  <c r="Q1347"/>
  <c r="R1347"/>
  <c r="S1347"/>
  <c r="Q1342"/>
  <c r="R1342"/>
  <c r="S1342"/>
  <c r="Q1338"/>
  <c r="R1338"/>
  <c r="S1338"/>
  <c r="S1343"/>
  <c r="Q1343"/>
  <c r="R1343"/>
  <c r="S1331"/>
  <c r="Q1331"/>
  <c r="R1331"/>
  <c r="R1327"/>
  <c r="S1327"/>
  <c r="Q1327"/>
  <c r="R1319"/>
  <c r="Q1319"/>
  <c r="S1319"/>
  <c r="R1315"/>
  <c r="Q1315"/>
  <c r="S1315"/>
  <c r="Q1310"/>
  <c r="R1310"/>
  <c r="S1310"/>
  <c r="Q1306"/>
  <c r="R1306"/>
  <c r="S1306"/>
  <c r="Q1295"/>
  <c r="R1295"/>
  <c r="S1295"/>
  <c r="Q1486"/>
  <c r="R1486"/>
  <c r="S1486"/>
  <c r="S1482"/>
  <c r="Q1482"/>
  <c r="R1482"/>
  <c r="Q1484"/>
  <c r="R1484"/>
  <c r="S1484"/>
  <c r="Q1474"/>
  <c r="R1474"/>
  <c r="S1474"/>
  <c r="R1469"/>
  <c r="S1469"/>
  <c r="Q1469"/>
  <c r="S1477"/>
  <c r="Q1477"/>
  <c r="R1477"/>
  <c r="S1464"/>
  <c r="Q1464"/>
  <c r="R1464"/>
  <c r="S1457"/>
  <c r="Q1457"/>
  <c r="R1457"/>
  <c r="S1453"/>
  <c r="Q1453"/>
  <c r="R1453"/>
  <c r="S1452"/>
  <c r="Q1452"/>
  <c r="R1452"/>
  <c r="Q1448"/>
  <c r="R1448"/>
  <c r="S1448"/>
  <c r="Q1440"/>
  <c r="R1440"/>
  <c r="S1440"/>
  <c r="Q1436"/>
  <c r="R1436"/>
  <c r="S1436"/>
  <c r="R1444"/>
  <c r="S1444"/>
  <c r="Q1444"/>
  <c r="Q1428"/>
  <c r="R1428"/>
  <c r="S1428"/>
  <c r="Q1424"/>
  <c r="R1424"/>
  <c r="S1424"/>
  <c r="R1431"/>
  <c r="S1431"/>
  <c r="Q1431"/>
  <c r="Q1415"/>
  <c r="R1415"/>
  <c r="S1415"/>
  <c r="Q1411"/>
  <c r="R1411"/>
  <c r="S1411"/>
  <c r="Q1407"/>
  <c r="R1407"/>
  <c r="S1407"/>
  <c r="Q1403"/>
  <c r="R1403"/>
  <c r="S1403"/>
  <c r="Q1399"/>
  <c r="R1399"/>
  <c r="S1399"/>
  <c r="Q1395"/>
  <c r="R1395"/>
  <c r="S1395"/>
  <c r="Q1391"/>
  <c r="R1391"/>
  <c r="S1391"/>
  <c r="Q1387"/>
  <c r="R1387"/>
  <c r="S1387"/>
  <c r="Q1383"/>
  <c r="R1383"/>
  <c r="S1383"/>
  <c r="S1416"/>
  <c r="Q1416"/>
  <c r="R1416"/>
  <c r="Q1371"/>
  <c r="R1371"/>
  <c r="S1371"/>
  <c r="Q1367"/>
  <c r="R1367"/>
  <c r="S1367"/>
  <c r="R1361"/>
  <c r="S1361"/>
  <c r="Q1361"/>
  <c r="Q1360"/>
  <c r="R1360"/>
  <c r="S1360"/>
  <c r="S1359"/>
  <c r="Q1359"/>
  <c r="R1359"/>
  <c r="S1350"/>
  <c r="Q1350"/>
  <c r="R1350"/>
  <c r="Q1357"/>
  <c r="R1357"/>
  <c r="S1357"/>
  <c r="S1341"/>
  <c r="Q1341"/>
  <c r="R1341"/>
  <c r="S1337"/>
  <c r="Q1337"/>
  <c r="R1337"/>
  <c r="Q1334"/>
  <c r="R1334"/>
  <c r="S1334"/>
  <c r="Q1330"/>
  <c r="R1330"/>
  <c r="S1330"/>
  <c r="S1326"/>
  <c r="Q1326"/>
  <c r="R1326"/>
  <c r="S1318"/>
  <c r="Q1318"/>
  <c r="R1318"/>
  <c r="S1314"/>
  <c r="Q1314"/>
  <c r="R1314"/>
  <c r="R1309"/>
  <c r="S1309"/>
  <c r="Q1309"/>
  <c r="S1305"/>
  <c r="Q1305"/>
  <c r="R1305"/>
  <c r="R1546"/>
  <c r="S1546"/>
  <c r="Q1546"/>
  <c r="S427"/>
  <c r="Q427"/>
  <c r="R427"/>
  <c r="Q1481"/>
  <c r="R1481"/>
  <c r="S1481"/>
  <c r="S1483"/>
  <c r="Q1483"/>
  <c r="R1483"/>
  <c r="R1473"/>
  <c r="S1473"/>
  <c r="Q1473"/>
  <c r="Q1468"/>
  <c r="R1468"/>
  <c r="S1468"/>
  <c r="Q1467"/>
  <c r="R1467"/>
  <c r="S1467"/>
  <c r="Q1460"/>
  <c r="R1460"/>
  <c r="S1460"/>
  <c r="Q1456"/>
  <c r="R1456"/>
  <c r="S1456"/>
  <c r="Q1463"/>
  <c r="R1463"/>
  <c r="S1463"/>
  <c r="R1447"/>
  <c r="S1447"/>
  <c r="Q1447"/>
  <c r="R1446"/>
  <c r="S1446"/>
  <c r="Q1446"/>
  <c r="R1439"/>
  <c r="S1439"/>
  <c r="Q1439"/>
  <c r="R1435"/>
  <c r="S1435"/>
  <c r="Q1435"/>
  <c r="S1443"/>
  <c r="Q1443"/>
  <c r="R1443"/>
  <c r="R1427"/>
  <c r="S1427"/>
  <c r="Q1427"/>
  <c r="R1423"/>
  <c r="S1423"/>
  <c r="Q1423"/>
  <c r="S1430"/>
  <c r="Q1430"/>
  <c r="R1430"/>
  <c r="S1414"/>
  <c r="Q1414"/>
  <c r="R1414"/>
  <c r="S1410"/>
  <c r="Q1410"/>
  <c r="R1410"/>
  <c r="S1406"/>
  <c r="Q1406"/>
  <c r="R1406"/>
  <c r="S1402"/>
  <c r="Q1402"/>
  <c r="R1402"/>
  <c r="S1398"/>
  <c r="Q1398"/>
  <c r="R1398"/>
  <c r="S1394"/>
  <c r="Q1394"/>
  <c r="R1394"/>
  <c r="S1390"/>
  <c r="Q1390"/>
  <c r="R1390"/>
  <c r="S1386"/>
  <c r="Q1386"/>
  <c r="R1386"/>
  <c r="S1382"/>
  <c r="Q1382"/>
  <c r="R1382"/>
  <c r="R1378"/>
  <c r="S1378"/>
  <c r="Q1378"/>
  <c r="Q1370"/>
  <c r="R1370"/>
  <c r="S1370"/>
  <c r="Q1366"/>
  <c r="R1366"/>
  <c r="S1366"/>
  <c r="Q1363"/>
  <c r="R1363"/>
  <c r="S1363"/>
  <c r="S1356"/>
  <c r="Q1356"/>
  <c r="R1356"/>
  <c r="Q1353"/>
  <c r="R1353"/>
  <c r="S1353"/>
  <c r="Q1349"/>
  <c r="R1349"/>
  <c r="S1349"/>
  <c r="Q1346"/>
  <c r="R1346"/>
  <c r="S1346"/>
  <c r="Q1340"/>
  <c r="R1340"/>
  <c r="S1340"/>
  <c r="Q1336"/>
  <c r="R1336"/>
  <c r="S1336"/>
  <c r="S1333"/>
  <c r="Q1333"/>
  <c r="R1333"/>
  <c r="Q1329"/>
  <c r="R1329"/>
  <c r="S1329"/>
  <c r="Q1324"/>
  <c r="R1324"/>
  <c r="S1324"/>
  <c r="R1317"/>
  <c r="S1317"/>
  <c r="Q1317"/>
  <c r="Q1312"/>
  <c r="S1312"/>
  <c r="R1312"/>
  <c r="S1308"/>
  <c r="Q1308"/>
  <c r="R1308"/>
  <c r="S1301"/>
  <c r="Q1301"/>
  <c r="R1301"/>
  <c r="S1545"/>
  <c r="Q1545"/>
  <c r="R1545"/>
  <c r="A426"/>
  <c r="A1480"/>
  <c r="A1476"/>
  <c r="A1472"/>
  <c r="A1479"/>
  <c r="A1466"/>
  <c r="A1459"/>
  <c r="A1455"/>
  <c r="A1462"/>
  <c r="A1450"/>
  <c r="A1442"/>
  <c r="A1438"/>
  <c r="A1434"/>
  <c r="A1433"/>
  <c r="A1426"/>
  <c r="A1422"/>
  <c r="A1421"/>
  <c r="A1413"/>
  <c r="A1409"/>
  <c r="A1405"/>
  <c r="A1401"/>
  <c r="A1397"/>
  <c r="A1393"/>
  <c r="A1389"/>
  <c r="A1385"/>
  <c r="A1381"/>
  <c r="A1377"/>
  <c r="A1369"/>
  <c r="A1365"/>
  <c r="A1362"/>
  <c r="A1355"/>
  <c r="A1352"/>
  <c r="A1348"/>
  <c r="A1345"/>
  <c r="A1339"/>
  <c r="A1335"/>
  <c r="A1332"/>
  <c r="A1328"/>
  <c r="A1322"/>
  <c r="A1316"/>
  <c r="A1311"/>
  <c r="A1307"/>
  <c r="A1296"/>
  <c r="A1717"/>
  <c r="A1549"/>
  <c r="A1485"/>
  <c r="A1475"/>
  <c r="A1470"/>
  <c r="A1478"/>
  <c r="A1465"/>
  <c r="A1458"/>
  <c r="A1454"/>
  <c r="A1461"/>
  <c r="A1449"/>
  <c r="A1441"/>
  <c r="A1437"/>
  <c r="A1445"/>
  <c r="A1429"/>
  <c r="A1425"/>
  <c r="A1432"/>
  <c r="A1420"/>
  <c r="A1412"/>
  <c r="A1408"/>
  <c r="A1404"/>
  <c r="A1400"/>
  <c r="A1396"/>
  <c r="A1392"/>
  <c r="A1388"/>
  <c r="A1384"/>
  <c r="A1380"/>
  <c r="A1372"/>
  <c r="A1368"/>
  <c r="A1364"/>
  <c r="A1358"/>
  <c r="A1354"/>
  <c r="A1351"/>
  <c r="A1347"/>
  <c r="A1342"/>
  <c r="A1338"/>
  <c r="A1343"/>
  <c r="A1331"/>
  <c r="A1327"/>
  <c r="A1319"/>
  <c r="A1315"/>
  <c r="A1310"/>
  <c r="A1306"/>
  <c r="A1295"/>
  <c r="A1486"/>
  <c r="A1482"/>
  <c r="A1484"/>
  <c r="A1474"/>
  <c r="A1469"/>
  <c r="A1477"/>
  <c r="A1464"/>
  <c r="A1457"/>
  <c r="A1453"/>
  <c r="A1452"/>
  <c r="A1448"/>
  <c r="A1440"/>
  <c r="A1436"/>
  <c r="A1444"/>
  <c r="A1428"/>
  <c r="A1424"/>
  <c r="A1431"/>
  <c r="A1415"/>
  <c r="A1411"/>
  <c r="A1407"/>
  <c r="A1403"/>
  <c r="A1399"/>
  <c r="A1395"/>
  <c r="A1391"/>
  <c r="A1387"/>
  <c r="A1383"/>
  <c r="A1416"/>
  <c r="A1371"/>
  <c r="A1367"/>
  <c r="A1361"/>
  <c r="A1360"/>
  <c r="A1359"/>
  <c r="A1350"/>
  <c r="A1357"/>
  <c r="A1341"/>
  <c r="A1337"/>
  <c r="A1334"/>
  <c r="A1330"/>
  <c r="A1326"/>
  <c r="A1318"/>
  <c r="A1314"/>
  <c r="A1309"/>
  <c r="A1305"/>
  <c r="A1546"/>
  <c r="A427"/>
  <c r="A1481"/>
  <c r="A1483"/>
  <c r="A1473"/>
  <c r="A1468"/>
  <c r="A1467"/>
  <c r="A1460"/>
  <c r="A1456"/>
  <c r="A1463"/>
  <c r="A1447"/>
  <c r="A1446"/>
  <c r="A1439"/>
  <c r="A1435"/>
  <c r="A1443"/>
  <c r="A1427"/>
  <c r="A1423"/>
  <c r="A1430"/>
  <c r="A1414"/>
  <c r="A1410"/>
  <c r="A1406"/>
  <c r="A1402"/>
  <c r="A1398"/>
  <c r="A1394"/>
  <c r="A1390"/>
  <c r="A1386"/>
  <c r="A1382"/>
  <c r="A1378"/>
  <c r="A1370"/>
  <c r="A1366"/>
  <c r="A1363"/>
  <c r="A1356"/>
  <c r="A1353"/>
  <c r="A1349"/>
  <c r="A1346"/>
  <c r="A1340"/>
  <c r="A1336"/>
  <c r="A1333"/>
  <c r="A1329"/>
  <c r="A1324"/>
  <c r="A1317"/>
  <c r="A1312"/>
  <c r="A1308"/>
  <c r="A1301"/>
  <c r="A1545"/>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5" i="45"/>
  <c r="A6"/>
  <c r="A7"/>
  <c r="A31"/>
  <c r="A32"/>
  <c r="A50"/>
  <c r="A51"/>
  <c r="F26" i="68" l="1"/>
  <c r="G25"/>
  <c r="H25" s="1"/>
  <c r="A10" i="45"/>
  <c r="A11"/>
  <c r="A12"/>
  <c r="A13"/>
  <c r="A14"/>
  <c r="A15"/>
  <c r="A16"/>
  <c r="A17"/>
  <c r="A18"/>
  <c r="A20"/>
  <c r="A21"/>
  <c r="A25"/>
  <c r="A26"/>
  <c r="A27"/>
  <c r="A28"/>
  <c r="A29"/>
  <c r="A19"/>
  <c r="A22"/>
  <c r="A30"/>
  <c r="A23"/>
  <c r="A24"/>
  <c r="A9"/>
  <c r="A6" i="62"/>
  <c r="A7"/>
  <c r="A8"/>
  <c r="A9"/>
  <c r="A10"/>
  <c r="A11"/>
  <c r="A12"/>
  <c r="A13"/>
  <c r="A5"/>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671" i="34"/>
  <c r="C671"/>
  <c r="AD671" s="1"/>
  <c r="I657"/>
  <c r="M661"/>
  <c r="C661"/>
  <c r="AD661" s="1"/>
  <c r="M660"/>
  <c r="C660"/>
  <c r="AD660" s="1"/>
  <c r="C1451"/>
  <c r="AD1451" s="1"/>
  <c r="M651"/>
  <c r="M652"/>
  <c r="M653"/>
  <c r="M654"/>
  <c r="M655"/>
  <c r="M656"/>
  <c r="C1595"/>
  <c r="AD1595" s="1"/>
  <c r="C1594"/>
  <c r="AD1594" s="1"/>
  <c r="C1593"/>
  <c r="AD1593" s="1"/>
  <c r="C1592"/>
  <c r="AD1592" s="1"/>
  <c r="C1591"/>
  <c r="AD1591" s="1"/>
  <c r="C657"/>
  <c r="AD657" s="1"/>
  <c r="C656"/>
  <c r="AD656" s="1"/>
  <c r="C655"/>
  <c r="AD655" s="1"/>
  <c r="C654"/>
  <c r="AD654" s="1"/>
  <c r="C653"/>
  <c r="AD653" s="1"/>
  <c r="C652"/>
  <c r="AD652" s="1"/>
  <c r="C651"/>
  <c r="AD651" s="1"/>
  <c r="E72" i="60"/>
  <c r="V12"/>
  <c r="V13"/>
  <c r="V14"/>
  <c r="M409" i="34"/>
  <c r="M410"/>
  <c r="M411"/>
  <c r="M412"/>
  <c r="M413"/>
  <c r="M414"/>
  <c r="M415"/>
  <c r="M416"/>
  <c r="C416"/>
  <c r="AD416" s="1"/>
  <c r="C415"/>
  <c r="AD415" s="1"/>
  <c r="C414"/>
  <c r="AD414" s="1"/>
  <c r="C413"/>
  <c r="AD413" s="1"/>
  <c r="C412"/>
  <c r="AD412" s="1"/>
  <c r="C411"/>
  <c r="AD411" s="1"/>
  <c r="C410"/>
  <c r="AD410" s="1"/>
  <c r="C409"/>
  <c r="AD409" s="1"/>
  <c r="I103" i="55" l="1" a="1"/>
  <c r="I103" s="1"/>
  <c r="G104" a="1"/>
  <c r="G104" s="1"/>
  <c r="I104" a="1"/>
  <c r="I104" s="1"/>
  <c r="G103" a="1"/>
  <c r="G103" s="1"/>
  <c r="I79" a="1"/>
  <c r="I79" s="1"/>
  <c r="I81" a="1"/>
  <c r="I81" s="1"/>
  <c r="I83" a="1"/>
  <c r="I83" s="1"/>
  <c r="I85" a="1"/>
  <c r="I85" s="1"/>
  <c r="I87" a="1"/>
  <c r="I87" s="1"/>
  <c r="I89" a="1"/>
  <c r="I89" s="1"/>
  <c r="I91" a="1"/>
  <c r="I91" s="1"/>
  <c r="I93" a="1"/>
  <c r="I93" s="1"/>
  <c r="I95" a="1"/>
  <c r="I95" s="1"/>
  <c r="I97" a="1"/>
  <c r="I97" s="1"/>
  <c r="I99" a="1"/>
  <c r="I99" s="1"/>
  <c r="I101" a="1"/>
  <c r="I101" s="1"/>
  <c r="I77" a="1"/>
  <c r="I77" s="1"/>
  <c r="G96" a="1"/>
  <c r="G96" s="1"/>
  <c r="G100" a="1"/>
  <c r="G100" s="1"/>
  <c r="G78" a="1"/>
  <c r="G78" s="1"/>
  <c r="G80" a="1"/>
  <c r="G80" s="1"/>
  <c r="G82" a="1"/>
  <c r="G82" s="1"/>
  <c r="G84" a="1"/>
  <c r="G84" s="1"/>
  <c r="G86" a="1"/>
  <c r="G86" s="1"/>
  <c r="G88" a="1"/>
  <c r="G88" s="1"/>
  <c r="G90" a="1"/>
  <c r="G90" s="1"/>
  <c r="G92" a="1"/>
  <c r="G92" s="1"/>
  <c r="G94" a="1"/>
  <c r="G94" s="1"/>
  <c r="G98" a="1"/>
  <c r="G98" s="1"/>
  <c r="G102" a="1"/>
  <c r="G102" s="1"/>
  <c r="I80" a="1"/>
  <c r="I80" s="1"/>
  <c r="I82" a="1"/>
  <c r="I82" s="1"/>
  <c r="I84" a="1"/>
  <c r="I84" s="1"/>
  <c r="I86" a="1"/>
  <c r="I86" s="1"/>
  <c r="I88" a="1"/>
  <c r="I88" s="1"/>
  <c r="I90" a="1"/>
  <c r="I90" s="1"/>
  <c r="I92" a="1"/>
  <c r="I92" s="1"/>
  <c r="I94" a="1"/>
  <c r="I94" s="1"/>
  <c r="I96" a="1"/>
  <c r="I96" s="1"/>
  <c r="I98" a="1"/>
  <c r="I98" s="1"/>
  <c r="I100" a="1"/>
  <c r="I100" s="1"/>
  <c r="I102" a="1"/>
  <c r="I102" s="1"/>
  <c r="I78" a="1"/>
  <c r="I78" s="1"/>
  <c r="G79" a="1"/>
  <c r="G79" s="1"/>
  <c r="G81" a="1"/>
  <c r="G81" s="1"/>
  <c r="G83" a="1"/>
  <c r="G83" s="1"/>
  <c r="G85" a="1"/>
  <c r="G85" s="1"/>
  <c r="G87" a="1"/>
  <c r="G87" s="1"/>
  <c r="G89" a="1"/>
  <c r="G89" s="1"/>
  <c r="G91" a="1"/>
  <c r="G91" s="1"/>
  <c r="G93" a="1"/>
  <c r="G93" s="1"/>
  <c r="G95" a="1"/>
  <c r="G95" s="1"/>
  <c r="G97" a="1"/>
  <c r="G97" s="1"/>
  <c r="G99" a="1"/>
  <c r="G99" s="1"/>
  <c r="G101" a="1"/>
  <c r="G101" s="1"/>
  <c r="G77" a="1"/>
  <c r="G77" s="1"/>
  <c r="I44" a="1"/>
  <c r="I44" s="1"/>
  <c r="G39" a="1"/>
  <c r="G39" s="1"/>
  <c r="I38" a="1"/>
  <c r="I38" s="1"/>
  <c r="G44" a="1"/>
  <c r="G44" s="1"/>
  <c r="I39" a="1"/>
  <c r="I39" s="1"/>
  <c r="G38" a="1"/>
  <c r="G38"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3" a="1"/>
  <c r="I43" s="1"/>
  <c r="I52" a="1"/>
  <c r="I52" s="1"/>
  <c r="I54" a="1"/>
  <c r="I54" s="1"/>
  <c r="G30" a="1"/>
  <c r="G30" s="1"/>
  <c r="G31" a="1"/>
  <c r="G31" s="1"/>
  <c r="G53" a="1"/>
  <c r="G53" s="1"/>
  <c r="G55" a="1"/>
  <c r="G55" s="1"/>
  <c r="I30" a="1"/>
  <c r="I30" s="1"/>
  <c r="I31" a="1"/>
  <c r="I31" s="1"/>
  <c r="I53" a="1"/>
  <c r="I53" s="1"/>
  <c r="I55" a="1"/>
  <c r="I55" s="1"/>
  <c r="G43" a="1"/>
  <c r="G43" s="1"/>
  <c r="G52" a="1"/>
  <c r="G52" s="1"/>
  <c r="G54" a="1"/>
  <c r="G54" s="1"/>
  <c r="I42" a="1"/>
  <c r="I42" s="1"/>
  <c r="I35" a="1"/>
  <c r="I35" s="1"/>
  <c r="G47" a="1"/>
  <c r="G47" s="1"/>
  <c r="I47" a="1"/>
  <c r="I47" s="1"/>
  <c r="G35" a="1"/>
  <c r="G35" s="1"/>
  <c r="G50" a="1"/>
  <c r="G50" s="1"/>
  <c r="I50" a="1"/>
  <c r="I50" s="1"/>
  <c r="G42" a="1"/>
  <c r="G42" s="1"/>
  <c r="G22" a="1"/>
  <c r="G22" s="1"/>
  <c r="I22" a="1"/>
  <c r="I22" s="1"/>
  <c r="I32" a="1"/>
  <c r="I32" s="1"/>
  <c r="I40" a="1"/>
  <c r="I40" s="1"/>
  <c r="I48" a="1"/>
  <c r="I48" s="1"/>
  <c r="I49" a="1"/>
  <c r="I49" s="1"/>
  <c r="I37" a="1"/>
  <c r="I37" s="1"/>
  <c r="I45" a="1"/>
  <c r="I45" s="1"/>
  <c r="G32" a="1"/>
  <c r="G32" s="1"/>
  <c r="G40" a="1"/>
  <c r="G40" s="1"/>
  <c r="G48" a="1"/>
  <c r="G48" s="1"/>
  <c r="G49" a="1"/>
  <c r="G49" s="1"/>
  <c r="G37" a="1"/>
  <c r="G37" s="1"/>
  <c r="G45" a="1"/>
  <c r="G45" s="1"/>
  <c r="M657" i="34"/>
  <c r="I21" i="55" a="1"/>
  <c r="I21" s="1"/>
  <c r="G21" a="1"/>
  <c r="G21" s="1"/>
  <c r="H28" i="68"/>
  <c r="G30"/>
  <c r="B671" i="34"/>
  <c r="B661"/>
  <c r="B660"/>
  <c r="B1451"/>
  <c r="B1591"/>
  <c r="B1595"/>
  <c r="B1592"/>
  <c r="B1593"/>
  <c r="B1594"/>
  <c r="B651"/>
  <c r="B653"/>
  <c r="B655"/>
  <c r="B657"/>
  <c r="B652"/>
  <c r="B654"/>
  <c r="B656"/>
  <c r="B410"/>
  <c r="B412"/>
  <c r="B414"/>
  <c r="B416"/>
  <c r="B409"/>
  <c r="B411"/>
  <c r="B413"/>
  <c r="B415"/>
  <c r="K103" i="55" l="1"/>
  <c r="Q413" i="34"/>
  <c r="R413"/>
  <c r="S413"/>
  <c r="Q414"/>
  <c r="R414"/>
  <c r="S414"/>
  <c r="Q654"/>
  <c r="S654"/>
  <c r="R654"/>
  <c r="Q653"/>
  <c r="R653"/>
  <c r="S653"/>
  <c r="Q1592"/>
  <c r="R1592"/>
  <c r="S1592"/>
  <c r="R660"/>
  <c r="S660"/>
  <c r="Q660"/>
  <c r="Q409"/>
  <c r="R409"/>
  <c r="S409"/>
  <c r="Q410"/>
  <c r="R410"/>
  <c r="S410"/>
  <c r="Q657"/>
  <c r="R657"/>
  <c r="S657"/>
  <c r="R1594"/>
  <c r="S1594"/>
  <c r="Q1594"/>
  <c r="Q1591"/>
  <c r="R1591"/>
  <c r="S1591"/>
  <c r="S671"/>
  <c r="Q671"/>
  <c r="R671"/>
  <c r="S415"/>
  <c r="Q415"/>
  <c r="R415"/>
  <c r="R416"/>
  <c r="S416"/>
  <c r="Q416"/>
  <c r="R656"/>
  <c r="S656"/>
  <c r="Q656"/>
  <c r="S655"/>
  <c r="Q655"/>
  <c r="R655"/>
  <c r="S1593"/>
  <c r="Q1593"/>
  <c r="R1593"/>
  <c r="Q1451"/>
  <c r="R1451"/>
  <c r="S1451"/>
  <c r="S411"/>
  <c r="Q411"/>
  <c r="R411"/>
  <c r="R412"/>
  <c r="S412"/>
  <c r="Q412"/>
  <c r="R652"/>
  <c r="S652"/>
  <c r="Q652"/>
  <c r="S651"/>
  <c r="Q651"/>
  <c r="R651"/>
  <c r="Q1595"/>
  <c r="R1595"/>
  <c r="S1595"/>
  <c r="Q661"/>
  <c r="R661"/>
  <c r="S661"/>
  <c r="K104" i="55"/>
  <c r="A413" i="34"/>
  <c r="A414"/>
  <c r="A654"/>
  <c r="A653"/>
  <c r="A1592"/>
  <c r="A660"/>
  <c r="A409"/>
  <c r="A410"/>
  <c r="A657"/>
  <c r="A1594"/>
  <c r="A1591"/>
  <c r="A671"/>
  <c r="A415"/>
  <c r="A416"/>
  <c r="A656"/>
  <c r="A655"/>
  <c r="A1593"/>
  <c r="A1451"/>
  <c r="A411"/>
  <c r="A412"/>
  <c r="A652"/>
  <c r="A651"/>
  <c r="A1595"/>
  <c r="A661"/>
  <c r="K38" i="55"/>
  <c r="K44"/>
  <c r="K39"/>
  <c r="K99"/>
  <c r="K84"/>
  <c r="K102"/>
  <c r="K94"/>
  <c r="K101"/>
  <c r="K97"/>
  <c r="K90"/>
  <c r="K100"/>
  <c r="K83"/>
  <c r="K65"/>
  <c r="K70"/>
  <c r="K69"/>
  <c r="K68"/>
  <c r="K67"/>
  <c r="K66"/>
  <c r="K64"/>
  <c r="K43"/>
  <c r="K54"/>
  <c r="K87"/>
  <c r="K93"/>
  <c r="K91"/>
  <c r="K88"/>
  <c r="K98"/>
  <c r="K92"/>
  <c r="K95"/>
  <c r="K96"/>
  <c r="K89"/>
  <c r="K52"/>
  <c r="K30"/>
  <c r="K55"/>
  <c r="K53"/>
  <c r="K31"/>
  <c r="K42"/>
  <c r="K48"/>
  <c r="K49"/>
  <c r="K45"/>
  <c r="K37"/>
  <c r="K32"/>
  <c r="K35"/>
  <c r="K47"/>
  <c r="K50"/>
  <c r="K40"/>
  <c r="K22"/>
  <c r="K86"/>
  <c r="K81"/>
  <c r="K82"/>
  <c r="K21"/>
  <c r="B195" i="34"/>
  <c r="B196"/>
  <c r="B197"/>
  <c r="B198"/>
  <c r="B25"/>
  <c r="B26"/>
  <c r="B27"/>
  <c r="B28"/>
  <c r="B29"/>
  <c r="B30"/>
  <c r="B31"/>
  <c r="B32"/>
  <c r="B33"/>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1489"/>
  <c r="B1490"/>
  <c r="B1491"/>
  <c r="B1492"/>
  <c r="B1493"/>
  <c r="B1494"/>
  <c r="B1495"/>
  <c r="B1496"/>
  <c r="B1497"/>
  <c r="B1498"/>
  <c r="B1499"/>
  <c r="B1500"/>
  <c r="B1501"/>
  <c r="B1502"/>
  <c r="B1503"/>
  <c r="B1504"/>
  <c r="B1505"/>
  <c r="B1506"/>
  <c r="B1507"/>
  <c r="B1508"/>
  <c r="B1509"/>
  <c r="B1510"/>
  <c r="B1511"/>
  <c r="B1512"/>
  <c r="B1513"/>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3"/>
  <c r="B1104"/>
  <c r="B1105"/>
  <c r="B1106"/>
  <c r="B1107"/>
  <c r="B1108"/>
  <c r="B1109"/>
  <c r="B1111"/>
  <c r="B1112"/>
  <c r="B1116"/>
  <c r="B1120"/>
  <c r="B1113"/>
  <c r="B1114"/>
  <c r="B1115"/>
  <c r="B1117"/>
  <c r="B1118"/>
  <c r="B1119"/>
  <c r="B1121"/>
  <c r="B1122"/>
  <c r="B1123"/>
  <c r="B1124"/>
  <c r="B1125"/>
  <c r="B1126"/>
  <c r="B1127"/>
  <c r="B1128"/>
  <c r="B1129"/>
  <c r="B1130"/>
  <c r="B1131"/>
  <c r="B1135"/>
  <c r="B1136"/>
  <c r="B1137"/>
  <c r="B1138"/>
  <c r="B1139"/>
  <c r="B1141"/>
  <c r="B1144"/>
  <c r="B1145"/>
  <c r="B1146"/>
  <c r="B1147"/>
  <c r="B1149"/>
  <c r="B1148"/>
  <c r="B1150"/>
  <c r="B1151"/>
  <c r="B1152"/>
  <c r="B1153"/>
  <c r="B1154"/>
  <c r="B1155"/>
  <c r="B1156"/>
  <c r="B1157"/>
  <c r="B1158"/>
  <c r="B1159"/>
  <c r="B1160"/>
  <c r="B1161"/>
  <c r="B1162"/>
  <c r="B1163"/>
  <c r="B1164"/>
  <c r="B1165"/>
  <c r="B1166"/>
  <c r="B1167"/>
  <c r="B1168"/>
  <c r="B1170"/>
  <c r="B1171"/>
  <c r="B1172"/>
  <c r="B1173"/>
  <c r="B1174"/>
  <c r="B1175"/>
  <c r="B1176"/>
  <c r="B1177"/>
  <c r="B1179"/>
  <c r="B1180"/>
  <c r="B1181"/>
  <c r="B1192"/>
  <c r="B1193"/>
  <c r="B1184"/>
  <c r="B1185"/>
  <c r="B1186"/>
  <c r="B1187"/>
  <c r="B1194"/>
  <c r="B1195"/>
  <c r="B1211"/>
  <c r="B1212"/>
  <c r="B1196"/>
  <c r="B1197"/>
  <c r="B1198"/>
  <c r="B1199"/>
  <c r="B1200"/>
  <c r="B1201"/>
  <c r="B1202"/>
  <c r="B1203"/>
  <c r="B1204"/>
  <c r="B1205"/>
  <c r="B1206"/>
  <c r="B1207"/>
  <c r="B1208"/>
  <c r="B1209"/>
  <c r="B1210"/>
  <c r="B1188"/>
  <c r="B1191"/>
  <c r="B1221"/>
  <c r="B1222"/>
  <c r="B1213"/>
  <c r="B1214"/>
  <c r="B1215"/>
  <c r="B1231"/>
  <c r="B1232"/>
  <c r="B1223"/>
  <c r="B1224"/>
  <c r="B1225"/>
  <c r="B1226"/>
  <c r="B1227"/>
  <c r="B1228"/>
  <c r="B1229"/>
  <c r="B1230"/>
  <c r="B1249"/>
  <c r="B1250"/>
  <c r="B1259"/>
  <c r="B1260"/>
  <c r="B1235"/>
  <c r="B1241"/>
  <c r="B1242"/>
  <c r="B1243"/>
  <c r="B1244"/>
  <c r="B1245"/>
  <c r="B1246"/>
  <c r="B1247"/>
  <c r="B1248"/>
  <c r="B1267"/>
  <c r="B1269"/>
  <c r="B1251"/>
  <c r="B1252"/>
  <c r="B1253"/>
  <c r="B1258"/>
  <c r="B1270"/>
  <c r="B1271"/>
  <c r="B1261"/>
  <c r="B1262"/>
  <c r="B1263"/>
  <c r="B1264"/>
  <c r="B1265"/>
  <c r="B1266"/>
  <c r="B1279"/>
  <c r="B1268"/>
  <c r="B1281"/>
  <c r="B1282"/>
  <c r="B1283"/>
  <c r="B1272"/>
  <c r="B1273"/>
  <c r="B1274"/>
  <c r="B1275"/>
  <c r="B1276"/>
  <c r="B1277"/>
  <c r="B1284"/>
  <c r="B1285"/>
  <c r="B1280"/>
  <c r="B1286"/>
  <c r="B1287"/>
  <c r="B1288"/>
  <c r="B1289"/>
  <c r="B1290"/>
  <c r="B1292"/>
  <c r="B1293"/>
  <c r="B1294"/>
  <c r="B1542"/>
  <c r="B1543"/>
  <c r="B1544"/>
  <c r="B1514"/>
  <c r="B1515"/>
  <c r="B1516"/>
  <c r="B1517"/>
  <c r="B1518"/>
  <c r="B1519"/>
  <c r="B1520"/>
  <c r="B1521"/>
  <c r="B1522"/>
  <c r="B1523"/>
  <c r="B1524"/>
  <c r="B1419"/>
  <c r="B1539"/>
  <c r="B1540"/>
  <c r="B1538"/>
  <c r="B1525"/>
  <c r="B1526"/>
  <c r="B1527"/>
  <c r="B1528"/>
  <c r="B1529"/>
  <c r="B1530"/>
  <c r="B1531"/>
  <c r="B1532"/>
  <c r="B1533"/>
  <c r="B1534"/>
  <c r="B1536"/>
  <c r="B1537"/>
  <c r="B417"/>
  <c r="B418"/>
  <c r="B419"/>
  <c r="B422"/>
  <c r="B423"/>
  <c r="B1721"/>
  <c r="B1722"/>
  <c r="B1723"/>
  <c r="B1724"/>
  <c r="B1737"/>
  <c r="B1741"/>
  <c r="B1742"/>
  <c r="B1744"/>
  <c r="B1745"/>
  <c r="B1746"/>
  <c r="B1760"/>
  <c r="B1761"/>
  <c r="B1762"/>
  <c r="B1763"/>
  <c r="B1764"/>
  <c r="B1765"/>
  <c r="B1766"/>
  <c r="B1767"/>
  <c r="B1768"/>
  <c r="B1769"/>
  <c r="B1770"/>
  <c r="B1771"/>
  <c r="B1772"/>
  <c r="B1773"/>
  <c r="B1774"/>
  <c r="B1775"/>
  <c r="B1776"/>
  <c r="B1719"/>
  <c r="B1777"/>
  <c r="B1778"/>
  <c r="B1779"/>
  <c r="B1780"/>
  <c r="B1781"/>
  <c r="B1786"/>
  <c r="B1787"/>
  <c r="B1788"/>
  <c r="B1789"/>
  <c r="B1790"/>
  <c r="B1791"/>
  <c r="B1792"/>
  <c r="B1793"/>
  <c r="B1794"/>
  <c r="B1795"/>
  <c r="B1796"/>
  <c r="B1797"/>
  <c r="B1798"/>
  <c r="B1799"/>
  <c r="B1800"/>
  <c r="B1801"/>
  <c r="B1802"/>
  <c r="B1803"/>
  <c r="B1804"/>
  <c r="B1805"/>
  <c r="B1806"/>
  <c r="B1807"/>
  <c r="B1808"/>
  <c r="B1732"/>
  <c r="B1809"/>
  <c r="B1810"/>
  <c r="B1811"/>
  <c r="B1812"/>
  <c r="B1813"/>
  <c r="B1819"/>
  <c r="B1558"/>
  <c r="B1560"/>
  <c r="B1820"/>
  <c r="B1823"/>
  <c r="B1826"/>
  <c r="B1827"/>
  <c r="B1830"/>
  <c r="B1831"/>
  <c r="B1842"/>
  <c r="B1843"/>
  <c r="B1846"/>
  <c r="B1847"/>
  <c r="B1874"/>
  <c r="B1875"/>
  <c r="B1876"/>
  <c r="B1862"/>
  <c r="B1863"/>
  <c r="B461"/>
  <c r="B1824"/>
  <c r="B1825"/>
  <c r="B1877"/>
  <c r="B1884"/>
  <c r="B1885"/>
  <c r="B1886"/>
  <c r="B1887"/>
  <c r="B1889"/>
  <c r="B1890"/>
  <c r="S1887" l="1"/>
  <c r="Q1887"/>
  <c r="R1887"/>
  <c r="R1877"/>
  <c r="S1877"/>
  <c r="Q1877"/>
  <c r="Q1863"/>
  <c r="R1863"/>
  <c r="S1863"/>
  <c r="R1874"/>
  <c r="Q1874"/>
  <c r="S1874"/>
  <c r="S1842"/>
  <c r="Q1842"/>
  <c r="R1842"/>
  <c r="S1826"/>
  <c r="Q1826"/>
  <c r="R1826"/>
  <c r="Q1558"/>
  <c r="R1558"/>
  <c r="S1558"/>
  <c r="R1811"/>
  <c r="S1811"/>
  <c r="Q1811"/>
  <c r="Q1808"/>
  <c r="R1808"/>
  <c r="S1808"/>
  <c r="Q1804"/>
  <c r="R1804"/>
  <c r="S1804"/>
  <c r="Q1800"/>
  <c r="R1800"/>
  <c r="S1800"/>
  <c r="Q1796"/>
  <c r="R1796"/>
  <c r="S1796"/>
  <c r="Q1792"/>
  <c r="R1792"/>
  <c r="S1792"/>
  <c r="Q1788"/>
  <c r="R1788"/>
  <c r="S1788"/>
  <c r="Q1780"/>
  <c r="R1780"/>
  <c r="S1780"/>
  <c r="Q1719"/>
  <c r="R1719"/>
  <c r="S1719"/>
  <c r="R1773"/>
  <c r="S1773"/>
  <c r="Q1773"/>
  <c r="R1769"/>
  <c r="S1769"/>
  <c r="Q1769"/>
  <c r="R1765"/>
  <c r="S1765"/>
  <c r="Q1765"/>
  <c r="R1761"/>
  <c r="S1761"/>
  <c r="Q1761"/>
  <c r="R1744"/>
  <c r="S1744"/>
  <c r="Q1744"/>
  <c r="R1724"/>
  <c r="S1724"/>
  <c r="Q1724"/>
  <c r="S423"/>
  <c r="Q423"/>
  <c r="R423"/>
  <c r="Q417"/>
  <c r="R417"/>
  <c r="S417"/>
  <c r="S1533"/>
  <c r="Q1533"/>
  <c r="R1533"/>
  <c r="S1529"/>
  <c r="Q1529"/>
  <c r="R1529"/>
  <c r="S1525"/>
  <c r="Q1525"/>
  <c r="R1525"/>
  <c r="Q1419"/>
  <c r="R1419"/>
  <c r="S1419"/>
  <c r="Q1523"/>
  <c r="R1523"/>
  <c r="S1523"/>
  <c r="Q1519"/>
  <c r="R1519"/>
  <c r="S1519"/>
  <c r="Q1515"/>
  <c r="R1515"/>
  <c r="S1515"/>
  <c r="R1542"/>
  <c r="S1542"/>
  <c r="Q1542"/>
  <c r="R1287"/>
  <c r="S1287"/>
  <c r="Q1287"/>
  <c r="S1284"/>
  <c r="Q1284"/>
  <c r="R1284"/>
  <c r="S1274"/>
  <c r="Q1274"/>
  <c r="R1274"/>
  <c r="R1282"/>
  <c r="S1282"/>
  <c r="Q1282"/>
  <c r="Q1266"/>
  <c r="R1266"/>
  <c r="S1266"/>
  <c r="Q1262"/>
  <c r="R1262"/>
  <c r="S1262"/>
  <c r="R1258"/>
  <c r="S1258"/>
  <c r="Q1258"/>
  <c r="Q1269"/>
  <c r="R1269"/>
  <c r="S1269"/>
  <c r="S1246"/>
  <c r="Q1246"/>
  <c r="R1246"/>
  <c r="S1242"/>
  <c r="Q1242"/>
  <c r="R1242"/>
  <c r="R1259"/>
  <c r="S1259"/>
  <c r="Q1259"/>
  <c r="Q1229"/>
  <c r="R1229"/>
  <c r="S1229"/>
  <c r="Q1225"/>
  <c r="R1225"/>
  <c r="S1225"/>
  <c r="S1231"/>
  <c r="Q1231"/>
  <c r="R1231"/>
  <c r="Q1222"/>
  <c r="R1222"/>
  <c r="S1222"/>
  <c r="S1210"/>
  <c r="Q1210"/>
  <c r="R1210"/>
  <c r="S1206"/>
  <c r="Q1206"/>
  <c r="R1206"/>
  <c r="S1202"/>
  <c r="Q1202"/>
  <c r="R1202"/>
  <c r="S1198"/>
  <c r="Q1198"/>
  <c r="R1198"/>
  <c r="Q1211"/>
  <c r="R1211"/>
  <c r="S1211"/>
  <c r="S1186"/>
  <c r="Q1186"/>
  <c r="R1186"/>
  <c r="Q1192"/>
  <c r="R1192"/>
  <c r="S1192"/>
  <c r="R1177"/>
  <c r="S1177"/>
  <c r="Q1177"/>
  <c r="R1173"/>
  <c r="S1173"/>
  <c r="Q1173"/>
  <c r="R1168"/>
  <c r="S1168"/>
  <c r="Q1168"/>
  <c r="Q1164"/>
  <c r="R1164"/>
  <c r="S1164"/>
  <c r="Q1160"/>
  <c r="R1160"/>
  <c r="S1160"/>
  <c r="S1156"/>
  <c r="Q1156"/>
  <c r="R1156"/>
  <c r="S1152"/>
  <c r="Q1152"/>
  <c r="R1152"/>
  <c r="Q1149"/>
  <c r="R1149"/>
  <c r="S1149"/>
  <c r="R1144"/>
  <c r="S1144"/>
  <c r="Q1144"/>
  <c r="R1137"/>
  <c r="S1137"/>
  <c r="Q1137"/>
  <c r="R1130"/>
  <c r="Q1130"/>
  <c r="S1130"/>
  <c r="Q1126"/>
  <c r="R1126"/>
  <c r="S1126"/>
  <c r="R1122"/>
  <c r="S1122"/>
  <c r="Q1122"/>
  <c r="Q1117"/>
  <c r="R1117"/>
  <c r="S1117"/>
  <c r="R1120"/>
  <c r="S1120"/>
  <c r="Q1120"/>
  <c r="Q1109"/>
  <c r="R1109"/>
  <c r="S1109"/>
  <c r="Q1105"/>
  <c r="R1105"/>
  <c r="S1105"/>
  <c r="Q1100"/>
  <c r="R1100"/>
  <c r="S1100"/>
  <c r="Q1096"/>
  <c r="R1096"/>
  <c r="S1096"/>
  <c r="Q1092"/>
  <c r="R1092"/>
  <c r="S1092"/>
  <c r="S1088"/>
  <c r="Q1088"/>
  <c r="R1088"/>
  <c r="S1084"/>
  <c r="Q1084"/>
  <c r="R1084"/>
  <c r="Q1080"/>
  <c r="R1080"/>
  <c r="S1080"/>
  <c r="S1076"/>
  <c r="Q1076"/>
  <c r="R1076"/>
  <c r="R1072"/>
  <c r="S1072"/>
  <c r="Q1072"/>
  <c r="R1068"/>
  <c r="S1068"/>
  <c r="Q1068"/>
  <c r="Q1063"/>
  <c r="R1063"/>
  <c r="S1063"/>
  <c r="Q1059"/>
  <c r="R1059"/>
  <c r="S1059"/>
  <c r="Q1055"/>
  <c r="R1055"/>
  <c r="S1055"/>
  <c r="S1051"/>
  <c r="Q1051"/>
  <c r="R1051"/>
  <c r="S1047"/>
  <c r="Q1047"/>
  <c r="R1047"/>
  <c r="Q1043"/>
  <c r="R1043"/>
  <c r="S1043"/>
  <c r="Q1039"/>
  <c r="R1039"/>
  <c r="S1039"/>
  <c r="Q1035"/>
  <c r="R1035"/>
  <c r="S1035"/>
  <c r="Q1031"/>
  <c r="R1031"/>
  <c r="S1031"/>
  <c r="S1027"/>
  <c r="Q1027"/>
  <c r="R1027"/>
  <c r="S1023"/>
  <c r="Q1023"/>
  <c r="R1023"/>
  <c r="S1019"/>
  <c r="Q1019"/>
  <c r="R1019"/>
  <c r="Q1512"/>
  <c r="R1512"/>
  <c r="S1512"/>
  <c r="Q1508"/>
  <c r="R1508"/>
  <c r="S1508"/>
  <c r="Q1504"/>
  <c r="R1504"/>
  <c r="S1504"/>
  <c r="Q1500"/>
  <c r="R1500"/>
  <c r="S1500"/>
  <c r="Q1496"/>
  <c r="R1496"/>
  <c r="S1496"/>
  <c r="Q1492"/>
  <c r="R1492"/>
  <c r="S1492"/>
  <c r="Q96"/>
  <c r="R96"/>
  <c r="S96"/>
  <c r="Q92"/>
  <c r="R92"/>
  <c r="S92"/>
  <c r="Q88"/>
  <c r="R88"/>
  <c r="S88"/>
  <c r="Q84"/>
  <c r="R84"/>
  <c r="S84"/>
  <c r="Q80"/>
  <c r="R80"/>
  <c r="S80"/>
  <c r="Q76"/>
  <c r="R76"/>
  <c r="S76"/>
  <c r="Q72"/>
  <c r="R72"/>
  <c r="S72"/>
  <c r="Q68"/>
  <c r="R68"/>
  <c r="S68"/>
  <c r="Q64"/>
  <c r="R64"/>
  <c r="S64"/>
  <c r="Q60"/>
  <c r="R60"/>
  <c r="S60"/>
  <c r="Q56"/>
  <c r="R56"/>
  <c r="S56"/>
  <c r="S31"/>
  <c r="Q31"/>
  <c r="R31"/>
  <c r="S27"/>
  <c r="Q27"/>
  <c r="R27"/>
  <c r="R197"/>
  <c r="S197"/>
  <c r="Q197"/>
  <c r="Q1886"/>
  <c r="R1886"/>
  <c r="S1886"/>
  <c r="Q1825"/>
  <c r="R1825"/>
  <c r="S1825"/>
  <c r="Q1862"/>
  <c r="R1862"/>
  <c r="S1862"/>
  <c r="R1847"/>
  <c r="S1847"/>
  <c r="Q1847"/>
  <c r="Q1831"/>
  <c r="R1831"/>
  <c r="S1831"/>
  <c r="Q1823"/>
  <c r="R1823"/>
  <c r="S1823"/>
  <c r="R1819"/>
  <c r="S1819"/>
  <c r="Q1819"/>
  <c r="Q1810"/>
  <c r="R1810"/>
  <c r="S1810"/>
  <c r="R1807"/>
  <c r="S1807"/>
  <c r="Q1807"/>
  <c r="R1803"/>
  <c r="S1803"/>
  <c r="Q1803"/>
  <c r="R1799"/>
  <c r="S1799"/>
  <c r="Q1799"/>
  <c r="R1795"/>
  <c r="S1795"/>
  <c r="Q1795"/>
  <c r="R1791"/>
  <c r="S1791"/>
  <c r="Q1791"/>
  <c r="R1787"/>
  <c r="S1787"/>
  <c r="Q1787"/>
  <c r="R1779"/>
  <c r="S1779"/>
  <c r="Q1779"/>
  <c r="Q1776"/>
  <c r="R1776"/>
  <c r="S1776"/>
  <c r="Q1772"/>
  <c r="R1772"/>
  <c r="S1772"/>
  <c r="Q1768"/>
  <c r="R1768"/>
  <c r="S1768"/>
  <c r="Q1764"/>
  <c r="R1764"/>
  <c r="S1764"/>
  <c r="Q1760"/>
  <c r="R1760"/>
  <c r="S1760"/>
  <c r="Q1742"/>
  <c r="R1742"/>
  <c r="S1742"/>
  <c r="S1723"/>
  <c r="Q1723"/>
  <c r="R1723"/>
  <c r="Q422"/>
  <c r="R422"/>
  <c r="S422"/>
  <c r="S1537"/>
  <c r="Q1537"/>
  <c r="R1537"/>
  <c r="Q1532"/>
  <c r="R1532"/>
  <c r="S1532"/>
  <c r="Q1528"/>
  <c r="R1528"/>
  <c r="S1528"/>
  <c r="R1538"/>
  <c r="S1538"/>
  <c r="Q1538"/>
  <c r="R1522"/>
  <c r="S1522"/>
  <c r="Q1522"/>
  <c r="R1518"/>
  <c r="S1518"/>
  <c r="Q1518"/>
  <c r="R1514"/>
  <c r="S1514"/>
  <c r="Q1514"/>
  <c r="S1294"/>
  <c r="Q1294"/>
  <c r="R1294"/>
  <c r="S1290"/>
  <c r="Q1290"/>
  <c r="R1290"/>
  <c r="S1286"/>
  <c r="Q1286"/>
  <c r="R1286"/>
  <c r="Q1277"/>
  <c r="R1277"/>
  <c r="S1277"/>
  <c r="Q1273"/>
  <c r="R1273"/>
  <c r="S1273"/>
  <c r="S1281"/>
  <c r="Q1281"/>
  <c r="R1281"/>
  <c r="R1265"/>
  <c r="S1265"/>
  <c r="Q1265"/>
  <c r="R1261"/>
  <c r="S1261"/>
  <c r="Q1261"/>
  <c r="S1253"/>
  <c r="Q1253"/>
  <c r="R1253"/>
  <c r="Q1267"/>
  <c r="R1267"/>
  <c r="S1267"/>
  <c r="Q1245"/>
  <c r="R1245"/>
  <c r="S1245"/>
  <c r="Q1241"/>
  <c r="R1241"/>
  <c r="S1241"/>
  <c r="S1250"/>
  <c r="Q1250"/>
  <c r="R1250"/>
  <c r="S1228"/>
  <c r="Q1228"/>
  <c r="R1228"/>
  <c r="S1224"/>
  <c r="Q1224"/>
  <c r="R1224"/>
  <c r="S1215"/>
  <c r="Q1215"/>
  <c r="R1215"/>
  <c r="Q1221"/>
  <c r="R1221"/>
  <c r="S1221"/>
  <c r="Q1209"/>
  <c r="R1209"/>
  <c r="S1209"/>
  <c r="Q1205"/>
  <c r="R1205"/>
  <c r="S1205"/>
  <c r="Q1201"/>
  <c r="R1201"/>
  <c r="S1201"/>
  <c r="Q1197"/>
  <c r="R1197"/>
  <c r="S1197"/>
  <c r="R1195"/>
  <c r="S1195"/>
  <c r="Q1195"/>
  <c r="Q1185"/>
  <c r="R1185"/>
  <c r="S1185"/>
  <c r="R1181"/>
  <c r="S1181"/>
  <c r="Q1181"/>
  <c r="S1176"/>
  <c r="Q1176"/>
  <c r="R1176"/>
  <c r="S1172"/>
  <c r="Q1172"/>
  <c r="R1172"/>
  <c r="S1167"/>
  <c r="Q1167"/>
  <c r="R1167"/>
  <c r="S1163"/>
  <c r="Q1163"/>
  <c r="R1163"/>
  <c r="S1159"/>
  <c r="Q1159"/>
  <c r="R1159"/>
  <c r="Q1155"/>
  <c r="R1155"/>
  <c r="S1155"/>
  <c r="Q1151"/>
  <c r="R1151"/>
  <c r="S1151"/>
  <c r="Q1147"/>
  <c r="R1147"/>
  <c r="S1147"/>
  <c r="Q1141"/>
  <c r="R1141"/>
  <c r="S1141"/>
  <c r="R1136"/>
  <c r="Q1136"/>
  <c r="S1136"/>
  <c r="R1129"/>
  <c r="Q1129"/>
  <c r="S1129"/>
  <c r="R1125"/>
  <c r="S1125"/>
  <c r="Q1125"/>
  <c r="Q1121"/>
  <c r="R1121"/>
  <c r="S1121"/>
  <c r="Q1115"/>
  <c r="R1115"/>
  <c r="S1115"/>
  <c r="R1116"/>
  <c r="S1116"/>
  <c r="Q1116"/>
  <c r="S1108"/>
  <c r="Q1108"/>
  <c r="R1108"/>
  <c r="S1104"/>
  <c r="Q1104"/>
  <c r="R1104"/>
  <c r="Q1099"/>
  <c r="R1099"/>
  <c r="S1099"/>
  <c r="Q1095"/>
  <c r="R1095"/>
  <c r="S1095"/>
  <c r="S1091"/>
  <c r="Q1091"/>
  <c r="R1091"/>
  <c r="Q1087"/>
  <c r="R1087"/>
  <c r="S1087"/>
  <c r="Q1083"/>
  <c r="R1083"/>
  <c r="S1083"/>
  <c r="Q1079"/>
  <c r="R1079"/>
  <c r="S1079"/>
  <c r="Q1075"/>
  <c r="R1075"/>
  <c r="S1075"/>
  <c r="S1071"/>
  <c r="Q1071"/>
  <c r="R1071"/>
  <c r="Q1066"/>
  <c r="R1066"/>
  <c r="S1066"/>
  <c r="R1062"/>
  <c r="S1062"/>
  <c r="Q1062"/>
  <c r="S1058"/>
  <c r="Q1058"/>
  <c r="R1058"/>
  <c r="S1054"/>
  <c r="Q1054"/>
  <c r="R1054"/>
  <c r="Q1050"/>
  <c r="R1050"/>
  <c r="S1050"/>
  <c r="Q1046"/>
  <c r="R1046"/>
  <c r="S1046"/>
  <c r="R1042"/>
  <c r="S1042"/>
  <c r="Q1042"/>
  <c r="R1038"/>
  <c r="S1038"/>
  <c r="Q1038"/>
  <c r="R1034"/>
  <c r="S1034"/>
  <c r="Q1034"/>
  <c r="R1030"/>
  <c r="S1030"/>
  <c r="Q1030"/>
  <c r="Q1026"/>
  <c r="R1026"/>
  <c r="S1026"/>
  <c r="Q1022"/>
  <c r="R1022"/>
  <c r="S1022"/>
  <c r="Q1018"/>
  <c r="R1018"/>
  <c r="S1018"/>
  <c r="Q1511"/>
  <c r="R1511"/>
  <c r="S1511"/>
  <c r="Q1507"/>
  <c r="R1507"/>
  <c r="S1507"/>
  <c r="Q1503"/>
  <c r="R1503"/>
  <c r="S1503"/>
  <c r="Q1499"/>
  <c r="R1499"/>
  <c r="S1499"/>
  <c r="Q1495"/>
  <c r="R1495"/>
  <c r="S1495"/>
  <c r="Q1491"/>
  <c r="R1491"/>
  <c r="S1491"/>
  <c r="Q95"/>
  <c r="R95"/>
  <c r="S95"/>
  <c r="Q91"/>
  <c r="R91"/>
  <c r="S91"/>
  <c r="Q87"/>
  <c r="R87"/>
  <c r="S87"/>
  <c r="Q83"/>
  <c r="R83"/>
  <c r="S83"/>
  <c r="Q79"/>
  <c r="R79"/>
  <c r="S79"/>
  <c r="Q75"/>
  <c r="R75"/>
  <c r="S75"/>
  <c r="Q71"/>
  <c r="R71"/>
  <c r="S71"/>
  <c r="Q67"/>
  <c r="R67"/>
  <c r="S67"/>
  <c r="Q63"/>
  <c r="R63"/>
  <c r="S63"/>
  <c r="Q59"/>
  <c r="R59"/>
  <c r="S59"/>
  <c r="Q55"/>
  <c r="R55"/>
  <c r="S55"/>
  <c r="Q30"/>
  <c r="R30"/>
  <c r="S30"/>
  <c r="Q26"/>
  <c r="R26"/>
  <c r="S26"/>
  <c r="S196"/>
  <c r="Q196"/>
  <c r="R196"/>
  <c r="Q1890"/>
  <c r="R1890"/>
  <c r="S1890"/>
  <c r="S1885"/>
  <c r="Q1885"/>
  <c r="R1885"/>
  <c r="R1824"/>
  <c r="S1824"/>
  <c r="Q1824"/>
  <c r="Q1876"/>
  <c r="R1876"/>
  <c r="S1876"/>
  <c r="S1846"/>
  <c r="Q1846"/>
  <c r="R1846"/>
  <c r="Q1830"/>
  <c r="R1830"/>
  <c r="S1830"/>
  <c r="Q1820"/>
  <c r="R1820"/>
  <c r="S1820"/>
  <c r="R1813"/>
  <c r="S1813"/>
  <c r="Q1813"/>
  <c r="R1809"/>
  <c r="S1809"/>
  <c r="Q1809"/>
  <c r="Q1806"/>
  <c r="R1806"/>
  <c r="S1806"/>
  <c r="Q1802"/>
  <c r="R1802"/>
  <c r="S1802"/>
  <c r="Q1798"/>
  <c r="R1798"/>
  <c r="S1798"/>
  <c r="Q1794"/>
  <c r="R1794"/>
  <c r="S1794"/>
  <c r="Q1790"/>
  <c r="R1790"/>
  <c r="S1790"/>
  <c r="Q1786"/>
  <c r="R1786"/>
  <c r="S1786"/>
  <c r="Q1778"/>
  <c r="R1778"/>
  <c r="S1778"/>
  <c r="R1775"/>
  <c r="S1775"/>
  <c r="Q1775"/>
  <c r="R1771"/>
  <c r="S1771"/>
  <c r="Q1771"/>
  <c r="R1767"/>
  <c r="S1767"/>
  <c r="Q1767"/>
  <c r="R1763"/>
  <c r="S1763"/>
  <c r="Q1763"/>
  <c r="Q1746"/>
  <c r="R1746"/>
  <c r="S1746"/>
  <c r="Q1741"/>
  <c r="R1741"/>
  <c r="S1741"/>
  <c r="Q1722"/>
  <c r="R1722"/>
  <c r="S1722"/>
  <c r="S419"/>
  <c r="Q419"/>
  <c r="R419"/>
  <c r="Q1536"/>
  <c r="R1536"/>
  <c r="S1536"/>
  <c r="Q1531"/>
  <c r="R1531"/>
  <c r="S1531"/>
  <c r="Q1527"/>
  <c r="R1527"/>
  <c r="S1527"/>
  <c r="Q1540"/>
  <c r="R1540"/>
  <c r="S1540"/>
  <c r="S1521"/>
  <c r="Q1521"/>
  <c r="R1521"/>
  <c r="S1517"/>
  <c r="Q1517"/>
  <c r="R1517"/>
  <c r="Q1544"/>
  <c r="R1544"/>
  <c r="S1544"/>
  <c r="Q1293"/>
  <c r="R1293"/>
  <c r="S1293"/>
  <c r="Q1289"/>
  <c r="R1289"/>
  <c r="S1289"/>
  <c r="Q1280"/>
  <c r="R1280"/>
  <c r="S1280"/>
  <c r="S1276"/>
  <c r="Q1276"/>
  <c r="R1276"/>
  <c r="S1272"/>
  <c r="Q1272"/>
  <c r="R1272"/>
  <c r="Q1268"/>
  <c r="R1268"/>
  <c r="S1268"/>
  <c r="Q1264"/>
  <c r="R1264"/>
  <c r="S1264"/>
  <c r="S1271"/>
  <c r="Q1271"/>
  <c r="R1271"/>
  <c r="Q1252"/>
  <c r="R1252"/>
  <c r="S1252"/>
  <c r="S1248"/>
  <c r="Q1248"/>
  <c r="R1248"/>
  <c r="S1244"/>
  <c r="Q1244"/>
  <c r="R1244"/>
  <c r="Q1235"/>
  <c r="R1235"/>
  <c r="S1235"/>
  <c r="Q1249"/>
  <c r="R1249"/>
  <c r="S1249"/>
  <c r="Q1227"/>
  <c r="R1227"/>
  <c r="S1227"/>
  <c r="Q1223"/>
  <c r="R1223"/>
  <c r="S1223"/>
  <c r="Q1214"/>
  <c r="R1214"/>
  <c r="S1214"/>
  <c r="Q1191"/>
  <c r="R1191"/>
  <c r="S1191"/>
  <c r="S1208"/>
  <c r="Q1208"/>
  <c r="R1208"/>
  <c r="S1204"/>
  <c r="Q1204"/>
  <c r="R1204"/>
  <c r="S1200"/>
  <c r="Q1200"/>
  <c r="R1200"/>
  <c r="S1196"/>
  <c r="Q1196"/>
  <c r="R1196"/>
  <c r="S1194"/>
  <c r="Q1194"/>
  <c r="R1194"/>
  <c r="S1184"/>
  <c r="Q1184"/>
  <c r="R1184"/>
  <c r="S1180"/>
  <c r="Q1180"/>
  <c r="R1180"/>
  <c r="Q1175"/>
  <c r="R1175"/>
  <c r="S1175"/>
  <c r="Q1171"/>
  <c r="R1171"/>
  <c r="S1171"/>
  <c r="Q1166"/>
  <c r="R1166"/>
  <c r="S1166"/>
  <c r="Q1162"/>
  <c r="R1162"/>
  <c r="S1162"/>
  <c r="Q1158"/>
  <c r="R1158"/>
  <c r="S1158"/>
  <c r="S1154"/>
  <c r="Q1154"/>
  <c r="R1154"/>
  <c r="S1150"/>
  <c r="Q1150"/>
  <c r="R1150"/>
  <c r="R1146"/>
  <c r="S1146"/>
  <c r="Q1146"/>
  <c r="S1139"/>
  <c r="Q1139"/>
  <c r="R1139"/>
  <c r="Q1135"/>
  <c r="R1135"/>
  <c r="S1135"/>
  <c r="R1128"/>
  <c r="Q1128"/>
  <c r="S1128"/>
  <c r="S1124"/>
  <c r="Q1124"/>
  <c r="R1124"/>
  <c r="Q1119"/>
  <c r="R1119"/>
  <c r="S1119"/>
  <c r="R1114"/>
  <c r="S1114"/>
  <c r="Q1114"/>
  <c r="Q1112"/>
  <c r="R1112"/>
  <c r="S1112"/>
  <c r="Q1107"/>
  <c r="R1107"/>
  <c r="S1107"/>
  <c r="Q1103"/>
  <c r="R1103"/>
  <c r="S1103"/>
  <c r="R1098"/>
  <c r="S1098"/>
  <c r="Q1098"/>
  <c r="R1094"/>
  <c r="S1094"/>
  <c r="Q1094"/>
  <c r="Q1090"/>
  <c r="R1090"/>
  <c r="S1090"/>
  <c r="Q1086"/>
  <c r="R1086"/>
  <c r="S1086"/>
  <c r="Q1082"/>
  <c r="R1082"/>
  <c r="S1082"/>
  <c r="S1078"/>
  <c r="Q1078"/>
  <c r="R1078"/>
  <c r="S1074"/>
  <c r="Q1074"/>
  <c r="R1074"/>
  <c r="Q1070"/>
  <c r="R1070"/>
  <c r="S1070"/>
  <c r="Q1065"/>
  <c r="R1065"/>
  <c r="S1065"/>
  <c r="S1061"/>
  <c r="Q1061"/>
  <c r="R1061"/>
  <c r="Q1057"/>
  <c r="R1057"/>
  <c r="S1057"/>
  <c r="Q1053"/>
  <c r="R1053"/>
  <c r="S1053"/>
  <c r="S1049"/>
  <c r="Q1049"/>
  <c r="R1049"/>
  <c r="S1045"/>
  <c r="Q1045"/>
  <c r="R1045"/>
  <c r="S1041"/>
  <c r="Q1041"/>
  <c r="R1041"/>
  <c r="S1037"/>
  <c r="Q1037"/>
  <c r="R1037"/>
  <c r="S1033"/>
  <c r="Q1033"/>
  <c r="R1033"/>
  <c r="Q1029"/>
  <c r="R1029"/>
  <c r="S1029"/>
  <c r="Q1025"/>
  <c r="R1025"/>
  <c r="S1025"/>
  <c r="Q1021"/>
  <c r="R1021"/>
  <c r="S1021"/>
  <c r="Q1017"/>
  <c r="R1017"/>
  <c r="S1017"/>
  <c r="R1510"/>
  <c r="S1510"/>
  <c r="Q1510"/>
  <c r="R1506"/>
  <c r="S1506"/>
  <c r="Q1506"/>
  <c r="R1502"/>
  <c r="S1502"/>
  <c r="Q1502"/>
  <c r="R1498"/>
  <c r="S1498"/>
  <c r="Q1498"/>
  <c r="R1494"/>
  <c r="S1494"/>
  <c r="Q1494"/>
  <c r="R1490"/>
  <c r="S1490"/>
  <c r="Q1490"/>
  <c r="R94"/>
  <c r="S94"/>
  <c r="Q94"/>
  <c r="R90"/>
  <c r="S90"/>
  <c r="Q90"/>
  <c r="R86"/>
  <c r="S86"/>
  <c r="Q86"/>
  <c r="R82"/>
  <c r="S82"/>
  <c r="Q82"/>
  <c r="R78"/>
  <c r="S78"/>
  <c r="Q78"/>
  <c r="R74"/>
  <c r="S74"/>
  <c r="Q74"/>
  <c r="R70"/>
  <c r="S70"/>
  <c r="Q70"/>
  <c r="R66"/>
  <c r="S66"/>
  <c r="Q66"/>
  <c r="R62"/>
  <c r="S62"/>
  <c r="Q62"/>
  <c r="R58"/>
  <c r="S58"/>
  <c r="Q58"/>
  <c r="Q33"/>
  <c r="R33"/>
  <c r="S33"/>
  <c r="Q29"/>
  <c r="R29"/>
  <c r="S29"/>
  <c r="Q25"/>
  <c r="R25"/>
  <c r="S25"/>
  <c r="Q195"/>
  <c r="R195"/>
  <c r="S195"/>
  <c r="S1889"/>
  <c r="Q1889"/>
  <c r="R1889"/>
  <c r="Q1884"/>
  <c r="R1884"/>
  <c r="S1884"/>
  <c r="Q461"/>
  <c r="R461"/>
  <c r="S461"/>
  <c r="Q1875"/>
  <c r="R1875"/>
  <c r="S1875"/>
  <c r="R1843"/>
  <c r="S1843"/>
  <c r="Q1843"/>
  <c r="R1827"/>
  <c r="S1827"/>
  <c r="Q1827"/>
  <c r="R1560"/>
  <c r="S1560"/>
  <c r="Q1560"/>
  <c r="Q1812"/>
  <c r="R1812"/>
  <c r="S1812"/>
  <c r="S1732"/>
  <c r="Q1732"/>
  <c r="R1732"/>
  <c r="R1805"/>
  <c r="S1805"/>
  <c r="Q1805"/>
  <c r="R1801"/>
  <c r="S1801"/>
  <c r="Q1801"/>
  <c r="R1797"/>
  <c r="S1797"/>
  <c r="Q1797"/>
  <c r="R1793"/>
  <c r="S1793"/>
  <c r="Q1793"/>
  <c r="R1789"/>
  <c r="S1789"/>
  <c r="Q1789"/>
  <c r="R1781"/>
  <c r="S1781"/>
  <c r="Q1781"/>
  <c r="R1777"/>
  <c r="S1777"/>
  <c r="Q1777"/>
  <c r="Q1774"/>
  <c r="R1774"/>
  <c r="S1774"/>
  <c r="Q1770"/>
  <c r="R1770"/>
  <c r="S1770"/>
  <c r="Q1766"/>
  <c r="R1766"/>
  <c r="S1766"/>
  <c r="Q1762"/>
  <c r="R1762"/>
  <c r="S1762"/>
  <c r="Q1745"/>
  <c r="R1745"/>
  <c r="S1745"/>
  <c r="Q1737"/>
  <c r="R1737"/>
  <c r="S1737"/>
  <c r="Q1721"/>
  <c r="R1721"/>
  <c r="S1721"/>
  <c r="Q418"/>
  <c r="R418"/>
  <c r="S418"/>
  <c r="R1534"/>
  <c r="S1534"/>
  <c r="Q1534"/>
  <c r="R1530"/>
  <c r="S1530"/>
  <c r="Q1530"/>
  <c r="R1526"/>
  <c r="S1526"/>
  <c r="Q1526"/>
  <c r="Q1539"/>
  <c r="R1539"/>
  <c r="S1539"/>
  <c r="Q1524"/>
  <c r="R1524"/>
  <c r="S1524"/>
  <c r="Q1520"/>
  <c r="R1520"/>
  <c r="S1520"/>
  <c r="Q1516"/>
  <c r="R1516"/>
  <c r="S1516"/>
  <c r="Q1543"/>
  <c r="R1543"/>
  <c r="S1543"/>
  <c r="Q1292"/>
  <c r="R1292"/>
  <c r="S1292"/>
  <c r="Q1288"/>
  <c r="R1288"/>
  <c r="S1288"/>
  <c r="R1285"/>
  <c r="S1285"/>
  <c r="Q1285"/>
  <c r="Q1275"/>
  <c r="R1275"/>
  <c r="S1275"/>
  <c r="Q1283"/>
  <c r="R1283"/>
  <c r="S1283"/>
  <c r="R1279"/>
  <c r="S1279"/>
  <c r="Q1279"/>
  <c r="R1263"/>
  <c r="S1263"/>
  <c r="Q1263"/>
  <c r="Q1270"/>
  <c r="R1270"/>
  <c r="S1270"/>
  <c r="S1251"/>
  <c r="Q1251"/>
  <c r="R1251"/>
  <c r="Q1247"/>
  <c r="R1247"/>
  <c r="S1247"/>
  <c r="Q1243"/>
  <c r="R1243"/>
  <c r="S1243"/>
  <c r="Q1260"/>
  <c r="R1260"/>
  <c r="S1260"/>
  <c r="S1230"/>
  <c r="Q1230"/>
  <c r="R1230"/>
  <c r="S1226"/>
  <c r="Q1226"/>
  <c r="R1226"/>
  <c r="R1232"/>
  <c r="S1232"/>
  <c r="Q1232"/>
  <c r="S1213"/>
  <c r="Q1213"/>
  <c r="R1213"/>
  <c r="S1188"/>
  <c r="Q1188"/>
  <c r="R1188"/>
  <c r="Q1207"/>
  <c r="R1207"/>
  <c r="S1207"/>
  <c r="Q1203"/>
  <c r="R1203"/>
  <c r="S1203"/>
  <c r="Q1199"/>
  <c r="R1199"/>
  <c r="S1199"/>
  <c r="Q1212"/>
  <c r="R1212"/>
  <c r="S1212"/>
  <c r="Q1187"/>
  <c r="R1187"/>
  <c r="S1187"/>
  <c r="Q1193"/>
  <c r="R1193"/>
  <c r="S1193"/>
  <c r="Q1179"/>
  <c r="R1179"/>
  <c r="S1179"/>
  <c r="Q1174"/>
  <c r="R1174"/>
  <c r="S1174"/>
  <c r="Q1170"/>
  <c r="R1170"/>
  <c r="S1170"/>
  <c r="S1165"/>
  <c r="Q1165"/>
  <c r="R1165"/>
  <c r="S1161"/>
  <c r="Q1161"/>
  <c r="R1161"/>
  <c r="R1157"/>
  <c r="S1157"/>
  <c r="Q1157"/>
  <c r="Q1153"/>
  <c r="R1153"/>
  <c r="S1153"/>
  <c r="R1148"/>
  <c r="S1148"/>
  <c r="Q1148"/>
  <c r="Q1145"/>
  <c r="R1145"/>
  <c r="S1145"/>
  <c r="R1138"/>
  <c r="Q1138"/>
  <c r="S1138"/>
  <c r="R1131"/>
  <c r="S1131"/>
  <c r="Q1131"/>
  <c r="R1127"/>
  <c r="S1127"/>
  <c r="Q1127"/>
  <c r="Q1123"/>
  <c r="R1123"/>
  <c r="S1123"/>
  <c r="R1118"/>
  <c r="S1118"/>
  <c r="Q1118"/>
  <c r="Q1113"/>
  <c r="R1113"/>
  <c r="S1113"/>
  <c r="R1111"/>
  <c r="S1111"/>
  <c r="Q1111"/>
  <c r="S1106"/>
  <c r="Q1106"/>
  <c r="R1106"/>
  <c r="S1101"/>
  <c r="Q1101"/>
  <c r="R1101"/>
  <c r="S1097"/>
  <c r="Q1097"/>
  <c r="R1097"/>
  <c r="S1093"/>
  <c r="Q1093"/>
  <c r="R1093"/>
  <c r="R1089"/>
  <c r="S1089"/>
  <c r="Q1089"/>
  <c r="R1085"/>
  <c r="S1085"/>
  <c r="Q1085"/>
  <c r="S1081"/>
  <c r="Q1081"/>
  <c r="R1081"/>
  <c r="Q1077"/>
  <c r="R1077"/>
  <c r="S1077"/>
  <c r="Q1073"/>
  <c r="R1073"/>
  <c r="S1073"/>
  <c r="Q1069"/>
  <c r="R1069"/>
  <c r="S1069"/>
  <c r="S1064"/>
  <c r="Q1064"/>
  <c r="R1064"/>
  <c r="Q1060"/>
  <c r="R1060"/>
  <c r="S1060"/>
  <c r="S1056"/>
  <c r="Q1056"/>
  <c r="R1056"/>
  <c r="Q1052"/>
  <c r="R1052"/>
  <c r="S1052"/>
  <c r="Q1048"/>
  <c r="R1048"/>
  <c r="S1048"/>
  <c r="Q1044"/>
  <c r="R1044"/>
  <c r="S1044"/>
  <c r="Q1040"/>
  <c r="R1040"/>
  <c r="S1040"/>
  <c r="Q1036"/>
  <c r="R1036"/>
  <c r="S1036"/>
  <c r="Q1032"/>
  <c r="R1032"/>
  <c r="S1032"/>
  <c r="R1028"/>
  <c r="S1028"/>
  <c r="Q1028"/>
  <c r="R1024"/>
  <c r="S1024"/>
  <c r="Q1024"/>
  <c r="R1020"/>
  <c r="S1020"/>
  <c r="Q1020"/>
  <c r="S1513"/>
  <c r="Q1513"/>
  <c r="R1513"/>
  <c r="S1509"/>
  <c r="Q1509"/>
  <c r="R1509"/>
  <c r="S1505"/>
  <c r="Q1505"/>
  <c r="R1505"/>
  <c r="S1501"/>
  <c r="Q1501"/>
  <c r="R1501"/>
  <c r="S1497"/>
  <c r="Q1497"/>
  <c r="R1497"/>
  <c r="S1493"/>
  <c r="Q1493"/>
  <c r="R1493"/>
  <c r="S1489"/>
  <c r="Q1489"/>
  <c r="R1489"/>
  <c r="S93"/>
  <c r="Q93"/>
  <c r="R93"/>
  <c r="S89"/>
  <c r="Q89"/>
  <c r="R89"/>
  <c r="S85"/>
  <c r="Q85"/>
  <c r="R85"/>
  <c r="S81"/>
  <c r="Q81"/>
  <c r="R81"/>
  <c r="S77"/>
  <c r="Q77"/>
  <c r="R77"/>
  <c r="S73"/>
  <c r="Q73"/>
  <c r="R73"/>
  <c r="S69"/>
  <c r="Q69"/>
  <c r="R69"/>
  <c r="S65"/>
  <c r="Q65"/>
  <c r="R65"/>
  <c r="S61"/>
  <c r="Q61"/>
  <c r="R61"/>
  <c r="S57"/>
  <c r="Q57"/>
  <c r="R57"/>
  <c r="R32"/>
  <c r="S32"/>
  <c r="Q32"/>
  <c r="R28"/>
  <c r="S28"/>
  <c r="Q28"/>
  <c r="Q198"/>
  <c r="R198"/>
  <c r="S198"/>
  <c r="A1889"/>
  <c r="A1886"/>
  <c r="A1825"/>
  <c r="A1862"/>
  <c r="A1847"/>
  <c r="A1831"/>
  <c r="A1823"/>
  <c r="A1819"/>
  <c r="A1810"/>
  <c r="A1807"/>
  <c r="A1803"/>
  <c r="A1799"/>
  <c r="A1795"/>
  <c r="A1791"/>
  <c r="A1787"/>
  <c r="A1779"/>
  <c r="A1776"/>
  <c r="A1772"/>
  <c r="A1768"/>
  <c r="A1764"/>
  <c r="A1760"/>
  <c r="A1742"/>
  <c r="A1723"/>
  <c r="A422"/>
  <c r="A1537"/>
  <c r="A1532"/>
  <c r="A1528"/>
  <c r="A1538"/>
  <c r="A1522"/>
  <c r="A1518"/>
  <c r="A1514"/>
  <c r="A1294"/>
  <c r="A1290"/>
  <c r="A1286"/>
  <c r="A1277"/>
  <c r="A1273"/>
  <c r="A1281"/>
  <c r="A1265"/>
  <c r="A1261"/>
  <c r="A1253"/>
  <c r="A1267"/>
  <c r="A1245"/>
  <c r="A1241"/>
  <c r="A1250"/>
  <c r="A1228"/>
  <c r="A1224"/>
  <c r="A1215"/>
  <c r="A1221"/>
  <c r="A1209"/>
  <c r="A1205"/>
  <c r="A1201"/>
  <c r="A1197"/>
  <c r="A1195"/>
  <c r="A1185"/>
  <c r="A1181"/>
  <c r="A1176"/>
  <c r="A1172"/>
  <c r="A1167"/>
  <c r="A1163"/>
  <c r="A1159"/>
  <c r="A1155"/>
  <c r="A1151"/>
  <c r="A1147"/>
  <c r="A1141"/>
  <c r="A1136"/>
  <c r="A1129"/>
  <c r="A1125"/>
  <c r="A1121"/>
  <c r="A1115"/>
  <c r="A1116"/>
  <c r="A1108"/>
  <c r="A1104"/>
  <c r="A1099"/>
  <c r="A1095"/>
  <c r="A1091"/>
  <c r="A1087"/>
  <c r="A1083"/>
  <c r="A1079"/>
  <c r="A1075"/>
  <c r="A1071"/>
  <c r="A1066"/>
  <c r="A1062"/>
  <c r="A1058"/>
  <c r="A1054"/>
  <c r="A1050"/>
  <c r="A1046"/>
  <c r="A1042"/>
  <c r="A1038"/>
  <c r="A1034"/>
  <c r="A1030"/>
  <c r="A1026"/>
  <c r="A1022"/>
  <c r="A1018"/>
  <c r="A1511"/>
  <c r="A1507"/>
  <c r="A1503"/>
  <c r="A1499"/>
  <c r="A1495"/>
  <c r="A1491"/>
  <c r="A95"/>
  <c r="A91"/>
  <c r="A87"/>
  <c r="A83"/>
  <c r="A79"/>
  <c r="A75"/>
  <c r="A71"/>
  <c r="A67"/>
  <c r="A63"/>
  <c r="A59"/>
  <c r="A55"/>
  <c r="A30"/>
  <c r="A26"/>
  <c r="A196"/>
  <c r="A1890"/>
  <c r="A1885"/>
  <c r="A1824"/>
  <c r="A1876"/>
  <c r="A1846"/>
  <c r="A1830"/>
  <c r="A1820"/>
  <c r="A1813"/>
  <c r="A1809"/>
  <c r="A1806"/>
  <c r="A1802"/>
  <c r="A1798"/>
  <c r="A1794"/>
  <c r="A1790"/>
  <c r="A1786"/>
  <c r="A1778"/>
  <c r="A1775"/>
  <c r="A1771"/>
  <c r="A1767"/>
  <c r="A1763"/>
  <c r="A1746"/>
  <c r="A1741"/>
  <c r="A1722"/>
  <c r="A419"/>
  <c r="A1536"/>
  <c r="A1531"/>
  <c r="A1527"/>
  <c r="A1540"/>
  <c r="A1521"/>
  <c r="A1517"/>
  <c r="A1544"/>
  <c r="A1293"/>
  <c r="A1289"/>
  <c r="A1280"/>
  <c r="A1276"/>
  <c r="A1272"/>
  <c r="A1268"/>
  <c r="A1264"/>
  <c r="A1271"/>
  <c r="A1252"/>
  <c r="A1248"/>
  <c r="A1244"/>
  <c r="A1235"/>
  <c r="A1249"/>
  <c r="A1227"/>
  <c r="A1223"/>
  <c r="A1214"/>
  <c r="A1191"/>
  <c r="A1208"/>
  <c r="A1204"/>
  <c r="A1200"/>
  <c r="A1196"/>
  <c r="A1194"/>
  <c r="A1184"/>
  <c r="A1180"/>
  <c r="A1175"/>
  <c r="A1171"/>
  <c r="A1166"/>
  <c r="A1162"/>
  <c r="A1158"/>
  <c r="A1154"/>
  <c r="A1150"/>
  <c r="A1146"/>
  <c r="A1139"/>
  <c r="A1135"/>
  <c r="A1128"/>
  <c r="A1124"/>
  <c r="A1119"/>
  <c r="A1114"/>
  <c r="A1112"/>
  <c r="A1107"/>
  <c r="A1103"/>
  <c r="A1098"/>
  <c r="A1094"/>
  <c r="A1090"/>
  <c r="A1086"/>
  <c r="A1082"/>
  <c r="A1078"/>
  <c r="A1074"/>
  <c r="A1070"/>
  <c r="A1065"/>
  <c r="A1061"/>
  <c r="A1057"/>
  <c r="A1053"/>
  <c r="A1049"/>
  <c r="A1045"/>
  <c r="A1041"/>
  <c r="A1037"/>
  <c r="A1033"/>
  <c r="A1029"/>
  <c r="A1025"/>
  <c r="A1021"/>
  <c r="A1017"/>
  <c r="A1510"/>
  <c r="A1506"/>
  <c r="A1502"/>
  <c r="A1498"/>
  <c r="A1494"/>
  <c r="A1490"/>
  <c r="A94"/>
  <c r="A90"/>
  <c r="A86"/>
  <c r="A82"/>
  <c r="A78"/>
  <c r="A74"/>
  <c r="A70"/>
  <c r="A66"/>
  <c r="A62"/>
  <c r="A58"/>
  <c r="A33"/>
  <c r="A29"/>
  <c r="A25"/>
  <c r="A195"/>
  <c r="A461"/>
  <c r="A1875"/>
  <c r="A1843"/>
  <c r="A1827"/>
  <c r="A1560"/>
  <c r="A1812"/>
  <c r="A1732"/>
  <c r="A1805"/>
  <c r="A1801"/>
  <c r="A1797"/>
  <c r="A1793"/>
  <c r="A1789"/>
  <c r="A1781"/>
  <c r="A1777"/>
  <c r="A1774"/>
  <c r="A1770"/>
  <c r="A1766"/>
  <c r="A1762"/>
  <c r="A1745"/>
  <c r="A1737"/>
  <c r="A1721"/>
  <c r="A418"/>
  <c r="A1534"/>
  <c r="A1530"/>
  <c r="A1526"/>
  <c r="A1539"/>
  <c r="A1524"/>
  <c r="A1520"/>
  <c r="A1516"/>
  <c r="A1543"/>
  <c r="A1292"/>
  <c r="A1288"/>
  <c r="A1285"/>
  <c r="A1275"/>
  <c r="A1283"/>
  <c r="A1279"/>
  <c r="A1263"/>
  <c r="A1270"/>
  <c r="A1251"/>
  <c r="A1247"/>
  <c r="A1243"/>
  <c r="A1260"/>
  <c r="A1230"/>
  <c r="A1226"/>
  <c r="A1232"/>
  <c r="A1213"/>
  <c r="A1188"/>
  <c r="A1207"/>
  <c r="A1203"/>
  <c r="A1199"/>
  <c r="A1212"/>
  <c r="A1187"/>
  <c r="A1193"/>
  <c r="A1179"/>
  <c r="A1174"/>
  <c r="A1170"/>
  <c r="A1165"/>
  <c r="A1161"/>
  <c r="A1157"/>
  <c r="A1153"/>
  <c r="A1148"/>
  <c r="A1145"/>
  <c r="A1138"/>
  <c r="A1131"/>
  <c r="A1127"/>
  <c r="A1123"/>
  <c r="A1118"/>
  <c r="A1113"/>
  <c r="A1111"/>
  <c r="A1106"/>
  <c r="A1101"/>
  <c r="A1097"/>
  <c r="A1093"/>
  <c r="A1089"/>
  <c r="A1085"/>
  <c r="A1081"/>
  <c r="A1077"/>
  <c r="A1073"/>
  <c r="A1069"/>
  <c r="A1064"/>
  <c r="A1060"/>
  <c r="A1056"/>
  <c r="A1052"/>
  <c r="A1048"/>
  <c r="A1044"/>
  <c r="A1040"/>
  <c r="A1036"/>
  <c r="A1032"/>
  <c r="A1028"/>
  <c r="A1024"/>
  <c r="A1020"/>
  <c r="A1513"/>
  <c r="A1509"/>
  <c r="A1505"/>
  <c r="A1501"/>
  <c r="A1497"/>
  <c r="A1493"/>
  <c r="A1489"/>
  <c r="A93"/>
  <c r="A89"/>
  <c r="A85"/>
  <c r="A81"/>
  <c r="A77"/>
  <c r="A73"/>
  <c r="A69"/>
  <c r="A65"/>
  <c r="A61"/>
  <c r="A57"/>
  <c r="A32"/>
  <c r="A28"/>
  <c r="A198"/>
  <c r="A1884"/>
  <c r="A1887"/>
  <c r="A1877"/>
  <c r="A1863"/>
  <c r="A1874"/>
  <c r="A1842"/>
  <c r="A1826"/>
  <c r="A1558"/>
  <c r="A1811"/>
  <c r="A1808"/>
  <c r="A1804"/>
  <c r="A1800"/>
  <c r="A1796"/>
  <c r="A1792"/>
  <c r="A1788"/>
  <c r="A1780"/>
  <c r="A1719"/>
  <c r="A1773"/>
  <c r="A1769"/>
  <c r="A1765"/>
  <c r="A1761"/>
  <c r="A1744"/>
  <c r="A1724"/>
  <c r="A423"/>
  <c r="A417"/>
  <c r="A1533"/>
  <c r="A1529"/>
  <c r="A1525"/>
  <c r="A1419"/>
  <c r="A1523"/>
  <c r="A1519"/>
  <c r="A1515"/>
  <c r="A1542"/>
  <c r="A1287"/>
  <c r="A1284"/>
  <c r="A1274"/>
  <c r="A1282"/>
  <c r="A1266"/>
  <c r="A1262"/>
  <c r="A1258"/>
  <c r="A1269"/>
  <c r="A1246"/>
  <c r="A1242"/>
  <c r="A1259"/>
  <c r="A1229"/>
  <c r="A1225"/>
  <c r="A1231"/>
  <c r="A1222"/>
  <c r="A1210"/>
  <c r="A1206"/>
  <c r="A1202"/>
  <c r="A1198"/>
  <c r="A1211"/>
  <c r="A1186"/>
  <c r="A1192"/>
  <c r="A1177"/>
  <c r="A1173"/>
  <c r="A1168"/>
  <c r="A1164"/>
  <c r="A1160"/>
  <c r="A1156"/>
  <c r="A1152"/>
  <c r="A1149"/>
  <c r="A1144"/>
  <c r="A1137"/>
  <c r="A1130"/>
  <c r="A1126"/>
  <c r="A1122"/>
  <c r="A1117"/>
  <c r="A1120"/>
  <c r="A1109"/>
  <c r="A1105"/>
  <c r="A1100"/>
  <c r="A1096"/>
  <c r="A1092"/>
  <c r="A1088"/>
  <c r="A1084"/>
  <c r="A1080"/>
  <c r="A1076"/>
  <c r="A1072"/>
  <c r="A1068"/>
  <c r="A1063"/>
  <c r="A1059"/>
  <c r="A1055"/>
  <c r="A1051"/>
  <c r="A1047"/>
  <c r="A1043"/>
  <c r="A1039"/>
  <c r="A1035"/>
  <c r="A1031"/>
  <c r="A1027"/>
  <c r="A1023"/>
  <c r="A1019"/>
  <c r="A1512"/>
  <c r="A1508"/>
  <c r="A1504"/>
  <c r="A1500"/>
  <c r="A1496"/>
  <c r="A1492"/>
  <c r="A96"/>
  <c r="A92"/>
  <c r="A88"/>
  <c r="A84"/>
  <c r="A80"/>
  <c r="A76"/>
  <c r="A72"/>
  <c r="A68"/>
  <c r="A64"/>
  <c r="A60"/>
  <c r="A56"/>
  <c r="A31"/>
  <c r="A27"/>
  <c r="A197"/>
  <c r="M670"/>
  <c r="C670"/>
  <c r="AD670" s="1"/>
  <c r="M634"/>
  <c r="M632"/>
  <c r="C634"/>
  <c r="AD634" s="1"/>
  <c r="M633"/>
  <c r="C633"/>
  <c r="AD633" s="1"/>
  <c r="C632"/>
  <c r="AD632" s="1"/>
  <c r="J402"/>
  <c r="B634" l="1"/>
  <c r="B633"/>
  <c r="B670"/>
  <c r="B632"/>
  <c r="M387"/>
  <c r="M388"/>
  <c r="M389"/>
  <c r="M390"/>
  <c r="Q670" l="1"/>
  <c r="R670"/>
  <c r="S670"/>
  <c r="Q633"/>
  <c r="R633"/>
  <c r="S633"/>
  <c r="Q634"/>
  <c r="S634"/>
  <c r="R634"/>
  <c r="R632"/>
  <c r="S632"/>
  <c r="Q632"/>
  <c r="A670"/>
  <c r="A633"/>
  <c r="A634"/>
  <c r="A632"/>
  <c r="C1256"/>
  <c r="AD1256" s="1"/>
  <c r="C1257"/>
  <c r="AD1257" s="1"/>
  <c r="M1256"/>
  <c r="M1056"/>
  <c r="M1055"/>
  <c r="M1254"/>
  <c r="M1255"/>
  <c r="M1258"/>
  <c r="M1189"/>
  <c r="M1190"/>
  <c r="M1236"/>
  <c r="M1237"/>
  <c r="M1238"/>
  <c r="M1239"/>
  <c r="M1216"/>
  <c r="M1217"/>
  <c r="M1218"/>
  <c r="M1219"/>
  <c r="C1217"/>
  <c r="AD1217" s="1"/>
  <c r="C1218"/>
  <c r="AD1218" s="1"/>
  <c r="C1219"/>
  <c r="AD1219" s="1"/>
  <c r="C1220"/>
  <c r="AD1220" s="1"/>
  <c r="C1236"/>
  <c r="AD1236" s="1"/>
  <c r="C1237"/>
  <c r="AD1237" s="1"/>
  <c r="C1238"/>
  <c r="AD1238" s="1"/>
  <c r="C1239"/>
  <c r="AD1239" s="1"/>
  <c r="C1240"/>
  <c r="AD1240" s="1"/>
  <c r="C1189"/>
  <c r="AD1189" s="1"/>
  <c r="C1190"/>
  <c r="AD1190" s="1"/>
  <c r="C1254"/>
  <c r="AD1254" s="1"/>
  <c r="C1255"/>
  <c r="AD1255" s="1"/>
  <c r="C1216"/>
  <c r="AD1216" s="1"/>
  <c r="B1189" l="1"/>
  <c r="B1254"/>
  <c r="B1216"/>
  <c r="B1237"/>
  <c r="B1218"/>
  <c r="B1255"/>
  <c r="B1240"/>
  <c r="B1236"/>
  <c r="B1217"/>
  <c r="B1239"/>
  <c r="B1257"/>
  <c r="B1220"/>
  <c r="B1190"/>
  <c r="B1238"/>
  <c r="B1219"/>
  <c r="B1256"/>
  <c r="S1219" l="1"/>
  <c r="Q1219"/>
  <c r="R1219"/>
  <c r="R1240"/>
  <c r="S1240"/>
  <c r="Q1240"/>
  <c r="Q1216"/>
  <c r="R1216"/>
  <c r="S1216"/>
  <c r="R1238"/>
  <c r="S1238"/>
  <c r="Q1238"/>
  <c r="Q1239"/>
  <c r="R1239"/>
  <c r="S1239"/>
  <c r="Q1254"/>
  <c r="R1254"/>
  <c r="S1254"/>
  <c r="S1190"/>
  <c r="Q1190"/>
  <c r="R1190"/>
  <c r="S1217"/>
  <c r="Q1217"/>
  <c r="R1217"/>
  <c r="Q1218"/>
  <c r="R1218"/>
  <c r="S1218"/>
  <c r="Q1189"/>
  <c r="R1189"/>
  <c r="S1189"/>
  <c r="Q1256"/>
  <c r="R1256"/>
  <c r="S1256"/>
  <c r="Q1220"/>
  <c r="R1220"/>
  <c r="S1220"/>
  <c r="R1236"/>
  <c r="S1236"/>
  <c r="Q1236"/>
  <c r="Q1237"/>
  <c r="R1237"/>
  <c r="S1237"/>
  <c r="S1257"/>
  <c r="Q1257"/>
  <c r="R1257"/>
  <c r="S1255"/>
  <c r="Q1255"/>
  <c r="R1255"/>
  <c r="A1219"/>
  <c r="A1257"/>
  <c r="A1240"/>
  <c r="A1216"/>
  <c r="A1238"/>
  <c r="A1239"/>
  <c r="A1255"/>
  <c r="A1254"/>
  <c r="A1190"/>
  <c r="A1217"/>
  <c r="A1218"/>
  <c r="A1189"/>
  <c r="A1256"/>
  <c r="A1220"/>
  <c r="A1236"/>
  <c r="A1237"/>
  <c r="U10"/>
  <c r="V10"/>
  <c r="T10"/>
  <c r="I6" i="43"/>
  <c r="M1241" i="34"/>
  <c r="M1242"/>
  <c r="M1243"/>
  <c r="M1244"/>
  <c r="M1245"/>
  <c r="M1246"/>
  <c r="M1247"/>
  <c r="M1248"/>
  <c r="M1277"/>
  <c r="M1191"/>
  <c r="M1263"/>
  <c r="M1264"/>
  <c r="M1265"/>
  <c r="M1266"/>
  <c r="M1235"/>
  <c r="M1261"/>
  <c r="M1188"/>
  <c r="M1253"/>
  <c r="M1215"/>
  <c r="V2121" l="1"/>
  <c r="U2125"/>
  <c r="V2176"/>
  <c r="U2177"/>
  <c r="T2178"/>
  <c r="T2256"/>
  <c r="U2258"/>
  <c r="T1570"/>
  <c r="V2261"/>
  <c r="U2262"/>
  <c r="T2263"/>
  <c r="V2265"/>
  <c r="U2266"/>
  <c r="T2267"/>
  <c r="V2269"/>
  <c r="U2270"/>
  <c r="T1573"/>
  <c r="V2278"/>
  <c r="V2285"/>
  <c r="U2286"/>
  <c r="U2358"/>
  <c r="T2359"/>
  <c r="V2361"/>
  <c r="U2362"/>
  <c r="T2363"/>
  <c r="V2365"/>
  <c r="U2366"/>
  <c r="T2367"/>
  <c r="U2381"/>
  <c r="T2382"/>
  <c r="V2388"/>
  <c r="T2430"/>
  <c r="U2436"/>
  <c r="V2439"/>
  <c r="U2440"/>
  <c r="T2471"/>
  <c r="T2516"/>
  <c r="V2518"/>
  <c r="U2519"/>
  <c r="T2520"/>
  <c r="V2522"/>
  <c r="U2523"/>
  <c r="T2524"/>
  <c r="V2526"/>
  <c r="U2527"/>
  <c r="T2528"/>
  <c r="U2530"/>
  <c r="T2531"/>
  <c r="U2551"/>
  <c r="T2552"/>
  <c r="V2554"/>
  <c r="U2555"/>
  <c r="T2556"/>
  <c r="T2560"/>
  <c r="V2565"/>
  <c r="U2566"/>
  <c r="T2567"/>
  <c r="V2569"/>
  <c r="U2570"/>
  <c r="T2577"/>
  <c r="T2582"/>
  <c r="T2593"/>
  <c r="U2600"/>
  <c r="T2601"/>
  <c r="V2603"/>
  <c r="U2604"/>
  <c r="T2606"/>
  <c r="T2682"/>
  <c r="U2684"/>
  <c r="T2685"/>
  <c r="V2688"/>
  <c r="U2689"/>
  <c r="T2690"/>
  <c r="V2692"/>
  <c r="U2693"/>
  <c r="T2694"/>
  <c r="V2696"/>
  <c r="U2697"/>
  <c r="T2698"/>
  <c r="V2700"/>
  <c r="U2701"/>
  <c r="T2702"/>
  <c r="V2704"/>
  <c r="U2705"/>
  <c r="T2706"/>
  <c r="T2123"/>
  <c r="V2125"/>
  <c r="V2177"/>
  <c r="U2178"/>
  <c r="T2181"/>
  <c r="U2256"/>
  <c r="V2258"/>
  <c r="U1570"/>
  <c r="T2260"/>
  <c r="V2262"/>
  <c r="U2263"/>
  <c r="T2264"/>
  <c r="V2266"/>
  <c r="U2267"/>
  <c r="T2268"/>
  <c r="V2270"/>
  <c r="U1573"/>
  <c r="T2277"/>
  <c r="T2284"/>
  <c r="V2286"/>
  <c r="V2358"/>
  <c r="U2359"/>
  <c r="T2360"/>
  <c r="V2362"/>
  <c r="U2363"/>
  <c r="T2364"/>
  <c r="V2366"/>
  <c r="U2367"/>
  <c r="V2381"/>
  <c r="U2382"/>
  <c r="T2383"/>
  <c r="T2387"/>
  <c r="U2430"/>
  <c r="V2436"/>
  <c r="V2440"/>
  <c r="U2471"/>
  <c r="U2516"/>
  <c r="T2517"/>
  <c r="V2519"/>
  <c r="U2520"/>
  <c r="T2521"/>
  <c r="V2523"/>
  <c r="U2524"/>
  <c r="T2525"/>
  <c r="V2527"/>
  <c r="U2528"/>
  <c r="V2530"/>
  <c r="U2531"/>
  <c r="V2551"/>
  <c r="U2552"/>
  <c r="T2553"/>
  <c r="V2555"/>
  <c r="U2556"/>
  <c r="T2557"/>
  <c r="U2560"/>
  <c r="T2561"/>
  <c r="V2566"/>
  <c r="U2567"/>
  <c r="T2568"/>
  <c r="V2570"/>
  <c r="U2577"/>
  <c r="T2578"/>
  <c r="U2582"/>
  <c r="U2593"/>
  <c r="V2600"/>
  <c r="U2601"/>
  <c r="T2602"/>
  <c r="V2604"/>
  <c r="U2606"/>
  <c r="T2607"/>
  <c r="U2123"/>
  <c r="T2121"/>
  <c r="T2176"/>
  <c r="V2178"/>
  <c r="U2181"/>
  <c r="V2256"/>
  <c r="V1570"/>
  <c r="U2260"/>
  <c r="T2261"/>
  <c r="V2263"/>
  <c r="U2264"/>
  <c r="T2265"/>
  <c r="V2267"/>
  <c r="U2268"/>
  <c r="T2269"/>
  <c r="V1573"/>
  <c r="U2277"/>
  <c r="T2278"/>
  <c r="U2284"/>
  <c r="T2285"/>
  <c r="V2359"/>
  <c r="U2360"/>
  <c r="T2361"/>
  <c r="V2363"/>
  <c r="U2364"/>
  <c r="T2365"/>
  <c r="V2367"/>
  <c r="V2382"/>
  <c r="U2383"/>
  <c r="U2387"/>
  <c r="T2388"/>
  <c r="V2430"/>
  <c r="T2439"/>
  <c r="V2471"/>
  <c r="V2516"/>
  <c r="U2517"/>
  <c r="T2518"/>
  <c r="V2520"/>
  <c r="U2521"/>
  <c r="T2522"/>
  <c r="V2524"/>
  <c r="U2525"/>
  <c r="T2526"/>
  <c r="V2528"/>
  <c r="V2531"/>
  <c r="V2552"/>
  <c r="U2553"/>
  <c r="T2554"/>
  <c r="V2556"/>
  <c r="U2557"/>
  <c r="V2560"/>
  <c r="U2561"/>
  <c r="T2565"/>
  <c r="V2567"/>
  <c r="U2568"/>
  <c r="T2569"/>
  <c r="V2577"/>
  <c r="U2578"/>
  <c r="V2582"/>
  <c r="V2593"/>
  <c r="V2601"/>
  <c r="U2602"/>
  <c r="T2603"/>
  <c r="V2606"/>
  <c r="U2607"/>
  <c r="V2123"/>
  <c r="U2121"/>
  <c r="T2125"/>
  <c r="U2176"/>
  <c r="T2177"/>
  <c r="V2181"/>
  <c r="T2258"/>
  <c r="V2260"/>
  <c r="U2261"/>
  <c r="T2262"/>
  <c r="V2264"/>
  <c r="U2265"/>
  <c r="T2266"/>
  <c r="V2268"/>
  <c r="U2269"/>
  <c r="T2270"/>
  <c r="V2277"/>
  <c r="U2278"/>
  <c r="V2284"/>
  <c r="U2285"/>
  <c r="T2286"/>
  <c r="T2358"/>
  <c r="V2360"/>
  <c r="U2361"/>
  <c r="T2362"/>
  <c r="V2364"/>
  <c r="U2365"/>
  <c r="T2366"/>
  <c r="T2381"/>
  <c r="V2383"/>
  <c r="V2387"/>
  <c r="U2388"/>
  <c r="T2436"/>
  <c r="U2439"/>
  <c r="T2440"/>
  <c r="V2517"/>
  <c r="U2518"/>
  <c r="T2519"/>
  <c r="V2521"/>
  <c r="U2522"/>
  <c r="T2523"/>
  <c r="V2525"/>
  <c r="U2526"/>
  <c r="T2527"/>
  <c r="T2530"/>
  <c r="T2551"/>
  <c r="V2553"/>
  <c r="U2554"/>
  <c r="T2555"/>
  <c r="V2557"/>
  <c r="V2561"/>
  <c r="U2565"/>
  <c r="T2566"/>
  <c r="V2568"/>
  <c r="U2569"/>
  <c r="T2570"/>
  <c r="V2578"/>
  <c r="T2600"/>
  <c r="V2602"/>
  <c r="U2603"/>
  <c r="T2604"/>
  <c r="V2607"/>
  <c r="U2682"/>
  <c r="V2687"/>
  <c r="U2688"/>
  <c r="V2689"/>
  <c r="V2690"/>
  <c r="U2691"/>
  <c r="T2692"/>
  <c r="T2693"/>
  <c r="U2694"/>
  <c r="T2695"/>
  <c r="V2703"/>
  <c r="U2704"/>
  <c r="V2705"/>
  <c r="V2706"/>
  <c r="U2707"/>
  <c r="T2708"/>
  <c r="V2710"/>
  <c r="U2711"/>
  <c r="T2712"/>
  <c r="V2714"/>
  <c r="U2715"/>
  <c r="T2716"/>
  <c r="V2718"/>
  <c r="U2719"/>
  <c r="T2720"/>
  <c r="V2722"/>
  <c r="U2723"/>
  <c r="T2724"/>
  <c r="V2726"/>
  <c r="U2727"/>
  <c r="T2728"/>
  <c r="V2730"/>
  <c r="U2731"/>
  <c r="T2732"/>
  <c r="V2734"/>
  <c r="U2735"/>
  <c r="U2809"/>
  <c r="T2810"/>
  <c r="U2812"/>
  <c r="T2813"/>
  <c r="V2815"/>
  <c r="V2853"/>
  <c r="V2958"/>
  <c r="U2959"/>
  <c r="T2960"/>
  <c r="V2962"/>
  <c r="U2963"/>
  <c r="T2964"/>
  <c r="V2966"/>
  <c r="U2967"/>
  <c r="T2968"/>
  <c r="V2970"/>
  <c r="U2971"/>
  <c r="T2972"/>
  <c r="V2974"/>
  <c r="U2975"/>
  <c r="T2976"/>
  <c r="V2978"/>
  <c r="U2979"/>
  <c r="T2980"/>
  <c r="V2982"/>
  <c r="U2983"/>
  <c r="T2984"/>
  <c r="V2986"/>
  <c r="U2987"/>
  <c r="T2988"/>
  <c r="V2990"/>
  <c r="U2991"/>
  <c r="T2992"/>
  <c r="V2994"/>
  <c r="U2995"/>
  <c r="U2996"/>
  <c r="T2997"/>
  <c r="T2998"/>
  <c r="V3000"/>
  <c r="U3001"/>
  <c r="T3002"/>
  <c r="V3004"/>
  <c r="U3005"/>
  <c r="T3006"/>
  <c r="V3008"/>
  <c r="U3009"/>
  <c r="T3010"/>
  <c r="V3012"/>
  <c r="U3013"/>
  <c r="T3014"/>
  <c r="V3016"/>
  <c r="U3017"/>
  <c r="T3018"/>
  <c r="V3020"/>
  <c r="U3021"/>
  <c r="T3022"/>
  <c r="V3024"/>
  <c r="U3025"/>
  <c r="T3026"/>
  <c r="V3028"/>
  <c r="U3029"/>
  <c r="T3030"/>
  <c r="V3032"/>
  <c r="V2682"/>
  <c r="V2691"/>
  <c r="U2692"/>
  <c r="V2693"/>
  <c r="V2694"/>
  <c r="U2695"/>
  <c r="T2696"/>
  <c r="T2697"/>
  <c r="U2698"/>
  <c r="T2699"/>
  <c r="V2707"/>
  <c r="U2708"/>
  <c r="T2709"/>
  <c r="V2711"/>
  <c r="U2712"/>
  <c r="T2713"/>
  <c r="V2715"/>
  <c r="U2716"/>
  <c r="T2717"/>
  <c r="V2719"/>
  <c r="U2720"/>
  <c r="T2721"/>
  <c r="V2723"/>
  <c r="U2724"/>
  <c r="T2725"/>
  <c r="V2727"/>
  <c r="U2728"/>
  <c r="T2729"/>
  <c r="V2731"/>
  <c r="U2732"/>
  <c r="T2733"/>
  <c r="V2735"/>
  <c r="T2772"/>
  <c r="V2809"/>
  <c r="U2810"/>
  <c r="V2812"/>
  <c r="U2813"/>
  <c r="T2814"/>
  <c r="T2957"/>
  <c r="V2959"/>
  <c r="U2960"/>
  <c r="T2961"/>
  <c r="V2963"/>
  <c r="U2964"/>
  <c r="T2965"/>
  <c r="V2967"/>
  <c r="U2968"/>
  <c r="T2969"/>
  <c r="V2971"/>
  <c r="U2972"/>
  <c r="T2973"/>
  <c r="V2975"/>
  <c r="U2976"/>
  <c r="T2977"/>
  <c r="V2979"/>
  <c r="U2980"/>
  <c r="T2981"/>
  <c r="V2983"/>
  <c r="U2984"/>
  <c r="T2985"/>
  <c r="V2987"/>
  <c r="U2988"/>
  <c r="T2989"/>
  <c r="V2991"/>
  <c r="U2992"/>
  <c r="T2993"/>
  <c r="V2995"/>
  <c r="V2996"/>
  <c r="U2997"/>
  <c r="U2998"/>
  <c r="T2999"/>
  <c r="V3001"/>
  <c r="U3002"/>
  <c r="T3003"/>
  <c r="V3005"/>
  <c r="U3006"/>
  <c r="T2684"/>
  <c r="U2685"/>
  <c r="T2687"/>
  <c r="V2695"/>
  <c r="U2696"/>
  <c r="V2697"/>
  <c r="V2698"/>
  <c r="U2699"/>
  <c r="T2700"/>
  <c r="T2701"/>
  <c r="U2702"/>
  <c r="T2703"/>
  <c r="V2708"/>
  <c r="U2709"/>
  <c r="T2710"/>
  <c r="V2712"/>
  <c r="U2713"/>
  <c r="T2714"/>
  <c r="V2716"/>
  <c r="U2717"/>
  <c r="T2718"/>
  <c r="V2720"/>
  <c r="U2721"/>
  <c r="T2722"/>
  <c r="V2724"/>
  <c r="U2725"/>
  <c r="T2726"/>
  <c r="V2728"/>
  <c r="U2729"/>
  <c r="T2730"/>
  <c r="V2732"/>
  <c r="U2733"/>
  <c r="T2734"/>
  <c r="U2772"/>
  <c r="V2810"/>
  <c r="V2813"/>
  <c r="U2814"/>
  <c r="T2815"/>
  <c r="T2853"/>
  <c r="U2957"/>
  <c r="T2958"/>
  <c r="V2960"/>
  <c r="U2961"/>
  <c r="T2962"/>
  <c r="V2964"/>
  <c r="U2965"/>
  <c r="T2966"/>
  <c r="V2968"/>
  <c r="U2969"/>
  <c r="T2970"/>
  <c r="V2972"/>
  <c r="U2973"/>
  <c r="T2974"/>
  <c r="V2976"/>
  <c r="U2977"/>
  <c r="T2978"/>
  <c r="V2980"/>
  <c r="U2981"/>
  <c r="T2982"/>
  <c r="V2984"/>
  <c r="U2985"/>
  <c r="T2986"/>
  <c r="V2988"/>
  <c r="U2989"/>
  <c r="T2990"/>
  <c r="V2992"/>
  <c r="U2993"/>
  <c r="T2994"/>
  <c r="V2997"/>
  <c r="V2998"/>
  <c r="U2999"/>
  <c r="T3000"/>
  <c r="V3002"/>
  <c r="U3003"/>
  <c r="T3004"/>
  <c r="V3006"/>
  <c r="U3007"/>
  <c r="T3008"/>
  <c r="V3010"/>
  <c r="U3011"/>
  <c r="V2684"/>
  <c r="V2685"/>
  <c r="U2687"/>
  <c r="T2688"/>
  <c r="T2689"/>
  <c r="U2690"/>
  <c r="T2691"/>
  <c r="V2699"/>
  <c r="U2700"/>
  <c r="V2701"/>
  <c r="V2702"/>
  <c r="U2703"/>
  <c r="T2704"/>
  <c r="T2705"/>
  <c r="U2706"/>
  <c r="T2707"/>
  <c r="V2709"/>
  <c r="U2710"/>
  <c r="T2711"/>
  <c r="V2713"/>
  <c r="U2714"/>
  <c r="T2715"/>
  <c r="V2717"/>
  <c r="U2718"/>
  <c r="T2719"/>
  <c r="V2721"/>
  <c r="U2722"/>
  <c r="T2723"/>
  <c r="V2725"/>
  <c r="U2726"/>
  <c r="T2727"/>
  <c r="V2729"/>
  <c r="U2730"/>
  <c r="T2731"/>
  <c r="V2733"/>
  <c r="U2734"/>
  <c r="T2735"/>
  <c r="V2772"/>
  <c r="T2809"/>
  <c r="T2812"/>
  <c r="V2814"/>
  <c r="U2815"/>
  <c r="U2853"/>
  <c r="V2957"/>
  <c r="U2958"/>
  <c r="T2959"/>
  <c r="V2961"/>
  <c r="U2962"/>
  <c r="T2963"/>
  <c r="V2965"/>
  <c r="U2966"/>
  <c r="T2967"/>
  <c r="V2969"/>
  <c r="U2970"/>
  <c r="T2971"/>
  <c r="V2973"/>
  <c r="U2974"/>
  <c r="T2975"/>
  <c r="V2977"/>
  <c r="U2978"/>
  <c r="T2979"/>
  <c r="V2981"/>
  <c r="U2982"/>
  <c r="T2983"/>
  <c r="V2985"/>
  <c r="U2986"/>
  <c r="T2987"/>
  <c r="V2989"/>
  <c r="U2990"/>
  <c r="T2991"/>
  <c r="V2993"/>
  <c r="U2994"/>
  <c r="T2995"/>
  <c r="T2996"/>
  <c r="V2999"/>
  <c r="U3000"/>
  <c r="T3001"/>
  <c r="V3003"/>
  <c r="U3004"/>
  <c r="T3005"/>
  <c r="V3007"/>
  <c r="U3008"/>
  <c r="T3009"/>
  <c r="V3011"/>
  <c r="U3012"/>
  <c r="T3011"/>
  <c r="V3015"/>
  <c r="U3016"/>
  <c r="V3017"/>
  <c r="V3018"/>
  <c r="U3019"/>
  <c r="T3020"/>
  <c r="T3021"/>
  <c r="U3022"/>
  <c r="T3023"/>
  <c r="V3031"/>
  <c r="U3032"/>
  <c r="U3033"/>
  <c r="T3034"/>
  <c r="V3036"/>
  <c r="U3037"/>
  <c r="T3038"/>
  <c r="V3040"/>
  <c r="T3007"/>
  <c r="U3010"/>
  <c r="V3019"/>
  <c r="U3020"/>
  <c r="V3021"/>
  <c r="V3022"/>
  <c r="U3023"/>
  <c r="T3024"/>
  <c r="T3025"/>
  <c r="U3026"/>
  <c r="T3027"/>
  <c r="V3033"/>
  <c r="U3034"/>
  <c r="T3035"/>
  <c r="V3037"/>
  <c r="U3038"/>
  <c r="T3039"/>
  <c r="V3009"/>
  <c r="T3013"/>
  <c r="U3014"/>
  <c r="T3015"/>
  <c r="V3023"/>
  <c r="U3024"/>
  <c r="V3025"/>
  <c r="V3026"/>
  <c r="U3027"/>
  <c r="T3028"/>
  <c r="T3029"/>
  <c r="U3030"/>
  <c r="T3031"/>
  <c r="V3034"/>
  <c r="U3035"/>
  <c r="T3036"/>
  <c r="V3038"/>
  <c r="U3039"/>
  <c r="T3040"/>
  <c r="T3012"/>
  <c r="V3013"/>
  <c r="V3014"/>
  <c r="U3015"/>
  <c r="T3016"/>
  <c r="T3017"/>
  <c r="U3018"/>
  <c r="T3019"/>
  <c r="V3027"/>
  <c r="U3028"/>
  <c r="V3029"/>
  <c r="V3030"/>
  <c r="U3031"/>
  <c r="T3032"/>
  <c r="T3033"/>
  <c r="V3035"/>
  <c r="U3036"/>
  <c r="T3037"/>
  <c r="V3039"/>
  <c r="U3040"/>
  <c r="U1046"/>
  <c r="U1048"/>
  <c r="U1050"/>
  <c r="V1063"/>
  <c r="T1064"/>
  <c r="T1072"/>
  <c r="U1075"/>
  <c r="U1077"/>
  <c r="U1081"/>
  <c r="U1091"/>
  <c r="V1108"/>
  <c r="U1114"/>
  <c r="U1116"/>
  <c r="U1118"/>
  <c r="U1120"/>
  <c r="U1122"/>
  <c r="U1126"/>
  <c r="U1128"/>
  <c r="U1130"/>
  <c r="U1132"/>
  <c r="U1134"/>
  <c r="U1136"/>
  <c r="U1138"/>
  <c r="U1142"/>
  <c r="V1145"/>
  <c r="T1158"/>
  <c r="V1159"/>
  <c r="T1160"/>
  <c r="V1161"/>
  <c r="T1162"/>
  <c r="V1163"/>
  <c r="T1164"/>
  <c r="V1165"/>
  <c r="T1166"/>
  <c r="V1184"/>
  <c r="T1185"/>
  <c r="V1186"/>
  <c r="T1187"/>
  <c r="U1198"/>
  <c r="U1200"/>
  <c r="U1202"/>
  <c r="U1204"/>
  <c r="U1206"/>
  <c r="U1208"/>
  <c r="V1213"/>
  <c r="T1214"/>
  <c r="V1215"/>
  <c r="T1216"/>
  <c r="V1217"/>
  <c r="T1218"/>
  <c r="V1219"/>
  <c r="T1223"/>
  <c r="V1224"/>
  <c r="T1225"/>
  <c r="V1226"/>
  <c r="V1235"/>
  <c r="T1236"/>
  <c r="V1237"/>
  <c r="T1238"/>
  <c r="V1239"/>
  <c r="V1241"/>
  <c r="T1242"/>
  <c r="V1243"/>
  <c r="T1244"/>
  <c r="V1245"/>
  <c r="T1246"/>
  <c r="V1247"/>
  <c r="T1248"/>
  <c r="U1262"/>
  <c r="U1268"/>
  <c r="U1272"/>
  <c r="T1274"/>
  <c r="V1275"/>
  <c r="T1276"/>
  <c r="V1277"/>
  <c r="T1280"/>
  <c r="V1305"/>
  <c r="T1310"/>
  <c r="V1311"/>
  <c r="T1312"/>
  <c r="U1045"/>
  <c r="U1047"/>
  <c r="U1049"/>
  <c r="U1051"/>
  <c r="T1063"/>
  <c r="V1064"/>
  <c r="V1072"/>
  <c r="U1076"/>
  <c r="U1078"/>
  <c r="U1090"/>
  <c r="U1092"/>
  <c r="T1108"/>
  <c r="U1113"/>
  <c r="U1115"/>
  <c r="U1117"/>
  <c r="U1119"/>
  <c r="U1121"/>
  <c r="U1125"/>
  <c r="U1127"/>
  <c r="U1129"/>
  <c r="U1131"/>
  <c r="U1133"/>
  <c r="U1135"/>
  <c r="U1137"/>
  <c r="U1139"/>
  <c r="U1141"/>
  <c r="U1143"/>
  <c r="T1145"/>
  <c r="U1152"/>
  <c r="V1158"/>
  <c r="T1159"/>
  <c r="V1160"/>
  <c r="T1161"/>
  <c r="V1162"/>
  <c r="T1163"/>
  <c r="V1164"/>
  <c r="T1165"/>
  <c r="V1166"/>
  <c r="T1184"/>
  <c r="V1185"/>
  <c r="T1186"/>
  <c r="V1187"/>
  <c r="U1197"/>
  <c r="U1199"/>
  <c r="U1201"/>
  <c r="U1203"/>
  <c r="U1205"/>
  <c r="U1207"/>
  <c r="U1209"/>
  <c r="T1213"/>
  <c r="V1214"/>
  <c r="T1215"/>
  <c r="V1216"/>
  <c r="T1217"/>
  <c r="V1218"/>
  <c r="T1219"/>
  <c r="V1223"/>
  <c r="T1224"/>
  <c r="V1225"/>
  <c r="T1226"/>
  <c r="T1235"/>
  <c r="V1236"/>
  <c r="T1237"/>
  <c r="V1238"/>
  <c r="T1239"/>
  <c r="T1241"/>
  <c r="V1242"/>
  <c r="T1243"/>
  <c r="V1244"/>
  <c r="T1245"/>
  <c r="V1246"/>
  <c r="T1247"/>
  <c r="V1248"/>
  <c r="U1252"/>
  <c r="U1283"/>
  <c r="V1274"/>
  <c r="T1275"/>
  <c r="V1276"/>
  <c r="T1277"/>
  <c r="V1280"/>
  <c r="T1305"/>
  <c r="V1310"/>
  <c r="T1311"/>
  <c r="V1312"/>
  <c r="T1343"/>
  <c r="V1046"/>
  <c r="T1047"/>
  <c r="V1050"/>
  <c r="T1051"/>
  <c r="U1063"/>
  <c r="U1064"/>
  <c r="V1075"/>
  <c r="T1076"/>
  <c r="V1081"/>
  <c r="T1090"/>
  <c r="V1113"/>
  <c r="T1114"/>
  <c r="V1117"/>
  <c r="T1118"/>
  <c r="V1121"/>
  <c r="T1122"/>
  <c r="V1127"/>
  <c r="T1128"/>
  <c r="V1131"/>
  <c r="T1132"/>
  <c r="V1135"/>
  <c r="T1136"/>
  <c r="V1139"/>
  <c r="V1142"/>
  <c r="T1143"/>
  <c r="U1145"/>
  <c r="V1198"/>
  <c r="T1199"/>
  <c r="V1202"/>
  <c r="T1203"/>
  <c r="V1206"/>
  <c r="T1207"/>
  <c r="U1235"/>
  <c r="U1236"/>
  <c r="U1237"/>
  <c r="U1238"/>
  <c r="U1239"/>
  <c r="V1272"/>
  <c r="V1343"/>
  <c r="T1330"/>
  <c r="V1331"/>
  <c r="T1332"/>
  <c r="V1333"/>
  <c r="T1334"/>
  <c r="V1335"/>
  <c r="T1336"/>
  <c r="V1337"/>
  <c r="T1338"/>
  <c r="V1339"/>
  <c r="T1340"/>
  <c r="V1341"/>
  <c r="T1342"/>
  <c r="V1345"/>
  <c r="T1359"/>
  <c r="V1347"/>
  <c r="T1348"/>
  <c r="V1349"/>
  <c r="T1350"/>
  <c r="V1351"/>
  <c r="T1352"/>
  <c r="V1353"/>
  <c r="T1354"/>
  <c r="V1355"/>
  <c r="T1356"/>
  <c r="T1358"/>
  <c r="T1390"/>
  <c r="V1391"/>
  <c r="T1392"/>
  <c r="V1393"/>
  <c r="T1394"/>
  <c r="V1395"/>
  <c r="T1396"/>
  <c r="V1397"/>
  <c r="T1398"/>
  <c r="V1399"/>
  <c r="T1400"/>
  <c r="V1401"/>
  <c r="T1402"/>
  <c r="V1403"/>
  <c r="T1404"/>
  <c r="V1405"/>
  <c r="T1406"/>
  <c r="V1407"/>
  <c r="T1408"/>
  <c r="V1409"/>
  <c r="V1047"/>
  <c r="T1048"/>
  <c r="V1051"/>
  <c r="V1076"/>
  <c r="T1077"/>
  <c r="V1090"/>
  <c r="T1091"/>
  <c r="V1114"/>
  <c r="T1115"/>
  <c r="V1118"/>
  <c r="T1119"/>
  <c r="V1122"/>
  <c r="T1125"/>
  <c r="V1128"/>
  <c r="T1129"/>
  <c r="V1132"/>
  <c r="T1133"/>
  <c r="V1136"/>
  <c r="T1137"/>
  <c r="V1143"/>
  <c r="T1152"/>
  <c r="V1199"/>
  <c r="T1200"/>
  <c r="V1203"/>
  <c r="T1204"/>
  <c r="V1207"/>
  <c r="T1208"/>
  <c r="T1252"/>
  <c r="T1268"/>
  <c r="U1330"/>
  <c r="U1332"/>
  <c r="U1334"/>
  <c r="U1336"/>
  <c r="U1338"/>
  <c r="U1340"/>
  <c r="U1342"/>
  <c r="U1359"/>
  <c r="U1348"/>
  <c r="U1350"/>
  <c r="U1352"/>
  <c r="U1354"/>
  <c r="U1356"/>
  <c r="U1358"/>
  <c r="U1390"/>
  <c r="U1392"/>
  <c r="U1394"/>
  <c r="U1396"/>
  <c r="U1398"/>
  <c r="U1400"/>
  <c r="U1402"/>
  <c r="U1404"/>
  <c r="U1406"/>
  <c r="U1408"/>
  <c r="U1410"/>
  <c r="U1412"/>
  <c r="U1414"/>
  <c r="T1434"/>
  <c r="V1435"/>
  <c r="T1436"/>
  <c r="V1437"/>
  <c r="T1438"/>
  <c r="V1439"/>
  <c r="T1440"/>
  <c r="V1441"/>
  <c r="T1442"/>
  <c r="V1447"/>
  <c r="V1453"/>
  <c r="T1454"/>
  <c r="V1455"/>
  <c r="T1456"/>
  <c r="V1457"/>
  <c r="T1458"/>
  <c r="V1459"/>
  <c r="T1460"/>
  <c r="V1483"/>
  <c r="T1480"/>
  <c r="V1481"/>
  <c r="T1482"/>
  <c r="T1045"/>
  <c r="V1048"/>
  <c r="T1049"/>
  <c r="U1072"/>
  <c r="V1077"/>
  <c r="T1078"/>
  <c r="V1091"/>
  <c r="T1092"/>
  <c r="U1108"/>
  <c r="V1115"/>
  <c r="T1116"/>
  <c r="V1119"/>
  <c r="T1120"/>
  <c r="V1125"/>
  <c r="T1126"/>
  <c r="V1129"/>
  <c r="T1130"/>
  <c r="V1133"/>
  <c r="T1134"/>
  <c r="V1137"/>
  <c r="T1138"/>
  <c r="T1141"/>
  <c r="V1152"/>
  <c r="T1197"/>
  <c r="V1200"/>
  <c r="T1201"/>
  <c r="V1204"/>
  <c r="T1205"/>
  <c r="V1208"/>
  <c r="T1209"/>
  <c r="U1213"/>
  <c r="U1214"/>
  <c r="U1215"/>
  <c r="U1216"/>
  <c r="U1217"/>
  <c r="U1218"/>
  <c r="U1219"/>
  <c r="U1223"/>
  <c r="U1224"/>
  <c r="U1225"/>
  <c r="U1226"/>
  <c r="U1241"/>
  <c r="U1242"/>
  <c r="U1243"/>
  <c r="U1244"/>
  <c r="U1245"/>
  <c r="U1246"/>
  <c r="U1247"/>
  <c r="U1248"/>
  <c r="V1252"/>
  <c r="T1262"/>
  <c r="V1268"/>
  <c r="T1283"/>
  <c r="V1330"/>
  <c r="T1331"/>
  <c r="V1332"/>
  <c r="T1333"/>
  <c r="V1334"/>
  <c r="T1335"/>
  <c r="V1336"/>
  <c r="T1337"/>
  <c r="V1338"/>
  <c r="T1339"/>
  <c r="V1340"/>
  <c r="T1341"/>
  <c r="V1342"/>
  <c r="T1345"/>
  <c r="V1359"/>
  <c r="T1347"/>
  <c r="V1348"/>
  <c r="T1349"/>
  <c r="V1350"/>
  <c r="T1351"/>
  <c r="V1352"/>
  <c r="T1353"/>
  <c r="V1354"/>
  <c r="T1355"/>
  <c r="V1356"/>
  <c r="V1358"/>
  <c r="V1045"/>
  <c r="T1046"/>
  <c r="V1049"/>
  <c r="T1050"/>
  <c r="T1075"/>
  <c r="V1078"/>
  <c r="T1081"/>
  <c r="V1092"/>
  <c r="T1113"/>
  <c r="V1116"/>
  <c r="T1117"/>
  <c r="V1120"/>
  <c r="T1121"/>
  <c r="V1126"/>
  <c r="T1127"/>
  <c r="V1130"/>
  <c r="T1131"/>
  <c r="V1134"/>
  <c r="T1135"/>
  <c r="V1138"/>
  <c r="T1139"/>
  <c r="V1141"/>
  <c r="T1142"/>
  <c r="U1158"/>
  <c r="U1159"/>
  <c r="U1160"/>
  <c r="U1161"/>
  <c r="U1162"/>
  <c r="U1163"/>
  <c r="U1164"/>
  <c r="U1165"/>
  <c r="U1166"/>
  <c r="U1184"/>
  <c r="U1185"/>
  <c r="U1186"/>
  <c r="U1187"/>
  <c r="V1197"/>
  <c r="T1198"/>
  <c r="V1201"/>
  <c r="T1202"/>
  <c r="V1205"/>
  <c r="T1206"/>
  <c r="V1209"/>
  <c r="V1262"/>
  <c r="V1283"/>
  <c r="T1272"/>
  <c r="U1274"/>
  <c r="U1275"/>
  <c r="U1276"/>
  <c r="U1277"/>
  <c r="U1280"/>
  <c r="U1305"/>
  <c r="U1310"/>
  <c r="U1311"/>
  <c r="U1312"/>
  <c r="U1343"/>
  <c r="U1331"/>
  <c r="U1333"/>
  <c r="U1335"/>
  <c r="U1337"/>
  <c r="U1339"/>
  <c r="U1341"/>
  <c r="U1345"/>
  <c r="U1347"/>
  <c r="U1349"/>
  <c r="U1351"/>
  <c r="U1353"/>
  <c r="U1355"/>
  <c r="U1391"/>
  <c r="U1393"/>
  <c r="U1395"/>
  <c r="U1397"/>
  <c r="U1399"/>
  <c r="U1401"/>
  <c r="U1403"/>
  <c r="U1405"/>
  <c r="U1407"/>
  <c r="U1409"/>
  <c r="U1411"/>
  <c r="U1413"/>
  <c r="U1415"/>
  <c r="V1434"/>
  <c r="T1435"/>
  <c r="V1436"/>
  <c r="T1437"/>
  <c r="V1438"/>
  <c r="T1439"/>
  <c r="V1440"/>
  <c r="T1441"/>
  <c r="V1442"/>
  <c r="T1447"/>
  <c r="T1453"/>
  <c r="V1454"/>
  <c r="T1455"/>
  <c r="V1456"/>
  <c r="T1457"/>
  <c r="V1458"/>
  <c r="T1459"/>
  <c r="V1460"/>
  <c r="T1483"/>
  <c r="V1480"/>
  <c r="T1481"/>
  <c r="V1482"/>
  <c r="V1412"/>
  <c r="T1413"/>
  <c r="U1434"/>
  <c r="U1435"/>
  <c r="U1436"/>
  <c r="U1437"/>
  <c r="U1438"/>
  <c r="U1439"/>
  <c r="U1440"/>
  <c r="U1441"/>
  <c r="U1442"/>
  <c r="U1447"/>
  <c r="T1719"/>
  <c r="T1731"/>
  <c r="V1732"/>
  <c r="V1758"/>
  <c r="T1759"/>
  <c r="V1760"/>
  <c r="T1761"/>
  <c r="U1772"/>
  <c r="U1774"/>
  <c r="U1776"/>
  <c r="U1778"/>
  <c r="U1780"/>
  <c r="U1782"/>
  <c r="U1784"/>
  <c r="U1786"/>
  <c r="U1788"/>
  <c r="U1790"/>
  <c r="U1792"/>
  <c r="U1794"/>
  <c r="U1796"/>
  <c r="U1798"/>
  <c r="U1800"/>
  <c r="U1802"/>
  <c r="U1804"/>
  <c r="U1806"/>
  <c r="U1808"/>
  <c r="U1810"/>
  <c r="U1812"/>
  <c r="U1814"/>
  <c r="U1816"/>
  <c r="U1818"/>
  <c r="U1557"/>
  <c r="U1878"/>
  <c r="V1410"/>
  <c r="T1411"/>
  <c r="V1414"/>
  <c r="T1415"/>
  <c r="U1453"/>
  <c r="U1454"/>
  <c r="U1455"/>
  <c r="U1456"/>
  <c r="U1457"/>
  <c r="U1458"/>
  <c r="U1459"/>
  <c r="U1460"/>
  <c r="U1483"/>
  <c r="U1480"/>
  <c r="U1481"/>
  <c r="U1482"/>
  <c r="V1719"/>
  <c r="V1731"/>
  <c r="T1732"/>
  <c r="T1758"/>
  <c r="V1759"/>
  <c r="T1760"/>
  <c r="V1761"/>
  <c r="U1771"/>
  <c r="U1773"/>
  <c r="U1775"/>
  <c r="U1777"/>
  <c r="U1779"/>
  <c r="U1781"/>
  <c r="U1783"/>
  <c r="U1785"/>
  <c r="U1787"/>
  <c r="U1789"/>
  <c r="U1791"/>
  <c r="U1793"/>
  <c r="U1795"/>
  <c r="U1797"/>
  <c r="U1799"/>
  <c r="U1801"/>
  <c r="U1803"/>
  <c r="U1805"/>
  <c r="U1807"/>
  <c r="U1809"/>
  <c r="U1811"/>
  <c r="U1813"/>
  <c r="U1815"/>
  <c r="U1817"/>
  <c r="U1819"/>
  <c r="U1877"/>
  <c r="U1879"/>
  <c r="U1883"/>
  <c r="U1885"/>
  <c r="U1887"/>
  <c r="U1889"/>
  <c r="U1893"/>
  <c r="U1895"/>
  <c r="U1897"/>
  <c r="U1899"/>
  <c r="U1901"/>
  <c r="U1903"/>
  <c r="U1905"/>
  <c r="U1907"/>
  <c r="U1909"/>
  <c r="U1911"/>
  <c r="U1913"/>
  <c r="U1915"/>
  <c r="U1917"/>
  <c r="U1919"/>
  <c r="U1921"/>
  <c r="U1923"/>
  <c r="U1925"/>
  <c r="U1927"/>
  <c r="U1929"/>
  <c r="U1931"/>
  <c r="U1933"/>
  <c r="U1935"/>
  <c r="U1937"/>
  <c r="T1939"/>
  <c r="V1940"/>
  <c r="T1941"/>
  <c r="V1942"/>
  <c r="T1943"/>
  <c r="V1944"/>
  <c r="T1945"/>
  <c r="V1946"/>
  <c r="V1411"/>
  <c r="T1412"/>
  <c r="V1415"/>
  <c r="U1732"/>
  <c r="U1758"/>
  <c r="U1760"/>
  <c r="V1771"/>
  <c r="T1772"/>
  <c r="V1773"/>
  <c r="T1774"/>
  <c r="V1775"/>
  <c r="T1776"/>
  <c r="V1777"/>
  <c r="T1778"/>
  <c r="V1779"/>
  <c r="T1780"/>
  <c r="V1781"/>
  <c r="T1782"/>
  <c r="V1783"/>
  <c r="T1784"/>
  <c r="V1785"/>
  <c r="T1786"/>
  <c r="V1787"/>
  <c r="T1788"/>
  <c r="V1789"/>
  <c r="T1790"/>
  <c r="V1791"/>
  <c r="T1792"/>
  <c r="V1793"/>
  <c r="T1794"/>
  <c r="V1795"/>
  <c r="T1796"/>
  <c r="V1797"/>
  <c r="T1798"/>
  <c r="V1799"/>
  <c r="T1800"/>
  <c r="V1801"/>
  <c r="T1802"/>
  <c r="V1803"/>
  <c r="T1804"/>
  <c r="V1805"/>
  <c r="T1806"/>
  <c r="V1807"/>
  <c r="T1808"/>
  <c r="V1809"/>
  <c r="T1810"/>
  <c r="V1811"/>
  <c r="T1812"/>
  <c r="V1813"/>
  <c r="T1814"/>
  <c r="V1815"/>
  <c r="T1816"/>
  <c r="V1817"/>
  <c r="T1818"/>
  <c r="V1819"/>
  <c r="T1557"/>
  <c r="V1879"/>
  <c r="T1880"/>
  <c r="T1882"/>
  <c r="U1884"/>
  <c r="V1886"/>
  <c r="T1887"/>
  <c r="V1889"/>
  <c r="T1890"/>
  <c r="T1892"/>
  <c r="U1894"/>
  <c r="V1896"/>
  <c r="T1897"/>
  <c r="V1899"/>
  <c r="T1900"/>
  <c r="U1902"/>
  <c r="V1904"/>
  <c r="T1905"/>
  <c r="V1907"/>
  <c r="T1908"/>
  <c r="U1910"/>
  <c r="V1912"/>
  <c r="T1913"/>
  <c r="V1915"/>
  <c r="T1916"/>
  <c r="U1918"/>
  <c r="V1920"/>
  <c r="T1921"/>
  <c r="V1923"/>
  <c r="T1924"/>
  <c r="U1926"/>
  <c r="V1928"/>
  <c r="T1929"/>
  <c r="V1931"/>
  <c r="T1932"/>
  <c r="U1934"/>
  <c r="V1936"/>
  <c r="T1937"/>
  <c r="U1939"/>
  <c r="U1942"/>
  <c r="U1943"/>
  <c r="U1946"/>
  <c r="T1948"/>
  <c r="U1566"/>
  <c r="U1965"/>
  <c r="U1967"/>
  <c r="U1979"/>
  <c r="U1981"/>
  <c r="U1983"/>
  <c r="U1985"/>
  <c r="U1987"/>
  <c r="V1990"/>
  <c r="T1991"/>
  <c r="V1992"/>
  <c r="T1993"/>
  <c r="V1994"/>
  <c r="U1973"/>
  <c r="T2005"/>
  <c r="V2006"/>
  <c r="T2007"/>
  <c r="V2008"/>
  <c r="T2009"/>
  <c r="V2010"/>
  <c r="T2011"/>
  <c r="V2012"/>
  <c r="V2025"/>
  <c r="T2026"/>
  <c r="V2027"/>
  <c r="T2028"/>
  <c r="V2029"/>
  <c r="T2001"/>
  <c r="V2031"/>
  <c r="T2032"/>
  <c r="V2033"/>
  <c r="T2038"/>
  <c r="V2039"/>
  <c r="T2040"/>
  <c r="V2041"/>
  <c r="T2042"/>
  <c r="V2043"/>
  <c r="T2044"/>
  <c r="V2045"/>
  <c r="T2046"/>
  <c r="V2047"/>
  <c r="T2048"/>
  <c r="V2049"/>
  <c r="T2050"/>
  <c r="V2051"/>
  <c r="T2052"/>
  <c r="V2053"/>
  <c r="T2054"/>
  <c r="V2055"/>
  <c r="T2056"/>
  <c r="V2057"/>
  <c r="T2058"/>
  <c r="V2059"/>
  <c r="V1390"/>
  <c r="T1391"/>
  <c r="V1392"/>
  <c r="T1393"/>
  <c r="V1394"/>
  <c r="T1395"/>
  <c r="V1396"/>
  <c r="T1397"/>
  <c r="V1398"/>
  <c r="T1399"/>
  <c r="V1400"/>
  <c r="T1401"/>
  <c r="V1402"/>
  <c r="T1403"/>
  <c r="V1404"/>
  <c r="T1405"/>
  <c r="V1406"/>
  <c r="T1407"/>
  <c r="V1408"/>
  <c r="T1409"/>
  <c r="T1410"/>
  <c r="U1719"/>
  <c r="T1771"/>
  <c r="V1772"/>
  <c r="T1773"/>
  <c r="V1774"/>
  <c r="T1775"/>
  <c r="V1776"/>
  <c r="T1777"/>
  <c r="V1778"/>
  <c r="T1779"/>
  <c r="V1780"/>
  <c r="T1781"/>
  <c r="V1782"/>
  <c r="T1783"/>
  <c r="V1784"/>
  <c r="T1785"/>
  <c r="V1786"/>
  <c r="T1787"/>
  <c r="V1788"/>
  <c r="T1789"/>
  <c r="V1790"/>
  <c r="T1791"/>
  <c r="V1792"/>
  <c r="T1793"/>
  <c r="V1794"/>
  <c r="T1795"/>
  <c r="V1796"/>
  <c r="T1797"/>
  <c r="V1798"/>
  <c r="T1799"/>
  <c r="V1800"/>
  <c r="T1801"/>
  <c r="V1802"/>
  <c r="T1803"/>
  <c r="V1804"/>
  <c r="T1805"/>
  <c r="V1806"/>
  <c r="T1807"/>
  <c r="V1808"/>
  <c r="T1809"/>
  <c r="V1810"/>
  <c r="T1811"/>
  <c r="V1812"/>
  <c r="T1813"/>
  <c r="V1814"/>
  <c r="T1815"/>
  <c r="V1816"/>
  <c r="T1817"/>
  <c r="V1818"/>
  <c r="T1819"/>
  <c r="V1557"/>
  <c r="T1877"/>
  <c r="U1880"/>
  <c r="U1882"/>
  <c r="V1884"/>
  <c r="T1885"/>
  <c r="V1887"/>
  <c r="T1888"/>
  <c r="U1890"/>
  <c r="U1892"/>
  <c r="V1894"/>
  <c r="T1895"/>
  <c r="V1897"/>
  <c r="T1898"/>
  <c r="U1761"/>
  <c r="V1877"/>
  <c r="T1878"/>
  <c r="V1880"/>
  <c r="V1882"/>
  <c r="T1883"/>
  <c r="V1885"/>
  <c r="T1886"/>
  <c r="U1888"/>
  <c r="V1890"/>
  <c r="V1892"/>
  <c r="T1893"/>
  <c r="V1895"/>
  <c r="T1896"/>
  <c r="U1898"/>
  <c r="V1900"/>
  <c r="T1901"/>
  <c r="V1903"/>
  <c r="T1904"/>
  <c r="U1906"/>
  <c r="V1908"/>
  <c r="T1909"/>
  <c r="V1911"/>
  <c r="T1912"/>
  <c r="U1914"/>
  <c r="V1916"/>
  <c r="T1917"/>
  <c r="V1919"/>
  <c r="T1920"/>
  <c r="U1922"/>
  <c r="V1924"/>
  <c r="T1925"/>
  <c r="V1927"/>
  <c r="T1928"/>
  <c r="U1930"/>
  <c r="V1932"/>
  <c r="T1933"/>
  <c r="V1935"/>
  <c r="T1936"/>
  <c r="U1940"/>
  <c r="U1941"/>
  <c r="U1944"/>
  <c r="U1945"/>
  <c r="V1948"/>
  <c r="U1964"/>
  <c r="U1966"/>
  <c r="U1968"/>
  <c r="U1978"/>
  <c r="U1980"/>
  <c r="U1982"/>
  <c r="U1984"/>
  <c r="U1986"/>
  <c r="U1988"/>
  <c r="T1990"/>
  <c r="V1991"/>
  <c r="T1992"/>
  <c r="V1993"/>
  <c r="T1994"/>
  <c r="U1974"/>
  <c r="V2005"/>
  <c r="T2006"/>
  <c r="V2007"/>
  <c r="T2008"/>
  <c r="V2009"/>
  <c r="V1413"/>
  <c r="T1414"/>
  <c r="U1731"/>
  <c r="U1759"/>
  <c r="V1878"/>
  <c r="T1879"/>
  <c r="V1883"/>
  <c r="T1884"/>
  <c r="U1886"/>
  <c r="V1888"/>
  <c r="T1889"/>
  <c r="V1893"/>
  <c r="T1894"/>
  <c r="U1896"/>
  <c r="V1898"/>
  <c r="T1899"/>
  <c r="V1901"/>
  <c r="T1902"/>
  <c r="U1904"/>
  <c r="V1906"/>
  <c r="T1907"/>
  <c r="V1909"/>
  <c r="T1910"/>
  <c r="U1912"/>
  <c r="V1914"/>
  <c r="T1915"/>
  <c r="V1917"/>
  <c r="T1918"/>
  <c r="U1920"/>
  <c r="V1922"/>
  <c r="T1923"/>
  <c r="V1925"/>
  <c r="T1926"/>
  <c r="U1928"/>
  <c r="V1930"/>
  <c r="T1931"/>
  <c r="V1933"/>
  <c r="T1934"/>
  <c r="U1936"/>
  <c r="V1941"/>
  <c r="T1942"/>
  <c r="V1945"/>
  <c r="T1946"/>
  <c r="T1566"/>
  <c r="V1964"/>
  <c r="T1965"/>
  <c r="V1966"/>
  <c r="T1967"/>
  <c r="V1968"/>
  <c r="V1978"/>
  <c r="T1979"/>
  <c r="V1980"/>
  <c r="T1981"/>
  <c r="V1982"/>
  <c r="T1983"/>
  <c r="V1984"/>
  <c r="T1985"/>
  <c r="V1986"/>
  <c r="T1987"/>
  <c r="V1988"/>
  <c r="U1990"/>
  <c r="U1992"/>
  <c r="U1994"/>
  <c r="T1973"/>
  <c r="V1974"/>
  <c r="U2006"/>
  <c r="U2008"/>
  <c r="U2010"/>
  <c r="U2012"/>
  <c r="U2025"/>
  <c r="U2027"/>
  <c r="U2029"/>
  <c r="U2031"/>
  <c r="U2033"/>
  <c r="U2039"/>
  <c r="U2041"/>
  <c r="U2043"/>
  <c r="U2045"/>
  <c r="U2047"/>
  <c r="U2049"/>
  <c r="U2051"/>
  <c r="U2053"/>
  <c r="U2055"/>
  <c r="U1908"/>
  <c r="V1918"/>
  <c r="T1919"/>
  <c r="V1929"/>
  <c r="T1930"/>
  <c r="V1939"/>
  <c r="T1940"/>
  <c r="U1948"/>
  <c r="U1993"/>
  <c r="T2025"/>
  <c r="U2026"/>
  <c r="V2032"/>
  <c r="T2033"/>
  <c r="U2038"/>
  <c r="V2044"/>
  <c r="T2045"/>
  <c r="U2046"/>
  <c r="V2052"/>
  <c r="T2053"/>
  <c r="U2054"/>
  <c r="V2058"/>
  <c r="T2059"/>
  <c r="U2061"/>
  <c r="U2063"/>
  <c r="U2065"/>
  <c r="U2067"/>
  <c r="U2071"/>
  <c r="U2073"/>
  <c r="U2075"/>
  <c r="U2077"/>
  <c r="U2079"/>
  <c r="U2081"/>
  <c r="U2083"/>
  <c r="U2085"/>
  <c r="U2087"/>
  <c r="U2089"/>
  <c r="U2091"/>
  <c r="U2093"/>
  <c r="U2099"/>
  <c r="U2101"/>
  <c r="U2103"/>
  <c r="U2105"/>
  <c r="U2115"/>
  <c r="U2117"/>
  <c r="U2119"/>
  <c r="T2127"/>
  <c r="V2128"/>
  <c r="T2129"/>
  <c r="V2130"/>
  <c r="T2131"/>
  <c r="V2132"/>
  <c r="V2134"/>
  <c r="T2135"/>
  <c r="T2137"/>
  <c r="V2138"/>
  <c r="V2140"/>
  <c r="T2141"/>
  <c r="T2143"/>
  <c r="V2144"/>
  <c r="T2145"/>
  <c r="T2147"/>
  <c r="V2148"/>
  <c r="V2150"/>
  <c r="T2151"/>
  <c r="T2153"/>
  <c r="V2154"/>
  <c r="V2156"/>
  <c r="T2157"/>
  <c r="T2159"/>
  <c r="V2160"/>
  <c r="V2162"/>
  <c r="T2163"/>
  <c r="T2165"/>
  <c r="V2166"/>
  <c r="V2179"/>
  <c r="U2183"/>
  <c r="U2185"/>
  <c r="U2187"/>
  <c r="U2189"/>
  <c r="U2199"/>
  <c r="U2201"/>
  <c r="U2203"/>
  <c r="U2205"/>
  <c r="U2207"/>
  <c r="U2209"/>
  <c r="U2211"/>
  <c r="V2223"/>
  <c r="T2253"/>
  <c r="V2254"/>
  <c r="T2255"/>
  <c r="U2272"/>
  <c r="V2281"/>
  <c r="V2287"/>
  <c r="T2288"/>
  <c r="V2289"/>
  <c r="T2290"/>
  <c r="V2291"/>
  <c r="T2292"/>
  <c r="V2293"/>
  <c r="T2294"/>
  <c r="V2295"/>
  <c r="T2296"/>
  <c r="V2297"/>
  <c r="T2298"/>
  <c r="V2299"/>
  <c r="T2300"/>
  <c r="V2301"/>
  <c r="T2302"/>
  <c r="V2303"/>
  <c r="T2304"/>
  <c r="V2305"/>
  <c r="T2318"/>
  <c r="V2327"/>
  <c r="T2330"/>
  <c r="V2328"/>
  <c r="T2333"/>
  <c r="V2334"/>
  <c r="T2335"/>
  <c r="V2336"/>
  <c r="U2368"/>
  <c r="U2370"/>
  <c r="U2372"/>
  <c r="U2374"/>
  <c r="U2376"/>
  <c r="U2378"/>
  <c r="U2380"/>
  <c r="U2433"/>
  <c r="T2438"/>
  <c r="U2451"/>
  <c r="U2453"/>
  <c r="U2455"/>
  <c r="U2457"/>
  <c r="U2459"/>
  <c r="U2461"/>
  <c r="U2463"/>
  <c r="U2465"/>
  <c r="T2493"/>
  <c r="V2494"/>
  <c r="T2495"/>
  <c r="V2496"/>
  <c r="U2532"/>
  <c r="U2534"/>
  <c r="U2536"/>
  <c r="U2538"/>
  <c r="U2540"/>
  <c r="U2542"/>
  <c r="U2544"/>
  <c r="U2546"/>
  <c r="U2548"/>
  <c r="U2550"/>
  <c r="V2571"/>
  <c r="T2572"/>
  <c r="V2573"/>
  <c r="T2574"/>
  <c r="V2575"/>
  <c r="T2576"/>
  <c r="V1905"/>
  <c r="T1906"/>
  <c r="U1916"/>
  <c r="V1926"/>
  <c r="T1927"/>
  <c r="V1937"/>
  <c r="V1566"/>
  <c r="T1964"/>
  <c r="V1965"/>
  <c r="T1966"/>
  <c r="V1967"/>
  <c r="T1968"/>
  <c r="U1991"/>
  <c r="U2009"/>
  <c r="T2010"/>
  <c r="U2011"/>
  <c r="V2026"/>
  <c r="T2027"/>
  <c r="U2028"/>
  <c r="V2038"/>
  <c r="T2039"/>
  <c r="U2040"/>
  <c r="V2046"/>
  <c r="T2047"/>
  <c r="U2048"/>
  <c r="V2054"/>
  <c r="T2055"/>
  <c r="U2056"/>
  <c r="U2059"/>
  <c r="T2060"/>
  <c r="V2061"/>
  <c r="T2062"/>
  <c r="V2063"/>
  <c r="T2064"/>
  <c r="V2065"/>
  <c r="T2066"/>
  <c r="V2067"/>
  <c r="T2068"/>
  <c r="V2071"/>
  <c r="T2072"/>
  <c r="V2073"/>
  <c r="T2074"/>
  <c r="V2075"/>
  <c r="T2076"/>
  <c r="V2077"/>
  <c r="V2079"/>
  <c r="T2080"/>
  <c r="V2081"/>
  <c r="T2082"/>
  <c r="V2083"/>
  <c r="T2084"/>
  <c r="V2085"/>
  <c r="T2086"/>
  <c r="V2087"/>
  <c r="T2088"/>
  <c r="V2089"/>
  <c r="T2090"/>
  <c r="V2091"/>
  <c r="T2092"/>
  <c r="V2093"/>
  <c r="T2098"/>
  <c r="V2099"/>
  <c r="T2100"/>
  <c r="V2101"/>
  <c r="T2102"/>
  <c r="V2103"/>
  <c r="T2104"/>
  <c r="V2105"/>
  <c r="T2106"/>
  <c r="T2114"/>
  <c r="V2115"/>
  <c r="T2116"/>
  <c r="V2117"/>
  <c r="T2118"/>
  <c r="V2119"/>
  <c r="T2120"/>
  <c r="U2127"/>
  <c r="U2129"/>
  <c r="U2131"/>
  <c r="U2135"/>
  <c r="U2137"/>
  <c r="U2141"/>
  <c r="U2143"/>
  <c r="U2145"/>
  <c r="U2147"/>
  <c r="U2151"/>
  <c r="U2153"/>
  <c r="U2157"/>
  <c r="U2159"/>
  <c r="U2163"/>
  <c r="U2165"/>
  <c r="T2182"/>
  <c r="V2183"/>
  <c r="T2184"/>
  <c r="V2185"/>
  <c r="T2186"/>
  <c r="V2187"/>
  <c r="T2188"/>
  <c r="V2189"/>
  <c r="T2175"/>
  <c r="V2199"/>
  <c r="T2200"/>
  <c r="V2201"/>
  <c r="T2202"/>
  <c r="V2203"/>
  <c r="T2204"/>
  <c r="V2205"/>
  <c r="T2206"/>
  <c r="V2207"/>
  <c r="T2208"/>
  <c r="V2209"/>
  <c r="T2210"/>
  <c r="V2211"/>
  <c r="U2253"/>
  <c r="U2255"/>
  <c r="T2271"/>
  <c r="V2272"/>
  <c r="U2288"/>
  <c r="U2290"/>
  <c r="U2292"/>
  <c r="U2294"/>
  <c r="U2296"/>
  <c r="U2298"/>
  <c r="U2300"/>
  <c r="U2302"/>
  <c r="U2304"/>
  <c r="U2318"/>
  <c r="U2330"/>
  <c r="U2333"/>
  <c r="U2335"/>
  <c r="T2357"/>
  <c r="V2368"/>
  <c r="T2369"/>
  <c r="V2370"/>
  <c r="T2371"/>
  <c r="V2372"/>
  <c r="T2373"/>
  <c r="V2374"/>
  <c r="T2375"/>
  <c r="V2376"/>
  <c r="T2377"/>
  <c r="V2378"/>
  <c r="T2379"/>
  <c r="V2380"/>
  <c r="V2433"/>
  <c r="T2434"/>
  <c r="U2438"/>
  <c r="V2451"/>
  <c r="T2452"/>
  <c r="V2453"/>
  <c r="T2454"/>
  <c r="V2455"/>
  <c r="T2456"/>
  <c r="V2457"/>
  <c r="T2458"/>
  <c r="V2459"/>
  <c r="T2460"/>
  <c r="V2461"/>
  <c r="T2462"/>
  <c r="V2463"/>
  <c r="T2464"/>
  <c r="V2465"/>
  <c r="U2493"/>
  <c r="U2495"/>
  <c r="T2529"/>
  <c r="V2532"/>
  <c r="V1902"/>
  <c r="T1903"/>
  <c r="V1913"/>
  <c r="T1914"/>
  <c r="U1924"/>
  <c r="V1934"/>
  <c r="T1935"/>
  <c r="V1943"/>
  <c r="T1944"/>
  <c r="V1973"/>
  <c r="T1974"/>
  <c r="U2007"/>
  <c r="V2011"/>
  <c r="T2012"/>
  <c r="V2028"/>
  <c r="T2029"/>
  <c r="U2001"/>
  <c r="V2040"/>
  <c r="T2041"/>
  <c r="U2042"/>
  <c r="V2048"/>
  <c r="T2049"/>
  <c r="U2050"/>
  <c r="V2056"/>
  <c r="T2057"/>
  <c r="U2060"/>
  <c r="U2062"/>
  <c r="U2064"/>
  <c r="U2066"/>
  <c r="U2068"/>
  <c r="U2072"/>
  <c r="U2074"/>
  <c r="U2076"/>
  <c r="U2080"/>
  <c r="U2082"/>
  <c r="U2084"/>
  <c r="U2086"/>
  <c r="U2088"/>
  <c r="U2090"/>
  <c r="U2092"/>
  <c r="U2098"/>
  <c r="U2100"/>
  <c r="U2102"/>
  <c r="U2104"/>
  <c r="U2106"/>
  <c r="U2114"/>
  <c r="U2116"/>
  <c r="U2118"/>
  <c r="U2120"/>
  <c r="V2127"/>
  <c r="T2128"/>
  <c r="V2129"/>
  <c r="T2130"/>
  <c r="V2131"/>
  <c r="T2132"/>
  <c r="T2134"/>
  <c r="V2135"/>
  <c r="V2137"/>
  <c r="T2138"/>
  <c r="T2140"/>
  <c r="V2141"/>
  <c r="V2143"/>
  <c r="T2144"/>
  <c r="V2145"/>
  <c r="V2147"/>
  <c r="T2148"/>
  <c r="T2150"/>
  <c r="V2151"/>
  <c r="V2153"/>
  <c r="T2154"/>
  <c r="T2156"/>
  <c r="V2157"/>
  <c r="V2159"/>
  <c r="T2160"/>
  <c r="T2162"/>
  <c r="V2163"/>
  <c r="V2165"/>
  <c r="T2166"/>
  <c r="T2179"/>
  <c r="U2182"/>
  <c r="U2184"/>
  <c r="U2186"/>
  <c r="U2188"/>
  <c r="U2175"/>
  <c r="U2200"/>
  <c r="U2202"/>
  <c r="U2204"/>
  <c r="U2206"/>
  <c r="U2208"/>
  <c r="U2210"/>
  <c r="T2223"/>
  <c r="V2253"/>
  <c r="T2254"/>
  <c r="V2255"/>
  <c r="U2271"/>
  <c r="T2281"/>
  <c r="T2287"/>
  <c r="V2288"/>
  <c r="T2289"/>
  <c r="V2290"/>
  <c r="T2291"/>
  <c r="V2292"/>
  <c r="T2293"/>
  <c r="V2294"/>
  <c r="T2295"/>
  <c r="V2296"/>
  <c r="T2297"/>
  <c r="V2298"/>
  <c r="T2299"/>
  <c r="V2300"/>
  <c r="T2301"/>
  <c r="V2302"/>
  <c r="T2303"/>
  <c r="V2304"/>
  <c r="T2305"/>
  <c r="V2318"/>
  <c r="T2327"/>
  <c r="V2330"/>
  <c r="T2328"/>
  <c r="V2333"/>
  <c r="T2334"/>
  <c r="V2335"/>
  <c r="T2336"/>
  <c r="U2357"/>
  <c r="U2369"/>
  <c r="U2371"/>
  <c r="U2373"/>
  <c r="U2375"/>
  <c r="U2377"/>
  <c r="U2379"/>
  <c r="U2434"/>
  <c r="V2438"/>
  <c r="U2452"/>
  <c r="U2454"/>
  <c r="U2456"/>
  <c r="U2458"/>
  <c r="U2460"/>
  <c r="U2462"/>
  <c r="U2464"/>
  <c r="V2493"/>
  <c r="T2494"/>
  <c r="V2495"/>
  <c r="T2496"/>
  <c r="U2529"/>
  <c r="U2533"/>
  <c r="U2535"/>
  <c r="U2537"/>
  <c r="U2539"/>
  <c r="U2541"/>
  <c r="U2543"/>
  <c r="U2545"/>
  <c r="U2547"/>
  <c r="U2549"/>
  <c r="T2571"/>
  <c r="V2572"/>
  <c r="T2573"/>
  <c r="V2574"/>
  <c r="T2575"/>
  <c r="V2576"/>
  <c r="U1900"/>
  <c r="V1910"/>
  <c r="T1911"/>
  <c r="V1921"/>
  <c r="T1922"/>
  <c r="U1932"/>
  <c r="T1978"/>
  <c r="V1979"/>
  <c r="T1980"/>
  <c r="V1981"/>
  <c r="T1982"/>
  <c r="V1983"/>
  <c r="T1984"/>
  <c r="V1985"/>
  <c r="T1986"/>
  <c r="V1987"/>
  <c r="T1988"/>
  <c r="U2005"/>
  <c r="V2001"/>
  <c r="T2031"/>
  <c r="U2032"/>
  <c r="V2042"/>
  <c r="T2043"/>
  <c r="U2044"/>
  <c r="V2050"/>
  <c r="T2051"/>
  <c r="U2052"/>
  <c r="U2057"/>
  <c r="U2058"/>
  <c r="V2060"/>
  <c r="T2061"/>
  <c r="V2062"/>
  <c r="T2063"/>
  <c r="V2064"/>
  <c r="T2065"/>
  <c r="V2066"/>
  <c r="T2067"/>
  <c r="V2068"/>
  <c r="T2071"/>
  <c r="V2072"/>
  <c r="T2073"/>
  <c r="V2074"/>
  <c r="T2075"/>
  <c r="V2076"/>
  <c r="T2077"/>
  <c r="T2079"/>
  <c r="V2080"/>
  <c r="T2081"/>
  <c r="V2082"/>
  <c r="T2083"/>
  <c r="V2084"/>
  <c r="T2085"/>
  <c r="V2086"/>
  <c r="T2087"/>
  <c r="V2088"/>
  <c r="T2089"/>
  <c r="V2090"/>
  <c r="T2091"/>
  <c r="V2092"/>
  <c r="T2093"/>
  <c r="V2098"/>
  <c r="T2099"/>
  <c r="V2100"/>
  <c r="T2101"/>
  <c r="V2102"/>
  <c r="T2103"/>
  <c r="V2104"/>
  <c r="T2105"/>
  <c r="V2106"/>
  <c r="V2114"/>
  <c r="T2115"/>
  <c r="V2116"/>
  <c r="T2117"/>
  <c r="V2118"/>
  <c r="T2119"/>
  <c r="V2120"/>
  <c r="U2128"/>
  <c r="U2130"/>
  <c r="U2132"/>
  <c r="U2134"/>
  <c r="U2138"/>
  <c r="U2140"/>
  <c r="U2144"/>
  <c r="U2148"/>
  <c r="U2150"/>
  <c r="U2154"/>
  <c r="U2156"/>
  <c r="U2160"/>
  <c r="U2162"/>
  <c r="U2166"/>
  <c r="U2179"/>
  <c r="V2182"/>
  <c r="T2183"/>
  <c r="V2184"/>
  <c r="T2185"/>
  <c r="V2186"/>
  <c r="T2187"/>
  <c r="V2188"/>
  <c r="T2189"/>
  <c r="V2175"/>
  <c r="T2199"/>
  <c r="V2200"/>
  <c r="T2201"/>
  <c r="V2202"/>
  <c r="T2203"/>
  <c r="V2204"/>
  <c r="T2205"/>
  <c r="V2206"/>
  <c r="T2207"/>
  <c r="V2208"/>
  <c r="T2209"/>
  <c r="V2210"/>
  <c r="T2211"/>
  <c r="U2223"/>
  <c r="U2254"/>
  <c r="V2271"/>
  <c r="T2272"/>
  <c r="U2281"/>
  <c r="U2287"/>
  <c r="U2289"/>
  <c r="U2291"/>
  <c r="U2293"/>
  <c r="U2295"/>
  <c r="U2297"/>
  <c r="U2299"/>
  <c r="U2301"/>
  <c r="U2303"/>
  <c r="U2305"/>
  <c r="U2327"/>
  <c r="U2328"/>
  <c r="U2334"/>
  <c r="U2336"/>
  <c r="V2357"/>
  <c r="T2368"/>
  <c r="V2369"/>
  <c r="T2370"/>
  <c r="V2371"/>
  <c r="T2372"/>
  <c r="V2373"/>
  <c r="T2374"/>
  <c r="V2375"/>
  <c r="T2376"/>
  <c r="V2377"/>
  <c r="T2378"/>
  <c r="V2379"/>
  <c r="T2380"/>
  <c r="T2433"/>
  <c r="V2434"/>
  <c r="T2451"/>
  <c r="V2452"/>
  <c r="T2453"/>
  <c r="V2454"/>
  <c r="T2455"/>
  <c r="V2456"/>
  <c r="T2457"/>
  <c r="V2458"/>
  <c r="T2459"/>
  <c r="V2460"/>
  <c r="T2461"/>
  <c r="V2462"/>
  <c r="T2463"/>
  <c r="V2464"/>
  <c r="T2465"/>
  <c r="U2494"/>
  <c r="U2496"/>
  <c r="V2529"/>
  <c r="T2532"/>
  <c r="V2533"/>
  <c r="T2534"/>
  <c r="V2535"/>
  <c r="V2536"/>
  <c r="T2537"/>
  <c r="V2540"/>
  <c r="T2541"/>
  <c r="V2544"/>
  <c r="T2545"/>
  <c r="V2548"/>
  <c r="T2549"/>
  <c r="T2610"/>
  <c r="V2611"/>
  <c r="T2612"/>
  <c r="V2683"/>
  <c r="U2778"/>
  <c r="U2780"/>
  <c r="U2782"/>
  <c r="U2784"/>
  <c r="U2786"/>
  <c r="U2788"/>
  <c r="U2790"/>
  <c r="U2792"/>
  <c r="U2794"/>
  <c r="U2796"/>
  <c r="T2817"/>
  <c r="V2824"/>
  <c r="U2950"/>
  <c r="U2952"/>
  <c r="U2954"/>
  <c r="V2537"/>
  <c r="T2538"/>
  <c r="V2541"/>
  <c r="T2542"/>
  <c r="V2545"/>
  <c r="T2546"/>
  <c r="V2549"/>
  <c r="T2550"/>
  <c r="U2610"/>
  <c r="U2612"/>
  <c r="V2778"/>
  <c r="T2779"/>
  <c r="V2780"/>
  <c r="T2781"/>
  <c r="V2782"/>
  <c r="T2783"/>
  <c r="V2784"/>
  <c r="T2785"/>
  <c r="V2786"/>
  <c r="T2787"/>
  <c r="V2788"/>
  <c r="T2789"/>
  <c r="V2790"/>
  <c r="T2791"/>
  <c r="V2792"/>
  <c r="T2793"/>
  <c r="V2794"/>
  <c r="T2795"/>
  <c r="V2796"/>
  <c r="U2817"/>
  <c r="V2950"/>
  <c r="T2951"/>
  <c r="V2952"/>
  <c r="T2953"/>
  <c r="V2954"/>
  <c r="V2538"/>
  <c r="T2539"/>
  <c r="V2542"/>
  <c r="T2543"/>
  <c r="V2546"/>
  <c r="T2547"/>
  <c r="V2550"/>
  <c r="V2610"/>
  <c r="T2611"/>
  <c r="V2612"/>
  <c r="T2683"/>
  <c r="U2779"/>
  <c r="U2781"/>
  <c r="U2783"/>
  <c r="U2785"/>
  <c r="U2787"/>
  <c r="U2789"/>
  <c r="U2791"/>
  <c r="U2793"/>
  <c r="U2795"/>
  <c r="V2817"/>
  <c r="T2824"/>
  <c r="U2951"/>
  <c r="U2953"/>
  <c r="T2533"/>
  <c r="V2534"/>
  <c r="T2535"/>
  <c r="T2536"/>
  <c r="V2539"/>
  <c r="T2540"/>
  <c r="V2543"/>
  <c r="T2544"/>
  <c r="V2547"/>
  <c r="T2548"/>
  <c r="U2571"/>
  <c r="U2572"/>
  <c r="U2573"/>
  <c r="U2574"/>
  <c r="U2575"/>
  <c r="U2576"/>
  <c r="U2611"/>
  <c r="U2683"/>
  <c r="T2778"/>
  <c r="V2779"/>
  <c r="T2780"/>
  <c r="V2781"/>
  <c r="T2782"/>
  <c r="V2783"/>
  <c r="T2784"/>
  <c r="V2785"/>
  <c r="T2786"/>
  <c r="V2787"/>
  <c r="T2788"/>
  <c r="V2789"/>
  <c r="T2790"/>
  <c r="V2791"/>
  <c r="T2792"/>
  <c r="V2793"/>
  <c r="T2794"/>
  <c r="V2795"/>
  <c r="T2796"/>
  <c r="U2824"/>
  <c r="T2950"/>
  <c r="V2951"/>
  <c r="T2952"/>
  <c r="V2953"/>
  <c r="T2954"/>
  <c r="V1028"/>
  <c r="T1029"/>
  <c r="V1054"/>
  <c r="T1055"/>
  <c r="V1056"/>
  <c r="T1057"/>
  <c r="V1058"/>
  <c r="V1074"/>
  <c r="T1103"/>
  <c r="V1104"/>
  <c r="T1105"/>
  <c r="V1106"/>
  <c r="T1107"/>
  <c r="T1109"/>
  <c r="V1144"/>
  <c r="V1146"/>
  <c r="T1147"/>
  <c r="V1148"/>
  <c r="V1150"/>
  <c r="T1151"/>
  <c r="T1153"/>
  <c r="V1154"/>
  <c r="T1155"/>
  <c r="T1188"/>
  <c r="V1189"/>
  <c r="T1190"/>
  <c r="V1191"/>
  <c r="T1196"/>
  <c r="T1210"/>
  <c r="T1227"/>
  <c r="V1228"/>
  <c r="T1229"/>
  <c r="V1230"/>
  <c r="V1251"/>
  <c r="V1253"/>
  <c r="T1254"/>
  <c r="V1255"/>
  <c r="T1256"/>
  <c r="T1258"/>
  <c r="V1261"/>
  <c r="V1263"/>
  <c r="T1264"/>
  <c r="V1265"/>
  <c r="T1266"/>
  <c r="V1273"/>
  <c r="V1377"/>
  <c r="T1378"/>
  <c r="T1380"/>
  <c r="V1381"/>
  <c r="T1382"/>
  <c r="V1383"/>
  <c r="T1384"/>
  <c r="V1385"/>
  <c r="T1386"/>
  <c r="V1387"/>
  <c r="T1388"/>
  <c r="V1389"/>
  <c r="T1416"/>
  <c r="T1422"/>
  <c r="V1423"/>
  <c r="T1424"/>
  <c r="V1425"/>
  <c r="T1426"/>
  <c r="V1427"/>
  <c r="T1428"/>
  <c r="V1429"/>
  <c r="T1468"/>
  <c r="V1469"/>
  <c r="T1470"/>
  <c r="V1471"/>
  <c r="T1472"/>
  <c r="V1473"/>
  <c r="T1474"/>
  <c r="V1475"/>
  <c r="U1029"/>
  <c r="U1055"/>
  <c r="U1057"/>
  <c r="U1103"/>
  <c r="U1105"/>
  <c r="U1107"/>
  <c r="U1109"/>
  <c r="U1147"/>
  <c r="U1151"/>
  <c r="U1153"/>
  <c r="U1155"/>
  <c r="U1188"/>
  <c r="U1190"/>
  <c r="U1196"/>
  <c r="U1210"/>
  <c r="U1227"/>
  <c r="U1229"/>
  <c r="U1254"/>
  <c r="U1256"/>
  <c r="U1258"/>
  <c r="U1264"/>
  <c r="U1266"/>
  <c r="U1378"/>
  <c r="U1380"/>
  <c r="U1382"/>
  <c r="U1384"/>
  <c r="U1386"/>
  <c r="U1388"/>
  <c r="U1416"/>
  <c r="U1422"/>
  <c r="U1424"/>
  <c r="U1426"/>
  <c r="U1428"/>
  <c r="U1468"/>
  <c r="U1470"/>
  <c r="U1472"/>
  <c r="U1474"/>
  <c r="U1763"/>
  <c r="U1765"/>
  <c r="U1767"/>
  <c r="U1769"/>
  <c r="U1950"/>
  <c r="U1952"/>
  <c r="U1954"/>
  <c r="U1956"/>
  <c r="U1996"/>
  <c r="U1998"/>
  <c r="U1975"/>
  <c r="U2004"/>
  <c r="U2014"/>
  <c r="U2016"/>
  <c r="U2018"/>
  <c r="U2020"/>
  <c r="U2022"/>
  <c r="U2094"/>
  <c r="U2096"/>
  <c r="U2126"/>
  <c r="U2168"/>
  <c r="U2180"/>
  <c r="U2212"/>
  <c r="U2214"/>
  <c r="U2216"/>
  <c r="U2218"/>
  <c r="U2220"/>
  <c r="U2222"/>
  <c r="U2257"/>
  <c r="U2273"/>
  <c r="U2311"/>
  <c r="U2317"/>
  <c r="U2338"/>
  <c r="U2340"/>
  <c r="U2342"/>
  <c r="U2344"/>
  <c r="U2346"/>
  <c r="U2348"/>
  <c r="U2432"/>
  <c r="U2441"/>
  <c r="U2446"/>
  <c r="U2448"/>
  <c r="T1028"/>
  <c r="V1029"/>
  <c r="T1054"/>
  <c r="V1055"/>
  <c r="T1056"/>
  <c r="V1057"/>
  <c r="T1058"/>
  <c r="T1074"/>
  <c r="V1103"/>
  <c r="T1104"/>
  <c r="V1105"/>
  <c r="T1106"/>
  <c r="V1107"/>
  <c r="V1109"/>
  <c r="T1144"/>
  <c r="T1146"/>
  <c r="V1147"/>
  <c r="T1148"/>
  <c r="T1150"/>
  <c r="V1151"/>
  <c r="V1153"/>
  <c r="T1154"/>
  <c r="V1155"/>
  <c r="V1188"/>
  <c r="T1189"/>
  <c r="V1190"/>
  <c r="T1191"/>
  <c r="V1196"/>
  <c r="V1210"/>
  <c r="V1227"/>
  <c r="T1228"/>
  <c r="V1229"/>
  <c r="T1230"/>
  <c r="T1251"/>
  <c r="T1253"/>
  <c r="V1254"/>
  <c r="T1255"/>
  <c r="V1256"/>
  <c r="V1258"/>
  <c r="T1261"/>
  <c r="T1263"/>
  <c r="V1264"/>
  <c r="T1265"/>
  <c r="V1266"/>
  <c r="T1273"/>
  <c r="T1377"/>
  <c r="V1378"/>
  <c r="V1380"/>
  <c r="T1381"/>
  <c r="V1382"/>
  <c r="T1383"/>
  <c r="V1384"/>
  <c r="T1385"/>
  <c r="V1386"/>
  <c r="T1387"/>
  <c r="V1388"/>
  <c r="T1389"/>
  <c r="V1416"/>
  <c r="V1422"/>
  <c r="T1423"/>
  <c r="V1424"/>
  <c r="T1425"/>
  <c r="V1426"/>
  <c r="T1427"/>
  <c r="V1428"/>
  <c r="T1429"/>
  <c r="U1028"/>
  <c r="U1054"/>
  <c r="U1056"/>
  <c r="U1058"/>
  <c r="U1074"/>
  <c r="U1104"/>
  <c r="U1106"/>
  <c r="U1144"/>
  <c r="U1146"/>
  <c r="U1148"/>
  <c r="U1150"/>
  <c r="U1154"/>
  <c r="U1189"/>
  <c r="U1191"/>
  <c r="U1228"/>
  <c r="U1230"/>
  <c r="U1251"/>
  <c r="U1253"/>
  <c r="U1255"/>
  <c r="U1261"/>
  <c r="U1263"/>
  <c r="U1265"/>
  <c r="U1273"/>
  <c r="U1377"/>
  <c r="U1381"/>
  <c r="U1383"/>
  <c r="U1385"/>
  <c r="U1387"/>
  <c r="U1389"/>
  <c r="U1423"/>
  <c r="U1425"/>
  <c r="U1427"/>
  <c r="U1429"/>
  <c r="U1469"/>
  <c r="U1471"/>
  <c r="U1473"/>
  <c r="U1475"/>
  <c r="U1762"/>
  <c r="U1764"/>
  <c r="U1766"/>
  <c r="U1768"/>
  <c r="U1770"/>
  <c r="U1938"/>
  <c r="U1949"/>
  <c r="U1951"/>
  <c r="U1953"/>
  <c r="U1955"/>
  <c r="U1957"/>
  <c r="U1972"/>
  <c r="U1995"/>
  <c r="U1997"/>
  <c r="U1999"/>
  <c r="U2003"/>
  <c r="U2013"/>
  <c r="U2015"/>
  <c r="U2017"/>
  <c r="U2019"/>
  <c r="U2021"/>
  <c r="U2095"/>
  <c r="U2097"/>
  <c r="U2169"/>
  <c r="U2213"/>
  <c r="U2215"/>
  <c r="U2217"/>
  <c r="U2219"/>
  <c r="U2221"/>
  <c r="U2310"/>
  <c r="U2312"/>
  <c r="U2337"/>
  <c r="U2339"/>
  <c r="U2341"/>
  <c r="U2343"/>
  <c r="U2345"/>
  <c r="U2347"/>
  <c r="U2349"/>
  <c r="U2431"/>
  <c r="U2435"/>
  <c r="U2445"/>
  <c r="U2447"/>
  <c r="U2449"/>
  <c r="U2467"/>
  <c r="U2481"/>
  <c r="U2483"/>
  <c r="U2485"/>
  <c r="U2487"/>
  <c r="T1762"/>
  <c r="V1765"/>
  <c r="T1766"/>
  <c r="V1769"/>
  <c r="T1770"/>
  <c r="V1938"/>
  <c r="V1950"/>
  <c r="T1951"/>
  <c r="V1954"/>
  <c r="T1955"/>
  <c r="T1995"/>
  <c r="V1998"/>
  <c r="T1999"/>
  <c r="V2004"/>
  <c r="T2013"/>
  <c r="V2016"/>
  <c r="T2017"/>
  <c r="V2020"/>
  <c r="T2021"/>
  <c r="T2094"/>
  <c r="V2097"/>
  <c r="T2126"/>
  <c r="V2168"/>
  <c r="T2169"/>
  <c r="T2212"/>
  <c r="V2215"/>
  <c r="T2216"/>
  <c r="V2219"/>
  <c r="T2220"/>
  <c r="T2273"/>
  <c r="V2312"/>
  <c r="T2317"/>
  <c r="V2339"/>
  <c r="T2340"/>
  <c r="V2343"/>
  <c r="T2344"/>
  <c r="V2347"/>
  <c r="T2348"/>
  <c r="T2431"/>
  <c r="V2441"/>
  <c r="T2445"/>
  <c r="V2448"/>
  <c r="T2449"/>
  <c r="V2467"/>
  <c r="T2468"/>
  <c r="T2480"/>
  <c r="U2482"/>
  <c r="V2484"/>
  <c r="T2485"/>
  <c r="V2487"/>
  <c r="T2488"/>
  <c r="V2489"/>
  <c r="V2501"/>
  <c r="T2502"/>
  <c r="V2503"/>
  <c r="T2506"/>
  <c r="V2507"/>
  <c r="T2508"/>
  <c r="V2509"/>
  <c r="T2510"/>
  <c r="V2511"/>
  <c r="T2564"/>
  <c r="V2579"/>
  <c r="T2580"/>
  <c r="V2581"/>
  <c r="T2592"/>
  <c r="T2594"/>
  <c r="V2595"/>
  <c r="T2596"/>
  <c r="V2597"/>
  <c r="T2609"/>
  <c r="V1762"/>
  <c r="T1763"/>
  <c r="V1766"/>
  <c r="T1767"/>
  <c r="V1770"/>
  <c r="V1951"/>
  <c r="T1952"/>
  <c r="V1955"/>
  <c r="T1956"/>
  <c r="T1972"/>
  <c r="V1995"/>
  <c r="T1996"/>
  <c r="V1999"/>
  <c r="T1975"/>
  <c r="V2013"/>
  <c r="T2014"/>
  <c r="V2017"/>
  <c r="T2018"/>
  <c r="V2021"/>
  <c r="T2022"/>
  <c r="V2094"/>
  <c r="T2095"/>
  <c r="V2126"/>
  <c r="V2169"/>
  <c r="T2180"/>
  <c r="V2212"/>
  <c r="T2213"/>
  <c r="V2216"/>
  <c r="T2217"/>
  <c r="V2220"/>
  <c r="T2221"/>
  <c r="T2257"/>
  <c r="V2273"/>
  <c r="T2310"/>
  <c r="V2317"/>
  <c r="T2337"/>
  <c r="V2340"/>
  <c r="T2341"/>
  <c r="V2344"/>
  <c r="T2345"/>
  <c r="V2348"/>
  <c r="T2349"/>
  <c r="V2431"/>
  <c r="T2432"/>
  <c r="V2445"/>
  <c r="T2446"/>
  <c r="V2449"/>
  <c r="T2450"/>
  <c r="T2466"/>
  <c r="U2468"/>
  <c r="U2480"/>
  <c r="V2482"/>
  <c r="T2483"/>
  <c r="V2485"/>
  <c r="T2486"/>
  <c r="U2488"/>
  <c r="U2502"/>
  <c r="U2506"/>
  <c r="U2508"/>
  <c r="U2510"/>
  <c r="U2564"/>
  <c r="U2580"/>
  <c r="U2592"/>
  <c r="U2594"/>
  <c r="U2596"/>
  <c r="U2609"/>
  <c r="U2798"/>
  <c r="U2800"/>
  <c r="U2802"/>
  <c r="U2804"/>
  <c r="U2806"/>
  <c r="U2808"/>
  <c r="U2920"/>
  <c r="U2922"/>
  <c r="U2924"/>
  <c r="U2926"/>
  <c r="U2928"/>
  <c r="U2930"/>
  <c r="U2932"/>
  <c r="U2934"/>
  <c r="U2936"/>
  <c r="U2938"/>
  <c r="U2940"/>
  <c r="U2942"/>
  <c r="U2944"/>
  <c r="V1468"/>
  <c r="T1469"/>
  <c r="V1470"/>
  <c r="T1471"/>
  <c r="V1472"/>
  <c r="T1473"/>
  <c r="V1474"/>
  <c r="T1475"/>
  <c r="V1763"/>
  <c r="T1764"/>
  <c r="V1767"/>
  <c r="T1768"/>
  <c r="T1949"/>
  <c r="V1952"/>
  <c r="T1953"/>
  <c r="V1956"/>
  <c r="T1957"/>
  <c r="V1972"/>
  <c r="V1996"/>
  <c r="T1997"/>
  <c r="V1975"/>
  <c r="T2003"/>
  <c r="V2014"/>
  <c r="T2015"/>
  <c r="V2018"/>
  <c r="T2019"/>
  <c r="V2022"/>
  <c r="V2095"/>
  <c r="T2096"/>
  <c r="V2180"/>
  <c r="V2213"/>
  <c r="T2214"/>
  <c r="V2217"/>
  <c r="T2218"/>
  <c r="V2221"/>
  <c r="T2222"/>
  <c r="V2257"/>
  <c r="V2310"/>
  <c r="T2311"/>
  <c r="V2337"/>
  <c r="T2338"/>
  <c r="V2341"/>
  <c r="T2342"/>
  <c r="V2345"/>
  <c r="T2346"/>
  <c r="V2349"/>
  <c r="V2432"/>
  <c r="T2435"/>
  <c r="V2446"/>
  <c r="T2447"/>
  <c r="U2450"/>
  <c r="U2466"/>
  <c r="V2468"/>
  <c r="V2480"/>
  <c r="T2481"/>
  <c r="V2483"/>
  <c r="T2484"/>
  <c r="U2486"/>
  <c r="V2488"/>
  <c r="T2489"/>
  <c r="T2501"/>
  <c r="V2502"/>
  <c r="T2503"/>
  <c r="V2506"/>
  <c r="T2507"/>
  <c r="V2508"/>
  <c r="T2509"/>
  <c r="V2510"/>
  <c r="T2511"/>
  <c r="V2564"/>
  <c r="T2579"/>
  <c r="V2580"/>
  <c r="T2581"/>
  <c r="V2592"/>
  <c r="V2594"/>
  <c r="T2595"/>
  <c r="V2596"/>
  <c r="T2597"/>
  <c r="V2609"/>
  <c r="V1764"/>
  <c r="T1765"/>
  <c r="V1768"/>
  <c r="T1769"/>
  <c r="T1938"/>
  <c r="V1949"/>
  <c r="T1950"/>
  <c r="V1953"/>
  <c r="T1954"/>
  <c r="V1957"/>
  <c r="V1997"/>
  <c r="T1998"/>
  <c r="V2003"/>
  <c r="T2004"/>
  <c r="V2015"/>
  <c r="T2016"/>
  <c r="V2019"/>
  <c r="T2020"/>
  <c r="V2096"/>
  <c r="T2097"/>
  <c r="T2168"/>
  <c r="V2214"/>
  <c r="T2215"/>
  <c r="V2218"/>
  <c r="T2219"/>
  <c r="V2222"/>
  <c r="V2311"/>
  <c r="T2312"/>
  <c r="V2338"/>
  <c r="T2339"/>
  <c r="V2342"/>
  <c r="T2343"/>
  <c r="V2346"/>
  <c r="T2347"/>
  <c r="V2435"/>
  <c r="T2441"/>
  <c r="V2447"/>
  <c r="T2448"/>
  <c r="V2450"/>
  <c r="V2466"/>
  <c r="T2467"/>
  <c r="V2481"/>
  <c r="T2482"/>
  <c r="U2484"/>
  <c r="V2486"/>
  <c r="T2487"/>
  <c r="U2489"/>
  <c r="U2501"/>
  <c r="U2503"/>
  <c r="U2507"/>
  <c r="U2509"/>
  <c r="U2511"/>
  <c r="U2579"/>
  <c r="U2581"/>
  <c r="U2595"/>
  <c r="U2597"/>
  <c r="U2764"/>
  <c r="U2797"/>
  <c r="U2799"/>
  <c r="U2801"/>
  <c r="U2803"/>
  <c r="U2805"/>
  <c r="U2807"/>
  <c r="U2811"/>
  <c r="U2919"/>
  <c r="U2921"/>
  <c r="U2923"/>
  <c r="U2925"/>
  <c r="U2927"/>
  <c r="U2929"/>
  <c r="U2931"/>
  <c r="U2933"/>
  <c r="U2935"/>
  <c r="U2937"/>
  <c r="U2939"/>
  <c r="U2941"/>
  <c r="U2943"/>
  <c r="U2945"/>
  <c r="U2947"/>
  <c r="U2949"/>
  <c r="V2799"/>
  <c r="T2800"/>
  <c r="V2803"/>
  <c r="T2804"/>
  <c r="V2807"/>
  <c r="T2808"/>
  <c r="T2919"/>
  <c r="V2922"/>
  <c r="T2923"/>
  <c r="V2926"/>
  <c r="T2927"/>
  <c r="V2930"/>
  <c r="T2931"/>
  <c r="V2934"/>
  <c r="T2935"/>
  <c r="V2938"/>
  <c r="T2939"/>
  <c r="V2942"/>
  <c r="T2943"/>
  <c r="U2946"/>
  <c r="V2948"/>
  <c r="T2949"/>
  <c r="T2797"/>
  <c r="V2800"/>
  <c r="T2801"/>
  <c r="V2804"/>
  <c r="T2805"/>
  <c r="V2808"/>
  <c r="T2811"/>
  <c r="V2919"/>
  <c r="T2920"/>
  <c r="V2923"/>
  <c r="T2924"/>
  <c r="V2927"/>
  <c r="T2928"/>
  <c r="V2931"/>
  <c r="T2932"/>
  <c r="V2935"/>
  <c r="T2936"/>
  <c r="V2939"/>
  <c r="T2940"/>
  <c r="V2943"/>
  <c r="T2944"/>
  <c r="V2946"/>
  <c r="T2947"/>
  <c r="V2949"/>
  <c r="T2764"/>
  <c r="V2797"/>
  <c r="T2798"/>
  <c r="V2801"/>
  <c r="T2802"/>
  <c r="V2805"/>
  <c r="T2806"/>
  <c r="V2811"/>
  <c r="V2920"/>
  <c r="T2921"/>
  <c r="V2924"/>
  <c r="T2925"/>
  <c r="V2928"/>
  <c r="T2929"/>
  <c r="V2932"/>
  <c r="T2933"/>
  <c r="V2936"/>
  <c r="T2937"/>
  <c r="V2940"/>
  <c r="T2941"/>
  <c r="V2944"/>
  <c r="T2945"/>
  <c r="V2947"/>
  <c r="T2948"/>
  <c r="V2764"/>
  <c r="V2798"/>
  <c r="T2799"/>
  <c r="V2802"/>
  <c r="T2803"/>
  <c r="V2806"/>
  <c r="T2807"/>
  <c r="V2921"/>
  <c r="T2922"/>
  <c r="V2925"/>
  <c r="T2926"/>
  <c r="V2929"/>
  <c r="T2930"/>
  <c r="V2933"/>
  <c r="T2934"/>
  <c r="V2937"/>
  <c r="T2938"/>
  <c r="V2941"/>
  <c r="T2942"/>
  <c r="V2945"/>
  <c r="T2946"/>
  <c r="U2948"/>
  <c r="C263"/>
  <c r="AD263" s="1"/>
  <c r="C264"/>
  <c r="AD264" s="1"/>
  <c r="C265"/>
  <c r="AD265" s="1"/>
  <c r="C269"/>
  <c r="AD269" s="1"/>
  <c r="M263"/>
  <c r="M269"/>
  <c r="M265"/>
  <c r="M264"/>
  <c r="E32"/>
  <c r="AA32" s="1"/>
  <c r="E31"/>
  <c r="AA31" s="1"/>
  <c r="E30"/>
  <c r="AA30" s="1"/>
  <c r="E29"/>
  <c r="AA29" s="1"/>
  <c r="E28"/>
  <c r="AA28" s="1"/>
  <c r="K198"/>
  <c r="M198" s="1"/>
  <c r="E198"/>
  <c r="AA198" s="1"/>
  <c r="K197"/>
  <c r="E197"/>
  <c r="AA197" s="1"/>
  <c r="I20" i="62" l="1" a="1"/>
  <c r="I20" s="1"/>
  <c r="G20" a="1"/>
  <c r="G20" s="1"/>
  <c r="I16" a="1"/>
  <c r="I16" s="1"/>
  <c r="I18" a="1"/>
  <c r="I18" s="1"/>
  <c r="G17" a="1"/>
  <c r="G17" s="1"/>
  <c r="G19" a="1"/>
  <c r="G19" s="1"/>
  <c r="I17" a="1"/>
  <c r="I17" s="1"/>
  <c r="I19" a="1"/>
  <c r="I19" s="1"/>
  <c r="G16" a="1"/>
  <c r="G16" s="1"/>
  <c r="G18" a="1"/>
  <c r="G18" s="1"/>
  <c r="I35" i="45" a="1"/>
  <c r="I35" s="1"/>
  <c r="K36" a="1"/>
  <c r="K36" s="1"/>
  <c r="I33" a="1"/>
  <c r="I33" s="1"/>
  <c r="K34" a="1"/>
  <c r="K34" s="1"/>
  <c r="I39" a="1"/>
  <c r="I39" s="1"/>
  <c r="I42" a="1"/>
  <c r="I42" s="1"/>
  <c r="K43" a="1"/>
  <c r="K43" s="1"/>
  <c r="I46" a="1"/>
  <c r="I46" s="1"/>
  <c r="K45" a="1"/>
  <c r="K45" s="1"/>
  <c r="I41" a="1"/>
  <c r="I41" s="1"/>
  <c r="K35" a="1"/>
  <c r="K35" s="1"/>
  <c r="I8" a="1"/>
  <c r="I8" s="1"/>
  <c r="K33" a="1"/>
  <c r="K33" s="1"/>
  <c r="I40" a="1"/>
  <c r="I40" s="1"/>
  <c r="K42" a="1"/>
  <c r="K42" s="1"/>
  <c r="I45" a="1"/>
  <c r="I45" s="1"/>
  <c r="K41" a="1"/>
  <c r="K41" s="1"/>
  <c r="I37" a="1"/>
  <c r="I37" s="1"/>
  <c r="K8" a="1"/>
  <c r="K8" s="1"/>
  <c r="I38" a="1"/>
  <c r="I38" s="1"/>
  <c r="K40" a="1"/>
  <c r="K40" s="1"/>
  <c r="K39" a="1"/>
  <c r="K39" s="1"/>
  <c r="I44" a="1"/>
  <c r="I44" s="1"/>
  <c r="I36" a="1"/>
  <c r="I36" s="1"/>
  <c r="K37" a="1"/>
  <c r="K37" s="1"/>
  <c r="I34" a="1"/>
  <c r="I34" s="1"/>
  <c r="K38" a="1"/>
  <c r="K38" s="1"/>
  <c r="I43" a="1"/>
  <c r="I43" s="1"/>
  <c r="K44" a="1"/>
  <c r="K44" s="1"/>
  <c r="K46" a="1"/>
  <c r="K46" s="1"/>
  <c r="I47" a="1"/>
  <c r="I47" s="1"/>
  <c r="I48" a="1"/>
  <c r="I48" s="1"/>
  <c r="I49" a="1"/>
  <c r="I49" s="1"/>
  <c r="I50" a="1"/>
  <c r="I50" s="1"/>
  <c r="K50" a="1"/>
  <c r="K50" s="1"/>
  <c r="K47" a="1"/>
  <c r="K47" s="1"/>
  <c r="K48" a="1"/>
  <c r="K48" s="1"/>
  <c r="K49" a="1"/>
  <c r="K49" s="1"/>
  <c r="I6" a="1"/>
  <c r="I6" s="1"/>
  <c r="I31" a="1"/>
  <c r="I31" s="1"/>
  <c r="I32" a="1"/>
  <c r="I32" s="1"/>
  <c r="K6" a="1"/>
  <c r="K6" s="1"/>
  <c r="K31" a="1"/>
  <c r="K31" s="1"/>
  <c r="I5" a="1"/>
  <c r="I5" s="1"/>
  <c r="I7" a="1"/>
  <c r="I7" s="1"/>
  <c r="K5" a="1"/>
  <c r="K5" s="1"/>
  <c r="K7" a="1"/>
  <c r="K7" s="1"/>
  <c r="K32" a="1"/>
  <c r="K32" s="1"/>
  <c r="M197" i="34"/>
  <c r="G12" i="62" a="1"/>
  <c r="G12" s="1"/>
  <c r="G13" a="1"/>
  <c r="G13" s="1"/>
  <c r="G14" a="1"/>
  <c r="G14" s="1"/>
  <c r="G15" a="1"/>
  <c r="G15" s="1"/>
  <c r="I12" a="1"/>
  <c r="I12" s="1"/>
  <c r="I13" a="1"/>
  <c r="I13" s="1"/>
  <c r="I14" a="1"/>
  <c r="I14" s="1"/>
  <c r="I15" a="1"/>
  <c r="I15" s="1"/>
  <c r="B264" i="34"/>
  <c r="B263"/>
  <c r="B269"/>
  <c r="B265"/>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Q264" i="34" l="1"/>
  <c r="R264"/>
  <c r="S264"/>
  <c r="Q265"/>
  <c r="R265"/>
  <c r="S265"/>
  <c r="Q269"/>
  <c r="R269"/>
  <c r="S269"/>
  <c r="R263"/>
  <c r="S263"/>
  <c r="Q263"/>
  <c r="A265"/>
  <c r="A264"/>
  <c r="A269"/>
  <c r="A263"/>
  <c r="K20" i="62"/>
  <c r="M20"/>
  <c r="O39" i="45"/>
  <c r="K18" i="62"/>
  <c r="K16"/>
  <c r="M19"/>
  <c r="O42" i="45"/>
  <c r="M17" i="62"/>
  <c r="K17"/>
  <c r="M18"/>
  <c r="K19"/>
  <c r="M16"/>
  <c r="O35" i="45"/>
  <c r="M45"/>
  <c r="O48"/>
  <c r="O33"/>
  <c r="O46"/>
  <c r="M34"/>
  <c r="M36"/>
  <c r="M43"/>
  <c r="O38"/>
  <c r="O8"/>
  <c r="O47"/>
  <c r="O44"/>
  <c r="O37"/>
  <c r="O40"/>
  <c r="O41"/>
  <c r="M38"/>
  <c r="M8"/>
  <c r="M46"/>
  <c r="O34"/>
  <c r="M44"/>
  <c r="O43"/>
  <c r="M33"/>
  <c r="M37"/>
  <c r="M40"/>
  <c r="M41"/>
  <c r="M42"/>
  <c r="O36"/>
  <c r="O45"/>
  <c r="M39"/>
  <c r="M35"/>
  <c r="O49"/>
  <c r="O50"/>
  <c r="M50"/>
  <c r="M49"/>
  <c r="M48"/>
  <c r="M47"/>
  <c r="O31"/>
  <c r="O6"/>
  <c r="O32"/>
  <c r="M15" i="62"/>
  <c r="O7" i="45"/>
  <c r="O5"/>
  <c r="M5"/>
  <c r="M32"/>
  <c r="M31"/>
  <c r="M7"/>
  <c r="M6"/>
  <c r="M14" i="62"/>
  <c r="M13"/>
  <c r="M12"/>
  <c r="K14"/>
  <c r="K13"/>
  <c r="K12"/>
  <c r="K15"/>
  <c r="CB39" i="48"/>
  <c r="C1102" i="34" l="1"/>
  <c r="AD1102" s="1"/>
  <c r="C1110"/>
  <c r="AD1110" s="1"/>
  <c r="C1140"/>
  <c r="AD1140" s="1"/>
  <c r="C1178"/>
  <c r="AD1178" s="1"/>
  <c r="C1067"/>
  <c r="AD1067" s="1"/>
  <c r="A79" i="12"/>
  <c r="A6"/>
  <c r="A7"/>
  <c r="A8"/>
  <c r="A9"/>
  <c r="A10"/>
  <c r="A11"/>
  <c r="A12"/>
  <c r="A13"/>
  <c r="A14"/>
  <c r="A17"/>
  <c r="A18"/>
  <c r="A20"/>
  <c r="A21"/>
  <c r="A22"/>
  <c r="A23"/>
  <c r="A24"/>
  <c r="A25"/>
  <c r="A33"/>
  <c r="A35"/>
  <c r="A4"/>
  <c r="A36"/>
  <c r="A37"/>
  <c r="A69"/>
  <c r="A70"/>
  <c r="A50"/>
  <c r="A51"/>
  <c r="A27"/>
  <c r="A42"/>
  <c r="A60"/>
  <c r="A45"/>
  <c r="A41"/>
  <c r="A67"/>
  <c r="A53"/>
  <c r="A49"/>
  <c r="A56"/>
  <c r="A48"/>
  <c r="A57"/>
  <c r="A64"/>
  <c r="A40"/>
  <c r="A68"/>
  <c r="A5"/>
  <c r="C1590" i="34"/>
  <c r="AD1590" s="1"/>
  <c r="M630"/>
  <c r="C630"/>
  <c r="AD630" s="1"/>
  <c r="M631"/>
  <c r="C631"/>
  <c r="AD631" s="1"/>
  <c r="M629"/>
  <c r="C629"/>
  <c r="AD629" s="1"/>
  <c r="M628"/>
  <c r="C628"/>
  <c r="AD628" s="1"/>
  <c r="M627"/>
  <c r="C627"/>
  <c r="AD627" s="1"/>
  <c r="M626"/>
  <c r="C626"/>
  <c r="AD626" s="1"/>
  <c r="M625"/>
  <c r="C625"/>
  <c r="AD625" s="1"/>
  <c r="M624"/>
  <c r="C624"/>
  <c r="AD624" s="1"/>
  <c r="M623"/>
  <c r="C623"/>
  <c r="AD623" s="1"/>
  <c r="M622"/>
  <c r="C622"/>
  <c r="AD622" s="1"/>
  <c r="M621"/>
  <c r="C621"/>
  <c r="AD621" s="1"/>
  <c r="M620"/>
  <c r="C620"/>
  <c r="AD620" s="1"/>
  <c r="C1583"/>
  <c r="AD1583" s="1"/>
  <c r="C1584"/>
  <c r="AD1584" s="1"/>
  <c r="C1585"/>
  <c r="AD1585" s="1"/>
  <c r="C1586"/>
  <c r="AD1586" s="1"/>
  <c r="C1587"/>
  <c r="AD1587" s="1"/>
  <c r="C1588"/>
  <c r="AD1588" s="1"/>
  <c r="C1589"/>
  <c r="AD1589" s="1"/>
  <c r="C1582"/>
  <c r="AD1582" s="1"/>
  <c r="B1588" l="1"/>
  <c r="B623"/>
  <c r="B1583"/>
  <c r="B1140"/>
  <c r="B1582"/>
  <c r="B1586"/>
  <c r="B620"/>
  <c r="B622"/>
  <c r="B624"/>
  <c r="B626"/>
  <c r="B628"/>
  <c r="B1590"/>
  <c r="B1110"/>
  <c r="B1589"/>
  <c r="B1585"/>
  <c r="B1067"/>
  <c r="B1102"/>
  <c r="B621"/>
  <c r="B625"/>
  <c r="B627"/>
  <c r="B629"/>
  <c r="B630"/>
  <c r="B1178"/>
  <c r="B1584"/>
  <c r="B1587"/>
  <c r="B631"/>
  <c r="G60" i="55" a="1"/>
  <c r="G60" s="1"/>
  <c r="G61" a="1"/>
  <c r="G61" s="1"/>
  <c r="G62" a="1"/>
  <c r="G62" s="1"/>
  <c r="G63" a="1"/>
  <c r="G63" s="1"/>
  <c r="G74" a="1"/>
  <c r="G74" s="1"/>
  <c r="G75" a="1"/>
  <c r="G75" s="1"/>
  <c r="M610" i="34"/>
  <c r="M611"/>
  <c r="M612"/>
  <c r="M613"/>
  <c r="C610"/>
  <c r="AD610" s="1"/>
  <c r="C611"/>
  <c r="AD611" s="1"/>
  <c r="C612"/>
  <c r="AD612" s="1"/>
  <c r="C613"/>
  <c r="AD613" s="1"/>
  <c r="C599"/>
  <c r="AD599" s="1"/>
  <c r="C600"/>
  <c r="AD600" s="1"/>
  <c r="C601"/>
  <c r="AD601" s="1"/>
  <c r="C602"/>
  <c r="AD602" s="1"/>
  <c r="C603"/>
  <c r="AD603" s="1"/>
  <c r="C604"/>
  <c r="AD604" s="1"/>
  <c r="C605"/>
  <c r="AD605" s="1"/>
  <c r="C606"/>
  <c r="AD606" s="1"/>
  <c r="C607"/>
  <c r="AD607" s="1"/>
  <c r="C608"/>
  <c r="AD608" s="1"/>
  <c r="C598"/>
  <c r="AD598" s="1"/>
  <c r="M599"/>
  <c r="M600"/>
  <c r="M601"/>
  <c r="M602"/>
  <c r="M603"/>
  <c r="M604"/>
  <c r="M605"/>
  <c r="M606"/>
  <c r="M607"/>
  <c r="M598"/>
  <c r="M608"/>
  <c r="M406"/>
  <c r="C406"/>
  <c r="AD406" s="1"/>
  <c r="V21" i="60"/>
  <c r="V22"/>
  <c r="A57" i="55"/>
  <c r="B32"/>
  <c r="A32" s="1"/>
  <c r="B33"/>
  <c r="A33" s="1"/>
  <c r="B34"/>
  <c r="A34" s="1"/>
  <c r="B35"/>
  <c r="A35" s="1"/>
  <c r="B55"/>
  <c r="A55" s="1"/>
  <c r="B56"/>
  <c r="A56" s="1"/>
  <c r="B13"/>
  <c r="B14"/>
  <c r="B15"/>
  <c r="B16"/>
  <c r="B17"/>
  <c r="B18"/>
  <c r="B19"/>
  <c r="B20"/>
  <c r="A20" s="1"/>
  <c r="B23"/>
  <c r="A23" s="1"/>
  <c r="B24"/>
  <c r="A24" s="1"/>
  <c r="B25"/>
  <c r="A25" s="1"/>
  <c r="B26"/>
  <c r="A26" s="1"/>
  <c r="B27"/>
  <c r="A27" s="1"/>
  <c r="B28"/>
  <c r="A28" s="1"/>
  <c r="B29"/>
  <c r="A29" s="1"/>
  <c r="B30"/>
  <c r="A30" s="1"/>
  <c r="B31"/>
  <c r="A31" s="1"/>
  <c r="B12"/>
  <c r="G20" a="1"/>
  <c r="G20" s="1"/>
  <c r="I20" a="1"/>
  <c r="I20" s="1"/>
  <c r="G23" a="1"/>
  <c r="G23" s="1"/>
  <c r="I23" a="1"/>
  <c r="I23" s="1"/>
  <c r="G24" a="1"/>
  <c r="G24" s="1"/>
  <c r="I24" a="1"/>
  <c r="I24" s="1"/>
  <c r="G25" a="1"/>
  <c r="G25" s="1"/>
  <c r="I25" a="1"/>
  <c r="I25" s="1"/>
  <c r="V41" i="60"/>
  <c r="V40"/>
  <c r="V39"/>
  <c r="L29" s="1"/>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Q1584" i="34" l="1"/>
  <c r="R1584"/>
  <c r="S1584"/>
  <c r="S627"/>
  <c r="Q627"/>
  <c r="R627"/>
  <c r="S1067"/>
  <c r="Q1067"/>
  <c r="R1067"/>
  <c r="R1590"/>
  <c r="S1590"/>
  <c r="Q1590"/>
  <c r="Q622"/>
  <c r="R622"/>
  <c r="S622"/>
  <c r="Q1140"/>
  <c r="R1140"/>
  <c r="S1140"/>
  <c r="Q1178"/>
  <c r="R1178"/>
  <c r="S1178"/>
  <c r="Q625"/>
  <c r="R625"/>
  <c r="S625"/>
  <c r="S1585"/>
  <c r="Q1585"/>
  <c r="R1585"/>
  <c r="R628"/>
  <c r="S628"/>
  <c r="Q628"/>
  <c r="R620"/>
  <c r="S620"/>
  <c r="Q620"/>
  <c r="Q1583"/>
  <c r="R1583"/>
  <c r="S1583"/>
  <c r="S631"/>
  <c r="Q631"/>
  <c r="R631"/>
  <c r="Q630"/>
  <c r="S630"/>
  <c r="R630"/>
  <c r="Q621"/>
  <c r="R621"/>
  <c r="S621"/>
  <c r="S1589"/>
  <c r="Q1589"/>
  <c r="R1589"/>
  <c r="Q626"/>
  <c r="S626"/>
  <c r="R626"/>
  <c r="R1586"/>
  <c r="S1586"/>
  <c r="Q1586"/>
  <c r="S623"/>
  <c r="Q623"/>
  <c r="R623"/>
  <c r="Q1587"/>
  <c r="R1587"/>
  <c r="S1587"/>
  <c r="Q629"/>
  <c r="R629"/>
  <c r="S629"/>
  <c r="R1102"/>
  <c r="S1102"/>
  <c r="Q1102"/>
  <c r="S1110"/>
  <c r="Q1110"/>
  <c r="R1110"/>
  <c r="R624"/>
  <c r="S624"/>
  <c r="Q624"/>
  <c r="R1582"/>
  <c r="S1582"/>
  <c r="Q1582"/>
  <c r="Q1588"/>
  <c r="R1588"/>
  <c r="S1588"/>
  <c r="A1584"/>
  <c r="A627"/>
  <c r="A1067"/>
  <c r="A1590"/>
  <c r="A622"/>
  <c r="A1140"/>
  <c r="A1178"/>
  <c r="A625"/>
  <c r="A1585"/>
  <c r="A628"/>
  <c r="A620"/>
  <c r="A1583"/>
  <c r="A631"/>
  <c r="A630"/>
  <c r="A621"/>
  <c r="A1589"/>
  <c r="A626"/>
  <c r="A1586"/>
  <c r="A623"/>
  <c r="A1587"/>
  <c r="A629"/>
  <c r="A1102"/>
  <c r="A1110"/>
  <c r="A624"/>
  <c r="A1582"/>
  <c r="A1588"/>
  <c r="L7" i="60"/>
  <c r="L9"/>
  <c r="L8"/>
  <c r="B598" i="34"/>
  <c r="B605"/>
  <c r="B601"/>
  <c r="B612"/>
  <c r="B608"/>
  <c r="B604"/>
  <c r="B600"/>
  <c r="B611"/>
  <c r="B607"/>
  <c r="B603"/>
  <c r="B599"/>
  <c r="B610"/>
  <c r="B406"/>
  <c r="B606"/>
  <c r="B602"/>
  <c r="B613"/>
  <c r="V38" i="60"/>
  <c r="V17"/>
  <c r="K25" i="55"/>
  <c r="K24"/>
  <c r="K23"/>
  <c r="K20"/>
  <c r="R603" i="34" l="1"/>
  <c r="S603"/>
  <c r="Q603"/>
  <c r="Q406"/>
  <c r="R406"/>
  <c r="S406"/>
  <c r="R607"/>
  <c r="S607"/>
  <c r="Q607"/>
  <c r="Q608"/>
  <c r="R608"/>
  <c r="S608"/>
  <c r="S598"/>
  <c r="Q598"/>
  <c r="R598"/>
  <c r="Q604"/>
  <c r="R604"/>
  <c r="S604"/>
  <c r="Q613"/>
  <c r="R613"/>
  <c r="S613"/>
  <c r="Q610"/>
  <c r="R610"/>
  <c r="S610"/>
  <c r="S611"/>
  <c r="Q611"/>
  <c r="R611"/>
  <c r="R612"/>
  <c r="S612"/>
  <c r="Q612"/>
  <c r="Q605"/>
  <c r="R605"/>
  <c r="S605"/>
  <c r="S602"/>
  <c r="Q602"/>
  <c r="R602"/>
  <c r="R599"/>
  <c r="S599"/>
  <c r="Q599"/>
  <c r="Q600"/>
  <c r="R600"/>
  <c r="S600"/>
  <c r="Q601"/>
  <c r="R601"/>
  <c r="S601"/>
  <c r="S606"/>
  <c r="Q606"/>
  <c r="R606"/>
  <c r="A606"/>
  <c r="A604"/>
  <c r="A406"/>
  <c r="A607"/>
  <c r="A608"/>
  <c r="A598"/>
  <c r="A613"/>
  <c r="A610"/>
  <c r="A611"/>
  <c r="A612"/>
  <c r="A602"/>
  <c r="A599"/>
  <c r="A600"/>
  <c r="A601"/>
  <c r="A603"/>
  <c r="A605"/>
  <c r="M20"/>
  <c r="M18"/>
  <c r="M19"/>
  <c r="M16"/>
  <c r="M17"/>
  <c r="M10" l="1"/>
  <c r="AD11"/>
  <c r="C12"/>
  <c r="AD12" s="1"/>
  <c r="C13"/>
  <c r="AD13" s="1"/>
  <c r="C14"/>
  <c r="AD14" s="1"/>
  <c r="C15"/>
  <c r="AD15" s="1"/>
  <c r="C21"/>
  <c r="AD21" s="1"/>
  <c r="C16"/>
  <c r="AD16" s="1"/>
  <c r="C17"/>
  <c r="AD17" s="1"/>
  <c r="C18"/>
  <c r="AD18" s="1"/>
  <c r="C19"/>
  <c r="AD19" s="1"/>
  <c r="C20"/>
  <c r="AD20" s="1"/>
  <c r="C10"/>
  <c r="AD10" s="1"/>
  <c r="E195"/>
  <c r="AA195" s="1"/>
  <c r="B20" l="1"/>
  <c r="A20" s="1"/>
  <c r="B18"/>
  <c r="A18" s="1"/>
  <c r="B17"/>
  <c r="A17" s="1"/>
  <c r="B16"/>
  <c r="A16" s="1"/>
  <c r="B19"/>
  <c r="A19" s="1"/>
  <c r="R20" l="1"/>
  <c r="S20"/>
  <c r="Q20"/>
  <c r="R16"/>
  <c r="S16"/>
  <c r="Q16"/>
  <c r="Q18"/>
  <c r="R18"/>
  <c r="S18"/>
  <c r="S19"/>
  <c r="Q19"/>
  <c r="R19"/>
  <c r="Q17"/>
  <c r="R17"/>
  <c r="S17"/>
  <c r="G7" i="57"/>
  <c r="D84" i="12"/>
  <c r="I126" i="42" l="1"/>
  <c r="G129" i="43"/>
  <c r="T9" l="1"/>
  <c r="T8"/>
  <c r="D77" i="15" l="1"/>
  <c r="C77"/>
  <c r="C23"/>
  <c r="D23"/>
  <c r="C35"/>
  <c r="D35"/>
  <c r="D32"/>
  <c r="C32"/>
  <c r="C53"/>
  <c r="D53"/>
  <c r="D58" l="1"/>
  <c r="L1150"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V316" i="60"/>
  <c r="V315"/>
  <c r="V314"/>
  <c r="V313"/>
  <c r="V312"/>
  <c r="V311"/>
  <c r="V310"/>
  <c r="W309"/>
  <c r="V307"/>
  <c r="V306"/>
  <c r="V305"/>
  <c r="O305"/>
  <c r="L305"/>
  <c r="E305"/>
  <c r="V304"/>
  <c r="A304"/>
  <c r="V303"/>
  <c r="C303"/>
  <c r="D303" s="1"/>
  <c r="G303" s="1"/>
  <c r="A303"/>
  <c r="V302"/>
  <c r="C302"/>
  <c r="D302" s="1"/>
  <c r="G302" s="1"/>
  <c r="A302"/>
  <c r="V301"/>
  <c r="C301"/>
  <c r="D301" s="1"/>
  <c r="G301" s="1"/>
  <c r="A301"/>
  <c r="V300"/>
  <c r="C300"/>
  <c r="D300" s="1"/>
  <c r="G300" s="1"/>
  <c r="A300"/>
  <c r="V299"/>
  <c r="C299"/>
  <c r="D299" s="1"/>
  <c r="G299" s="1"/>
  <c r="A299"/>
  <c r="V298"/>
  <c r="M305"/>
  <c r="C298"/>
  <c r="D298" s="1"/>
  <c r="A298"/>
  <c r="V290"/>
  <c r="L278" s="1"/>
  <c r="V289"/>
  <c r="L277" s="1"/>
  <c r="V288"/>
  <c r="L276" s="1"/>
  <c r="V287"/>
  <c r="L275" s="1"/>
  <c r="V286"/>
  <c r="L274" s="1"/>
  <c r="V285"/>
  <c r="W284"/>
  <c r="V282"/>
  <c r="V281"/>
  <c r="V280"/>
  <c r="O280"/>
  <c r="N280"/>
  <c r="E280"/>
  <c r="V279"/>
  <c r="A279"/>
  <c r="V278"/>
  <c r="P278"/>
  <c r="D278"/>
  <c r="G278" s="1"/>
  <c r="A278"/>
  <c r="V277"/>
  <c r="P277"/>
  <c r="C277"/>
  <c r="D277" s="1"/>
  <c r="G277" s="1"/>
  <c r="A277"/>
  <c r="V276"/>
  <c r="P276"/>
  <c r="C276"/>
  <c r="D276" s="1"/>
  <c r="G276" s="1"/>
  <c r="A276"/>
  <c r="V275"/>
  <c r="P275"/>
  <c r="C275"/>
  <c r="D275" s="1"/>
  <c r="G275" s="1"/>
  <c r="A275"/>
  <c r="V274"/>
  <c r="P274"/>
  <c r="C274"/>
  <c r="D274" s="1"/>
  <c r="G274" s="1"/>
  <c r="A274"/>
  <c r="V273"/>
  <c r="P273"/>
  <c r="M280"/>
  <c r="A273"/>
  <c r="V265"/>
  <c r="V264"/>
  <c r="V263"/>
  <c r="V262"/>
  <c r="V261"/>
  <c r="V260"/>
  <c r="V259"/>
  <c r="W252"/>
  <c r="V250"/>
  <c r="V249"/>
  <c r="V248"/>
  <c r="O248"/>
  <c r="L248"/>
  <c r="E248"/>
  <c r="V247"/>
  <c r="A247"/>
  <c r="V246"/>
  <c r="C246"/>
  <c r="D246" s="1"/>
  <c r="G246" s="1"/>
  <c r="V245"/>
  <c r="C245"/>
  <c r="D245" s="1"/>
  <c r="G245" s="1"/>
  <c r="V244"/>
  <c r="C244"/>
  <c r="D244" s="1"/>
  <c r="G244" s="1"/>
  <c r="V243"/>
  <c r="C243"/>
  <c r="D243" s="1"/>
  <c r="G243" s="1"/>
  <c r="V238"/>
  <c r="M248"/>
  <c r="D238"/>
  <c r="G238" s="1"/>
  <c r="V237"/>
  <c r="D237"/>
  <c r="A237"/>
  <c r="A238" s="1"/>
  <c r="A239" s="1"/>
  <c r="A240" s="1"/>
  <c r="V228"/>
  <c r="V227"/>
  <c r="V219"/>
  <c r="V218"/>
  <c r="V217"/>
  <c r="W216"/>
  <c r="V214"/>
  <c r="V213"/>
  <c r="V212"/>
  <c r="V211"/>
  <c r="O211"/>
  <c r="L211"/>
  <c r="E211"/>
  <c r="V210"/>
  <c r="V209"/>
  <c r="C209"/>
  <c r="D209" s="1"/>
  <c r="G209" s="1"/>
  <c r="V208"/>
  <c r="C208"/>
  <c r="D208" s="1"/>
  <c r="G208" s="1"/>
  <c r="V207"/>
  <c r="D207"/>
  <c r="G207" s="1"/>
  <c r="V203"/>
  <c r="G203"/>
  <c r="V202"/>
  <c r="M211"/>
  <c r="D202"/>
  <c r="V186"/>
  <c r="V185"/>
  <c r="V184"/>
  <c r="L174" s="1"/>
  <c r="V183"/>
  <c r="L173" s="1"/>
  <c r="V181"/>
  <c r="L171" s="1"/>
  <c r="V180"/>
  <c r="L170" s="1"/>
  <c r="V179"/>
  <c r="L169" s="1"/>
  <c r="W178"/>
  <c r="O176"/>
  <c r="E176"/>
  <c r="C175"/>
  <c r="A175"/>
  <c r="V176"/>
  <c r="A169"/>
  <c r="A170" s="1"/>
  <c r="A171" s="1"/>
  <c r="A172" s="1"/>
  <c r="A173" s="1"/>
  <c r="A174" s="1"/>
  <c r="V163"/>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L90" s="1"/>
  <c r="W95"/>
  <c r="A92"/>
  <c r="D87"/>
  <c r="G87" s="1"/>
  <c r="V86"/>
  <c r="D86"/>
  <c r="D93" s="1"/>
  <c r="A86"/>
  <c r="A87" s="1"/>
  <c r="A88" s="1"/>
  <c r="A89" s="1"/>
  <c r="A90" s="1"/>
  <c r="V80"/>
  <c r="V79"/>
  <c r="V78"/>
  <c r="V77"/>
  <c r="W76"/>
  <c r="O72"/>
  <c r="V69"/>
  <c r="V68"/>
  <c r="M72"/>
  <c r="A68"/>
  <c r="A69" s="1"/>
  <c r="V62"/>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31" i="57"/>
  <c r="L13"/>
  <c r="K13"/>
  <c r="I7"/>
  <c r="A27" i="56"/>
  <c r="A12"/>
  <c r="D7"/>
  <c r="C7"/>
  <c r="D5"/>
  <c r="A107" i="55"/>
  <c r="F106"/>
  <c r="F107" s="1"/>
  <c r="A106"/>
  <c r="I76" a="1"/>
  <c r="I76" s="1"/>
  <c r="G76" a="1"/>
  <c r="G76" s="1"/>
  <c r="I75" a="1"/>
  <c r="I75" s="1"/>
  <c r="I74" a="1"/>
  <c r="I74" s="1"/>
  <c r="B74"/>
  <c r="B75" s="1"/>
  <c r="F73"/>
  <c r="A72"/>
  <c r="I63" a="1"/>
  <c r="I63" s="1"/>
  <c r="I62" a="1"/>
  <c r="I62" s="1"/>
  <c r="I61" a="1"/>
  <c r="I61" s="1"/>
  <c r="I60" a="1"/>
  <c r="I60" s="1"/>
  <c r="I59" a="1"/>
  <c r="I59" s="1"/>
  <c r="G59" a="1"/>
  <c r="G59" s="1"/>
  <c r="G72" s="1"/>
  <c r="B59"/>
  <c r="A59" s="1"/>
  <c r="F58"/>
  <c r="I51" a="1"/>
  <c r="I51" s="1"/>
  <c r="G51" a="1"/>
  <c r="G51" s="1"/>
  <c r="I36" a="1"/>
  <c r="I36" s="1"/>
  <c r="G36" a="1"/>
  <c r="G36" s="1"/>
  <c r="I41" a="1"/>
  <c r="I41" s="1"/>
  <c r="G41" a="1"/>
  <c r="G41" s="1"/>
  <c r="I46" a="1"/>
  <c r="I46" s="1"/>
  <c r="G46" a="1"/>
  <c r="G46" s="1"/>
  <c r="I34" a="1"/>
  <c r="I34" s="1"/>
  <c r="G34" a="1"/>
  <c r="G34" s="1"/>
  <c r="I33" a="1"/>
  <c r="I33" s="1"/>
  <c r="G33" a="1"/>
  <c r="G33" s="1"/>
  <c r="I29" a="1"/>
  <c r="I29" s="1"/>
  <c r="G29" a="1"/>
  <c r="G29" s="1"/>
  <c r="I28" a="1"/>
  <c r="I28" s="1"/>
  <c r="G28" a="1"/>
  <c r="G28" s="1"/>
  <c r="I27" a="1"/>
  <c r="I27" s="1"/>
  <c r="G27" a="1"/>
  <c r="G27" s="1"/>
  <c r="I26" a="1"/>
  <c r="I26" s="1"/>
  <c r="G26" a="1"/>
  <c r="G26"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L13" i="54"/>
  <c r="L18" s="1"/>
  <c r="A31" i="52"/>
  <c r="N16"/>
  <c r="M16"/>
  <c r="L16"/>
  <c r="K16"/>
  <c r="J9"/>
  <c r="A8"/>
  <c r="H52" i="45"/>
  <c r="F52"/>
  <c r="K29"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J13" i="14"/>
  <c r="I13"/>
  <c r="A114" i="63"/>
  <c r="F22" i="62"/>
  <c r="E22"/>
  <c r="D22"/>
  <c r="D24" s="1"/>
  <c r="C22"/>
  <c r="I11" a="1"/>
  <c r="I11" s="1"/>
  <c r="G11" a="1"/>
  <c r="G11" s="1"/>
  <c r="I10" a="1"/>
  <c r="I10" s="1"/>
  <c r="G10" a="1"/>
  <c r="G10" s="1"/>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1147" i="34"/>
  <c r="M1146"/>
  <c r="M1058"/>
  <c r="M1028"/>
  <c r="M1145"/>
  <c r="M1144"/>
  <c r="M1135"/>
  <c r="M1121"/>
  <c r="M1118"/>
  <c r="M1114"/>
  <c r="M1113"/>
  <c r="M1075"/>
  <c r="M1064"/>
  <c r="M1063"/>
  <c r="M1048"/>
  <c r="M1047"/>
  <c r="M1046"/>
  <c r="M1045"/>
  <c r="M1054"/>
  <c r="M1141"/>
  <c r="M1131"/>
  <c r="M1120"/>
  <c r="M1116"/>
  <c r="M1074"/>
  <c r="M261"/>
  <c r="C261"/>
  <c r="AD261" s="1"/>
  <c r="M260"/>
  <c r="C260"/>
  <c r="AD260" s="1"/>
  <c r="M259"/>
  <c r="C259"/>
  <c r="AD259" s="1"/>
  <c r="M258"/>
  <c r="C258"/>
  <c r="AD258" s="1"/>
  <c r="M257"/>
  <c r="C257"/>
  <c r="AD257" s="1"/>
  <c r="M256"/>
  <c r="C256"/>
  <c r="AD256" s="1"/>
  <c r="C255"/>
  <c r="AD255" s="1"/>
  <c r="M619"/>
  <c r="C619"/>
  <c r="AD619" s="1"/>
  <c r="M618"/>
  <c r="C618"/>
  <c r="AD618" s="1"/>
  <c r="M617"/>
  <c r="C617"/>
  <c r="AD617" s="1"/>
  <c r="M616"/>
  <c r="C616"/>
  <c r="AD616" s="1"/>
  <c r="M615"/>
  <c r="C615"/>
  <c r="AD615" s="1"/>
  <c r="M614"/>
  <c r="C614"/>
  <c r="AD614" s="1"/>
  <c r="M408"/>
  <c r="C408"/>
  <c r="AD408" s="1"/>
  <c r="M407"/>
  <c r="C407"/>
  <c r="AD407" s="1"/>
  <c r="M405"/>
  <c r="C405"/>
  <c r="AD405" s="1"/>
  <c r="M404"/>
  <c r="C404"/>
  <c r="AD404" s="1"/>
  <c r="M403"/>
  <c r="C403"/>
  <c r="AD403" s="1"/>
  <c r="C402"/>
  <c r="AD402" s="1"/>
  <c r="M401"/>
  <c r="C401"/>
  <c r="AD401" s="1"/>
  <c r="M400"/>
  <c r="C400"/>
  <c r="AD400" s="1"/>
  <c r="M399"/>
  <c r="C399"/>
  <c r="AD399" s="1"/>
  <c r="M398"/>
  <c r="C398"/>
  <c r="AD398" s="1"/>
  <c r="M397"/>
  <c r="C397"/>
  <c r="AD397" s="1"/>
  <c r="M396"/>
  <c r="C396"/>
  <c r="AD396" s="1"/>
  <c r="C395"/>
  <c r="AD395" s="1"/>
  <c r="C394"/>
  <c r="AD394" s="1"/>
  <c r="C393"/>
  <c r="AD393" s="1"/>
  <c r="C392"/>
  <c r="AD392" s="1"/>
  <c r="C391"/>
  <c r="AD391" s="1"/>
  <c r="C390"/>
  <c r="AD390" s="1"/>
  <c r="C389"/>
  <c r="AD389" s="1"/>
  <c r="C388"/>
  <c r="AD388" s="1"/>
  <c r="C387"/>
  <c r="AD387" s="1"/>
  <c r="C386"/>
  <c r="AD386" s="1"/>
  <c r="C385"/>
  <c r="AD385" s="1"/>
  <c r="C384"/>
  <c r="AD384" s="1"/>
  <c r="C383"/>
  <c r="AD383" s="1"/>
  <c r="C382"/>
  <c r="AD382" s="1"/>
  <c r="C381"/>
  <c r="AD381" s="1"/>
  <c r="C380"/>
  <c r="AD380" s="1"/>
  <c r="M1143"/>
  <c r="C1143"/>
  <c r="AD1143" s="1"/>
  <c r="M1142"/>
  <c r="C1142"/>
  <c r="AD1142" s="1"/>
  <c r="M1134"/>
  <c r="C1134"/>
  <c r="AD1134" s="1"/>
  <c r="M1133"/>
  <c r="C1133"/>
  <c r="AD1133" s="1"/>
  <c r="M1132"/>
  <c r="C1132"/>
  <c r="AD1132" s="1"/>
  <c r="E27"/>
  <c r="AA27" s="1"/>
  <c r="E26"/>
  <c r="AA26" s="1"/>
  <c r="E25"/>
  <c r="AA25" s="1"/>
  <c r="E196"/>
  <c r="AA196" s="1"/>
  <c r="B21"/>
  <c r="B15"/>
  <c r="A15" s="1"/>
  <c r="B14"/>
  <c r="B13"/>
  <c r="B12"/>
  <c r="B11"/>
  <c r="AC10"/>
  <c r="AA10"/>
  <c r="Y10"/>
  <c r="W10"/>
  <c r="P10"/>
  <c r="B10"/>
  <c r="A10" s="1"/>
  <c r="X7"/>
  <c r="D56" i="15"/>
  <c r="C56"/>
  <c r="C12" i="61"/>
  <c r="H12"/>
  <c r="X3103" i="34" l="1"/>
  <c r="X3104"/>
  <c r="X3082"/>
  <c r="X3083"/>
  <c r="X253"/>
  <c r="X3102"/>
  <c r="X251"/>
  <c r="X252"/>
  <c r="X2867"/>
  <c r="X2866"/>
  <c r="X2854"/>
  <c r="X2862"/>
  <c r="X2860"/>
  <c r="X2861"/>
  <c r="X2848"/>
  <c r="X2847"/>
  <c r="X2842"/>
  <c r="X2841"/>
  <c r="X2840"/>
  <c r="X2839"/>
  <c r="X2826"/>
  <c r="X2827"/>
  <c r="X2774"/>
  <c r="X2773"/>
  <c r="X2765"/>
  <c r="X2763"/>
  <c r="X2755"/>
  <c r="X2754"/>
  <c r="X2741"/>
  <c r="X2749"/>
  <c r="X2748"/>
  <c r="X1011"/>
  <c r="X2740"/>
  <c r="X1003"/>
  <c r="X1007"/>
  <c r="X995"/>
  <c r="X999"/>
  <c r="X987"/>
  <c r="X991"/>
  <c r="X979"/>
  <c r="X983"/>
  <c r="X971"/>
  <c r="X975"/>
  <c r="X1580"/>
  <c r="X1015"/>
  <c r="X1014"/>
  <c r="X1013"/>
  <c r="X1012"/>
  <c r="X1010"/>
  <c r="X1009"/>
  <c r="X1008"/>
  <c r="X1006"/>
  <c r="X1005"/>
  <c r="X3099"/>
  <c r="X3058"/>
  <c r="X3056"/>
  <c r="X3055"/>
  <c r="X2918"/>
  <c r="X3098"/>
  <c r="X3060"/>
  <c r="X3059"/>
  <c r="X3057"/>
  <c r="X3101"/>
  <c r="X1709"/>
  <c r="X1707"/>
  <c r="X1694"/>
  <c r="X1705"/>
  <c r="X1710"/>
  <c r="X1708"/>
  <c r="X1695"/>
  <c r="X1706"/>
  <c r="X1704"/>
  <c r="X1692"/>
  <c r="X1699"/>
  <c r="X1697"/>
  <c r="X1691"/>
  <c r="X1689"/>
  <c r="X1702"/>
  <c r="X1688"/>
  <c r="X1686"/>
  <c r="X1675"/>
  <c r="X1685"/>
  <c r="X1673"/>
  <c r="X1693"/>
  <c r="X1700"/>
  <c r="X1698"/>
  <c r="X1696"/>
  <c r="X1690"/>
  <c r="X1703"/>
  <c r="X1701"/>
  <c r="X1687"/>
  <c r="X1676"/>
  <c r="X1674"/>
  <c r="X1684"/>
  <c r="X54"/>
  <c r="X52"/>
  <c r="X53"/>
  <c r="X51"/>
  <c r="X49"/>
  <c r="X50"/>
  <c r="X194"/>
  <c r="X192"/>
  <c r="X190"/>
  <c r="X188"/>
  <c r="X186"/>
  <c r="X184"/>
  <c r="X182"/>
  <c r="X193"/>
  <c r="X191"/>
  <c r="X189"/>
  <c r="X187"/>
  <c r="X185"/>
  <c r="X183"/>
  <c r="X181"/>
  <c r="X180"/>
  <c r="X179"/>
  <c r="X178"/>
  <c r="X177"/>
  <c r="X176"/>
  <c r="X175"/>
  <c r="X174"/>
  <c r="X173"/>
  <c r="X172"/>
  <c r="X171"/>
  <c r="X170"/>
  <c r="X169"/>
  <c r="X168"/>
  <c r="X167"/>
  <c r="X934"/>
  <c r="X920"/>
  <c r="X935"/>
  <c r="X933"/>
  <c r="X932"/>
  <c r="X931"/>
  <c r="X919"/>
  <c r="X918"/>
  <c r="X917"/>
  <c r="X916"/>
  <c r="X962"/>
  <c r="X1002"/>
  <c r="X1001"/>
  <c r="X1000"/>
  <c r="X998"/>
  <c r="X997"/>
  <c r="X996"/>
  <c r="X994"/>
  <c r="X993"/>
  <c r="X992"/>
  <c r="X990"/>
  <c r="X989"/>
  <c r="X988"/>
  <c r="X986"/>
  <c r="X985"/>
  <c r="X984"/>
  <c r="X953"/>
  <c r="X958"/>
  <c r="X944"/>
  <c r="X949"/>
  <c r="X930"/>
  <c r="X940"/>
  <c r="X925"/>
  <c r="X967"/>
  <c r="X976"/>
  <c r="X982"/>
  <c r="X981"/>
  <c r="X980"/>
  <c r="X978"/>
  <c r="X977"/>
  <c r="X974"/>
  <c r="X972"/>
  <c r="X970"/>
  <c r="X969"/>
  <c r="X968"/>
  <c r="X966"/>
  <c r="X965"/>
  <c r="X964"/>
  <c r="X959"/>
  <c r="X957"/>
  <c r="X956"/>
  <c r="X955"/>
  <c r="X954"/>
  <c r="X963"/>
  <c r="X961"/>
  <c r="X960"/>
  <c r="X952"/>
  <c r="X951"/>
  <c r="X950"/>
  <c r="X948"/>
  <c r="X946"/>
  <c r="X943"/>
  <c r="X947"/>
  <c r="X945"/>
  <c r="X911"/>
  <c r="X915"/>
  <c r="X907"/>
  <c r="X903"/>
  <c r="X899"/>
  <c r="X895"/>
  <c r="X885"/>
  <c r="X889"/>
  <c r="X880"/>
  <c r="X881"/>
  <c r="X879"/>
  <c r="X878"/>
  <c r="X877"/>
  <c r="X876"/>
  <c r="X875"/>
  <c r="X874"/>
  <c r="X872"/>
  <c r="X873"/>
  <c r="X871"/>
  <c r="X870"/>
  <c r="X867"/>
  <c r="X869"/>
  <c r="X868"/>
  <c r="X910"/>
  <c r="X909"/>
  <c r="X908"/>
  <c r="X902"/>
  <c r="X901"/>
  <c r="X900"/>
  <c r="X894"/>
  <c r="X893"/>
  <c r="X892"/>
  <c r="X888"/>
  <c r="X887"/>
  <c r="X886"/>
  <c r="X866"/>
  <c r="X862"/>
  <c r="X860"/>
  <c r="X857"/>
  <c r="X852"/>
  <c r="X1016"/>
  <c r="X841"/>
  <c r="X973"/>
  <c r="X941"/>
  <c r="X938"/>
  <c r="X936"/>
  <c r="X928"/>
  <c r="X926"/>
  <c r="X923"/>
  <c r="X921"/>
  <c r="X914"/>
  <c r="X912"/>
  <c r="X905"/>
  <c r="X898"/>
  <c r="X896"/>
  <c r="X890"/>
  <c r="X883"/>
  <c r="X864"/>
  <c r="X858"/>
  <c r="X855"/>
  <c r="X853"/>
  <c r="X851"/>
  <c r="X849"/>
  <c r="X847"/>
  <c r="X845"/>
  <c r="X843"/>
  <c r="X840"/>
  <c r="X838"/>
  <c r="X1004"/>
  <c r="X942"/>
  <c r="X939"/>
  <c r="X937"/>
  <c r="X929"/>
  <c r="X927"/>
  <c r="X924"/>
  <c r="X922"/>
  <c r="X913"/>
  <c r="X906"/>
  <c r="X904"/>
  <c r="X897"/>
  <c r="X891"/>
  <c r="X884"/>
  <c r="X882"/>
  <c r="X865"/>
  <c r="X863"/>
  <c r="X861"/>
  <c r="X859"/>
  <c r="X856"/>
  <c r="X854"/>
  <c r="X850"/>
  <c r="X848"/>
  <c r="X846"/>
  <c r="X844"/>
  <c r="X842"/>
  <c r="X839"/>
  <c r="X581"/>
  <c r="X597"/>
  <c r="X595"/>
  <c r="X593"/>
  <c r="X591"/>
  <c r="X589"/>
  <c r="X587"/>
  <c r="X585"/>
  <c r="X583"/>
  <c r="X596"/>
  <c r="X594"/>
  <c r="X592"/>
  <c r="X590"/>
  <c r="X588"/>
  <c r="X586"/>
  <c r="X584"/>
  <c r="X582"/>
  <c r="X579"/>
  <c r="X578"/>
  <c r="X580"/>
  <c r="X576"/>
  <c r="X574"/>
  <c r="X572"/>
  <c r="X570"/>
  <c r="X568"/>
  <c r="X566"/>
  <c r="X564"/>
  <c r="X577"/>
  <c r="X575"/>
  <c r="X573"/>
  <c r="X571"/>
  <c r="X569"/>
  <c r="X567"/>
  <c r="X565"/>
  <c r="X563"/>
  <c r="X562"/>
  <c r="X3079"/>
  <c r="X3081"/>
  <c r="X3078"/>
  <c r="X3100"/>
  <c r="X3080"/>
  <c r="X2497"/>
  <c r="X2475"/>
  <c r="X2515"/>
  <c r="X2000"/>
  <c r="X2314"/>
  <c r="X1576"/>
  <c r="X2198"/>
  <c r="X1962"/>
  <c r="X2037"/>
  <c r="X2259"/>
  <c r="X2313"/>
  <c r="X2332"/>
  <c r="X2274"/>
  <c r="X2350"/>
  <c r="X1821"/>
  <c r="X1828"/>
  <c r="X1829"/>
  <c r="X1561"/>
  <c r="X2036"/>
  <c r="X2174"/>
  <c r="X1834"/>
  <c r="X1822"/>
  <c r="X1835"/>
  <c r="X1961"/>
  <c r="X1989"/>
  <c r="X1234"/>
  <c r="X1313"/>
  <c r="X1418"/>
  <c r="X1552"/>
  <c r="X1553"/>
  <c r="X1554"/>
  <c r="X1233"/>
  <c r="X1183"/>
  <c r="X1278"/>
  <c r="X1344"/>
  <c r="X1726"/>
  <c r="X1727"/>
  <c r="X1662"/>
  <c r="X1182"/>
  <c r="X2816"/>
  <c r="X2605"/>
  <c r="X2686"/>
  <c r="X2224"/>
  <c r="X2331"/>
  <c r="X1947"/>
  <c r="X1169"/>
  <c r="X1291"/>
  <c r="X1658"/>
  <c r="X1656"/>
  <c r="X1654"/>
  <c r="X1652"/>
  <c r="X1650"/>
  <c r="X1659"/>
  <c r="X1657"/>
  <c r="X1655"/>
  <c r="X1653"/>
  <c r="X1651"/>
  <c r="X1649"/>
  <c r="X1670"/>
  <c r="X1668"/>
  <c r="X1666"/>
  <c r="X1664"/>
  <c r="X1661"/>
  <c r="X1671"/>
  <c r="X1669"/>
  <c r="X1667"/>
  <c r="X1665"/>
  <c r="X1663"/>
  <c r="X1660"/>
  <c r="X1640"/>
  <c r="X1638"/>
  <c r="X1636"/>
  <c r="X1634"/>
  <c r="X1641"/>
  <c r="X1639"/>
  <c r="X1637"/>
  <c r="X1635"/>
  <c r="X1633"/>
  <c r="X1677"/>
  <c r="X1647"/>
  <c r="X1645"/>
  <c r="X1643"/>
  <c r="X1678"/>
  <c r="X1648"/>
  <c r="X1646"/>
  <c r="X1644"/>
  <c r="X1642"/>
  <c r="X1614"/>
  <c r="X1612"/>
  <c r="X1610"/>
  <c r="X1608"/>
  <c r="X1606"/>
  <c r="X1604"/>
  <c r="X1615"/>
  <c r="X1613"/>
  <c r="X1611"/>
  <c r="X1609"/>
  <c r="X1607"/>
  <c r="X1605"/>
  <c r="X1603"/>
  <c r="X1627"/>
  <c r="X1625"/>
  <c r="X1623"/>
  <c r="X1621"/>
  <c r="X1619"/>
  <c r="X1617"/>
  <c r="X1628"/>
  <c r="X1626"/>
  <c r="X1624"/>
  <c r="X1622"/>
  <c r="X1620"/>
  <c r="X1618"/>
  <c r="X1616"/>
  <c r="X1630"/>
  <c r="X1602"/>
  <c r="X1600"/>
  <c r="X1598"/>
  <c r="X1631"/>
  <c r="X1629"/>
  <c r="X1601"/>
  <c r="X1599"/>
  <c r="X1597"/>
  <c r="X1596"/>
  <c r="X1681"/>
  <c r="X1682"/>
  <c r="X1680"/>
  <c r="X1632"/>
  <c r="X1679"/>
  <c r="X835"/>
  <c r="X833"/>
  <c r="X834"/>
  <c r="X824"/>
  <c r="X828"/>
  <c r="X832"/>
  <c r="X827"/>
  <c r="X831"/>
  <c r="X826"/>
  <c r="X830"/>
  <c r="X825"/>
  <c r="X829"/>
  <c r="X644"/>
  <c r="X640"/>
  <c r="X636"/>
  <c r="X650"/>
  <c r="X648"/>
  <c r="X645"/>
  <c r="X641"/>
  <c r="X637"/>
  <c r="X646"/>
  <c r="X642"/>
  <c r="X638"/>
  <c r="X649"/>
  <c r="X647"/>
  <c r="X643"/>
  <c r="X639"/>
  <c r="X635"/>
  <c r="X685"/>
  <c r="X684"/>
  <c r="X676"/>
  <c r="X673"/>
  <c r="X677"/>
  <c r="X674"/>
  <c r="X675"/>
  <c r="X672"/>
  <c r="X681"/>
  <c r="X679"/>
  <c r="X687"/>
  <c r="X682"/>
  <c r="X680"/>
  <c r="X683"/>
  <c r="X686"/>
  <c r="X678"/>
  <c r="X338"/>
  <c r="X669"/>
  <c r="X267"/>
  <c r="X337"/>
  <c r="X609"/>
  <c r="X262"/>
  <c r="X377"/>
  <c r="X375"/>
  <c r="X373"/>
  <c r="X371"/>
  <c r="X369"/>
  <c r="X376"/>
  <c r="X374"/>
  <c r="X372"/>
  <c r="X370"/>
  <c r="X368"/>
  <c r="X367"/>
  <c r="X365"/>
  <c r="X363"/>
  <c r="X362"/>
  <c r="X360"/>
  <c r="X358"/>
  <c r="X366"/>
  <c r="X364"/>
  <c r="X361"/>
  <c r="X359"/>
  <c r="X2830"/>
  <c r="X347"/>
  <c r="X345"/>
  <c r="X379"/>
  <c r="X357"/>
  <c r="X355"/>
  <c r="X353"/>
  <c r="X351"/>
  <c r="X349"/>
  <c r="X348"/>
  <c r="X346"/>
  <c r="X344"/>
  <c r="X378"/>
  <c r="X356"/>
  <c r="X354"/>
  <c r="X352"/>
  <c r="X350"/>
  <c r="X26"/>
  <c r="X28"/>
  <c r="X30"/>
  <c r="X32"/>
  <c r="X34"/>
  <c r="X36"/>
  <c r="X38"/>
  <c r="X40"/>
  <c r="X42"/>
  <c r="X44"/>
  <c r="X46"/>
  <c r="X48"/>
  <c r="X56"/>
  <c r="X58"/>
  <c r="X60"/>
  <c r="X62"/>
  <c r="X64"/>
  <c r="X66"/>
  <c r="X68"/>
  <c r="X70"/>
  <c r="X72"/>
  <c r="X74"/>
  <c r="X76"/>
  <c r="X78"/>
  <c r="X80"/>
  <c r="X82"/>
  <c r="X84"/>
  <c r="X86"/>
  <c r="X88"/>
  <c r="X90"/>
  <c r="X92"/>
  <c r="X94"/>
  <c r="X96"/>
  <c r="X98"/>
  <c r="X100"/>
  <c r="X102"/>
  <c r="X104"/>
  <c r="X106"/>
  <c r="X108"/>
  <c r="X110"/>
  <c r="X112"/>
  <c r="X114"/>
  <c r="X116"/>
  <c r="X118"/>
  <c r="X120"/>
  <c r="X122"/>
  <c r="X124"/>
  <c r="X126"/>
  <c r="X128"/>
  <c r="X130"/>
  <c r="X132"/>
  <c r="X134"/>
  <c r="X136"/>
  <c r="X138"/>
  <c r="X140"/>
  <c r="X142"/>
  <c r="X144"/>
  <c r="X146"/>
  <c r="X148"/>
  <c r="X150"/>
  <c r="X152"/>
  <c r="X154"/>
  <c r="X156"/>
  <c r="X158"/>
  <c r="X160"/>
  <c r="X162"/>
  <c r="X164"/>
  <c r="X166"/>
  <c r="X196"/>
  <c r="X198"/>
  <c r="X200"/>
  <c r="X202"/>
  <c r="X204"/>
  <c r="X206"/>
  <c r="X208"/>
  <c r="X210"/>
  <c r="X212"/>
  <c r="X214"/>
  <c r="X216"/>
  <c r="X218"/>
  <c r="X220"/>
  <c r="X222"/>
  <c r="X2956"/>
  <c r="X2955"/>
  <c r="X25"/>
  <c r="X27"/>
  <c r="X29"/>
  <c r="X31"/>
  <c r="X33"/>
  <c r="X35"/>
  <c r="X37"/>
  <c r="X39"/>
  <c r="X41"/>
  <c r="X43"/>
  <c r="X45"/>
  <c r="X47"/>
  <c r="X55"/>
  <c r="X57"/>
  <c r="X59"/>
  <c r="X61"/>
  <c r="X63"/>
  <c r="X65"/>
  <c r="X67"/>
  <c r="X69"/>
  <c r="X71"/>
  <c r="X73"/>
  <c r="X75"/>
  <c r="X77"/>
  <c r="X79"/>
  <c r="X81"/>
  <c r="X83"/>
  <c r="X85"/>
  <c r="X87"/>
  <c r="X89"/>
  <c r="X91"/>
  <c r="X93"/>
  <c r="X95"/>
  <c r="X97"/>
  <c r="X99"/>
  <c r="X101"/>
  <c r="X103"/>
  <c r="X105"/>
  <c r="X107"/>
  <c r="X109"/>
  <c r="X111"/>
  <c r="X113"/>
  <c r="X115"/>
  <c r="X117"/>
  <c r="X119"/>
  <c r="X121"/>
  <c r="X123"/>
  <c r="X125"/>
  <c r="X127"/>
  <c r="X129"/>
  <c r="X131"/>
  <c r="X133"/>
  <c r="X135"/>
  <c r="X137"/>
  <c r="X139"/>
  <c r="X141"/>
  <c r="X143"/>
  <c r="X145"/>
  <c r="X147"/>
  <c r="X149"/>
  <c r="X151"/>
  <c r="X153"/>
  <c r="X155"/>
  <c r="X157"/>
  <c r="X159"/>
  <c r="X161"/>
  <c r="X163"/>
  <c r="X165"/>
  <c r="X195"/>
  <c r="X197"/>
  <c r="X199"/>
  <c r="X201"/>
  <c r="X203"/>
  <c r="X205"/>
  <c r="X207"/>
  <c r="X209"/>
  <c r="X211"/>
  <c r="X213"/>
  <c r="X215"/>
  <c r="X217"/>
  <c r="X219"/>
  <c r="X221"/>
  <c r="X223"/>
  <c r="X225"/>
  <c r="X227"/>
  <c r="X229"/>
  <c r="X231"/>
  <c r="X233"/>
  <c r="X235"/>
  <c r="X237"/>
  <c r="X239"/>
  <c r="X241"/>
  <c r="X243"/>
  <c r="X245"/>
  <c r="X247"/>
  <c r="X249"/>
  <c r="X255"/>
  <c r="X257"/>
  <c r="X259"/>
  <c r="X261"/>
  <c r="X264"/>
  <c r="X266"/>
  <c r="X269"/>
  <c r="X271"/>
  <c r="X273"/>
  <c r="X275"/>
  <c r="X277"/>
  <c r="X279"/>
  <c r="X281"/>
  <c r="X283"/>
  <c r="X285"/>
  <c r="X287"/>
  <c r="X289"/>
  <c r="X291"/>
  <c r="X293"/>
  <c r="X295"/>
  <c r="X297"/>
  <c r="X299"/>
  <c r="X301"/>
  <c r="X303"/>
  <c r="X305"/>
  <c r="X307"/>
  <c r="X309"/>
  <c r="X311"/>
  <c r="X313"/>
  <c r="X315"/>
  <c r="X317"/>
  <c r="X319"/>
  <c r="X321"/>
  <c r="X323"/>
  <c r="X325"/>
  <c r="X327"/>
  <c r="X329"/>
  <c r="X331"/>
  <c r="X332"/>
  <c r="X334"/>
  <c r="X336"/>
  <c r="X340"/>
  <c r="X342"/>
  <c r="X380"/>
  <c r="X382"/>
  <c r="X384"/>
  <c r="X386"/>
  <c r="X388"/>
  <c r="X390"/>
  <c r="X392"/>
  <c r="X394"/>
  <c r="X396"/>
  <c r="X398"/>
  <c r="X400"/>
  <c r="X402"/>
  <c r="X404"/>
  <c r="X406"/>
  <c r="X408"/>
  <c r="X410"/>
  <c r="X412"/>
  <c r="X414"/>
  <c r="X416"/>
  <c r="X418"/>
  <c r="X420"/>
  <c r="X422"/>
  <c r="X424"/>
  <c r="X426"/>
  <c r="X428"/>
  <c r="X430"/>
  <c r="X432"/>
  <c r="X434"/>
  <c r="X436"/>
  <c r="X224"/>
  <c r="X226"/>
  <c r="X228"/>
  <c r="X230"/>
  <c r="X232"/>
  <c r="X234"/>
  <c r="X236"/>
  <c r="X238"/>
  <c r="X240"/>
  <c r="X242"/>
  <c r="X244"/>
  <c r="X246"/>
  <c r="X248"/>
  <c r="X250"/>
  <c r="X256"/>
  <c r="X258"/>
  <c r="X260"/>
  <c r="X263"/>
  <c r="X265"/>
  <c r="X268"/>
  <c r="X270"/>
  <c r="X272"/>
  <c r="X274"/>
  <c r="X276"/>
  <c r="X278"/>
  <c r="X280"/>
  <c r="X282"/>
  <c r="X284"/>
  <c r="X286"/>
  <c r="X288"/>
  <c r="X290"/>
  <c r="X292"/>
  <c r="X294"/>
  <c r="X296"/>
  <c r="X298"/>
  <c r="X300"/>
  <c r="X302"/>
  <c r="X304"/>
  <c r="X306"/>
  <c r="X308"/>
  <c r="X310"/>
  <c r="X312"/>
  <c r="X314"/>
  <c r="X316"/>
  <c r="X318"/>
  <c r="X320"/>
  <c r="X322"/>
  <c r="X324"/>
  <c r="X326"/>
  <c r="X328"/>
  <c r="X330"/>
  <c r="X333"/>
  <c r="X335"/>
  <c r="X339"/>
  <c r="X341"/>
  <c r="X343"/>
  <c r="X381"/>
  <c r="X383"/>
  <c r="X385"/>
  <c r="X387"/>
  <c r="X389"/>
  <c r="X391"/>
  <c r="X393"/>
  <c r="X395"/>
  <c r="X397"/>
  <c r="X399"/>
  <c r="X401"/>
  <c r="X403"/>
  <c r="X405"/>
  <c r="X407"/>
  <c r="X409"/>
  <c r="X411"/>
  <c r="X413"/>
  <c r="X415"/>
  <c r="X417"/>
  <c r="X419"/>
  <c r="X421"/>
  <c r="X423"/>
  <c r="X425"/>
  <c r="X427"/>
  <c r="X429"/>
  <c r="X431"/>
  <c r="X433"/>
  <c r="X435"/>
  <c r="X437"/>
  <c r="X439"/>
  <c r="X441"/>
  <c r="X443"/>
  <c r="X445"/>
  <c r="X447"/>
  <c r="X440"/>
  <c r="X448"/>
  <c r="X450"/>
  <c r="X452"/>
  <c r="X454"/>
  <c r="X456"/>
  <c r="X458"/>
  <c r="X460"/>
  <c r="X462"/>
  <c r="X464"/>
  <c r="X466"/>
  <c r="X468"/>
  <c r="X470"/>
  <c r="X472"/>
  <c r="X474"/>
  <c r="X476"/>
  <c r="X478"/>
  <c r="X480"/>
  <c r="X482"/>
  <c r="X484"/>
  <c r="X486"/>
  <c r="X488"/>
  <c r="X490"/>
  <c r="X492"/>
  <c r="X494"/>
  <c r="X496"/>
  <c r="X498"/>
  <c r="X500"/>
  <c r="X502"/>
  <c r="X504"/>
  <c r="X506"/>
  <c r="X508"/>
  <c r="X510"/>
  <c r="X512"/>
  <c r="X514"/>
  <c r="X516"/>
  <c r="X518"/>
  <c r="X520"/>
  <c r="X522"/>
  <c r="X524"/>
  <c r="X526"/>
  <c r="X528"/>
  <c r="X530"/>
  <c r="X532"/>
  <c r="X534"/>
  <c r="X536"/>
  <c r="X538"/>
  <c r="X540"/>
  <c r="X542"/>
  <c r="X544"/>
  <c r="X546"/>
  <c r="X548"/>
  <c r="X550"/>
  <c r="X552"/>
  <c r="X554"/>
  <c r="X556"/>
  <c r="X558"/>
  <c r="X560"/>
  <c r="X598"/>
  <c r="X600"/>
  <c r="X602"/>
  <c r="X604"/>
  <c r="X606"/>
  <c r="X608"/>
  <c r="X611"/>
  <c r="X613"/>
  <c r="X615"/>
  <c r="X617"/>
  <c r="X619"/>
  <c r="X621"/>
  <c r="X623"/>
  <c r="X625"/>
  <c r="X627"/>
  <c r="X629"/>
  <c r="X631"/>
  <c r="X633"/>
  <c r="X651"/>
  <c r="X653"/>
  <c r="X655"/>
  <c r="X657"/>
  <c r="X659"/>
  <c r="X661"/>
  <c r="X663"/>
  <c r="X665"/>
  <c r="X667"/>
  <c r="X670"/>
  <c r="X688"/>
  <c r="X690"/>
  <c r="X692"/>
  <c r="X694"/>
  <c r="X696"/>
  <c r="X698"/>
  <c r="X700"/>
  <c r="X702"/>
  <c r="X704"/>
  <c r="X706"/>
  <c r="X710"/>
  <c r="X712"/>
  <c r="X714"/>
  <c r="X716"/>
  <c r="X718"/>
  <c r="X70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1"/>
  <c r="X804"/>
  <c r="X805"/>
  <c r="X807"/>
  <c r="X809"/>
  <c r="X811"/>
  <c r="X812"/>
  <c r="X814"/>
  <c r="X816"/>
  <c r="X818"/>
  <c r="X820"/>
  <c r="X821"/>
  <c r="X823"/>
  <c r="X438"/>
  <c r="X446"/>
  <c r="X444"/>
  <c r="X449"/>
  <c r="X451"/>
  <c r="X453"/>
  <c r="X455"/>
  <c r="X457"/>
  <c r="X459"/>
  <c r="X461"/>
  <c r="X463"/>
  <c r="X465"/>
  <c r="X467"/>
  <c r="X469"/>
  <c r="X471"/>
  <c r="X473"/>
  <c r="X475"/>
  <c r="X477"/>
  <c r="X479"/>
  <c r="X481"/>
  <c r="X483"/>
  <c r="X485"/>
  <c r="X487"/>
  <c r="X489"/>
  <c r="X491"/>
  <c r="X493"/>
  <c r="X495"/>
  <c r="X497"/>
  <c r="X499"/>
  <c r="X501"/>
  <c r="X503"/>
  <c r="X505"/>
  <c r="X507"/>
  <c r="X509"/>
  <c r="X511"/>
  <c r="X513"/>
  <c r="X515"/>
  <c r="X517"/>
  <c r="X519"/>
  <c r="X521"/>
  <c r="X523"/>
  <c r="X525"/>
  <c r="X527"/>
  <c r="X529"/>
  <c r="X531"/>
  <c r="X533"/>
  <c r="X535"/>
  <c r="X537"/>
  <c r="X539"/>
  <c r="X541"/>
  <c r="X543"/>
  <c r="X545"/>
  <c r="X547"/>
  <c r="X549"/>
  <c r="X551"/>
  <c r="X553"/>
  <c r="X555"/>
  <c r="X557"/>
  <c r="X559"/>
  <c r="X561"/>
  <c r="X599"/>
  <c r="X601"/>
  <c r="X603"/>
  <c r="X605"/>
  <c r="X607"/>
  <c r="X610"/>
  <c r="X612"/>
  <c r="X614"/>
  <c r="X616"/>
  <c r="X618"/>
  <c r="X620"/>
  <c r="X622"/>
  <c r="X624"/>
  <c r="X626"/>
  <c r="X628"/>
  <c r="X630"/>
  <c r="X632"/>
  <c r="X634"/>
  <c r="X652"/>
  <c r="X654"/>
  <c r="X656"/>
  <c r="X658"/>
  <c r="X660"/>
  <c r="X662"/>
  <c r="X664"/>
  <c r="X666"/>
  <c r="X668"/>
  <c r="X671"/>
  <c r="X689"/>
  <c r="X691"/>
  <c r="X693"/>
  <c r="X695"/>
  <c r="X697"/>
  <c r="X699"/>
  <c r="X701"/>
  <c r="X703"/>
  <c r="X705"/>
  <c r="X707"/>
  <c r="X711"/>
  <c r="X713"/>
  <c r="X715"/>
  <c r="X717"/>
  <c r="X719"/>
  <c r="X709"/>
  <c r="X721"/>
  <c r="X723"/>
  <c r="X725"/>
  <c r="X727"/>
  <c r="X729"/>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0"/>
  <c r="X802"/>
  <c r="X803"/>
  <c r="X806"/>
  <c r="X808"/>
  <c r="X810"/>
  <c r="X813"/>
  <c r="X815"/>
  <c r="X817"/>
  <c r="X819"/>
  <c r="X822"/>
  <c r="X442"/>
  <c r="X837"/>
  <c r="X1018"/>
  <c r="X1020"/>
  <c r="X1022"/>
  <c r="X1024"/>
  <c r="X1026"/>
  <c r="X1029"/>
  <c r="X1031"/>
  <c r="X1033"/>
  <c r="X1035"/>
  <c r="X1037"/>
  <c r="X1039"/>
  <c r="X1041"/>
  <c r="X1043"/>
  <c r="X1046"/>
  <c r="X1050"/>
  <c r="X1056"/>
  <c r="X1059"/>
  <c r="X1061"/>
  <c r="X1064"/>
  <c r="X1066"/>
  <c r="X1068"/>
  <c r="X1070"/>
  <c r="X1076"/>
  <c r="X1079"/>
  <c r="X1090"/>
  <c r="X1093"/>
  <c r="X1095"/>
  <c r="X1097"/>
  <c r="X1099"/>
  <c r="X1101"/>
  <c r="X1104"/>
  <c r="X1108"/>
  <c r="X1113"/>
  <c r="X1117"/>
  <c r="X1121"/>
  <c r="X1127"/>
  <c r="X1131"/>
  <c r="X1135"/>
  <c r="X1139"/>
  <c r="X1142"/>
  <c r="X1146"/>
  <c r="X1149"/>
  <c r="X1153"/>
  <c r="X1156"/>
  <c r="X1159"/>
  <c r="X1163"/>
  <c r="X1184"/>
  <c r="X1188"/>
  <c r="X1196"/>
  <c r="X1200"/>
  <c r="X1204"/>
  <c r="X1208"/>
  <c r="X1221"/>
  <c r="X1214"/>
  <c r="X1218"/>
  <c r="X1225"/>
  <c r="X1229"/>
  <c r="X1235"/>
  <c r="X1239"/>
  <c r="X1242"/>
  <c r="X1246"/>
  <c r="X1267"/>
  <c r="X1252"/>
  <c r="X1256"/>
  <c r="X1261"/>
  <c r="X1265"/>
  <c r="X1268"/>
  <c r="X1282"/>
  <c r="X1274"/>
  <c r="X1280"/>
  <c r="X1287"/>
  <c r="X1289"/>
  <c r="X1293"/>
  <c r="X1542"/>
  <c r="X1544"/>
  <c r="X1546"/>
  <c r="X1296"/>
  <c r="X1298"/>
  <c r="X1300"/>
  <c r="X1302"/>
  <c r="X1304"/>
  <c r="X1312"/>
  <c r="X1315"/>
  <c r="X1317"/>
  <c r="X1319"/>
  <c r="X1321"/>
  <c r="X1323"/>
  <c r="X1325"/>
  <c r="X1327"/>
  <c r="X1329"/>
  <c r="X1332"/>
  <c r="X1336"/>
  <c r="X1340"/>
  <c r="X1359"/>
  <c r="X1350"/>
  <c r="X1354"/>
  <c r="X1360"/>
  <c r="X1028"/>
  <c r="X1045"/>
  <c r="X1049"/>
  <c r="X1052"/>
  <c r="X1055"/>
  <c r="X1063"/>
  <c r="X1072"/>
  <c r="X1075"/>
  <c r="X1081"/>
  <c r="X1083"/>
  <c r="X1085"/>
  <c r="X1087"/>
  <c r="X1089"/>
  <c r="X1103"/>
  <c r="X1107"/>
  <c r="X1110"/>
  <c r="X1112"/>
  <c r="X1116"/>
  <c r="X1120"/>
  <c r="X1123"/>
  <c r="X1126"/>
  <c r="X1130"/>
  <c r="X1134"/>
  <c r="X1138"/>
  <c r="X1141"/>
  <c r="X1145"/>
  <c r="X1152"/>
  <c r="X1158"/>
  <c r="X1162"/>
  <c r="X1166"/>
  <c r="X1168"/>
  <c r="X1171"/>
  <c r="X1173"/>
  <c r="X1175"/>
  <c r="X1177"/>
  <c r="X1179"/>
  <c r="X1181"/>
  <c r="X1193"/>
  <c r="X1187"/>
  <c r="X1191"/>
  <c r="X1195"/>
  <c r="X1212"/>
  <c r="X1199"/>
  <c r="X1203"/>
  <c r="X1207"/>
  <c r="X1213"/>
  <c r="X1217"/>
  <c r="X1220"/>
  <c r="X1231"/>
  <c r="X1224"/>
  <c r="X1228"/>
  <c r="X1250"/>
  <c r="X1260"/>
  <c r="X1238"/>
  <c r="X1241"/>
  <c r="X1245"/>
  <c r="X1251"/>
  <c r="X1255"/>
  <c r="X1258"/>
  <c r="X1271"/>
  <c r="X1264"/>
  <c r="X1279"/>
  <c r="X1273"/>
  <c r="X1277"/>
  <c r="X1285"/>
  <c r="X1306"/>
  <c r="X1308"/>
  <c r="X1311"/>
  <c r="X1331"/>
  <c r="X1335"/>
  <c r="X1339"/>
  <c r="X1345"/>
  <c r="X1357"/>
  <c r="X1349"/>
  <c r="X1353"/>
  <c r="X836"/>
  <c r="X1017"/>
  <c r="X1019"/>
  <c r="X1021"/>
  <c r="X1023"/>
  <c r="X1025"/>
  <c r="X1027"/>
  <c r="X1030"/>
  <c r="X1032"/>
  <c r="X1034"/>
  <c r="X1036"/>
  <c r="X1038"/>
  <c r="X1040"/>
  <c r="X1042"/>
  <c r="X1044"/>
  <c r="X1048"/>
  <c r="X1054"/>
  <c r="X1058"/>
  <c r="X1060"/>
  <c r="X1062"/>
  <c r="X1065"/>
  <c r="X1067"/>
  <c r="X1069"/>
  <c r="X1071"/>
  <c r="X1074"/>
  <c r="X1078"/>
  <c r="X1080"/>
  <c r="X1092"/>
  <c r="X1094"/>
  <c r="X1096"/>
  <c r="X1098"/>
  <c r="X1100"/>
  <c r="X1102"/>
  <c r="X1106"/>
  <c r="X1115"/>
  <c r="X1119"/>
  <c r="X1125"/>
  <c r="X1129"/>
  <c r="X1133"/>
  <c r="X1137"/>
  <c r="X1140"/>
  <c r="X1144"/>
  <c r="X1148"/>
  <c r="X1151"/>
  <c r="X1155"/>
  <c r="X1157"/>
  <c r="X1161"/>
  <c r="X1165"/>
  <c r="X1186"/>
  <c r="X1190"/>
  <c r="X1198"/>
  <c r="X1202"/>
  <c r="X1206"/>
  <c r="X1210"/>
  <c r="X1222"/>
  <c r="X1216"/>
  <c r="X1223"/>
  <c r="X1227"/>
  <c r="X1237"/>
  <c r="X1240"/>
  <c r="X1244"/>
  <c r="X1248"/>
  <c r="X1269"/>
  <c r="X1254"/>
  <c r="X1257"/>
  <c r="X1263"/>
  <c r="X1281"/>
  <c r="X1272"/>
  <c r="X1276"/>
  <c r="X1286"/>
  <c r="X1288"/>
  <c r="X1290"/>
  <c r="X1292"/>
  <c r="X1294"/>
  <c r="X1543"/>
  <c r="X1545"/>
  <c r="X1295"/>
  <c r="X1297"/>
  <c r="X1299"/>
  <c r="X1301"/>
  <c r="X1303"/>
  <c r="X1310"/>
  <c r="X1314"/>
  <c r="X1316"/>
  <c r="X1318"/>
  <c r="X1320"/>
  <c r="X1322"/>
  <c r="X1324"/>
  <c r="X1326"/>
  <c r="X1328"/>
  <c r="X1330"/>
  <c r="X1334"/>
  <c r="X1338"/>
  <c r="X1342"/>
  <c r="X1348"/>
  <c r="X1352"/>
  <c r="X1356"/>
  <c r="X1377"/>
  <c r="X1380"/>
  <c r="X1384"/>
  <c r="X1388"/>
  <c r="X1392"/>
  <c r="X1047"/>
  <c r="X1051"/>
  <c r="X1053"/>
  <c r="X1057"/>
  <c r="X1073"/>
  <c r="X1077"/>
  <c r="X1082"/>
  <c r="X1084"/>
  <c r="X1086"/>
  <c r="X1088"/>
  <c r="X1091"/>
  <c r="X1105"/>
  <c r="X1109"/>
  <c r="X1111"/>
  <c r="X1114"/>
  <c r="X1118"/>
  <c r="X1122"/>
  <c r="X1124"/>
  <c r="X1128"/>
  <c r="X1132"/>
  <c r="X1136"/>
  <c r="X1143"/>
  <c r="X1147"/>
  <c r="X1150"/>
  <c r="X1154"/>
  <c r="X1160"/>
  <c r="X1164"/>
  <c r="X1167"/>
  <c r="X1170"/>
  <c r="X1172"/>
  <c r="X1174"/>
  <c r="X1176"/>
  <c r="X1178"/>
  <c r="X1180"/>
  <c r="X1192"/>
  <c r="X1185"/>
  <c r="X1189"/>
  <c r="X1194"/>
  <c r="X1211"/>
  <c r="X1197"/>
  <c r="X1201"/>
  <c r="X1205"/>
  <c r="X1209"/>
  <c r="X1215"/>
  <c r="X1219"/>
  <c r="X1232"/>
  <c r="X1226"/>
  <c r="X1230"/>
  <c r="X1249"/>
  <c r="X1259"/>
  <c r="X1236"/>
  <c r="X1243"/>
  <c r="X1247"/>
  <c r="X1253"/>
  <c r="X1270"/>
  <c r="X1262"/>
  <c r="X1266"/>
  <c r="X1283"/>
  <c r="X1275"/>
  <c r="X1284"/>
  <c r="X1305"/>
  <c r="X1307"/>
  <c r="X1309"/>
  <c r="X1343"/>
  <c r="X1333"/>
  <c r="X1337"/>
  <c r="X1341"/>
  <c r="X1346"/>
  <c r="X1347"/>
  <c r="X1351"/>
  <c r="X1355"/>
  <c r="X1358"/>
  <c r="X1362"/>
  <c r="X1364"/>
  <c r="X1366"/>
  <c r="X1368"/>
  <c r="X1370"/>
  <c r="X1372"/>
  <c r="X1374"/>
  <c r="X1376"/>
  <c r="X1417"/>
  <c r="X1419"/>
  <c r="X1383"/>
  <c r="X1367"/>
  <c r="X1375"/>
  <c r="X1386"/>
  <c r="X1389"/>
  <c r="X1396"/>
  <c r="X1400"/>
  <c r="X1404"/>
  <c r="X1408"/>
  <c r="X1412"/>
  <c r="X1416"/>
  <c r="X1421"/>
  <c r="X1431"/>
  <c r="X1423"/>
  <c r="X1427"/>
  <c r="X1433"/>
  <c r="X1444"/>
  <c r="X1435"/>
  <c r="X1439"/>
  <c r="X1447"/>
  <c r="X1452"/>
  <c r="X1462"/>
  <c r="X1454"/>
  <c r="X1458"/>
  <c r="X1464"/>
  <c r="X1466"/>
  <c r="X1477"/>
  <c r="X1479"/>
  <c r="X1471"/>
  <c r="X1475"/>
  <c r="X1480"/>
  <c r="X1486"/>
  <c r="X1488"/>
  <c r="X1548"/>
  <c r="X1489"/>
  <c r="X1491"/>
  <c r="X1493"/>
  <c r="X1495"/>
  <c r="X1497"/>
  <c r="X1499"/>
  <c r="X1501"/>
  <c r="X1503"/>
  <c r="X1505"/>
  <c r="X1507"/>
  <c r="X1509"/>
  <c r="X1511"/>
  <c r="X1513"/>
  <c r="X1515"/>
  <c r="X1517"/>
  <c r="X1519"/>
  <c r="X1521"/>
  <c r="X1523"/>
  <c r="X1525"/>
  <c r="X1527"/>
  <c r="X1529"/>
  <c r="X1531"/>
  <c r="X1533"/>
  <c r="X1535"/>
  <c r="X1537"/>
  <c r="X1539"/>
  <c r="X1541"/>
  <c r="X1583"/>
  <c r="X1585"/>
  <c r="X1587"/>
  <c r="X1589"/>
  <c r="X1591"/>
  <c r="X1593"/>
  <c r="X1595"/>
  <c r="X1672"/>
  <c r="X1712"/>
  <c r="X1550"/>
  <c r="X1714"/>
  <c r="X1716"/>
  <c r="X1718"/>
  <c r="X1731"/>
  <c r="X1758"/>
  <c r="X1762"/>
  <c r="X1766"/>
  <c r="X1770"/>
  <c r="X1774"/>
  <c r="X1778"/>
  <c r="X1782"/>
  <c r="X1786"/>
  <c r="X1790"/>
  <c r="X1794"/>
  <c r="X1798"/>
  <c r="X1802"/>
  <c r="X1806"/>
  <c r="X1810"/>
  <c r="X1814"/>
  <c r="X1818"/>
  <c r="X1558"/>
  <c r="X1560"/>
  <c r="X1823"/>
  <c r="X1827"/>
  <c r="X1831"/>
  <c r="X1833"/>
  <c r="X1837"/>
  <c r="X1839"/>
  <c r="X1841"/>
  <c r="X1843"/>
  <c r="X1845"/>
  <c r="X1847"/>
  <c r="X1849"/>
  <c r="X1851"/>
  <c r="X1855"/>
  <c r="X1857"/>
  <c r="X1873"/>
  <c r="X1875"/>
  <c r="X1859"/>
  <c r="X1861"/>
  <c r="X1863"/>
  <c r="X1865"/>
  <c r="X1867"/>
  <c r="X1869"/>
  <c r="X1871"/>
  <c r="X1824"/>
  <c r="X1852"/>
  <c r="X1878"/>
  <c r="X1881"/>
  <c r="X1885"/>
  <c r="X1889"/>
  <c r="X1892"/>
  <c r="X1896"/>
  <c r="X1900"/>
  <c r="X1904"/>
  <c r="X1908"/>
  <c r="X1912"/>
  <c r="X1916"/>
  <c r="X1920"/>
  <c r="X1924"/>
  <c r="X1928"/>
  <c r="X1932"/>
  <c r="X1936"/>
  <c r="X1940"/>
  <c r="X1944"/>
  <c r="X1949"/>
  <c r="X1953"/>
  <c r="X1957"/>
  <c r="X1562"/>
  <c r="X1564"/>
  <c r="X1964"/>
  <c r="X1968"/>
  <c r="X1568"/>
  <c r="X1959"/>
  <c r="X1963"/>
  <c r="X1970"/>
  <c r="X1979"/>
  <c r="X1983"/>
  <c r="X1987"/>
  <c r="X1991"/>
  <c r="X1995"/>
  <c r="X1365"/>
  <c r="X1373"/>
  <c r="X1378"/>
  <c r="X1385"/>
  <c r="X1395"/>
  <c r="X1399"/>
  <c r="X1403"/>
  <c r="X1407"/>
  <c r="X1411"/>
  <c r="X1415"/>
  <c r="X1422"/>
  <c r="X1426"/>
  <c r="X1434"/>
  <c r="X1438"/>
  <c r="X1442"/>
  <c r="X1448"/>
  <c r="X1450"/>
  <c r="X1453"/>
  <c r="X1457"/>
  <c r="X1470"/>
  <c r="X1474"/>
  <c r="X1483"/>
  <c r="X1485"/>
  <c r="X1720"/>
  <c r="X1722"/>
  <c r="X1724"/>
  <c r="X1728"/>
  <c r="X1730"/>
  <c r="X1733"/>
  <c r="X1735"/>
  <c r="X1737"/>
  <c r="X1739"/>
  <c r="X1741"/>
  <c r="X1743"/>
  <c r="X1745"/>
  <c r="X1747"/>
  <c r="X1749"/>
  <c r="X1751"/>
  <c r="X1753"/>
  <c r="X1755"/>
  <c r="X1757"/>
  <c r="X1761"/>
  <c r="X1765"/>
  <c r="X1769"/>
  <c r="X1773"/>
  <c r="X1777"/>
  <c r="X1781"/>
  <c r="X1785"/>
  <c r="X1789"/>
  <c r="X1793"/>
  <c r="X1797"/>
  <c r="X1801"/>
  <c r="X1805"/>
  <c r="X1809"/>
  <c r="X1813"/>
  <c r="X1817"/>
  <c r="X1555"/>
  <c r="X1877"/>
  <c r="X1884"/>
  <c r="X1888"/>
  <c r="X1891"/>
  <c r="X1895"/>
  <c r="X1899"/>
  <c r="X1903"/>
  <c r="X1907"/>
  <c r="X1911"/>
  <c r="X1915"/>
  <c r="X1919"/>
  <c r="X1923"/>
  <c r="X1927"/>
  <c r="X1931"/>
  <c r="X1935"/>
  <c r="X1939"/>
  <c r="X1943"/>
  <c r="X1948"/>
  <c r="X1952"/>
  <c r="X1956"/>
  <c r="X1566"/>
  <c r="X1967"/>
  <c r="X1978"/>
  <c r="X1982"/>
  <c r="X1986"/>
  <c r="X1990"/>
  <c r="X1994"/>
  <c r="X1998"/>
  <c r="X1363"/>
  <c r="X1371"/>
  <c r="X1382"/>
  <c r="X1391"/>
  <c r="X1394"/>
  <c r="X1398"/>
  <c r="X1402"/>
  <c r="X1406"/>
  <c r="X1410"/>
  <c r="X1414"/>
  <c r="X1420"/>
  <c r="X1430"/>
  <c r="X1432"/>
  <c r="X1425"/>
  <c r="X1429"/>
  <c r="X1443"/>
  <c r="X1445"/>
  <c r="X1437"/>
  <c r="X1441"/>
  <c r="X1451"/>
  <c r="X1461"/>
  <c r="X1463"/>
  <c r="X1456"/>
  <c r="X1460"/>
  <c r="X1465"/>
  <c r="X1467"/>
  <c r="X1478"/>
  <c r="X1469"/>
  <c r="X1473"/>
  <c r="X1476"/>
  <c r="X1482"/>
  <c r="X1487"/>
  <c r="X1547"/>
  <c r="X1549"/>
  <c r="X1490"/>
  <c r="X1492"/>
  <c r="X1494"/>
  <c r="X1496"/>
  <c r="X1498"/>
  <c r="X1500"/>
  <c r="X1502"/>
  <c r="X1504"/>
  <c r="X1506"/>
  <c r="X1508"/>
  <c r="X1510"/>
  <c r="X1512"/>
  <c r="X1514"/>
  <c r="X1516"/>
  <c r="X1518"/>
  <c r="X1520"/>
  <c r="X1522"/>
  <c r="X1524"/>
  <c r="X1526"/>
  <c r="X1528"/>
  <c r="X1530"/>
  <c r="X1532"/>
  <c r="X1534"/>
  <c r="X1536"/>
  <c r="X1538"/>
  <c r="X1540"/>
  <c r="X1582"/>
  <c r="X1584"/>
  <c r="X1586"/>
  <c r="X1588"/>
  <c r="X1590"/>
  <c r="X1592"/>
  <c r="X1594"/>
  <c r="X1683"/>
  <c r="X1711"/>
  <c r="X1713"/>
  <c r="X1551"/>
  <c r="X1715"/>
  <c r="X1717"/>
  <c r="X1760"/>
  <c r="X1764"/>
  <c r="X1768"/>
  <c r="X1772"/>
  <c r="X1776"/>
  <c r="X1780"/>
  <c r="X1784"/>
  <c r="X1788"/>
  <c r="X1792"/>
  <c r="X1796"/>
  <c r="X1800"/>
  <c r="X1804"/>
  <c r="X1808"/>
  <c r="X1812"/>
  <c r="X1816"/>
  <c r="X1557"/>
  <c r="X1559"/>
  <c r="X1820"/>
  <c r="X1826"/>
  <c r="X1830"/>
  <c r="X1832"/>
  <c r="X1836"/>
  <c r="X1838"/>
  <c r="X1840"/>
  <c r="X1842"/>
  <c r="X1844"/>
  <c r="X1846"/>
  <c r="X1848"/>
  <c r="X1850"/>
  <c r="X1854"/>
  <c r="X1856"/>
  <c r="X1858"/>
  <c r="X1874"/>
  <c r="X1876"/>
  <c r="X1860"/>
  <c r="X1862"/>
  <c r="X1864"/>
  <c r="X1866"/>
  <c r="X1868"/>
  <c r="X1870"/>
  <c r="X1872"/>
  <c r="X1825"/>
  <c r="X1853"/>
  <c r="X1880"/>
  <c r="X1883"/>
  <c r="X1887"/>
  <c r="X1894"/>
  <c r="X1898"/>
  <c r="X1902"/>
  <c r="X1906"/>
  <c r="X1910"/>
  <c r="X1914"/>
  <c r="X1918"/>
  <c r="X1922"/>
  <c r="X1926"/>
  <c r="X1930"/>
  <c r="X1934"/>
  <c r="X1938"/>
  <c r="X1942"/>
  <c r="X1946"/>
  <c r="X1951"/>
  <c r="X1955"/>
  <c r="X1958"/>
  <c r="X1563"/>
  <c r="X1565"/>
  <c r="X1966"/>
  <c r="X1567"/>
  <c r="X1569"/>
  <c r="X1960"/>
  <c r="X1969"/>
  <c r="X1971"/>
  <c r="X1981"/>
  <c r="X1985"/>
  <c r="X1972"/>
  <c r="X1993"/>
  <c r="X1997"/>
  <c r="X1361"/>
  <c r="X1369"/>
  <c r="X1379"/>
  <c r="X1381"/>
  <c r="X1387"/>
  <c r="X1390"/>
  <c r="X1393"/>
  <c r="X1397"/>
  <c r="X1401"/>
  <c r="X1405"/>
  <c r="X1409"/>
  <c r="X1413"/>
  <c r="X1424"/>
  <c r="X1428"/>
  <c r="X1436"/>
  <c r="X1440"/>
  <c r="X1446"/>
  <c r="X1449"/>
  <c r="X1455"/>
  <c r="X1459"/>
  <c r="X1468"/>
  <c r="X1472"/>
  <c r="X1484"/>
  <c r="X1481"/>
  <c r="X1719"/>
  <c r="X1721"/>
  <c r="X1723"/>
  <c r="X1725"/>
  <c r="X1729"/>
  <c r="X1732"/>
  <c r="X1734"/>
  <c r="X1736"/>
  <c r="X1738"/>
  <c r="X1740"/>
  <c r="X1742"/>
  <c r="X1744"/>
  <c r="X1746"/>
  <c r="X1748"/>
  <c r="X1750"/>
  <c r="X1752"/>
  <c r="X1754"/>
  <c r="X1756"/>
  <c r="X1759"/>
  <c r="X1763"/>
  <c r="X1767"/>
  <c r="X1771"/>
  <c r="X1775"/>
  <c r="X1779"/>
  <c r="X1783"/>
  <c r="X1787"/>
  <c r="X1791"/>
  <c r="X1795"/>
  <c r="X1799"/>
  <c r="X1803"/>
  <c r="X1807"/>
  <c r="X1811"/>
  <c r="X1815"/>
  <c r="X1819"/>
  <c r="X1556"/>
  <c r="X1879"/>
  <c r="X1882"/>
  <c r="X1886"/>
  <c r="X1890"/>
  <c r="X1893"/>
  <c r="X1897"/>
  <c r="X1901"/>
  <c r="X1905"/>
  <c r="X1909"/>
  <c r="X1913"/>
  <c r="X1917"/>
  <c r="X1921"/>
  <c r="X1925"/>
  <c r="X1929"/>
  <c r="X1933"/>
  <c r="X1937"/>
  <c r="X1941"/>
  <c r="X1945"/>
  <c r="X1950"/>
  <c r="X1954"/>
  <c r="X1965"/>
  <c r="X1980"/>
  <c r="X1984"/>
  <c r="X1988"/>
  <c r="X1992"/>
  <c r="X1996"/>
  <c r="X1974"/>
  <c r="X2005"/>
  <c r="X2009"/>
  <c r="X2013"/>
  <c r="X2017"/>
  <c r="X2021"/>
  <c r="X2027"/>
  <c r="X2031"/>
  <c r="X2002"/>
  <c r="X2024"/>
  <c r="X2039"/>
  <c r="X2043"/>
  <c r="X2047"/>
  <c r="X2051"/>
  <c r="X2055"/>
  <c r="X2059"/>
  <c r="X2063"/>
  <c r="X2067"/>
  <c r="X2073"/>
  <c r="X2077"/>
  <c r="X2080"/>
  <c r="X2084"/>
  <c r="X2088"/>
  <c r="X2092"/>
  <c r="X2096"/>
  <c r="X2100"/>
  <c r="X2104"/>
  <c r="X2069"/>
  <c r="X2107"/>
  <c r="X2109"/>
  <c r="X2111"/>
  <c r="X2117"/>
  <c r="X2128"/>
  <c r="X2132"/>
  <c r="X2135"/>
  <c r="X2138"/>
  <c r="X2141"/>
  <c r="X2144"/>
  <c r="X2147"/>
  <c r="X2150"/>
  <c r="X2153"/>
  <c r="X2156"/>
  <c r="X2159"/>
  <c r="X2162"/>
  <c r="X2165"/>
  <c r="X2168"/>
  <c r="X2179"/>
  <c r="X2182"/>
  <c r="X2186"/>
  <c r="X2175"/>
  <c r="X2191"/>
  <c r="X2193"/>
  <c r="X2195"/>
  <c r="X2197"/>
  <c r="X2202"/>
  <c r="X2206"/>
  <c r="X2210"/>
  <c r="X2214"/>
  <c r="X2218"/>
  <c r="X2222"/>
  <c r="X2255"/>
  <c r="X2273"/>
  <c r="X1572"/>
  <c r="X2277"/>
  <c r="X1574"/>
  <c r="X2289"/>
  <c r="X2293"/>
  <c r="X2297"/>
  <c r="X2301"/>
  <c r="X2305"/>
  <c r="X2280"/>
  <c r="X2283"/>
  <c r="X2317"/>
  <c r="X2316"/>
  <c r="X2325"/>
  <c r="X2328"/>
  <c r="X2336"/>
  <c r="X2340"/>
  <c r="X2344"/>
  <c r="X2348"/>
  <c r="X2357"/>
  <c r="X2359"/>
  <c r="X2361"/>
  <c r="X2363"/>
  <c r="X2365"/>
  <c r="X2367"/>
  <c r="X2371"/>
  <c r="X2375"/>
  <c r="X2379"/>
  <c r="X2433"/>
  <c r="X2436"/>
  <c r="X1578"/>
  <c r="X2440"/>
  <c r="X2437"/>
  <c r="X2446"/>
  <c r="X2450"/>
  <c r="X2454"/>
  <c r="X2458"/>
  <c r="X2462"/>
  <c r="X2466"/>
  <c r="X2442"/>
  <c r="X2471"/>
  <c r="X2469"/>
  <c r="X2472"/>
  <c r="X2474"/>
  <c r="X2477"/>
  <c r="X2483"/>
  <c r="X2487"/>
  <c r="X2478"/>
  <c r="X2490"/>
  <c r="X2496"/>
  <c r="X2492"/>
  <c r="X2499"/>
  <c r="X2506"/>
  <c r="X2510"/>
  <c r="X2529"/>
  <c r="X2531"/>
  <c r="X2535"/>
  <c r="X2539"/>
  <c r="X2543"/>
  <c r="X2547"/>
  <c r="X2565"/>
  <c r="X1973"/>
  <c r="X2004"/>
  <c r="X2008"/>
  <c r="X2012"/>
  <c r="X2016"/>
  <c r="X2020"/>
  <c r="X1976"/>
  <c r="X2026"/>
  <c r="X2001"/>
  <c r="X2038"/>
  <c r="X2042"/>
  <c r="X2046"/>
  <c r="X2050"/>
  <c r="X2054"/>
  <c r="X2058"/>
  <c r="X2062"/>
  <c r="X2066"/>
  <c r="X2034"/>
  <c r="X2072"/>
  <c r="X2076"/>
  <c r="X2079"/>
  <c r="X2083"/>
  <c r="X2087"/>
  <c r="X2091"/>
  <c r="X2095"/>
  <c r="X2099"/>
  <c r="X2103"/>
  <c r="X2116"/>
  <c r="X2120"/>
  <c r="X2113"/>
  <c r="X2121"/>
  <c r="X2127"/>
  <c r="X2131"/>
  <c r="X2134"/>
  <c r="X2137"/>
  <c r="X2140"/>
  <c r="X2143"/>
  <c r="X2146"/>
  <c r="X2149"/>
  <c r="X2152"/>
  <c r="X2155"/>
  <c r="X2158"/>
  <c r="X2161"/>
  <c r="X2164"/>
  <c r="X2167"/>
  <c r="X2122"/>
  <c r="X2170"/>
  <c r="X2172"/>
  <c r="X2176"/>
  <c r="X2178"/>
  <c r="X2181"/>
  <c r="X2185"/>
  <c r="X2189"/>
  <c r="X2201"/>
  <c r="X2205"/>
  <c r="X2209"/>
  <c r="X2213"/>
  <c r="X2217"/>
  <c r="X2221"/>
  <c r="X2225"/>
  <c r="X2227"/>
  <c r="X2229"/>
  <c r="X2231"/>
  <c r="X2233"/>
  <c r="X2235"/>
  <c r="X2237"/>
  <c r="X2239"/>
  <c r="X2241"/>
  <c r="X2243"/>
  <c r="X2245"/>
  <c r="X2247"/>
  <c r="X2249"/>
  <c r="X2251"/>
  <c r="X2254"/>
  <c r="X2257"/>
  <c r="X1570"/>
  <c r="X2261"/>
  <c r="X2263"/>
  <c r="X2265"/>
  <c r="X2267"/>
  <c r="X2269"/>
  <c r="X2272"/>
  <c r="X2281"/>
  <c r="X2276"/>
  <c r="X2285"/>
  <c r="X2288"/>
  <c r="X2292"/>
  <c r="X2296"/>
  <c r="X2300"/>
  <c r="X2304"/>
  <c r="X2312"/>
  <c r="X2307"/>
  <c r="X2309"/>
  <c r="X2319"/>
  <c r="X2321"/>
  <c r="X2323"/>
  <c r="X2330"/>
  <c r="X2335"/>
  <c r="X2339"/>
  <c r="X2343"/>
  <c r="X2347"/>
  <c r="X2329"/>
  <c r="X2352"/>
  <c r="X2354"/>
  <c r="X2356"/>
  <c r="X2370"/>
  <c r="X2374"/>
  <c r="X2378"/>
  <c r="X2381"/>
  <c r="X2383"/>
  <c r="X2385"/>
  <c r="X2387"/>
  <c r="X2389"/>
  <c r="X2391"/>
  <c r="X2393"/>
  <c r="X2395"/>
  <c r="X2397"/>
  <c r="X2399"/>
  <c r="X2401"/>
  <c r="X2403"/>
  <c r="X2405"/>
  <c r="X2407"/>
  <c r="X2409"/>
  <c r="X2411"/>
  <c r="X2413"/>
  <c r="X2415"/>
  <c r="X2417"/>
  <c r="X2419"/>
  <c r="X2421"/>
  <c r="X2423"/>
  <c r="X2425"/>
  <c r="X2427"/>
  <c r="X2429"/>
  <c r="X2432"/>
  <c r="X2445"/>
  <c r="X2449"/>
  <c r="X2453"/>
  <c r="X2457"/>
  <c r="X2461"/>
  <c r="X2465"/>
  <c r="X2482"/>
  <c r="X2486"/>
  <c r="X2495"/>
  <c r="X2503"/>
  <c r="X2504"/>
  <c r="X2509"/>
  <c r="X2505"/>
  <c r="X2513"/>
  <c r="X2516"/>
  <c r="X2518"/>
  <c r="X2520"/>
  <c r="X2522"/>
  <c r="X2524"/>
  <c r="X2526"/>
  <c r="X2528"/>
  <c r="X2534"/>
  <c r="X2538"/>
  <c r="X2542"/>
  <c r="X2546"/>
  <c r="X2550"/>
  <c r="X2552"/>
  <c r="X2554"/>
  <c r="X2556"/>
  <c r="X2558"/>
  <c r="X2560"/>
  <c r="X2562"/>
  <c r="X2571"/>
  <c r="X1999"/>
  <c r="X2003"/>
  <c r="X2007"/>
  <c r="X2011"/>
  <c r="X2015"/>
  <c r="X2019"/>
  <c r="X2025"/>
  <c r="X2029"/>
  <c r="X2033"/>
  <c r="X2023"/>
  <c r="X2030"/>
  <c r="X2041"/>
  <c r="X2045"/>
  <c r="X2049"/>
  <c r="X2053"/>
  <c r="X2057"/>
  <c r="X2061"/>
  <c r="X2065"/>
  <c r="X2071"/>
  <c r="X2075"/>
  <c r="X2078"/>
  <c r="X2082"/>
  <c r="X2086"/>
  <c r="X2090"/>
  <c r="X2094"/>
  <c r="X2098"/>
  <c r="X2102"/>
  <c r="X2106"/>
  <c r="X2070"/>
  <c r="X2108"/>
  <c r="X2110"/>
  <c r="X2115"/>
  <c r="X2119"/>
  <c r="X2126"/>
  <c r="X2130"/>
  <c r="X2133"/>
  <c r="X2136"/>
  <c r="X2139"/>
  <c r="X2142"/>
  <c r="X2184"/>
  <c r="X2188"/>
  <c r="X2190"/>
  <c r="X2192"/>
  <c r="X2194"/>
  <c r="X2196"/>
  <c r="X2200"/>
  <c r="X2204"/>
  <c r="X2208"/>
  <c r="X2212"/>
  <c r="X2216"/>
  <c r="X2220"/>
  <c r="X2253"/>
  <c r="X2256"/>
  <c r="X2271"/>
  <c r="X1571"/>
  <c r="X1573"/>
  <c r="X2278"/>
  <c r="X1575"/>
  <c r="X2287"/>
  <c r="X2291"/>
  <c r="X2295"/>
  <c r="X2299"/>
  <c r="X2303"/>
  <c r="X2279"/>
  <c r="X2282"/>
  <c r="X2311"/>
  <c r="X2315"/>
  <c r="X2327"/>
  <c r="X2326"/>
  <c r="X2334"/>
  <c r="X2338"/>
  <c r="X2342"/>
  <c r="X2346"/>
  <c r="X2358"/>
  <c r="X2360"/>
  <c r="X2362"/>
  <c r="X2364"/>
  <c r="X2366"/>
  <c r="X2369"/>
  <c r="X2373"/>
  <c r="X2377"/>
  <c r="X2431"/>
  <c r="X2435"/>
  <c r="X1577"/>
  <c r="X2439"/>
  <c r="X1579"/>
  <c r="X2441"/>
  <c r="X2448"/>
  <c r="X2452"/>
  <c r="X2456"/>
  <c r="X2460"/>
  <c r="X2464"/>
  <c r="X2468"/>
  <c r="X2443"/>
  <c r="X2444"/>
  <c r="X2470"/>
  <c r="X2473"/>
  <c r="X2476"/>
  <c r="X2481"/>
  <c r="X2485"/>
  <c r="X2489"/>
  <c r="X2479"/>
  <c r="X2494"/>
  <c r="X2491"/>
  <c r="X2498"/>
  <c r="X2502"/>
  <c r="X2508"/>
  <c r="X2530"/>
  <c r="X2533"/>
  <c r="X2537"/>
  <c r="X2541"/>
  <c r="X2545"/>
  <c r="X2549"/>
  <c r="X2564"/>
  <c r="X2566"/>
  <c r="X2568"/>
  <c r="X2570"/>
  <c r="X2574"/>
  <c r="X2577"/>
  <c r="X2580"/>
  <c r="X1975"/>
  <c r="X2006"/>
  <c r="X2010"/>
  <c r="X2014"/>
  <c r="X2018"/>
  <c r="X2022"/>
  <c r="X1977"/>
  <c r="X2028"/>
  <c r="X2032"/>
  <c r="X2040"/>
  <c r="X2044"/>
  <c r="X2048"/>
  <c r="X2052"/>
  <c r="X2056"/>
  <c r="X2060"/>
  <c r="X2064"/>
  <c r="X2068"/>
  <c r="X2035"/>
  <c r="X2074"/>
  <c r="X2081"/>
  <c r="X2085"/>
  <c r="X2089"/>
  <c r="X2093"/>
  <c r="X2097"/>
  <c r="X2101"/>
  <c r="X2105"/>
  <c r="X2114"/>
  <c r="X2118"/>
  <c r="X2112"/>
  <c r="X2123"/>
  <c r="X2125"/>
  <c r="X2129"/>
  <c r="X2145"/>
  <c r="X2148"/>
  <c r="X2151"/>
  <c r="X2154"/>
  <c r="X2157"/>
  <c r="X2160"/>
  <c r="X2163"/>
  <c r="X2166"/>
  <c r="X2169"/>
  <c r="X2124"/>
  <c r="X2171"/>
  <c r="X2173"/>
  <c r="X2177"/>
  <c r="X2180"/>
  <c r="X2183"/>
  <c r="X2187"/>
  <c r="X2199"/>
  <c r="X2203"/>
  <c r="X2207"/>
  <c r="X2211"/>
  <c r="X2215"/>
  <c r="X2219"/>
  <c r="X2223"/>
  <c r="X2226"/>
  <c r="X2228"/>
  <c r="X2230"/>
  <c r="X2232"/>
  <c r="X2234"/>
  <c r="X2236"/>
  <c r="X2238"/>
  <c r="X2240"/>
  <c r="X2242"/>
  <c r="X2244"/>
  <c r="X2246"/>
  <c r="X2248"/>
  <c r="X2250"/>
  <c r="X2252"/>
  <c r="X2258"/>
  <c r="X2260"/>
  <c r="X2262"/>
  <c r="X2264"/>
  <c r="X2266"/>
  <c r="X2268"/>
  <c r="X2270"/>
  <c r="X2275"/>
  <c r="X2284"/>
  <c r="X2286"/>
  <c r="X2290"/>
  <c r="X2294"/>
  <c r="X2298"/>
  <c r="X2302"/>
  <c r="X2310"/>
  <c r="X2306"/>
  <c r="X2308"/>
  <c r="X2318"/>
  <c r="X2320"/>
  <c r="X2322"/>
  <c r="X2324"/>
  <c r="X2333"/>
  <c r="X2337"/>
  <c r="X2341"/>
  <c r="X2345"/>
  <c r="X2349"/>
  <c r="X2351"/>
  <c r="X2353"/>
  <c r="X2355"/>
  <c r="X2368"/>
  <c r="X2372"/>
  <c r="X2376"/>
  <c r="X2380"/>
  <c r="X2382"/>
  <c r="X2384"/>
  <c r="X2386"/>
  <c r="X2388"/>
  <c r="X2390"/>
  <c r="X2392"/>
  <c r="X2394"/>
  <c r="X2396"/>
  <c r="X2398"/>
  <c r="X2400"/>
  <c r="X2402"/>
  <c r="X2404"/>
  <c r="X2406"/>
  <c r="X2408"/>
  <c r="X2410"/>
  <c r="X2412"/>
  <c r="X2414"/>
  <c r="X2416"/>
  <c r="X2418"/>
  <c r="X2420"/>
  <c r="X2422"/>
  <c r="X2424"/>
  <c r="X2426"/>
  <c r="X2428"/>
  <c r="X2430"/>
  <c r="X2434"/>
  <c r="X2438"/>
  <c r="X2447"/>
  <c r="X2451"/>
  <c r="X2455"/>
  <c r="X2459"/>
  <c r="X2463"/>
  <c r="X2467"/>
  <c r="X2480"/>
  <c r="X2484"/>
  <c r="X2488"/>
  <c r="X2493"/>
  <c r="X2501"/>
  <c r="X2500"/>
  <c r="X2507"/>
  <c r="X2511"/>
  <c r="X2512"/>
  <c r="X2514"/>
  <c r="X2517"/>
  <c r="X2519"/>
  <c r="X2521"/>
  <c r="X2523"/>
  <c r="X2525"/>
  <c r="X2527"/>
  <c r="X2532"/>
  <c r="X2536"/>
  <c r="X2540"/>
  <c r="X2544"/>
  <c r="X2548"/>
  <c r="X2551"/>
  <c r="X2553"/>
  <c r="X2555"/>
  <c r="X2557"/>
  <c r="X2559"/>
  <c r="X2561"/>
  <c r="X2563"/>
  <c r="X2573"/>
  <c r="X2579"/>
  <c r="X2582"/>
  <c r="X2584"/>
  <c r="X2586"/>
  <c r="X2588"/>
  <c r="X2590"/>
  <c r="X2578"/>
  <c r="X2587"/>
  <c r="X2596"/>
  <c r="X2611"/>
  <c r="X2684"/>
  <c r="X2687"/>
  <c r="X2689"/>
  <c r="X2691"/>
  <c r="X2693"/>
  <c r="X2695"/>
  <c r="X2697"/>
  <c r="X2699"/>
  <c r="X2701"/>
  <c r="X2703"/>
  <c r="X2705"/>
  <c r="X2707"/>
  <c r="X2709"/>
  <c r="X2711"/>
  <c r="X2713"/>
  <c r="X2715"/>
  <c r="X2717"/>
  <c r="X2719"/>
  <c r="X2721"/>
  <c r="X2723"/>
  <c r="X2725"/>
  <c r="X2727"/>
  <c r="X2729"/>
  <c r="X2731"/>
  <c r="X2733"/>
  <c r="X2735"/>
  <c r="X2644"/>
  <c r="X2737"/>
  <c r="X2739"/>
  <c r="X2743"/>
  <c r="X2745"/>
  <c r="X2747"/>
  <c r="X2751"/>
  <c r="X2753"/>
  <c r="X2757"/>
  <c r="X2759"/>
  <c r="X2778"/>
  <c r="X2782"/>
  <c r="X2786"/>
  <c r="X2790"/>
  <c r="X2794"/>
  <c r="X2798"/>
  <c r="X2802"/>
  <c r="X2806"/>
  <c r="X2809"/>
  <c r="X2817"/>
  <c r="X2819"/>
  <c r="X2821"/>
  <c r="X2823"/>
  <c r="X2919"/>
  <c r="X2923"/>
  <c r="X2927"/>
  <c r="X2931"/>
  <c r="X2935"/>
  <c r="X2939"/>
  <c r="X2943"/>
  <c r="X2947"/>
  <c r="X2951"/>
  <c r="X2569"/>
  <c r="X2576"/>
  <c r="X2585"/>
  <c r="X2592"/>
  <c r="X2595"/>
  <c r="X2598"/>
  <c r="X2600"/>
  <c r="X2602"/>
  <c r="X2604"/>
  <c r="X2607"/>
  <c r="X2610"/>
  <c r="X2613"/>
  <c r="X2615"/>
  <c r="X2617"/>
  <c r="X2619"/>
  <c r="X2621"/>
  <c r="X2623"/>
  <c r="X2625"/>
  <c r="X2627"/>
  <c r="X2629"/>
  <c r="X2631"/>
  <c r="X2633"/>
  <c r="X2635"/>
  <c r="X2637"/>
  <c r="X2639"/>
  <c r="X2641"/>
  <c r="X2760"/>
  <c r="X2645"/>
  <c r="X2647"/>
  <c r="X2649"/>
  <c r="X2651"/>
  <c r="X2653"/>
  <c r="X2655"/>
  <c r="X2657"/>
  <c r="X2659"/>
  <c r="X2661"/>
  <c r="X2663"/>
  <c r="X2665"/>
  <c r="X2667"/>
  <c r="X2669"/>
  <c r="X2671"/>
  <c r="X2673"/>
  <c r="X2675"/>
  <c r="X2677"/>
  <c r="X2679"/>
  <c r="X2681"/>
  <c r="X2764"/>
  <c r="X2767"/>
  <c r="X2769"/>
  <c r="X2771"/>
  <c r="X2775"/>
  <c r="X2777"/>
  <c r="X2781"/>
  <c r="X2785"/>
  <c r="X2789"/>
  <c r="X2793"/>
  <c r="X2797"/>
  <c r="X2801"/>
  <c r="X2805"/>
  <c r="X2811"/>
  <c r="X2813"/>
  <c r="X2815"/>
  <c r="X2825"/>
  <c r="X2829"/>
  <c r="X2832"/>
  <c r="X2834"/>
  <c r="X2836"/>
  <c r="X2838"/>
  <c r="X2844"/>
  <c r="X2850"/>
  <c r="X2852"/>
  <c r="X2855"/>
  <c r="X2857"/>
  <c r="X2859"/>
  <c r="X2864"/>
  <c r="X2868"/>
  <c r="X2870"/>
  <c r="X2872"/>
  <c r="X2875"/>
  <c r="X2874"/>
  <c r="X2846"/>
  <c r="X2878"/>
  <c r="X2880"/>
  <c r="X2882"/>
  <c r="X2884"/>
  <c r="X2886"/>
  <c r="X2888"/>
  <c r="X2890"/>
  <c r="X2892"/>
  <c r="X2894"/>
  <c r="X2896"/>
  <c r="X2898"/>
  <c r="X2900"/>
  <c r="X2902"/>
  <c r="X2904"/>
  <c r="X2906"/>
  <c r="X2908"/>
  <c r="X2910"/>
  <c r="X2912"/>
  <c r="X2914"/>
  <c r="X2916"/>
  <c r="X2922"/>
  <c r="X2926"/>
  <c r="X2930"/>
  <c r="X2934"/>
  <c r="X2938"/>
  <c r="X2942"/>
  <c r="X2946"/>
  <c r="X2950"/>
  <c r="X2954"/>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2567"/>
  <c r="X2575"/>
  <c r="X2583"/>
  <c r="X2591"/>
  <c r="X2594"/>
  <c r="X2609"/>
  <c r="X2683"/>
  <c r="X2685"/>
  <c r="X2688"/>
  <c r="X2690"/>
  <c r="X2692"/>
  <c r="X2694"/>
  <c r="X2696"/>
  <c r="X2698"/>
  <c r="X2700"/>
  <c r="X2702"/>
  <c r="X2704"/>
  <c r="X2706"/>
  <c r="X2708"/>
  <c r="X2710"/>
  <c r="X2712"/>
  <c r="X2714"/>
  <c r="X2716"/>
  <c r="X2718"/>
  <c r="X2720"/>
  <c r="X2722"/>
  <c r="X2724"/>
  <c r="X2726"/>
  <c r="X2728"/>
  <c r="X2730"/>
  <c r="X2732"/>
  <c r="X2734"/>
  <c r="X2643"/>
  <c r="X2736"/>
  <c r="X2738"/>
  <c r="X2742"/>
  <c r="X2744"/>
  <c r="X2746"/>
  <c r="X2750"/>
  <c r="X2752"/>
  <c r="X2756"/>
  <c r="X2758"/>
  <c r="X2762"/>
  <c r="X2780"/>
  <c r="X2784"/>
  <c r="X2788"/>
  <c r="X2792"/>
  <c r="X2796"/>
  <c r="X2800"/>
  <c r="X2804"/>
  <c r="X2808"/>
  <c r="X2810"/>
  <c r="X2818"/>
  <c r="X2820"/>
  <c r="X2822"/>
  <c r="X2921"/>
  <c r="X2925"/>
  <c r="X2929"/>
  <c r="X2933"/>
  <c r="X2937"/>
  <c r="X2941"/>
  <c r="X2945"/>
  <c r="X2949"/>
  <c r="X2953"/>
  <c r="X2572"/>
  <c r="X2581"/>
  <c r="X2589"/>
  <c r="X2593"/>
  <c r="X2597"/>
  <c r="X2599"/>
  <c r="X2601"/>
  <c r="X2603"/>
  <c r="X2606"/>
  <c r="X2608"/>
  <c r="X2612"/>
  <c r="X2614"/>
  <c r="X2616"/>
  <c r="X2618"/>
  <c r="X2620"/>
  <c r="X2622"/>
  <c r="X2624"/>
  <c r="X2626"/>
  <c r="X2628"/>
  <c r="X2630"/>
  <c r="X2632"/>
  <c r="X2634"/>
  <c r="X2636"/>
  <c r="X2638"/>
  <c r="X2640"/>
  <c r="X2642"/>
  <c r="X2761"/>
  <c r="X2646"/>
  <c r="X2648"/>
  <c r="X2650"/>
  <c r="X2652"/>
  <c r="X2654"/>
  <c r="X2656"/>
  <c r="X2658"/>
  <c r="X2660"/>
  <c r="X2662"/>
  <c r="X2664"/>
  <c r="X2666"/>
  <c r="X2668"/>
  <c r="X2670"/>
  <c r="X2672"/>
  <c r="X2674"/>
  <c r="X2676"/>
  <c r="X2678"/>
  <c r="X2680"/>
  <c r="X2682"/>
  <c r="X2766"/>
  <c r="X2768"/>
  <c r="X2770"/>
  <c r="X2772"/>
  <c r="X2776"/>
  <c r="X2779"/>
  <c r="X2783"/>
  <c r="X2787"/>
  <c r="X2791"/>
  <c r="X2795"/>
  <c r="X2799"/>
  <c r="X2803"/>
  <c r="X2807"/>
  <c r="X2812"/>
  <c r="X2814"/>
  <c r="X2824"/>
  <c r="X2828"/>
  <c r="X2831"/>
  <c r="X2833"/>
  <c r="X2835"/>
  <c r="X2837"/>
  <c r="X2843"/>
  <c r="X2849"/>
  <c r="X2851"/>
  <c r="X2853"/>
  <c r="X2856"/>
  <c r="X2858"/>
  <c r="X2863"/>
  <c r="X2865"/>
  <c r="X2869"/>
  <c r="X2871"/>
  <c r="X2873"/>
  <c r="X2876"/>
  <c r="X2845"/>
  <c r="X2877"/>
  <c r="X2879"/>
  <c r="X2881"/>
  <c r="X2883"/>
  <c r="X2885"/>
  <c r="X2887"/>
  <c r="X2889"/>
  <c r="X2891"/>
  <c r="X2893"/>
  <c r="X2895"/>
  <c r="X2897"/>
  <c r="X2899"/>
  <c r="X2901"/>
  <c r="X2903"/>
  <c r="X2905"/>
  <c r="X2907"/>
  <c r="X2909"/>
  <c r="X2911"/>
  <c r="X2913"/>
  <c r="X2915"/>
  <c r="X2920"/>
  <c r="X2924"/>
  <c r="X2928"/>
  <c r="X2932"/>
  <c r="X2936"/>
  <c r="X2940"/>
  <c r="X2944"/>
  <c r="X2948"/>
  <c r="X2952"/>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9"/>
  <c r="X3027"/>
  <c r="X3032"/>
  <c r="X3034"/>
  <c r="X3036"/>
  <c r="X3038"/>
  <c r="X3040"/>
  <c r="X3042"/>
  <c r="X3044"/>
  <c r="X3046"/>
  <c r="X3048"/>
  <c r="X3050"/>
  <c r="X3052"/>
  <c r="X3054"/>
  <c r="X3062"/>
  <c r="X3064"/>
  <c r="X3066"/>
  <c r="X3068"/>
  <c r="X3070"/>
  <c r="X3072"/>
  <c r="X3074"/>
  <c r="X3076"/>
  <c r="X3084"/>
  <c r="X3086"/>
  <c r="X3088"/>
  <c r="X3090"/>
  <c r="X3092"/>
  <c r="X3094"/>
  <c r="X3096"/>
  <c r="X2917"/>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031"/>
  <c r="X3033"/>
  <c r="X3035"/>
  <c r="X3037"/>
  <c r="X3039"/>
  <c r="X3041"/>
  <c r="X3043"/>
  <c r="X3045"/>
  <c r="X3047"/>
  <c r="X3049"/>
  <c r="X3051"/>
  <c r="X3053"/>
  <c r="X3061"/>
  <c r="X3063"/>
  <c r="X3065"/>
  <c r="X3067"/>
  <c r="X3069"/>
  <c r="X3071"/>
  <c r="X3073"/>
  <c r="X3075"/>
  <c r="X3077"/>
  <c r="X3085"/>
  <c r="X3087"/>
  <c r="X3089"/>
  <c r="X3091"/>
  <c r="X3093"/>
  <c r="X3095"/>
  <c r="X3097"/>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21"/>
  <c r="X23"/>
  <c r="X22"/>
  <c r="X24"/>
  <c r="A21"/>
  <c r="Q21"/>
  <c r="R21"/>
  <c r="S21"/>
  <c r="L176" i="60"/>
  <c r="D150"/>
  <c r="L93"/>
  <c r="L113"/>
  <c r="AA15" i="34"/>
  <c r="AA19"/>
  <c r="AA12"/>
  <c r="AA16"/>
  <c r="AA20"/>
  <c r="AA13"/>
  <c r="AA17"/>
  <c r="AA14"/>
  <c r="AA18"/>
  <c r="L118" i="60"/>
  <c r="L122"/>
  <c r="L116"/>
  <c r="L123"/>
  <c r="L120"/>
  <c r="L124"/>
  <c r="L117"/>
  <c r="L121"/>
  <c r="L125"/>
  <c r="L119"/>
  <c r="L141"/>
  <c r="Q13" i="34"/>
  <c r="R13"/>
  <c r="S13"/>
  <c r="R12"/>
  <c r="S12"/>
  <c r="Q12"/>
  <c r="Q14"/>
  <c r="R14"/>
  <c r="S14"/>
  <c r="S15"/>
  <c r="Q15"/>
  <c r="R15"/>
  <c r="X13"/>
  <c r="X15"/>
  <c r="X17"/>
  <c r="X19"/>
  <c r="X12"/>
  <c r="X14"/>
  <c r="X16"/>
  <c r="X18"/>
  <c r="X20"/>
  <c r="I72" i="55"/>
  <c r="L47" i="60"/>
  <c r="A113"/>
  <c r="A114" s="1"/>
  <c r="A115" s="1"/>
  <c r="A116" s="1"/>
  <c r="A117" s="1"/>
  <c r="A118" s="1"/>
  <c r="A119" s="1"/>
  <c r="A120" s="1"/>
  <c r="A121" s="1"/>
  <c r="A122" s="1"/>
  <c r="A123" s="1"/>
  <c r="A124" s="1"/>
  <c r="A125" s="1"/>
  <c r="AA11" i="34"/>
  <c r="A12"/>
  <c r="A14"/>
  <c r="A13"/>
  <c r="X11"/>
  <c r="A11"/>
  <c r="R11"/>
  <c r="S11"/>
  <c r="Q11"/>
  <c r="L71" i="60"/>
  <c r="L70"/>
  <c r="L69"/>
  <c r="L68"/>
  <c r="D75" i="15"/>
  <c r="D78" s="1"/>
  <c r="C75"/>
  <c r="C78" s="1"/>
  <c r="F36" i="56"/>
  <c r="F29"/>
  <c r="A11"/>
  <c r="F30"/>
  <c r="G2"/>
  <c r="A10"/>
  <c r="F15"/>
  <c r="H30"/>
  <c r="V309" i="60"/>
  <c r="I305" s="1"/>
  <c r="V122"/>
  <c r="I127" s="1"/>
  <c r="V76"/>
  <c r="I72" s="1"/>
  <c r="L280"/>
  <c r="V291"/>
  <c r="V216"/>
  <c r="I211" s="1"/>
  <c r="V178"/>
  <c r="I176" s="1"/>
  <c r="V284"/>
  <c r="I280" s="1"/>
  <c r="V95"/>
  <c r="I93" s="1"/>
  <c r="I248"/>
  <c r="V317"/>
  <c r="L307" s="1"/>
  <c r="V150"/>
  <c r="I150" s="1"/>
  <c r="L48"/>
  <c r="B380" i="34"/>
  <c r="B396"/>
  <c r="B383"/>
  <c r="B387"/>
  <c r="B391"/>
  <c r="B395"/>
  <c r="B404"/>
  <c r="B407"/>
  <c r="B614"/>
  <c r="B616"/>
  <c r="B618"/>
  <c r="B255"/>
  <c r="B257"/>
  <c r="B259"/>
  <c r="B261"/>
  <c r="B1142"/>
  <c r="B400"/>
  <c r="B1133"/>
  <c r="B384"/>
  <c r="B392"/>
  <c r="B398"/>
  <c r="B402"/>
  <c r="B381"/>
  <c r="B385"/>
  <c r="B389"/>
  <c r="B393"/>
  <c r="B403"/>
  <c r="B405"/>
  <c r="B408"/>
  <c r="B615"/>
  <c r="B617"/>
  <c r="B619"/>
  <c r="B256"/>
  <c r="B258"/>
  <c r="B260"/>
  <c r="B388"/>
  <c r="B1132"/>
  <c r="B1134"/>
  <c r="B1143"/>
  <c r="B382"/>
  <c r="B386"/>
  <c r="B390"/>
  <c r="B394"/>
  <c r="B397"/>
  <c r="B399"/>
  <c r="B401"/>
  <c r="F13" i="57"/>
  <c r="V56" i="60"/>
  <c r="I52" s="1"/>
  <c r="M14" i="34"/>
  <c r="M12"/>
  <c r="M15"/>
  <c r="M13"/>
  <c r="A12" i="55"/>
  <c r="A13"/>
  <c r="A75"/>
  <c r="B76"/>
  <c r="B60"/>
  <c r="A74"/>
  <c r="D52" i="60"/>
  <c r="D305"/>
  <c r="G298"/>
  <c r="G141"/>
  <c r="G237"/>
  <c r="D248"/>
  <c r="G86"/>
  <c r="G202"/>
  <c r="D211"/>
  <c r="G273"/>
  <c r="G280" s="1"/>
  <c r="D280"/>
  <c r="D72"/>
  <c r="G111"/>
  <c r="H29"/>
  <c r="H30"/>
  <c r="K29"/>
  <c r="J29"/>
  <c r="K30"/>
  <c r="J30"/>
  <c r="I29"/>
  <c r="I30"/>
  <c r="K8"/>
  <c r="H7"/>
  <c r="K9"/>
  <c r="I8"/>
  <c r="K7"/>
  <c r="J9"/>
  <c r="H8"/>
  <c r="J7"/>
  <c r="I9"/>
  <c r="I7"/>
  <c r="H9"/>
  <c r="J8"/>
  <c r="I106" i="55"/>
  <c r="S10" i="34"/>
  <c r="R10"/>
  <c r="Q10"/>
  <c r="X10"/>
  <c r="M9" i="62"/>
  <c r="K85" i="55"/>
  <c r="K16"/>
  <c r="K29"/>
  <c r="K76"/>
  <c r="K27"/>
  <c r="K41"/>
  <c r="K51"/>
  <c r="K14"/>
  <c r="K15"/>
  <c r="K18"/>
  <c r="K19"/>
  <c r="K26"/>
  <c r="K33"/>
  <c r="K34"/>
  <c r="K80"/>
  <c r="K60"/>
  <c r="K61"/>
  <c r="K77"/>
  <c r="K78"/>
  <c r="K6" i="62"/>
  <c r="K11"/>
  <c r="M5"/>
  <c r="I57" i="55"/>
  <c r="K13"/>
  <c r="K17"/>
  <c r="K28"/>
  <c r="K36"/>
  <c r="K62"/>
  <c r="K63"/>
  <c r="K79"/>
  <c r="K74"/>
  <c r="G106"/>
  <c r="G57"/>
  <c r="K12"/>
  <c r="K46"/>
  <c r="K59"/>
  <c r="K75"/>
  <c r="K8" i="62"/>
  <c r="M8"/>
  <c r="K9"/>
  <c r="K5"/>
  <c r="M6"/>
  <c r="M7"/>
  <c r="K10"/>
  <c r="M10"/>
  <c r="K7"/>
  <c r="M11"/>
  <c r="I22"/>
  <c r="G22"/>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D12"/>
  <c r="G12"/>
  <c r="F12"/>
  <c r="E12"/>
  <c r="H204" i="60" l="1"/>
  <c r="H206"/>
  <c r="H208"/>
  <c r="H202"/>
  <c r="H203"/>
  <c r="H205"/>
  <c r="H207"/>
  <c r="H209"/>
  <c r="J242"/>
  <c r="I241"/>
  <c r="H240"/>
  <c r="K239"/>
  <c r="I242"/>
  <c r="H241"/>
  <c r="K240"/>
  <c r="J239"/>
  <c r="H242"/>
  <c r="K241"/>
  <c r="J240"/>
  <c r="I239"/>
  <c r="K242"/>
  <c r="J241"/>
  <c r="I240"/>
  <c r="H239"/>
  <c r="N239" s="1"/>
  <c r="P239" s="1"/>
  <c r="J206"/>
  <c r="I205"/>
  <c r="I206"/>
  <c r="K204"/>
  <c r="K205"/>
  <c r="J204"/>
  <c r="K206"/>
  <c r="J205"/>
  <c r="I204"/>
  <c r="P170"/>
  <c r="I50"/>
  <c r="J50"/>
  <c r="K50"/>
  <c r="H50"/>
  <c r="Q394" i="34"/>
  <c r="R394"/>
  <c r="S394"/>
  <c r="Q1143"/>
  <c r="R1143"/>
  <c r="S1143"/>
  <c r="Q260"/>
  <c r="R260"/>
  <c r="S260"/>
  <c r="Q617"/>
  <c r="R617"/>
  <c r="S617"/>
  <c r="S403"/>
  <c r="Q403"/>
  <c r="R403"/>
  <c r="Q381"/>
  <c r="R381"/>
  <c r="S381"/>
  <c r="R384"/>
  <c r="S384"/>
  <c r="Q384"/>
  <c r="S261"/>
  <c r="Q261"/>
  <c r="R261"/>
  <c r="Q618"/>
  <c r="R618"/>
  <c r="S618"/>
  <c r="R404"/>
  <c r="S404"/>
  <c r="Q404"/>
  <c r="S383"/>
  <c r="Q383"/>
  <c r="R383"/>
  <c r="Q401"/>
  <c r="R401"/>
  <c r="S401"/>
  <c r="Q390"/>
  <c r="R390"/>
  <c r="S390"/>
  <c r="R1134"/>
  <c r="S1134"/>
  <c r="Q1134"/>
  <c r="R258"/>
  <c r="S258"/>
  <c r="Q258"/>
  <c r="S615"/>
  <c r="Q615"/>
  <c r="R615"/>
  <c r="Q393"/>
  <c r="R393"/>
  <c r="S393"/>
  <c r="Q402"/>
  <c r="R402"/>
  <c r="S402"/>
  <c r="Q1133"/>
  <c r="R1133"/>
  <c r="S1133"/>
  <c r="Q259"/>
  <c r="R259"/>
  <c r="S259"/>
  <c r="R616"/>
  <c r="S616"/>
  <c r="Q616"/>
  <c r="S395"/>
  <c r="Q395"/>
  <c r="R395"/>
  <c r="R396"/>
  <c r="S396"/>
  <c r="Q396"/>
  <c r="S399"/>
  <c r="Q399"/>
  <c r="R399"/>
  <c r="Q386"/>
  <c r="R386"/>
  <c r="S386"/>
  <c r="R1132"/>
  <c r="Q1132"/>
  <c r="S1132"/>
  <c r="Q256"/>
  <c r="R256"/>
  <c r="S256"/>
  <c r="R408"/>
  <c r="S408"/>
  <c r="Q408"/>
  <c r="Q389"/>
  <c r="R389"/>
  <c r="S389"/>
  <c r="Q398"/>
  <c r="R398"/>
  <c r="S398"/>
  <c r="R400"/>
  <c r="S400"/>
  <c r="Q400"/>
  <c r="S257"/>
  <c r="Q257"/>
  <c r="R257"/>
  <c r="Q614"/>
  <c r="R614"/>
  <c r="S614"/>
  <c r="S391"/>
  <c r="Q391"/>
  <c r="R391"/>
  <c r="R380"/>
  <c r="S380"/>
  <c r="Q380"/>
  <c r="Q397"/>
  <c r="R397"/>
  <c r="S397"/>
  <c r="Q382"/>
  <c r="R382"/>
  <c r="S382"/>
  <c r="R388"/>
  <c r="S388"/>
  <c r="Q388"/>
  <c r="S619"/>
  <c r="Q619"/>
  <c r="R619"/>
  <c r="Q405"/>
  <c r="R405"/>
  <c r="S405"/>
  <c r="Q385"/>
  <c r="R385"/>
  <c r="S385"/>
  <c r="R392"/>
  <c r="S392"/>
  <c r="Q392"/>
  <c r="R1142"/>
  <c r="S1142"/>
  <c r="Q1142"/>
  <c r="Q255"/>
  <c r="R255"/>
  <c r="S255"/>
  <c r="S407"/>
  <c r="Q407"/>
  <c r="R407"/>
  <c r="S387"/>
  <c r="Q387"/>
  <c r="R387"/>
  <c r="A399"/>
  <c r="A386"/>
  <c r="A1132"/>
  <c r="A256"/>
  <c r="A408"/>
  <c r="A389"/>
  <c r="A398"/>
  <c r="A400"/>
  <c r="A257"/>
  <c r="A614"/>
  <c r="A391"/>
  <c r="A380"/>
  <c r="A397"/>
  <c r="A382"/>
  <c r="A388"/>
  <c r="A619"/>
  <c r="A405"/>
  <c r="A385"/>
  <c r="A392"/>
  <c r="A1142"/>
  <c r="A255"/>
  <c r="A407"/>
  <c r="A387"/>
  <c r="A394"/>
  <c r="A1143"/>
  <c r="A260"/>
  <c r="A617"/>
  <c r="A403"/>
  <c r="A381"/>
  <c r="A384"/>
  <c r="A261"/>
  <c r="A618"/>
  <c r="A404"/>
  <c r="A383"/>
  <c r="A401"/>
  <c r="A390"/>
  <c r="A1134"/>
  <c r="A258"/>
  <c r="A615"/>
  <c r="A393"/>
  <c r="A402"/>
  <c r="A1133"/>
  <c r="A259"/>
  <c r="A616"/>
  <c r="A395"/>
  <c r="A396"/>
  <c r="P174" i="60"/>
  <c r="G93"/>
  <c r="J145"/>
  <c r="J144"/>
  <c r="H147"/>
  <c r="K144"/>
  <c r="H146"/>
  <c r="J147"/>
  <c r="K148"/>
  <c r="H141"/>
  <c r="H145"/>
  <c r="J146"/>
  <c r="K147"/>
  <c r="H144"/>
  <c r="K146"/>
  <c r="H148"/>
  <c r="K145"/>
  <c r="J148"/>
  <c r="K72" i="55"/>
  <c r="I145" i="60"/>
  <c r="I148"/>
  <c r="I144"/>
  <c r="I146"/>
  <c r="I147"/>
  <c r="L150"/>
  <c r="L127"/>
  <c r="A60" i="55"/>
  <c r="B61"/>
  <c r="H71" i="60"/>
  <c r="I70"/>
  <c r="H70"/>
  <c r="J70"/>
  <c r="I71"/>
  <c r="J71"/>
  <c r="K71"/>
  <c r="K70"/>
  <c r="L72"/>
  <c r="N29"/>
  <c r="N9"/>
  <c r="J68"/>
  <c r="H69"/>
  <c r="K68"/>
  <c r="I69"/>
  <c r="J69"/>
  <c r="H68"/>
  <c r="K69"/>
  <c r="I68"/>
  <c r="I49"/>
  <c r="K49"/>
  <c r="J49"/>
  <c r="H49"/>
  <c r="L52"/>
  <c r="H47"/>
  <c r="I47"/>
  <c r="H48"/>
  <c r="I48"/>
  <c r="J47"/>
  <c r="K47"/>
  <c r="J48"/>
  <c r="K48"/>
  <c r="J209"/>
  <c r="I208"/>
  <c r="K203"/>
  <c r="K202"/>
  <c r="I209"/>
  <c r="K207"/>
  <c r="J203"/>
  <c r="J202"/>
  <c r="K208"/>
  <c r="J207"/>
  <c r="I203"/>
  <c r="N203" s="1"/>
  <c r="P203" s="1"/>
  <c r="I202"/>
  <c r="N202" s="1"/>
  <c r="K209"/>
  <c r="J208"/>
  <c r="I207"/>
  <c r="K246"/>
  <c r="J245"/>
  <c r="I244"/>
  <c r="H243"/>
  <c r="H238"/>
  <c r="K237"/>
  <c r="J246"/>
  <c r="I245"/>
  <c r="H244"/>
  <c r="K243"/>
  <c r="K238"/>
  <c r="J237"/>
  <c r="I246"/>
  <c r="H245"/>
  <c r="K244"/>
  <c r="J243"/>
  <c r="J238"/>
  <c r="I237"/>
  <c r="H246"/>
  <c r="K245"/>
  <c r="J244"/>
  <c r="I243"/>
  <c r="I238"/>
  <c r="H237"/>
  <c r="G150"/>
  <c r="B77" i="55"/>
  <c r="A76"/>
  <c r="G211" i="60"/>
  <c r="G248"/>
  <c r="G305"/>
  <c r="J149"/>
  <c r="H143"/>
  <c r="K142"/>
  <c r="K141"/>
  <c r="I149"/>
  <c r="K143"/>
  <c r="J142"/>
  <c r="J141"/>
  <c r="H149"/>
  <c r="J143"/>
  <c r="I142"/>
  <c r="I141"/>
  <c r="K149"/>
  <c r="I143"/>
  <c r="H142"/>
  <c r="N141"/>
  <c r="J303"/>
  <c r="I302"/>
  <c r="I301"/>
  <c r="H300"/>
  <c r="K299"/>
  <c r="K298"/>
  <c r="I303"/>
  <c r="H302"/>
  <c r="H301"/>
  <c r="K300"/>
  <c r="J299"/>
  <c r="J298"/>
  <c r="H303"/>
  <c r="K302"/>
  <c r="K301"/>
  <c r="J300"/>
  <c r="I299"/>
  <c r="I298"/>
  <c r="K303"/>
  <c r="J302"/>
  <c r="J301"/>
  <c r="I300"/>
  <c r="H299"/>
  <c r="H298"/>
  <c r="A14" i="55"/>
  <c r="N7" i="60"/>
  <c r="P7" s="1"/>
  <c r="N30"/>
  <c r="P30" s="1"/>
  <c r="B12" i="61"/>
  <c r="D13"/>
  <c r="D14" s="1"/>
  <c r="G13"/>
  <c r="G14" s="1"/>
  <c r="F13"/>
  <c r="F14" s="1"/>
  <c r="E13"/>
  <c r="E14" s="1"/>
  <c r="N8" i="60"/>
  <c r="P8" s="1"/>
  <c r="K22" i="62"/>
  <c r="K57" i="55"/>
  <c r="K106"/>
  <c r="M22" i="62"/>
  <c r="M52" i="45"/>
  <c r="O52"/>
  <c r="B13" i="61"/>
  <c r="N48" i="60" l="1"/>
  <c r="N49"/>
  <c r="P49" s="1"/>
  <c r="F68" s="1"/>
  <c r="G68" s="1"/>
  <c r="N240"/>
  <c r="P240" s="1"/>
  <c r="N241"/>
  <c r="P241" s="1"/>
  <c r="N242"/>
  <c r="P242" s="1"/>
  <c r="N205"/>
  <c r="P205" s="1"/>
  <c r="N204"/>
  <c r="P204" s="1"/>
  <c r="N206"/>
  <c r="P206" s="1"/>
  <c r="N50"/>
  <c r="P50" s="1"/>
  <c r="P48"/>
  <c r="P169"/>
  <c r="N148"/>
  <c r="P148" s="1"/>
  <c r="P172"/>
  <c r="N147"/>
  <c r="P147" s="1"/>
  <c r="P171"/>
  <c r="N145"/>
  <c r="P145" s="1"/>
  <c r="N146"/>
  <c r="P146" s="1"/>
  <c r="N144"/>
  <c r="P144" s="1"/>
  <c r="P173"/>
  <c r="A61" i="55"/>
  <c r="B62"/>
  <c r="N142" i="60"/>
  <c r="P142" s="1"/>
  <c r="N143"/>
  <c r="P143" s="1"/>
  <c r="N149"/>
  <c r="P149" s="1"/>
  <c r="N70"/>
  <c r="P70" s="1"/>
  <c r="N71"/>
  <c r="P71" s="1"/>
  <c r="N69"/>
  <c r="P69" s="1"/>
  <c r="H5" i="39"/>
  <c r="M16" s="1"/>
  <c r="N237" i="60"/>
  <c r="P237" s="1"/>
  <c r="N245"/>
  <c r="P245" s="1"/>
  <c r="N299"/>
  <c r="P299" s="1"/>
  <c r="N246"/>
  <c r="P246" s="1"/>
  <c r="N298"/>
  <c r="P298" s="1"/>
  <c r="N207"/>
  <c r="P207" s="1"/>
  <c r="P141"/>
  <c r="P202"/>
  <c r="B78" i="55"/>
  <c r="A77"/>
  <c r="A15"/>
  <c r="N303" i="60"/>
  <c r="P303" s="1"/>
  <c r="N301"/>
  <c r="P301" s="1"/>
  <c r="N244"/>
  <c r="P244" s="1"/>
  <c r="N238"/>
  <c r="P238" s="1"/>
  <c r="N208"/>
  <c r="P208" s="1"/>
  <c r="N302"/>
  <c r="P302" s="1"/>
  <c r="N300"/>
  <c r="P300" s="1"/>
  <c r="N243"/>
  <c r="P243" s="1"/>
  <c r="N209"/>
  <c r="P209" s="1"/>
  <c r="P29"/>
  <c r="F47" s="1"/>
  <c r="G47" s="1"/>
  <c r="N47" s="1"/>
  <c r="N32"/>
  <c r="N11"/>
  <c r="P9"/>
  <c r="B14" i="61"/>
  <c r="M8" i="39"/>
  <c r="C10"/>
  <c r="C15"/>
  <c r="C12"/>
  <c r="A62" i="55" l="1"/>
  <c r="B63"/>
  <c r="G72" i="60"/>
  <c r="N68"/>
  <c r="P68" s="1"/>
  <c r="A16" i="55"/>
  <c r="B79"/>
  <c r="A78"/>
  <c r="N150" i="60"/>
  <c r="N211"/>
  <c r="N305"/>
  <c r="G52"/>
  <c r="N72" l="1"/>
  <c r="A63" i="55"/>
  <c r="B64"/>
  <c r="B65" s="1"/>
  <c r="B80"/>
  <c r="A79"/>
  <c r="A17"/>
  <c r="P47" i="60"/>
  <c r="N52"/>
  <c r="A65" i="55" l="1"/>
  <c r="B66"/>
  <c r="A64"/>
  <c r="A18"/>
  <c r="A80"/>
  <c r="B67" l="1"/>
  <c r="A66"/>
  <c r="B81"/>
  <c r="A81" s="1"/>
  <c r="A19"/>
  <c r="B68" l="1"/>
  <c r="A67"/>
  <c r="B82"/>
  <c r="B83" s="1"/>
  <c r="B69" l="1"/>
  <c r="A68"/>
  <c r="A82"/>
  <c r="A83"/>
  <c r="A69" l="1"/>
  <c r="B70"/>
  <c r="A70" s="1"/>
  <c r="B84" l="1"/>
  <c r="B85" l="1"/>
  <c r="A84"/>
  <c r="B86" l="1"/>
  <c r="A86" s="1"/>
  <c r="A85"/>
  <c r="M1262" i="34" l="1"/>
  <c r="F74" i="15" l="1" a="1"/>
  <c r="F74" s="1"/>
  <c r="F60" a="1"/>
  <c r="F60" s="1"/>
  <c r="E60" a="1"/>
  <c r="E60" s="1"/>
  <c r="H60" l="1"/>
  <c r="G60"/>
  <c r="E2338" i="34" l="1"/>
  <c r="AA2338" s="1"/>
  <c r="B2338"/>
  <c r="Q2338" l="1"/>
  <c r="R2338"/>
  <c r="S2338"/>
  <c r="A2338"/>
  <c r="H11" i="43"/>
  <c r="M2602" i="34" l="1"/>
  <c r="E81" i="12" l="1" a="1"/>
  <c r="E81" s="1"/>
  <c r="F81" a="1"/>
  <c r="F81" s="1"/>
  <c r="E75" a="1"/>
  <c r="E75" s="1"/>
  <c r="F75" a="1"/>
  <c r="F75" s="1"/>
  <c r="E76" a="1"/>
  <c r="E76" s="1"/>
  <c r="F76" a="1"/>
  <c r="F76" s="1"/>
  <c r="E77" a="1"/>
  <c r="E77" s="1"/>
  <c r="F77" a="1"/>
  <c r="F77" s="1"/>
  <c r="E78" a="1"/>
  <c r="E78" s="1"/>
  <c r="F78" a="1"/>
  <c r="F78" s="1"/>
  <c r="E73" a="1"/>
  <c r="E73" s="1"/>
  <c r="F73" a="1"/>
  <c r="F73" s="1"/>
  <c r="E74" a="1"/>
  <c r="E74" s="1"/>
  <c r="F74" a="1"/>
  <c r="F74" s="1"/>
  <c r="E71" a="1"/>
  <c r="E71" s="1"/>
  <c r="F71" a="1"/>
  <c r="F71" s="1"/>
  <c r="F80" a="1"/>
  <c r="F80" s="1"/>
  <c r="E80" a="1"/>
  <c r="E80" s="1"/>
  <c r="F79" a="1"/>
  <c r="F79" s="1"/>
  <c r="E79" a="1"/>
  <c r="E79" s="1"/>
  <c r="H103" i="55" a="1"/>
  <c r="H103" s="1"/>
  <c r="H104" a="1"/>
  <c r="H104" s="1"/>
  <c r="J104" a="1"/>
  <c r="J104" s="1"/>
  <c r="J103" a="1"/>
  <c r="J103" s="1"/>
  <c r="H97" a="1"/>
  <c r="H97" s="1"/>
  <c r="H91" a="1"/>
  <c r="H91" s="1"/>
  <c r="J85" a="1"/>
  <c r="J85" s="1"/>
  <c r="J101" a="1"/>
  <c r="J101" s="1"/>
  <c r="H84" a="1"/>
  <c r="H84" s="1"/>
  <c r="H78" a="1"/>
  <c r="H78" s="1"/>
  <c r="J94" a="1"/>
  <c r="J94" s="1"/>
  <c r="H81" a="1"/>
  <c r="H81" s="1"/>
  <c r="H98" a="1"/>
  <c r="H98" s="1"/>
  <c r="J91" a="1"/>
  <c r="J91" s="1"/>
  <c r="H82" a="1"/>
  <c r="H82" s="1"/>
  <c r="H100" a="1"/>
  <c r="H100" s="1"/>
  <c r="J92" a="1"/>
  <c r="J92" s="1"/>
  <c r="J96" a="1"/>
  <c r="J96" s="1"/>
  <c r="H79" a="1"/>
  <c r="H79" s="1"/>
  <c r="H95" a="1"/>
  <c r="H95" s="1"/>
  <c r="J89" a="1"/>
  <c r="J89" s="1"/>
  <c r="J102" a="1"/>
  <c r="J102" s="1"/>
  <c r="H88" a="1"/>
  <c r="H88" s="1"/>
  <c r="J82" a="1"/>
  <c r="J82" s="1"/>
  <c r="J98" a="1"/>
  <c r="J98" s="1"/>
  <c r="H85" a="1"/>
  <c r="H85" s="1"/>
  <c r="J79" a="1"/>
  <c r="J79" s="1"/>
  <c r="J95" a="1"/>
  <c r="J95" s="1"/>
  <c r="H86" a="1"/>
  <c r="H86" s="1"/>
  <c r="J80" a="1"/>
  <c r="J80" s="1"/>
  <c r="J100" a="1"/>
  <c r="J100" s="1"/>
  <c r="H83" a="1"/>
  <c r="H83" s="1"/>
  <c r="H102" a="1"/>
  <c r="H102" s="1"/>
  <c r="J93" a="1"/>
  <c r="J93" s="1"/>
  <c r="H99" a="1"/>
  <c r="H99" s="1"/>
  <c r="H92" a="1"/>
  <c r="H92" s="1"/>
  <c r="J86" a="1"/>
  <c r="J86" s="1"/>
  <c r="J77" a="1"/>
  <c r="J77" s="1"/>
  <c r="H89" a="1"/>
  <c r="H89" s="1"/>
  <c r="J83" a="1"/>
  <c r="J83" s="1"/>
  <c r="J99" a="1"/>
  <c r="J99" s="1"/>
  <c r="H90" a="1"/>
  <c r="H90" s="1"/>
  <c r="J84" a="1"/>
  <c r="J84" s="1"/>
  <c r="H87" a="1"/>
  <c r="H87" s="1"/>
  <c r="J81" a="1"/>
  <c r="J81" s="1"/>
  <c r="J97" a="1"/>
  <c r="J97" s="1"/>
  <c r="H80" a="1"/>
  <c r="H80" s="1"/>
  <c r="H96" a="1"/>
  <c r="H96" s="1"/>
  <c r="J90" a="1"/>
  <c r="J90" s="1"/>
  <c r="H101" a="1"/>
  <c r="H101" s="1"/>
  <c r="H93" a="1"/>
  <c r="H93" s="1"/>
  <c r="J87" a="1"/>
  <c r="J87" s="1"/>
  <c r="H77" a="1"/>
  <c r="H77" s="1"/>
  <c r="H94" a="1"/>
  <c r="H94" s="1"/>
  <c r="J88" a="1"/>
  <c r="J88" s="1"/>
  <c r="J78" a="1"/>
  <c r="J78" s="1"/>
  <c r="J20" i="62" a="1"/>
  <c r="J20" s="1"/>
  <c r="H20" a="1"/>
  <c r="H20" s="1"/>
  <c r="F38" i="12" a="1"/>
  <c r="F38" s="1"/>
  <c r="E38" a="1"/>
  <c r="E38" s="1"/>
  <c r="F39" a="1"/>
  <c r="F39" s="1"/>
  <c r="E39" a="1"/>
  <c r="E39" s="1"/>
  <c r="H44" i="55" a="1"/>
  <c r="H44" s="1"/>
  <c r="J44" a="1"/>
  <c r="J44" s="1"/>
  <c r="H38" a="1"/>
  <c r="H38" s="1"/>
  <c r="H39" a="1"/>
  <c r="H39" s="1"/>
  <c r="J39" a="1"/>
  <c r="J39" s="1"/>
  <c r="J38" a="1"/>
  <c r="J38" s="1"/>
  <c r="X3359" i="34"/>
  <c r="Y3359"/>
  <c r="P3359"/>
  <c r="Z3359"/>
  <c r="Q3359"/>
  <c r="AA3359"/>
  <c r="R3359"/>
  <c r="AB3359"/>
  <c r="S3359"/>
  <c r="AC3359"/>
  <c r="T3359"/>
  <c r="AD3359"/>
  <c r="U3359"/>
  <c r="V3359"/>
  <c r="M3359"/>
  <c r="W3359"/>
  <c r="E43" i="12" a="1"/>
  <c r="E43" s="1"/>
  <c r="F55" a="1"/>
  <c r="F55" s="1"/>
  <c r="F72" a="1"/>
  <c r="F72" s="1"/>
  <c r="E61" a="1"/>
  <c r="E61" s="1"/>
  <c r="F44" a="1"/>
  <c r="F44" s="1"/>
  <c r="E47" a="1"/>
  <c r="E47" s="1"/>
  <c r="E72" a="1"/>
  <c r="E72" s="1"/>
  <c r="F47" a="1"/>
  <c r="F47" s="1"/>
  <c r="E65" a="1"/>
  <c r="E65" s="1"/>
  <c r="E46" a="1"/>
  <c r="E46" s="1"/>
  <c r="F66" a="1"/>
  <c r="F66" s="1"/>
  <c r="F65" a="1"/>
  <c r="F65" s="1"/>
  <c r="E44" a="1"/>
  <c r="E44" s="1"/>
  <c r="E66" a="1"/>
  <c r="E66" s="1"/>
  <c r="F54" a="1"/>
  <c r="F54" s="1"/>
  <c r="F59" a="1"/>
  <c r="F59" s="1"/>
  <c r="F58" a="1"/>
  <c r="F58" s="1"/>
  <c r="E63" a="1"/>
  <c r="E63" s="1"/>
  <c r="E59" a="1"/>
  <c r="E59" s="1"/>
  <c r="F43" a="1"/>
  <c r="F43" s="1"/>
  <c r="F52" a="1"/>
  <c r="F52" s="1"/>
  <c r="F63" a="1"/>
  <c r="F63" s="1"/>
  <c r="E52" a="1"/>
  <c r="E52" s="1"/>
  <c r="F46" a="1"/>
  <c r="F46" s="1"/>
  <c r="E55" a="1"/>
  <c r="E55" s="1"/>
  <c r="F61" a="1"/>
  <c r="F61" s="1"/>
  <c r="E54" a="1"/>
  <c r="E54" s="1"/>
  <c r="G54" s="1"/>
  <c r="E62" a="1"/>
  <c r="E62" s="1"/>
  <c r="E58" a="1"/>
  <c r="E58" s="1"/>
  <c r="F62" a="1"/>
  <c r="F62" s="1"/>
  <c r="F50" a="1"/>
  <c r="F50" s="1"/>
  <c r="E54" i="15" a="1"/>
  <c r="E54" s="1"/>
  <c r="F54" a="1"/>
  <c r="F54" s="1"/>
  <c r="E40" a="1"/>
  <c r="E40" s="1"/>
  <c r="F40" a="1"/>
  <c r="F40" s="1"/>
  <c r="F39" a="1"/>
  <c r="F39" s="1"/>
  <c r="E39" a="1"/>
  <c r="E39" s="1"/>
  <c r="H70" i="55" a="1"/>
  <c r="H70" s="1"/>
  <c r="J70" a="1"/>
  <c r="J70" s="1"/>
  <c r="J68" a="1"/>
  <c r="J68" s="1"/>
  <c r="J69" a="1"/>
  <c r="J69" s="1"/>
  <c r="H68" a="1"/>
  <c r="H68" s="1"/>
  <c r="L68" s="1"/>
  <c r="H69" a="1"/>
  <c r="H69" s="1"/>
  <c r="H67" a="1"/>
  <c r="H67" s="1"/>
  <c r="H64" a="1"/>
  <c r="H64" s="1"/>
  <c r="J65" a="1"/>
  <c r="J65" s="1"/>
  <c r="H66" a="1"/>
  <c r="H66" s="1"/>
  <c r="H65" a="1"/>
  <c r="H65" s="1"/>
  <c r="J64" a="1"/>
  <c r="J64" s="1"/>
  <c r="J67" a="1"/>
  <c r="J67" s="1"/>
  <c r="J66" a="1"/>
  <c r="J66" s="1"/>
  <c r="F35" i="12" a="1"/>
  <c r="F35" s="1"/>
  <c r="E35" a="1"/>
  <c r="E35" s="1"/>
  <c r="E12" i="15" a="1"/>
  <c r="E12" s="1"/>
  <c r="J31" i="55" a="1"/>
  <c r="J31" s="1"/>
  <c r="J54" a="1"/>
  <c r="J54" s="1"/>
  <c r="H43" a="1"/>
  <c r="H43" s="1"/>
  <c r="H52" a="1"/>
  <c r="H52" s="1"/>
  <c r="J53" a="1"/>
  <c r="J53" s="1"/>
  <c r="H54" a="1"/>
  <c r="H54" s="1"/>
  <c r="L54" s="1"/>
  <c r="J43" a="1"/>
  <c r="J43" s="1"/>
  <c r="J52" a="1"/>
  <c r="J52" s="1"/>
  <c r="H30" a="1"/>
  <c r="H30" s="1"/>
  <c r="J55" a="1"/>
  <c r="J55" s="1"/>
  <c r="H31" a="1"/>
  <c r="H31" s="1"/>
  <c r="J30" a="1"/>
  <c r="J30" s="1"/>
  <c r="H53" a="1"/>
  <c r="H53" s="1"/>
  <c r="L53" s="1"/>
  <c r="H55" a="1"/>
  <c r="H55" s="1"/>
  <c r="L55" s="1"/>
  <c r="L35" i="45" a="1"/>
  <c r="L35" s="1"/>
  <c r="J5" i="62" a="1"/>
  <c r="J5" s="1"/>
  <c r="J35" i="45" a="1"/>
  <c r="J35" s="1"/>
  <c r="E27" i="15" a="1"/>
  <c r="E27" s="1"/>
  <c r="E5" i="12" a="1"/>
  <c r="E5" s="1"/>
  <c r="F24" i="15" a="1"/>
  <c r="F24" s="1"/>
  <c r="F10" a="1"/>
  <c r="F10" s="1"/>
  <c r="F5" i="12" a="1"/>
  <c r="F5" s="1"/>
  <c r="E49" i="15" a="1"/>
  <c r="E49" s="1"/>
  <c r="F47" a="1"/>
  <c r="F47" s="1"/>
  <c r="F43" a="1"/>
  <c r="F43" s="1"/>
  <c r="E10" a="1"/>
  <c r="E10" s="1"/>
  <c r="E37" i="12" a="1"/>
  <c r="E37" s="1"/>
  <c r="F36" i="15" a="1"/>
  <c r="F36" s="1"/>
  <c r="E42" a="1"/>
  <c r="E42" s="1"/>
  <c r="F68" a="1"/>
  <c r="F68" s="1"/>
  <c r="J20" i="55" a="1"/>
  <c r="J20" s="1"/>
  <c r="J49" a="1"/>
  <c r="J49" s="1"/>
  <c r="J34" a="1"/>
  <c r="J34" s="1"/>
  <c r="J40" a="1"/>
  <c r="J40" s="1"/>
  <c r="F63" i="15" a="1"/>
  <c r="F63" s="1"/>
  <c r="J16" i="55" a="1"/>
  <c r="J16" s="1"/>
  <c r="J17" a="1"/>
  <c r="J17" s="1"/>
  <c r="J24" a="1"/>
  <c r="J24" s="1"/>
  <c r="J13" a="1"/>
  <c r="J13" s="1"/>
  <c r="F12" i="12" a="1"/>
  <c r="F12" s="1"/>
  <c r="F31" a="1"/>
  <c r="F31" s="1"/>
  <c r="E19" a="1"/>
  <c r="E19" s="1"/>
  <c r="F34" a="1"/>
  <c r="F34" s="1"/>
  <c r="F25" a="1"/>
  <c r="F25" s="1"/>
  <c r="J35" i="55" a="1"/>
  <c r="J35" s="1"/>
  <c r="J42" a="1"/>
  <c r="J42" s="1"/>
  <c r="J22" a="1"/>
  <c r="J22" s="1"/>
  <c r="F73" i="15" a="1"/>
  <c r="F73" s="1"/>
  <c r="J37" i="55" a="1"/>
  <c r="J37" s="1"/>
  <c r="J32" a="1"/>
  <c r="J32" s="1"/>
  <c r="J36" a="1"/>
  <c r="J36" s="1"/>
  <c r="J48" a="1"/>
  <c r="J48" s="1"/>
  <c r="J25" a="1"/>
  <c r="J25" s="1"/>
  <c r="F72" i="15" a="1"/>
  <c r="F72" s="1"/>
  <c r="J61" i="55" a="1"/>
  <c r="J61" s="1"/>
  <c r="J19" a="1"/>
  <c r="J19" s="1"/>
  <c r="J33" a="1"/>
  <c r="J33" s="1"/>
  <c r="J62" a="1"/>
  <c r="J62" s="1"/>
  <c r="J28" a="1"/>
  <c r="J28" s="1"/>
  <c r="J14" a="1"/>
  <c r="J14" s="1"/>
  <c r="F14" i="12" a="1"/>
  <c r="F14" s="1"/>
  <c r="J47" i="55" a="1"/>
  <c r="J47" s="1"/>
  <c r="J45" a="1"/>
  <c r="J45" s="1"/>
  <c r="J27" a="1"/>
  <c r="J27" s="1"/>
  <c r="J63" a="1"/>
  <c r="J63" s="1"/>
  <c r="J21" a="1"/>
  <c r="J21" s="1"/>
  <c r="F71" i="15" a="1"/>
  <c r="F71" s="1"/>
  <c r="J41" i="55" a="1"/>
  <c r="J41" s="1"/>
  <c r="J29" a="1"/>
  <c r="J29" s="1"/>
  <c r="F67" i="15" a="1"/>
  <c r="F67" s="1"/>
  <c r="J26" i="55" a="1"/>
  <c r="J26" s="1"/>
  <c r="F70" i="15" a="1"/>
  <c r="F70" s="1"/>
  <c r="F66" a="1"/>
  <c r="F66" s="1"/>
  <c r="J60" i="55" a="1"/>
  <c r="J60" s="1"/>
  <c r="F29" i="12" a="1"/>
  <c r="F29" s="1"/>
  <c r="F32" a="1"/>
  <c r="F32" s="1"/>
  <c r="J50" i="55" a="1"/>
  <c r="J50" s="1"/>
  <c r="J46" a="1"/>
  <c r="J46" s="1"/>
  <c r="F69" i="15" a="1"/>
  <c r="F69" s="1"/>
  <c r="J76" i="55" a="1"/>
  <c r="J76" s="1"/>
  <c r="J18" a="1"/>
  <c r="J18" s="1"/>
  <c r="J75" a="1"/>
  <c r="J75" s="1"/>
  <c r="J15" a="1"/>
  <c r="J15" s="1"/>
  <c r="J51" a="1"/>
  <c r="J51" s="1"/>
  <c r="J23" a="1"/>
  <c r="J23" s="1"/>
  <c r="E13" i="12" a="1"/>
  <c r="E13" s="1"/>
  <c r="E10" a="1"/>
  <c r="E10" s="1"/>
  <c r="E21" a="1"/>
  <c r="E21" s="1"/>
  <c r="F20" a="1"/>
  <c r="F20" s="1"/>
  <c r="H12" i="62" a="1"/>
  <c r="H12" s="1"/>
  <c r="F23" i="12" a="1"/>
  <c r="F23" s="1"/>
  <c r="E6" a="1"/>
  <c r="E6" s="1"/>
  <c r="L40" i="45" a="1"/>
  <c r="L40" s="1"/>
  <c r="L43" a="1"/>
  <c r="L43" s="1"/>
  <c r="E24" i="12" a="1"/>
  <c r="E24" s="1"/>
  <c r="E32" a="1"/>
  <c r="E32" s="1"/>
  <c r="F10" a="1"/>
  <c r="F10" s="1"/>
  <c r="H16" i="62" a="1"/>
  <c r="H16" s="1"/>
  <c r="L46" i="45" a="1"/>
  <c r="L46" s="1"/>
  <c r="F30" i="12" a="1"/>
  <c r="F30" s="1"/>
  <c r="H15" i="62" a="1"/>
  <c r="H15" s="1"/>
  <c r="J47" i="45" a="1"/>
  <c r="J47" s="1"/>
  <c r="L48" a="1"/>
  <c r="L48" s="1"/>
  <c r="F28" i="12" a="1"/>
  <c r="F28" s="1"/>
  <c r="F15" a="1"/>
  <c r="F15" s="1"/>
  <c r="F17" a="1"/>
  <c r="F17" s="1"/>
  <c r="F22" a="1"/>
  <c r="F22" s="1"/>
  <c r="E74" i="15" a="1"/>
  <c r="E74" s="1"/>
  <c r="I74" s="1"/>
  <c r="E34" i="12" a="1"/>
  <c r="E34" s="1"/>
  <c r="F24" a="1"/>
  <c r="F24" s="1"/>
  <c r="F16" a="1"/>
  <c r="F16" s="1"/>
  <c r="H50" i="55" a="1"/>
  <c r="H50" s="1"/>
  <c r="F13" i="12" a="1"/>
  <c r="F13" s="1"/>
  <c r="L8" i="45" a="1"/>
  <c r="L8" s="1"/>
  <c r="J39" a="1"/>
  <c r="J39" s="1"/>
  <c r="E27" i="12" a="1"/>
  <c r="E27" s="1"/>
  <c r="L6" i="45" a="1"/>
  <c r="L6" s="1"/>
  <c r="H11" i="62" a="1"/>
  <c r="H11" s="1"/>
  <c r="H14" i="55" a="1"/>
  <c r="H14" s="1"/>
  <c r="L32" i="45" a="1"/>
  <c r="L32" s="1"/>
  <c r="J36" a="1"/>
  <c r="J36" s="1"/>
  <c r="H47" i="55" a="1"/>
  <c r="H47" s="1"/>
  <c r="E9" i="12" a="1"/>
  <c r="E9" s="1"/>
  <c r="F27" a="1"/>
  <c r="F27" s="1"/>
  <c r="H27" s="1"/>
  <c r="F6" a="1"/>
  <c r="F6" s="1"/>
  <c r="L44" i="45" a="1"/>
  <c r="L44" s="1"/>
  <c r="J37" a="1"/>
  <c r="J37" s="1"/>
  <c r="H45" i="55" a="1"/>
  <c r="H45" s="1"/>
  <c r="F45" i="12" a="1"/>
  <c r="F45" s="1"/>
  <c r="E51" i="15" a="1"/>
  <c r="E51" s="1"/>
  <c r="L23" i="45" a="1"/>
  <c r="L23" s="1"/>
  <c r="L28" a="1"/>
  <c r="L28" s="1"/>
  <c r="F22" i="15" a="1"/>
  <c r="F22" s="1"/>
  <c r="E68" i="12" a="1"/>
  <c r="E68" s="1"/>
  <c r="J6" i="45" a="1"/>
  <c r="J6" s="1"/>
  <c r="J14" a="1"/>
  <c r="J14" s="1"/>
  <c r="L18" a="1"/>
  <c r="L18" s="1"/>
  <c r="L24" a="1"/>
  <c r="L24" s="1"/>
  <c r="J19" a="1"/>
  <c r="J19" s="1"/>
  <c r="J27" a="1"/>
  <c r="J27" s="1"/>
  <c r="J14" i="62" a="1"/>
  <c r="J14" s="1"/>
  <c r="L11" i="45" a="1"/>
  <c r="L11" s="1"/>
  <c r="L15" a="1"/>
  <c r="L15" s="1"/>
  <c r="H76" i="55" a="1"/>
  <c r="H76" s="1"/>
  <c r="E34" i="15" a="1"/>
  <c r="E34" s="1"/>
  <c r="H34" i="55" a="1"/>
  <c r="H34" s="1"/>
  <c r="E41" i="12" a="1"/>
  <c r="E41" s="1"/>
  <c r="L33" i="45" a="1"/>
  <c r="L33" s="1"/>
  <c r="E31" i="12" a="1"/>
  <c r="E31" s="1"/>
  <c r="L39" i="45" a="1"/>
  <c r="L39" s="1"/>
  <c r="J44" a="1"/>
  <c r="J44" s="1"/>
  <c r="F19" i="12" a="1"/>
  <c r="F19" s="1"/>
  <c r="E8" a="1"/>
  <c r="E8" s="1"/>
  <c r="J19" i="62" a="1"/>
  <c r="J19" s="1"/>
  <c r="J43" i="45" a="1"/>
  <c r="J43" s="1"/>
  <c r="H35" i="55" a="1"/>
  <c r="H35" s="1"/>
  <c r="J45" i="45" a="1"/>
  <c r="J45" s="1"/>
  <c r="L38" a="1"/>
  <c r="L38" s="1"/>
  <c r="F11" i="12" a="1"/>
  <c r="F11" s="1"/>
  <c r="L42" i="45" a="1"/>
  <c r="L42" s="1"/>
  <c r="L47" a="1"/>
  <c r="L47" s="1"/>
  <c r="E20" i="12" a="1"/>
  <c r="E20" s="1"/>
  <c r="E18" a="1"/>
  <c r="E18" s="1"/>
  <c r="J41" i="45" a="1"/>
  <c r="J41" s="1"/>
  <c r="E11" i="12" a="1"/>
  <c r="E11" s="1"/>
  <c r="E29" a="1"/>
  <c r="E29" s="1"/>
  <c r="E22" i="15" a="1"/>
  <c r="E22" s="1"/>
  <c r="F50" a="1"/>
  <c r="F50" s="1"/>
  <c r="H51" i="55" a="1"/>
  <c r="H51" s="1"/>
  <c r="J18" i="62" a="1"/>
  <c r="J18" s="1"/>
  <c r="E28" i="12" a="1"/>
  <c r="E28" s="1"/>
  <c r="J48" i="45" a="1"/>
  <c r="J48" s="1"/>
  <c r="E33" i="12" a="1"/>
  <c r="E33" s="1"/>
  <c r="E30" a="1"/>
  <c r="E30" s="1"/>
  <c r="F9" a="1"/>
  <c r="F9" s="1"/>
  <c r="J17" i="62" a="1"/>
  <c r="J17" s="1"/>
  <c r="H10" a="1"/>
  <c r="H10" s="1"/>
  <c r="F59" i="15" a="1"/>
  <c r="F59" s="1"/>
  <c r="E38" a="1"/>
  <c r="E38" s="1"/>
  <c r="H14" i="62" a="1"/>
  <c r="H14" s="1"/>
  <c r="L30" i="45" a="1"/>
  <c r="L30" s="1"/>
  <c r="J38" a="1"/>
  <c r="J38" s="1"/>
  <c r="F26" i="12" a="1"/>
  <c r="F26" s="1"/>
  <c r="J16" i="62" a="1"/>
  <c r="J16" s="1"/>
  <c r="E15" i="15" a="1"/>
  <c r="E15" s="1"/>
  <c r="J12" i="62" a="1"/>
  <c r="J12" s="1"/>
  <c r="J16" i="45" a="1"/>
  <c r="J16" s="1"/>
  <c r="H46" i="55" a="1"/>
  <c r="H46" s="1"/>
  <c r="J22" i="45" a="1"/>
  <c r="J22" s="1"/>
  <c r="J8" a="1"/>
  <c r="J8" s="1"/>
  <c r="J40" a="1"/>
  <c r="J40" s="1"/>
  <c r="E22" i="12" a="1"/>
  <c r="E22" s="1"/>
  <c r="E12" a="1"/>
  <c r="E12" s="1"/>
  <c r="G12" s="1"/>
  <c r="H17" i="62" a="1"/>
  <c r="H17" s="1"/>
  <c r="J34" i="45" a="1"/>
  <c r="J34" s="1"/>
  <c r="E24" i="15" a="1"/>
  <c r="E24" s="1"/>
  <c r="E43" a="1"/>
  <c r="E43" s="1"/>
  <c r="G43" s="1"/>
  <c r="J32" i="45" a="1"/>
  <c r="J32" s="1"/>
  <c r="N32" s="1"/>
  <c r="E67" i="12" a="1"/>
  <c r="E67" s="1"/>
  <c r="E44" i="15" a="1"/>
  <c r="E44" s="1"/>
  <c r="E72" a="1"/>
  <c r="E72" s="1"/>
  <c r="F38" a="1"/>
  <c r="F38" s="1"/>
  <c r="H17" i="55" a="1"/>
  <c r="H17" s="1"/>
  <c r="J15" i="45" a="1"/>
  <c r="J15" s="1"/>
  <c r="E28" i="15" a="1"/>
  <c r="E28" s="1"/>
  <c r="H75" i="55" a="1"/>
  <c r="H75" s="1"/>
  <c r="L26" i="45" a="1"/>
  <c r="L26" s="1"/>
  <c r="E71" i="15" a="1"/>
  <c r="E71" s="1"/>
  <c r="F53" i="12" a="1"/>
  <c r="F53" s="1"/>
  <c r="J5" i="45" a="1"/>
  <c r="J5" s="1"/>
  <c r="L13" a="1"/>
  <c r="L13" s="1"/>
  <c r="H19" i="55" a="1"/>
  <c r="H19" s="1"/>
  <c r="F49" i="12" a="1"/>
  <c r="F49" s="1"/>
  <c r="J49" i="45" a="1"/>
  <c r="J49" s="1"/>
  <c r="E26" i="12" a="1"/>
  <c r="E26" s="1"/>
  <c r="H18" i="62" a="1"/>
  <c r="H18" s="1"/>
  <c r="F33" i="12" a="1"/>
  <c r="F33" s="1"/>
  <c r="J46" i="45" a="1"/>
  <c r="J46" s="1"/>
  <c r="E25" i="12" a="1"/>
  <c r="E25" s="1"/>
  <c r="E15" a="1"/>
  <c r="E15" s="1"/>
  <c r="L50" i="45" a="1"/>
  <c r="L50" s="1"/>
  <c r="L36" a="1"/>
  <c r="L36" s="1"/>
  <c r="L41" a="1"/>
  <c r="L41" s="1"/>
  <c r="H48" i="55" a="1"/>
  <c r="H48" s="1"/>
  <c r="E53" i="12" a="1"/>
  <c r="E53" s="1"/>
  <c r="F13" i="15" a="1"/>
  <c r="F13" s="1"/>
  <c r="L49" i="45" a="1"/>
  <c r="L49" s="1"/>
  <c r="L37" a="1"/>
  <c r="L37" s="1"/>
  <c r="J33" a="1"/>
  <c r="J33" s="1"/>
  <c r="H42" i="55" a="1"/>
  <c r="H42" s="1"/>
  <c r="F7" i="12" a="1"/>
  <c r="F7" s="1"/>
  <c r="E17" a="1"/>
  <c r="E17" s="1"/>
  <c r="E7" a="1"/>
  <c r="E7" s="1"/>
  <c r="J42" i="45" a="1"/>
  <c r="J42" s="1"/>
  <c r="F21" i="12" a="1"/>
  <c r="F21" s="1"/>
  <c r="H21" s="1"/>
  <c r="E16" a="1"/>
  <c r="E16" s="1"/>
  <c r="E48" a="1"/>
  <c r="E48" s="1"/>
  <c r="E14" a="1"/>
  <c r="E14" s="1"/>
  <c r="J50" i="45" a="1"/>
  <c r="J50" s="1"/>
  <c r="L45" a="1"/>
  <c r="L45" s="1"/>
  <c r="F18" i="12" a="1"/>
  <c r="F18" s="1"/>
  <c r="F8" a="1"/>
  <c r="F8" s="1"/>
  <c r="E23" a="1"/>
  <c r="E23" s="1"/>
  <c r="H19" i="62" a="1"/>
  <c r="H19" s="1"/>
  <c r="L34" i="45" a="1"/>
  <c r="L34" s="1"/>
  <c r="F31" i="15" a="1"/>
  <c r="F31" s="1"/>
  <c r="E45" i="12" a="1"/>
  <c r="E45" s="1"/>
  <c r="H49" i="55" a="1"/>
  <c r="H49" s="1"/>
  <c r="E69" i="15" a="1"/>
  <c r="E69" s="1"/>
  <c r="I69" s="1"/>
  <c r="H9" i="62" a="1"/>
  <c r="H9" s="1"/>
  <c r="F29" i="15" a="1"/>
  <c r="F29" s="1"/>
  <c r="E29" a="1"/>
  <c r="E29" s="1"/>
  <c r="J6" i="62" a="1"/>
  <c r="J6" s="1"/>
  <c r="F69" i="12" a="1"/>
  <c r="F69" s="1"/>
  <c r="L5" i="45" a="1"/>
  <c r="L5" s="1"/>
  <c r="E42" i="12" a="1"/>
  <c r="E42" s="1"/>
  <c r="E59" i="15" a="1"/>
  <c r="E59" s="1"/>
  <c r="E68" a="1"/>
  <c r="E68" s="1"/>
  <c r="H60" i="55" a="1"/>
  <c r="H60" s="1"/>
  <c r="F51" i="12" a="1"/>
  <c r="F51" s="1"/>
  <c r="E55" i="15" a="1"/>
  <c r="E55" s="1"/>
  <c r="F40" i="12" a="1"/>
  <c r="F40" s="1"/>
  <c r="L10" i="45" a="1"/>
  <c r="L10" s="1"/>
  <c r="F56" i="12" a="1"/>
  <c r="F56" s="1"/>
  <c r="H22" i="55" a="1"/>
  <c r="H22" s="1"/>
  <c r="L22" s="1"/>
  <c r="J13" i="62" a="1"/>
  <c r="J13" s="1"/>
  <c r="L20" i="45" a="1"/>
  <c r="L20" s="1"/>
  <c r="E13" i="15" a="1"/>
  <c r="E13" s="1"/>
  <c r="H7" i="62" a="1"/>
  <c r="H7" s="1"/>
  <c r="E66" i="15" a="1"/>
  <c r="E66" s="1"/>
  <c r="E18" a="1"/>
  <c r="E18" s="1"/>
  <c r="H32" i="55" a="1"/>
  <c r="H32" s="1"/>
  <c r="F28" i="15" a="1"/>
  <c r="F28" s="1"/>
  <c r="J31" i="45" a="1"/>
  <c r="J31" s="1"/>
  <c r="L14" a="1"/>
  <c r="L14" s="1"/>
  <c r="P14" s="1"/>
  <c r="J24" a="1"/>
  <c r="J24" s="1"/>
  <c r="E16" i="15" a="1"/>
  <c r="E16" s="1"/>
  <c r="H25" i="55" a="1"/>
  <c r="H25" s="1"/>
  <c r="H26" a="1"/>
  <c r="H26" s="1"/>
  <c r="L27" i="45" a="1"/>
  <c r="L27" s="1"/>
  <c r="P27" s="1"/>
  <c r="F16" i="15" a="1"/>
  <c r="F16" s="1"/>
  <c r="J11" i="45" a="1"/>
  <c r="J11" s="1"/>
  <c r="F18" i="15" a="1"/>
  <c r="F18" s="1"/>
  <c r="F57" a="1"/>
  <c r="F57" s="1"/>
  <c r="E51" i="12" a="1"/>
  <c r="E51" s="1"/>
  <c r="J9" i="62" a="1"/>
  <c r="J9" s="1"/>
  <c r="H18" i="55" a="1"/>
  <c r="H18" s="1"/>
  <c r="H15" a="1"/>
  <c r="H15" s="1"/>
  <c r="L15" s="1"/>
  <c r="F62" i="15" a="1"/>
  <c r="F62" s="1"/>
  <c r="F64" s="1"/>
  <c r="F65" s="1"/>
  <c r="H16" i="55" a="1"/>
  <c r="H16" s="1"/>
  <c r="F25" i="15" a="1"/>
  <c r="F25" s="1"/>
  <c r="J26" i="45" a="1"/>
  <c r="J26" s="1"/>
  <c r="F26" i="15" a="1"/>
  <c r="F26" s="1"/>
  <c r="L29" i="45" a="1"/>
  <c r="L29" s="1"/>
  <c r="J29" a="1"/>
  <c r="J29" s="1"/>
  <c r="F70" i="12" a="1"/>
  <c r="F70" s="1"/>
  <c r="H33" i="55" a="1"/>
  <c r="H33" s="1"/>
  <c r="L33" s="1"/>
  <c r="E73" i="15" a="1"/>
  <c r="E73" s="1"/>
  <c r="E64" i="12" a="1"/>
  <c r="E64" s="1"/>
  <c r="L7" i="45" a="1"/>
  <c r="L7" s="1"/>
  <c r="E57" i="15" a="1"/>
  <c r="E57" s="1"/>
  <c r="E49" i="12" a="1"/>
  <c r="E49" s="1"/>
  <c r="L21" i="45" a="1"/>
  <c r="L21" s="1"/>
  <c r="F42" i="15" a="1"/>
  <c r="F42" s="1"/>
  <c r="E50" i="12" a="1"/>
  <c r="E50" s="1"/>
  <c r="G50" s="1"/>
  <c r="E47" i="15" a="1"/>
  <c r="E47" s="1"/>
  <c r="J28" i="45" a="1"/>
  <c r="J28" s="1"/>
  <c r="J25" a="1"/>
  <c r="J25" s="1"/>
  <c r="E50" i="15" a="1"/>
  <c r="E50" s="1"/>
  <c r="G50" s="1"/>
  <c r="F48" i="12" a="1"/>
  <c r="F48" s="1"/>
  <c r="L25" i="45" a="1"/>
  <c r="L25" s="1"/>
  <c r="L16" a="1"/>
  <c r="L16" s="1"/>
  <c r="H40" i="55" a="1"/>
  <c r="H40" s="1"/>
  <c r="E70" i="15" a="1"/>
  <c r="E70" s="1"/>
  <c r="I70" s="1"/>
  <c r="E70" i="12" a="1"/>
  <c r="E70" s="1"/>
  <c r="J12" i="45" a="1"/>
  <c r="J12" s="1"/>
  <c r="L22" a="1"/>
  <c r="L22" s="1"/>
  <c r="E25" i="15" a="1"/>
  <c r="E25" s="1"/>
  <c r="H63" i="55" a="1"/>
  <c r="H63" s="1"/>
  <c r="L63" s="1"/>
  <c r="E40" i="12" a="1"/>
  <c r="E40" s="1"/>
  <c r="F12" i="15" a="1"/>
  <c r="F12" s="1"/>
  <c r="H36" i="55" a="1"/>
  <c r="H36" s="1"/>
  <c r="H23" a="1"/>
  <c r="H23" s="1"/>
  <c r="E69" i="12" a="1"/>
  <c r="E69" s="1"/>
  <c r="F68" a="1"/>
  <c r="F68" s="1"/>
  <c r="F64" a="1"/>
  <c r="F64" s="1"/>
  <c r="J15" i="62" a="1"/>
  <c r="J15" s="1"/>
  <c r="N15" s="1"/>
  <c r="H28" i="55" a="1"/>
  <c r="H28" s="1"/>
  <c r="F34" i="15" a="1"/>
  <c r="F34" s="1"/>
  <c r="J18" i="45" a="1"/>
  <c r="J18" s="1"/>
  <c r="N18" s="1"/>
  <c r="H6" i="62" a="1"/>
  <c r="H6" s="1"/>
  <c r="J59" i="55" a="1"/>
  <c r="J59" s="1"/>
  <c r="L31" i="45" a="1"/>
  <c r="L31" s="1"/>
  <c r="F37" i="12" a="1"/>
  <c r="F37" s="1"/>
  <c r="J21" i="45" a="1"/>
  <c r="J21" s="1"/>
  <c r="J11" i="62" a="1"/>
  <c r="J11" s="1"/>
  <c r="H41" i="55" a="1"/>
  <c r="H41" s="1"/>
  <c r="H27" a="1"/>
  <c r="H27" s="1"/>
  <c r="E63" i="15" a="1"/>
  <c r="E63" s="1"/>
  <c r="I63" s="1"/>
  <c r="H13" i="62" a="1"/>
  <c r="H13" s="1"/>
  <c r="H8" a="1"/>
  <c r="H8" s="1"/>
  <c r="J30" i="45" a="1"/>
  <c r="J30" s="1"/>
  <c r="J8" i="62" a="1"/>
  <c r="J8" s="1"/>
  <c r="E57" i="12" a="1"/>
  <c r="E57" s="1"/>
  <c r="J20" i="45" a="1"/>
  <c r="J20" s="1"/>
  <c r="H29" i="55" a="1"/>
  <c r="H29" s="1"/>
  <c r="J7" i="62" a="1"/>
  <c r="J7" s="1"/>
  <c r="J10" a="1"/>
  <c r="J10" s="1"/>
  <c r="H20" i="55" a="1"/>
  <c r="H20" s="1"/>
  <c r="E36" i="15" a="1"/>
  <c r="E36" s="1"/>
  <c r="F36" i="12" a="1"/>
  <c r="F36" s="1"/>
  <c r="H13" i="55" a="1"/>
  <c r="H13" s="1"/>
  <c r="L13" s="1"/>
  <c r="E67" i="15" a="1"/>
  <c r="E67" s="1"/>
  <c r="I67" s="1"/>
  <c r="F41" i="12" a="1"/>
  <c r="F41" s="1"/>
  <c r="F15" i="15" a="1"/>
  <c r="F15" s="1"/>
  <c r="J10" i="45" a="1"/>
  <c r="J10" s="1"/>
  <c r="H61" i="55" a="1"/>
  <c r="H61" s="1"/>
  <c r="L61" s="1"/>
  <c r="F42" i="12" a="1"/>
  <c r="F42" s="1"/>
  <c r="E52" i="15" a="1"/>
  <c r="E52" s="1"/>
  <c r="H37" i="55" a="1"/>
  <c r="H37" s="1"/>
  <c r="H21" a="1"/>
  <c r="H21" s="1"/>
  <c r="L21" s="1"/>
  <c r="E31" i="15" a="1"/>
  <c r="E31" s="1"/>
  <c r="E33" a="1"/>
  <c r="E33" s="1"/>
  <c r="L19" i="45" a="1"/>
  <c r="L19" s="1"/>
  <c r="P19" s="1"/>
  <c r="L17" a="1"/>
  <c r="L17" s="1"/>
  <c r="F52" i="15" a="1"/>
  <c r="F52" s="1"/>
  <c r="F4" i="12" a="1"/>
  <c r="F4" s="1"/>
  <c r="E26" i="15" a="1"/>
  <c r="E26" s="1"/>
  <c r="E4" i="12" a="1"/>
  <c r="E4" s="1"/>
  <c r="J9" i="45" a="1"/>
  <c r="J9" s="1"/>
  <c r="F20" i="15" a="1"/>
  <c r="F20" s="1"/>
  <c r="H24" i="55" a="1"/>
  <c r="H24" s="1"/>
  <c r="F67" i="12" a="1"/>
  <c r="F67" s="1"/>
  <c r="F57" a="1"/>
  <c r="F57" s="1"/>
  <c r="E60" a="1"/>
  <c r="E60" s="1"/>
  <c r="L81" i="55"/>
  <c r="F60" i="12" a="1"/>
  <c r="F60" s="1"/>
  <c r="J7" i="45" a="1"/>
  <c r="J7" s="1"/>
  <c r="E20" i="15" a="1"/>
  <c r="E20" s="1"/>
  <c r="H62" i="55" a="1"/>
  <c r="H62" s="1"/>
  <c r="L9" i="45" a="1"/>
  <c r="L9" s="1"/>
  <c r="F33" i="15" a="1"/>
  <c r="F33" s="1"/>
  <c r="F44" a="1"/>
  <c r="F44" s="1"/>
  <c r="H12" i="55" a="1"/>
  <c r="H12" s="1"/>
  <c r="F21" i="15" a="1"/>
  <c r="F21" s="1"/>
  <c r="E62" a="1"/>
  <c r="E62" s="1"/>
  <c r="J23" i="45" a="1"/>
  <c r="J23" s="1"/>
  <c r="J13" a="1"/>
  <c r="J13" s="1"/>
  <c r="H10" i="15"/>
  <c r="H11" s="1"/>
  <c r="F11"/>
  <c r="J74" i="55" a="1"/>
  <c r="J74" s="1"/>
  <c r="E36" i="12" a="1"/>
  <c r="E36" s="1"/>
  <c r="L12" i="45" a="1"/>
  <c r="L12" s="1"/>
  <c r="J17" a="1"/>
  <c r="J17" s="1"/>
  <c r="F49" i="15" a="1"/>
  <c r="F49" s="1"/>
  <c r="E56" i="12" a="1"/>
  <c r="E56" s="1"/>
  <c r="H5" i="62" a="1"/>
  <c r="H5" s="1"/>
  <c r="H74" i="55" a="1"/>
  <c r="H74" s="1"/>
  <c r="J12" a="1"/>
  <c r="J12" s="1"/>
  <c r="F27" i="15" a="1"/>
  <c r="F27" s="1"/>
  <c r="G27" s="1"/>
  <c r="F55" a="1"/>
  <c r="F55" s="1"/>
  <c r="H59" i="55" a="1"/>
  <c r="H59" s="1"/>
  <c r="E21" i="15" a="1"/>
  <c r="E21" s="1"/>
  <c r="F51" a="1"/>
  <c r="F51" s="1"/>
  <c r="C14" i="39"/>
  <c r="G81" i="12" l="1"/>
  <c r="H81"/>
  <c r="F186" i="47"/>
  <c r="E185"/>
  <c r="D184"/>
  <c r="C183"/>
  <c r="B182"/>
  <c r="A181"/>
  <c r="J181" s="1"/>
  <c r="G179"/>
  <c r="F178"/>
  <c r="E177"/>
  <c r="D176"/>
  <c r="C173"/>
  <c r="C186"/>
  <c r="B185"/>
  <c r="A184"/>
  <c r="J184" s="1"/>
  <c r="G182"/>
  <c r="F181"/>
  <c r="E180"/>
  <c r="D179"/>
  <c r="C178"/>
  <c r="B177"/>
  <c r="A176"/>
  <c r="J176" s="1"/>
  <c r="F174"/>
  <c r="D173"/>
  <c r="G185"/>
  <c r="F184"/>
  <c r="E183"/>
  <c r="D182"/>
  <c r="C181"/>
  <c r="B180"/>
  <c r="A179"/>
  <c r="J179" s="1"/>
  <c r="G177"/>
  <c r="F176"/>
  <c r="E175"/>
  <c r="E174"/>
  <c r="E173"/>
  <c r="E186"/>
  <c r="D185"/>
  <c r="C184"/>
  <c r="B183"/>
  <c r="A182"/>
  <c r="J182" s="1"/>
  <c r="G180"/>
  <c r="F179"/>
  <c r="E178"/>
  <c r="D177"/>
  <c r="C176"/>
  <c r="B175"/>
  <c r="F173"/>
  <c r="B173"/>
  <c r="B186"/>
  <c r="A185"/>
  <c r="J185" s="1"/>
  <c r="G183"/>
  <c r="F182"/>
  <c r="E181"/>
  <c r="D180"/>
  <c r="C179"/>
  <c r="B178"/>
  <c r="A177"/>
  <c r="J177" s="1"/>
  <c r="G175"/>
  <c r="G174"/>
  <c r="G173"/>
  <c r="G186"/>
  <c r="F185"/>
  <c r="E184"/>
  <c r="D183"/>
  <c r="C182"/>
  <c r="B181"/>
  <c r="A180"/>
  <c r="J180" s="1"/>
  <c r="G178"/>
  <c r="F177"/>
  <c r="E176"/>
  <c r="D175"/>
  <c r="B174"/>
  <c r="D186"/>
  <c r="C185"/>
  <c r="B184"/>
  <c r="A183"/>
  <c r="J183" s="1"/>
  <c r="G181"/>
  <c r="F180"/>
  <c r="E179"/>
  <c r="D178"/>
  <c r="C177"/>
  <c r="B176"/>
  <c r="A175"/>
  <c r="J175" s="1"/>
  <c r="A174"/>
  <c r="J174" s="1"/>
  <c r="A173"/>
  <c r="J173" s="1"/>
  <c r="A186"/>
  <c r="J186" s="1"/>
  <c r="G184"/>
  <c r="F183"/>
  <c r="E182"/>
  <c r="D181"/>
  <c r="C180"/>
  <c r="B179"/>
  <c r="A178"/>
  <c r="J178" s="1"/>
  <c r="G176"/>
  <c r="F175"/>
  <c r="D174"/>
  <c r="G25" i="15"/>
  <c r="H76" i="12"/>
  <c r="H74"/>
  <c r="G75"/>
  <c r="H71"/>
  <c r="H73"/>
  <c r="H77"/>
  <c r="H75"/>
  <c r="H78"/>
  <c r="G78"/>
  <c r="G77"/>
  <c r="G76"/>
  <c r="G71"/>
  <c r="G74"/>
  <c r="G73"/>
  <c r="H80"/>
  <c r="G80"/>
  <c r="H79"/>
  <c r="G79"/>
  <c r="P16" i="45"/>
  <c r="L34" i="55"/>
  <c r="L94"/>
  <c r="D115" i="47"/>
  <c r="A117"/>
  <c r="J117" s="1"/>
  <c r="E117"/>
  <c r="B119"/>
  <c r="F119"/>
  <c r="C135"/>
  <c r="G135"/>
  <c r="D137"/>
  <c r="A139"/>
  <c r="J139" s="1"/>
  <c r="E139"/>
  <c r="B136"/>
  <c r="F136"/>
  <c r="C138"/>
  <c r="G138"/>
  <c r="D140"/>
  <c r="A155"/>
  <c r="J155" s="1"/>
  <c r="E155"/>
  <c r="B156"/>
  <c r="F156"/>
  <c r="G157"/>
  <c r="D158"/>
  <c r="A15"/>
  <c r="J15" s="1"/>
  <c r="E15"/>
  <c r="B35"/>
  <c r="F35"/>
  <c r="C36"/>
  <c r="G36"/>
  <c r="D37"/>
  <c r="A38"/>
  <c r="J38" s="1"/>
  <c r="E38"/>
  <c r="B39"/>
  <c r="F39"/>
  <c r="C40"/>
  <c r="G40"/>
  <c r="D41"/>
  <c r="A42"/>
  <c r="J42" s="1"/>
  <c r="E42"/>
  <c r="B43"/>
  <c r="F43"/>
  <c r="C51"/>
  <c r="G51"/>
  <c r="D52"/>
  <c r="A53"/>
  <c r="J53" s="1"/>
  <c r="E53"/>
  <c r="B54"/>
  <c r="F54"/>
  <c r="C55"/>
  <c r="G55"/>
  <c r="D56"/>
  <c r="A57"/>
  <c r="J57" s="1"/>
  <c r="E57"/>
  <c r="B58"/>
  <c r="F58"/>
  <c r="C59"/>
  <c r="G59"/>
  <c r="D60"/>
  <c r="A61"/>
  <c r="J61" s="1"/>
  <c r="E61"/>
  <c r="B62"/>
  <c r="F62"/>
  <c r="C69"/>
  <c r="G69"/>
  <c r="D70"/>
  <c r="A71"/>
  <c r="J71" s="1"/>
  <c r="E71"/>
  <c r="B72"/>
  <c r="F72"/>
  <c r="C73"/>
  <c r="G73"/>
  <c r="D74"/>
  <c r="A75"/>
  <c r="J75" s="1"/>
  <c r="E75"/>
  <c r="B76"/>
  <c r="F76"/>
  <c r="C77"/>
  <c r="G77"/>
  <c r="D78"/>
  <c r="A79"/>
  <c r="J79" s="1"/>
  <c r="E79"/>
  <c r="B80"/>
  <c r="F80"/>
  <c r="C85"/>
  <c r="G85"/>
  <c r="D86"/>
  <c r="A87"/>
  <c r="J87" s="1"/>
  <c r="E87"/>
  <c r="B88"/>
  <c r="F88"/>
  <c r="C89"/>
  <c r="G89"/>
  <c r="D90"/>
  <c r="A91"/>
  <c r="J91" s="1"/>
  <c r="E91"/>
  <c r="B92"/>
  <c r="F92"/>
  <c r="C93"/>
  <c r="G93"/>
  <c r="D101"/>
  <c r="A102"/>
  <c r="J102" s="1"/>
  <c r="E102"/>
  <c r="B103"/>
  <c r="F103"/>
  <c r="C104"/>
  <c r="G104"/>
  <c r="D105"/>
  <c r="A106"/>
  <c r="J106" s="1"/>
  <c r="E106"/>
  <c r="B107"/>
  <c r="F107"/>
  <c r="C108"/>
  <c r="G108"/>
  <c r="D109"/>
  <c r="A110"/>
  <c r="J110" s="1"/>
  <c r="E110"/>
  <c r="B111"/>
  <c r="F111"/>
  <c r="C112"/>
  <c r="G112"/>
  <c r="D122"/>
  <c r="A123"/>
  <c r="J123" s="1"/>
  <c r="A115"/>
  <c r="J115" s="1"/>
  <c r="E115"/>
  <c r="B117"/>
  <c r="F117"/>
  <c r="C119"/>
  <c r="G119"/>
  <c r="D135"/>
  <c r="A137"/>
  <c r="J137" s="1"/>
  <c r="E137"/>
  <c r="B139"/>
  <c r="F139"/>
  <c r="C136"/>
  <c r="G136"/>
  <c r="D138"/>
  <c r="A140"/>
  <c r="J140" s="1"/>
  <c r="E140"/>
  <c r="B155"/>
  <c r="F155"/>
  <c r="C156"/>
  <c r="G156"/>
  <c r="D157"/>
  <c r="A158"/>
  <c r="J158" s="1"/>
  <c r="E158"/>
  <c r="B15"/>
  <c r="F15"/>
  <c r="G35"/>
  <c r="D36"/>
  <c r="A37"/>
  <c r="J37" s="1"/>
  <c r="E37"/>
  <c r="B38"/>
  <c r="F38"/>
  <c r="C39"/>
  <c r="G39"/>
  <c r="D40"/>
  <c r="A41"/>
  <c r="J41" s="1"/>
  <c r="E41"/>
  <c r="B42"/>
  <c r="F42"/>
  <c r="C43"/>
  <c r="G43"/>
  <c r="D51"/>
  <c r="A52"/>
  <c r="J52" s="1"/>
  <c r="E52"/>
  <c r="B53"/>
  <c r="F53"/>
  <c r="C54"/>
  <c r="G54"/>
  <c r="D55"/>
  <c r="A56"/>
  <c r="J56" s="1"/>
  <c r="E56"/>
  <c r="B57"/>
  <c r="F57"/>
  <c r="C58"/>
  <c r="G58"/>
  <c r="D59"/>
  <c r="A60"/>
  <c r="J60" s="1"/>
  <c r="E60"/>
  <c r="B61"/>
  <c r="F61"/>
  <c r="C62"/>
  <c r="G62"/>
  <c r="D69"/>
  <c r="A70"/>
  <c r="J70" s="1"/>
  <c r="E70"/>
  <c r="B71"/>
  <c r="F71"/>
  <c r="C72"/>
  <c r="G72"/>
  <c r="D73"/>
  <c r="A74"/>
  <c r="J74" s="1"/>
  <c r="E74"/>
  <c r="B75"/>
  <c r="F75"/>
  <c r="C76"/>
  <c r="G76"/>
  <c r="D77"/>
  <c r="A78"/>
  <c r="J78" s="1"/>
  <c r="E78"/>
  <c r="B79"/>
  <c r="F79"/>
  <c r="C80"/>
  <c r="G80"/>
  <c r="D85"/>
  <c r="A86"/>
  <c r="J86" s="1"/>
  <c r="E86"/>
  <c r="B87"/>
  <c r="F87"/>
  <c r="C88"/>
  <c r="G88"/>
  <c r="D89"/>
  <c r="A90"/>
  <c r="J90" s="1"/>
  <c r="E90"/>
  <c r="B91"/>
  <c r="F91"/>
  <c r="C92"/>
  <c r="G92"/>
  <c r="D93"/>
  <c r="A101"/>
  <c r="J101" s="1"/>
  <c r="E101"/>
  <c r="B102"/>
  <c r="F102"/>
  <c r="C103"/>
  <c r="G103"/>
  <c r="D104"/>
  <c r="A105"/>
  <c r="J105" s="1"/>
  <c r="E105"/>
  <c r="B106"/>
  <c r="F106"/>
  <c r="C107"/>
  <c r="G107"/>
  <c r="D108"/>
  <c r="A109"/>
  <c r="J109" s="1"/>
  <c r="E109"/>
  <c r="B110"/>
  <c r="F110"/>
  <c r="C111"/>
  <c r="G111"/>
  <c r="D112"/>
  <c r="A122"/>
  <c r="J122" s="1"/>
  <c r="E122"/>
  <c r="B123"/>
  <c r="F123"/>
  <c r="C124"/>
  <c r="G124"/>
  <c r="D125"/>
  <c r="A126"/>
  <c r="J126" s="1"/>
  <c r="E126"/>
  <c r="G123"/>
  <c r="A125"/>
  <c r="J125" s="1"/>
  <c r="B126"/>
  <c r="B127"/>
  <c r="F127"/>
  <c r="G128"/>
  <c r="D129"/>
  <c r="B130"/>
  <c r="F130"/>
  <c r="C131"/>
  <c r="G131"/>
  <c r="C132"/>
  <c r="G132"/>
  <c r="D133"/>
  <c r="B134"/>
  <c r="F134"/>
  <c r="C141"/>
  <c r="G141"/>
  <c r="C142"/>
  <c r="G142"/>
  <c r="D143"/>
  <c r="B144"/>
  <c r="F144"/>
  <c r="C145"/>
  <c r="G145"/>
  <c r="C146"/>
  <c r="G146"/>
  <c r="D147"/>
  <c r="B148"/>
  <c r="F148"/>
  <c r="C149"/>
  <c r="G149"/>
  <c r="C150"/>
  <c r="G150"/>
  <c r="D151"/>
  <c r="B152"/>
  <c r="F152"/>
  <c r="C153"/>
  <c r="G153"/>
  <c r="C154"/>
  <c r="G154"/>
  <c r="D159"/>
  <c r="B160"/>
  <c r="F160"/>
  <c r="G161"/>
  <c r="C162"/>
  <c r="G162"/>
  <c r="D163"/>
  <c r="B164"/>
  <c r="F164"/>
  <c r="C16"/>
  <c r="G16"/>
  <c r="C17"/>
  <c r="G17"/>
  <c r="D18"/>
  <c r="B19"/>
  <c r="F19"/>
  <c r="C20"/>
  <c r="G20"/>
  <c r="C21"/>
  <c r="G21"/>
  <c r="D22"/>
  <c r="B23"/>
  <c r="F23"/>
  <c r="C24"/>
  <c r="G24"/>
  <c r="C25"/>
  <c r="G25"/>
  <c r="D26"/>
  <c r="B27"/>
  <c r="F27"/>
  <c r="G28"/>
  <c r="G29"/>
  <c r="D165"/>
  <c r="B166"/>
  <c r="F166"/>
  <c r="C167"/>
  <c r="G167"/>
  <c r="C168"/>
  <c r="G168"/>
  <c r="D169"/>
  <c r="B170"/>
  <c r="F170"/>
  <c r="C171"/>
  <c r="G171"/>
  <c r="C172"/>
  <c r="G172"/>
  <c r="B124"/>
  <c r="C125"/>
  <c r="D126"/>
  <c r="C127"/>
  <c r="G127"/>
  <c r="D128"/>
  <c r="A129"/>
  <c r="J129" s="1"/>
  <c r="E129"/>
  <c r="A130"/>
  <c r="J130" s="1"/>
  <c r="E130"/>
  <c r="B131"/>
  <c r="F131"/>
  <c r="D132"/>
  <c r="A133"/>
  <c r="J133" s="1"/>
  <c r="E133"/>
  <c r="A134"/>
  <c r="J134" s="1"/>
  <c r="E134"/>
  <c r="B141"/>
  <c r="F141"/>
  <c r="D142"/>
  <c r="A143"/>
  <c r="J143" s="1"/>
  <c r="E143"/>
  <c r="A144"/>
  <c r="J144" s="1"/>
  <c r="E144"/>
  <c r="B145"/>
  <c r="F145"/>
  <c r="D146"/>
  <c r="A147"/>
  <c r="J147" s="1"/>
  <c r="E147"/>
  <c r="A148"/>
  <c r="J148" s="1"/>
  <c r="E148"/>
  <c r="B149"/>
  <c r="F149"/>
  <c r="D150"/>
  <c r="A151"/>
  <c r="J151" s="1"/>
  <c r="E151"/>
  <c r="A152"/>
  <c r="J152" s="1"/>
  <c r="E152"/>
  <c r="B153"/>
  <c r="F153"/>
  <c r="D154"/>
  <c r="A159"/>
  <c r="J159" s="1"/>
  <c r="E159"/>
  <c r="A160"/>
  <c r="J160" s="1"/>
  <c r="E160"/>
  <c r="B161"/>
  <c r="F161"/>
  <c r="D162"/>
  <c r="A163"/>
  <c r="J163" s="1"/>
  <c r="E163"/>
  <c r="A164"/>
  <c r="J164" s="1"/>
  <c r="E164"/>
  <c r="B16"/>
  <c r="F16"/>
  <c r="D17"/>
  <c r="A18"/>
  <c r="J18" s="1"/>
  <c r="E18"/>
  <c r="A19"/>
  <c r="J19" s="1"/>
  <c r="E19"/>
  <c r="B20"/>
  <c r="F20"/>
  <c r="D21"/>
  <c r="A22"/>
  <c r="J22" s="1"/>
  <c r="E22"/>
  <c r="A23"/>
  <c r="J23" s="1"/>
  <c r="E23"/>
  <c r="B24"/>
  <c r="F24"/>
  <c r="D25"/>
  <c r="A26"/>
  <c r="J26" s="1"/>
  <c r="E26"/>
  <c r="A27"/>
  <c r="J27" s="1"/>
  <c r="E27"/>
  <c r="B28"/>
  <c r="F28"/>
  <c r="D29"/>
  <c r="A165"/>
  <c r="J165" s="1"/>
  <c r="E165"/>
  <c r="A166"/>
  <c r="J166" s="1"/>
  <c r="E166"/>
  <c r="B167"/>
  <c r="F167"/>
  <c r="D168"/>
  <c r="A169"/>
  <c r="J169" s="1"/>
  <c r="E169"/>
  <c r="A170"/>
  <c r="J170" s="1"/>
  <c r="E170"/>
  <c r="B171"/>
  <c r="F171"/>
  <c r="D172"/>
  <c r="C187"/>
  <c r="G187"/>
  <c r="C188"/>
  <c r="G188"/>
  <c r="D189"/>
  <c r="B190"/>
  <c r="F190"/>
  <c r="C191"/>
  <c r="G191"/>
  <c r="C192"/>
  <c r="G192"/>
  <c r="D193"/>
  <c r="B194"/>
  <c r="F194"/>
  <c r="C195"/>
  <c r="G195"/>
  <c r="C196"/>
  <c r="G196"/>
  <c r="D197"/>
  <c r="B198"/>
  <c r="F198"/>
  <c r="C199"/>
  <c r="G199"/>
  <c r="B115"/>
  <c r="F115"/>
  <c r="C117"/>
  <c r="G117"/>
  <c r="D119"/>
  <c r="A135"/>
  <c r="J135" s="1"/>
  <c r="E135"/>
  <c r="B137"/>
  <c r="F137"/>
  <c r="C139"/>
  <c r="G139"/>
  <c r="D136"/>
  <c r="A138"/>
  <c r="J138" s="1"/>
  <c r="E138"/>
  <c r="B140"/>
  <c r="F140"/>
  <c r="C155"/>
  <c r="G155"/>
  <c r="D156"/>
  <c r="A157"/>
  <c r="J157" s="1"/>
  <c r="E157"/>
  <c r="B158"/>
  <c r="F158"/>
  <c r="C15"/>
  <c r="G15"/>
  <c r="D35"/>
  <c r="A36"/>
  <c r="J36" s="1"/>
  <c r="E36"/>
  <c r="B37"/>
  <c r="F37"/>
  <c r="C38"/>
  <c r="G38"/>
  <c r="D39"/>
  <c r="A40"/>
  <c r="J40" s="1"/>
  <c r="E40"/>
  <c r="B41"/>
  <c r="F41"/>
  <c r="C42"/>
  <c r="G42"/>
  <c r="D43"/>
  <c r="A51"/>
  <c r="J51" s="1"/>
  <c r="E51"/>
  <c r="B52"/>
  <c r="F52"/>
  <c r="C53"/>
  <c r="G53"/>
  <c r="D54"/>
  <c r="A55"/>
  <c r="J55" s="1"/>
  <c r="E55"/>
  <c r="B56"/>
  <c r="F56"/>
  <c r="C57"/>
  <c r="G57"/>
  <c r="D58"/>
  <c r="A59"/>
  <c r="J59" s="1"/>
  <c r="E59"/>
  <c r="B60"/>
  <c r="F60"/>
  <c r="C61"/>
  <c r="G61"/>
  <c r="D62"/>
  <c r="A69"/>
  <c r="J69" s="1"/>
  <c r="E69"/>
  <c r="B70"/>
  <c r="F70"/>
  <c r="C71"/>
  <c r="G71"/>
  <c r="D72"/>
  <c r="A73"/>
  <c r="J73" s="1"/>
  <c r="E73"/>
  <c r="B74"/>
  <c r="F74"/>
  <c r="C75"/>
  <c r="G75"/>
  <c r="D76"/>
  <c r="A77"/>
  <c r="J77" s="1"/>
  <c r="E77"/>
  <c r="B78"/>
  <c r="F78"/>
  <c r="C79"/>
  <c r="G79"/>
  <c r="D80"/>
  <c r="A85"/>
  <c r="J85" s="1"/>
  <c r="E85"/>
  <c r="B86"/>
  <c r="F86"/>
  <c r="C87"/>
  <c r="G87"/>
  <c r="D88"/>
  <c r="A89"/>
  <c r="J89" s="1"/>
  <c r="E89"/>
  <c r="B90"/>
  <c r="F90"/>
  <c r="C91"/>
  <c r="G91"/>
  <c r="D92"/>
  <c r="A93"/>
  <c r="J93" s="1"/>
  <c r="E93"/>
  <c r="B101"/>
  <c r="F101"/>
  <c r="C102"/>
  <c r="G102"/>
  <c r="D103"/>
  <c r="A104"/>
  <c r="J104" s="1"/>
  <c r="E104"/>
  <c r="B105"/>
  <c r="F105"/>
  <c r="C106"/>
  <c r="G106"/>
  <c r="D107"/>
  <c r="A108"/>
  <c r="J108" s="1"/>
  <c r="E108"/>
  <c r="B109"/>
  <c r="F109"/>
  <c r="C110"/>
  <c r="G110"/>
  <c r="D111"/>
  <c r="A112"/>
  <c r="J112" s="1"/>
  <c r="E112"/>
  <c r="B122"/>
  <c r="F122"/>
  <c r="C123"/>
  <c r="C115"/>
  <c r="G115"/>
  <c r="D117"/>
  <c r="A119"/>
  <c r="J119" s="1"/>
  <c r="E119"/>
  <c r="B135"/>
  <c r="F135"/>
  <c r="C137"/>
  <c r="G137"/>
  <c r="D139"/>
  <c r="A136"/>
  <c r="J136" s="1"/>
  <c r="E136"/>
  <c r="B138"/>
  <c r="F138"/>
  <c r="C140"/>
  <c r="G140"/>
  <c r="D155"/>
  <c r="A156"/>
  <c r="J156" s="1"/>
  <c r="E156"/>
  <c r="B157"/>
  <c r="F157"/>
  <c r="C158"/>
  <c r="G158"/>
  <c r="D15"/>
  <c r="A35"/>
  <c r="J35" s="1"/>
  <c r="E35"/>
  <c r="B36"/>
  <c r="F36"/>
  <c r="C37"/>
  <c r="G37"/>
  <c r="D38"/>
  <c r="A39"/>
  <c r="J39" s="1"/>
  <c r="E39"/>
  <c r="B40"/>
  <c r="F40"/>
  <c r="C41"/>
  <c r="G41"/>
  <c r="D42"/>
  <c r="A43"/>
  <c r="J43" s="1"/>
  <c r="E43"/>
  <c r="B51"/>
  <c r="F51"/>
  <c r="C52"/>
  <c r="G52"/>
  <c r="D53"/>
  <c r="A54"/>
  <c r="J54" s="1"/>
  <c r="E54"/>
  <c r="B55"/>
  <c r="F55"/>
  <c r="C56"/>
  <c r="G56"/>
  <c r="D57"/>
  <c r="A58"/>
  <c r="J58" s="1"/>
  <c r="E58"/>
  <c r="B59"/>
  <c r="F59"/>
  <c r="C60"/>
  <c r="G60"/>
  <c r="D61"/>
  <c r="A62"/>
  <c r="J62" s="1"/>
  <c r="E62"/>
  <c r="B69"/>
  <c r="F69"/>
  <c r="C70"/>
  <c r="G70"/>
  <c r="D71"/>
  <c r="A72"/>
  <c r="J72" s="1"/>
  <c r="E72"/>
  <c r="B73"/>
  <c r="F73"/>
  <c r="C74"/>
  <c r="G74"/>
  <c r="D75"/>
  <c r="A76"/>
  <c r="J76" s="1"/>
  <c r="E76"/>
  <c r="B77"/>
  <c r="F77"/>
  <c r="C78"/>
  <c r="G78"/>
  <c r="D79"/>
  <c r="A80"/>
  <c r="J80" s="1"/>
  <c r="E80"/>
  <c r="B85"/>
  <c r="F85"/>
  <c r="C86"/>
  <c r="G86"/>
  <c r="D87"/>
  <c r="A88"/>
  <c r="J88" s="1"/>
  <c r="E88"/>
  <c r="B89"/>
  <c r="F89"/>
  <c r="C90"/>
  <c r="G90"/>
  <c r="D91"/>
  <c r="A92"/>
  <c r="J92" s="1"/>
  <c r="E92"/>
  <c r="B93"/>
  <c r="F93"/>
  <c r="C101"/>
  <c r="G101"/>
  <c r="D102"/>
  <c r="A103"/>
  <c r="J103" s="1"/>
  <c r="E103"/>
  <c r="B104"/>
  <c r="F104"/>
  <c r="C105"/>
  <c r="G105"/>
  <c r="D106"/>
  <c r="A107"/>
  <c r="J107" s="1"/>
  <c r="E107"/>
  <c r="B108"/>
  <c r="F108"/>
  <c r="C109"/>
  <c r="G109"/>
  <c r="D110"/>
  <c r="A111"/>
  <c r="J111" s="1"/>
  <c r="E111"/>
  <c r="B112"/>
  <c r="F112"/>
  <c r="C122"/>
  <c r="G122"/>
  <c r="D123"/>
  <c r="A124"/>
  <c r="J124" s="1"/>
  <c r="E124"/>
  <c r="B125"/>
  <c r="F125"/>
  <c r="C126"/>
  <c r="G126"/>
  <c r="D124"/>
  <c r="E125"/>
  <c r="F126"/>
  <c r="D127"/>
  <c r="A128"/>
  <c r="J128" s="1"/>
  <c r="E128"/>
  <c r="B129"/>
  <c r="F129"/>
  <c r="D130"/>
  <c r="A131"/>
  <c r="J131" s="1"/>
  <c r="E131"/>
  <c r="A132"/>
  <c r="J132" s="1"/>
  <c r="E132"/>
  <c r="B133"/>
  <c r="F133"/>
  <c r="D134"/>
  <c r="A141"/>
  <c r="J141" s="1"/>
  <c r="E141"/>
  <c r="A142"/>
  <c r="J142" s="1"/>
  <c r="E142"/>
  <c r="B143"/>
  <c r="F143"/>
  <c r="D144"/>
  <c r="A145"/>
  <c r="J145" s="1"/>
  <c r="E145"/>
  <c r="A146"/>
  <c r="J146" s="1"/>
  <c r="E146"/>
  <c r="B147"/>
  <c r="F147"/>
  <c r="D148"/>
  <c r="A149"/>
  <c r="J149" s="1"/>
  <c r="E149"/>
  <c r="A150"/>
  <c r="J150" s="1"/>
  <c r="E150"/>
  <c r="B151"/>
  <c r="F151"/>
  <c r="D152"/>
  <c r="A153"/>
  <c r="J153" s="1"/>
  <c r="E153"/>
  <c r="A154"/>
  <c r="J154" s="1"/>
  <c r="E154"/>
  <c r="B159"/>
  <c r="F159"/>
  <c r="D160"/>
  <c r="A161"/>
  <c r="J161" s="1"/>
  <c r="E161"/>
  <c r="A162"/>
  <c r="J162" s="1"/>
  <c r="E162"/>
  <c r="B163"/>
  <c r="F163"/>
  <c r="D164"/>
  <c r="A16"/>
  <c r="J16" s="1"/>
  <c r="E16"/>
  <c r="A17"/>
  <c r="J17" s="1"/>
  <c r="E17"/>
  <c r="B18"/>
  <c r="F18"/>
  <c r="D19"/>
  <c r="A20"/>
  <c r="J20" s="1"/>
  <c r="E20"/>
  <c r="A21"/>
  <c r="J21" s="1"/>
  <c r="E21"/>
  <c r="B22"/>
  <c r="F22"/>
  <c r="D23"/>
  <c r="A24"/>
  <c r="J24" s="1"/>
  <c r="E24"/>
  <c r="A25"/>
  <c r="J25" s="1"/>
  <c r="E25"/>
  <c r="B26"/>
  <c r="F26"/>
  <c r="D27"/>
  <c r="A28"/>
  <c r="J28" s="1"/>
  <c r="E28"/>
  <c r="A29"/>
  <c r="J29" s="1"/>
  <c r="E29"/>
  <c r="B165"/>
  <c r="F165"/>
  <c r="D166"/>
  <c r="A167"/>
  <c r="J167" s="1"/>
  <c r="E167"/>
  <c r="A168"/>
  <c r="J168" s="1"/>
  <c r="E168"/>
  <c r="B169"/>
  <c r="F169"/>
  <c r="D170"/>
  <c r="A171"/>
  <c r="J171" s="1"/>
  <c r="E171"/>
  <c r="A172"/>
  <c r="J172" s="1"/>
  <c r="E172"/>
  <c r="E123"/>
  <c r="F124"/>
  <c r="G125"/>
  <c r="A127"/>
  <c r="J127" s="1"/>
  <c r="E127"/>
  <c r="B128"/>
  <c r="F128"/>
  <c r="C129"/>
  <c r="G129"/>
  <c r="C130"/>
  <c r="G130"/>
  <c r="D131"/>
  <c r="B132"/>
  <c r="F132"/>
  <c r="C133"/>
  <c r="G133"/>
  <c r="C134"/>
  <c r="G134"/>
  <c r="D141"/>
  <c r="B142"/>
  <c r="F142"/>
  <c r="C143"/>
  <c r="G143"/>
  <c r="G144"/>
  <c r="D145"/>
  <c r="B146"/>
  <c r="F146"/>
  <c r="G147"/>
  <c r="C148"/>
  <c r="G148"/>
  <c r="D149"/>
  <c r="B150"/>
  <c r="F150"/>
  <c r="G151"/>
  <c r="C152"/>
  <c r="G152"/>
  <c r="D153"/>
  <c r="B154"/>
  <c r="F154"/>
  <c r="C159"/>
  <c r="G159"/>
  <c r="C160"/>
  <c r="G160"/>
  <c r="D161"/>
  <c r="B162"/>
  <c r="F162"/>
  <c r="C163"/>
  <c r="G163"/>
  <c r="C164"/>
  <c r="G164"/>
  <c r="D16"/>
  <c r="B17"/>
  <c r="F17"/>
  <c r="C18"/>
  <c r="G18"/>
  <c r="C19"/>
  <c r="G19"/>
  <c r="D20"/>
  <c r="B21"/>
  <c r="F21"/>
  <c r="C22"/>
  <c r="G22"/>
  <c r="C23"/>
  <c r="G23"/>
  <c r="D24"/>
  <c r="B25"/>
  <c r="F25"/>
  <c r="C26"/>
  <c r="G26"/>
  <c r="G27"/>
  <c r="D28"/>
  <c r="B29"/>
  <c r="F29"/>
  <c r="C165"/>
  <c r="G165"/>
  <c r="C166"/>
  <c r="G166"/>
  <c r="D167"/>
  <c r="B168"/>
  <c r="F168"/>
  <c r="C169"/>
  <c r="G169"/>
  <c r="C170"/>
  <c r="G170"/>
  <c r="D171"/>
  <c r="B172"/>
  <c r="F172"/>
  <c r="A187"/>
  <c r="J187" s="1"/>
  <c r="E187"/>
  <c r="A188"/>
  <c r="J188" s="1"/>
  <c r="E188"/>
  <c r="B189"/>
  <c r="F189"/>
  <c r="D190"/>
  <c r="A191"/>
  <c r="J191" s="1"/>
  <c r="E191"/>
  <c r="A192"/>
  <c r="J192" s="1"/>
  <c r="E192"/>
  <c r="B193"/>
  <c r="F193"/>
  <c r="D194"/>
  <c r="A195"/>
  <c r="J195" s="1"/>
  <c r="E195"/>
  <c r="A196"/>
  <c r="J196" s="1"/>
  <c r="E196"/>
  <c r="B197"/>
  <c r="F197"/>
  <c r="D198"/>
  <c r="A199"/>
  <c r="J199" s="1"/>
  <c r="E199"/>
  <c r="A200"/>
  <c r="J200" s="1"/>
  <c r="E200"/>
  <c r="B201"/>
  <c r="F201"/>
  <c r="D202"/>
  <c r="A203"/>
  <c r="E203"/>
  <c r="A204"/>
  <c r="E204"/>
  <c r="B205"/>
  <c r="F205"/>
  <c r="D206"/>
  <c r="A207"/>
  <c r="E207"/>
  <c r="A208"/>
  <c r="E208"/>
  <c r="G200"/>
  <c r="B202"/>
  <c r="C203"/>
  <c r="C204"/>
  <c r="D205"/>
  <c r="F206"/>
  <c r="G207"/>
  <c r="G208"/>
  <c r="B187"/>
  <c r="F187"/>
  <c r="D188"/>
  <c r="A189"/>
  <c r="J189" s="1"/>
  <c r="E189"/>
  <c r="A190"/>
  <c r="J190" s="1"/>
  <c r="E190"/>
  <c r="B191"/>
  <c r="F191"/>
  <c r="D192"/>
  <c r="A193"/>
  <c r="J193" s="1"/>
  <c r="E193"/>
  <c r="A194"/>
  <c r="J194" s="1"/>
  <c r="E194"/>
  <c r="B195"/>
  <c r="F195"/>
  <c r="D196"/>
  <c r="A197"/>
  <c r="J197" s="1"/>
  <c r="E197"/>
  <c r="A198"/>
  <c r="J198" s="1"/>
  <c r="E198"/>
  <c r="B199"/>
  <c r="F199"/>
  <c r="D200"/>
  <c r="A201"/>
  <c r="E201"/>
  <c r="A202"/>
  <c r="E202"/>
  <c r="B203"/>
  <c r="F203"/>
  <c r="D204"/>
  <c r="A205"/>
  <c r="E205"/>
  <c r="A206"/>
  <c r="E206"/>
  <c r="B207"/>
  <c r="F207"/>
  <c r="D208"/>
  <c r="C200"/>
  <c r="D201"/>
  <c r="F202"/>
  <c r="G203"/>
  <c r="G204"/>
  <c r="B206"/>
  <c r="C207"/>
  <c r="C208"/>
  <c r="D187"/>
  <c r="B188"/>
  <c r="F188"/>
  <c r="C189"/>
  <c r="G189"/>
  <c r="C190"/>
  <c r="G190"/>
  <c r="D191"/>
  <c r="B192"/>
  <c r="F192"/>
  <c r="C193"/>
  <c r="G193"/>
  <c r="C194"/>
  <c r="G194"/>
  <c r="D195"/>
  <c r="B196"/>
  <c r="F196"/>
  <c r="C197"/>
  <c r="G197"/>
  <c r="C198"/>
  <c r="G198"/>
  <c r="D199"/>
  <c r="B200"/>
  <c r="F200"/>
  <c r="C201"/>
  <c r="G201"/>
  <c r="C202"/>
  <c r="G202"/>
  <c r="D203"/>
  <c r="B204"/>
  <c r="F204"/>
  <c r="C205"/>
  <c r="G205"/>
  <c r="C206"/>
  <c r="G206"/>
  <c r="D207"/>
  <c r="B208"/>
  <c r="F208"/>
  <c r="G34" i="12"/>
  <c r="L87" i="55"/>
  <c r="H51" i="15"/>
  <c r="G17" i="12"/>
  <c r="L35" i="55"/>
  <c r="H61" i="12"/>
  <c r="L104" i="55"/>
  <c r="L103"/>
  <c r="A14" i="14"/>
  <c r="H17"/>
  <c r="B27"/>
  <c r="H36"/>
  <c r="H21"/>
  <c r="D30"/>
  <c r="J30" s="1"/>
  <c r="H15"/>
  <c r="G24"/>
  <c r="B34"/>
  <c r="C19"/>
  <c r="D28"/>
  <c r="J28" s="1"/>
  <c r="A37"/>
  <c r="A23"/>
  <c r="B32"/>
  <c r="D17"/>
  <c r="H26"/>
  <c r="E35"/>
  <c r="E20"/>
  <c r="A30"/>
  <c r="D15"/>
  <c r="H24"/>
  <c r="D33"/>
  <c r="I33" s="1"/>
  <c r="D19"/>
  <c r="A28"/>
  <c r="G37"/>
  <c r="E24"/>
  <c r="A34"/>
  <c r="D21"/>
  <c r="E30"/>
  <c r="A16"/>
  <c r="B25"/>
  <c r="C34"/>
  <c r="C17"/>
  <c r="G26"/>
  <c r="C36"/>
  <c r="C21"/>
  <c r="E29"/>
  <c r="C15"/>
  <c r="B24"/>
  <c r="H33"/>
  <c r="H18"/>
  <c r="E27"/>
  <c r="G36"/>
  <c r="C14"/>
  <c r="A17"/>
  <c r="H20"/>
  <c r="D29"/>
  <c r="I29" s="1"/>
  <c r="E38"/>
  <c r="G23"/>
  <c r="B33"/>
  <c r="B18"/>
  <c r="D27"/>
  <c r="I27" s="1"/>
  <c r="A36"/>
  <c r="A21"/>
  <c r="G30"/>
  <c r="B16"/>
  <c r="H25"/>
  <c r="D34"/>
  <c r="E19"/>
  <c r="G28"/>
  <c r="B38"/>
  <c r="C23"/>
  <c r="D32"/>
  <c r="J32" s="1"/>
  <c r="G17"/>
  <c r="E26"/>
  <c r="H35"/>
  <c r="G21"/>
  <c r="H30"/>
  <c r="G15"/>
  <c r="C27"/>
  <c r="D36"/>
  <c r="H23"/>
  <c r="C33"/>
  <c r="C18"/>
  <c r="A27"/>
  <c r="B36"/>
  <c r="C20"/>
  <c r="E28"/>
  <c r="A38"/>
  <c r="B23"/>
  <c r="H32"/>
  <c r="E17"/>
  <c r="D26"/>
  <c r="G35"/>
  <c r="G20"/>
  <c r="B30"/>
  <c r="G14"/>
  <c r="E14"/>
  <c r="A18"/>
  <c r="E22"/>
  <c r="H31"/>
  <c r="H16"/>
  <c r="C26"/>
  <c r="A35"/>
  <c r="A20"/>
  <c r="G29"/>
  <c r="H38"/>
  <c r="C24"/>
  <c r="E32"/>
  <c r="D18"/>
  <c r="G27"/>
  <c r="B37"/>
  <c r="B22"/>
  <c r="D31"/>
  <c r="I31" s="1"/>
  <c r="D16"/>
  <c r="A25"/>
  <c r="G34"/>
  <c r="H19"/>
  <c r="C29"/>
  <c r="E37"/>
  <c r="E23"/>
  <c r="G32"/>
  <c r="D20"/>
  <c r="A29"/>
  <c r="G38"/>
  <c r="E25"/>
  <c r="B35"/>
  <c r="B20"/>
  <c r="H29"/>
  <c r="D38"/>
  <c r="A22"/>
  <c r="C31"/>
  <c r="C16"/>
  <c r="D25"/>
  <c r="E34"/>
  <c r="G19"/>
  <c r="B29"/>
  <c r="C38"/>
  <c r="D23"/>
  <c r="A32"/>
  <c r="D14"/>
  <c r="E15"/>
  <c r="C25"/>
  <c r="E33"/>
  <c r="A19"/>
  <c r="B28"/>
  <c r="H37"/>
  <c r="H22"/>
  <c r="E31"/>
  <c r="B17"/>
  <c r="A26"/>
  <c r="C35"/>
  <c r="B21"/>
  <c r="C30"/>
  <c r="B15"/>
  <c r="A24"/>
  <c r="G33"/>
  <c r="G18"/>
  <c r="C28"/>
  <c r="E36"/>
  <c r="E21"/>
  <c r="B31"/>
  <c r="G16"/>
  <c r="B26"/>
  <c r="D35"/>
  <c r="G22"/>
  <c r="C32"/>
  <c r="B19"/>
  <c r="H28"/>
  <c r="D37"/>
  <c r="D22"/>
  <c r="G31"/>
  <c r="A15"/>
  <c r="D24"/>
  <c r="A33"/>
  <c r="E18"/>
  <c r="H27"/>
  <c r="C37"/>
  <c r="C22"/>
  <c r="A31"/>
  <c r="E16"/>
  <c r="G25"/>
  <c r="H34"/>
  <c r="H14"/>
  <c r="B14"/>
  <c r="L20" i="62"/>
  <c r="N20"/>
  <c r="G28" i="12"/>
  <c r="D26" i="43"/>
  <c r="G21"/>
  <c r="C17"/>
  <c r="F29"/>
  <c r="B25"/>
  <c r="E20"/>
  <c r="A16"/>
  <c r="D28"/>
  <c r="G23"/>
  <c r="C19"/>
  <c r="F14"/>
  <c r="B27"/>
  <c r="E22"/>
  <c r="A18"/>
  <c r="D13"/>
  <c r="G25"/>
  <c r="C21"/>
  <c r="F16"/>
  <c r="B29"/>
  <c r="E24"/>
  <c r="A20"/>
  <c r="D15"/>
  <c r="G27"/>
  <c r="C23"/>
  <c r="F18"/>
  <c r="B14"/>
  <c r="E26"/>
  <c r="A22"/>
  <c r="D17"/>
  <c r="G29"/>
  <c r="C25"/>
  <c r="F20"/>
  <c r="B16"/>
  <c r="E28"/>
  <c r="A24"/>
  <c r="D19"/>
  <c r="G14"/>
  <c r="C27"/>
  <c r="F22"/>
  <c r="B18"/>
  <c r="E13"/>
  <c r="A26"/>
  <c r="D21"/>
  <c r="G16"/>
  <c r="C29"/>
  <c r="F24"/>
  <c r="B20"/>
  <c r="E15"/>
  <c r="A28"/>
  <c r="D23"/>
  <c r="G18"/>
  <c r="C14"/>
  <c r="F26"/>
  <c r="B22"/>
  <c r="E17"/>
  <c r="A13"/>
  <c r="D25"/>
  <c r="G20"/>
  <c r="C16"/>
  <c r="F28"/>
  <c r="B24"/>
  <c r="E19"/>
  <c r="A15"/>
  <c r="D27"/>
  <c r="G22"/>
  <c r="C18"/>
  <c r="F13"/>
  <c r="B26"/>
  <c r="E21"/>
  <c r="A17"/>
  <c r="D29"/>
  <c r="G24"/>
  <c r="C20"/>
  <c r="F15"/>
  <c r="B28"/>
  <c r="E23"/>
  <c r="A19"/>
  <c r="D14"/>
  <c r="G26"/>
  <c r="C22"/>
  <c r="F17"/>
  <c r="B13"/>
  <c r="E25"/>
  <c r="A21"/>
  <c r="D16"/>
  <c r="G28"/>
  <c r="C24"/>
  <c r="F19"/>
  <c r="B15"/>
  <c r="E27"/>
  <c r="A23"/>
  <c r="D18"/>
  <c r="G13"/>
  <c r="C26"/>
  <c r="F21"/>
  <c r="B17"/>
  <c r="E29"/>
  <c r="A25"/>
  <c r="D20"/>
  <c r="G15"/>
  <c r="C28"/>
  <c r="F23"/>
  <c r="B19"/>
  <c r="E14"/>
  <c r="A27"/>
  <c r="D22"/>
  <c r="G17"/>
  <c r="C13"/>
  <c r="F25"/>
  <c r="B21"/>
  <c r="E16"/>
  <c r="A29"/>
  <c r="D24"/>
  <c r="G19"/>
  <c r="C15"/>
  <c r="F27"/>
  <c r="B23"/>
  <c r="E18"/>
  <c r="A14"/>
  <c r="H39" i="12"/>
  <c r="H38"/>
  <c r="G39"/>
  <c r="G38"/>
  <c r="P41" i="45"/>
  <c r="L44" i="55"/>
  <c r="L38"/>
  <c r="L39"/>
  <c r="E18" i="63"/>
  <c r="J18"/>
  <c r="D19"/>
  <c r="I19"/>
  <c r="C20"/>
  <c r="A20" s="1"/>
  <c r="H20"/>
  <c r="B21"/>
  <c r="F21"/>
  <c r="K21"/>
  <c r="E22"/>
  <c r="J22"/>
  <c r="D23"/>
  <c r="I23"/>
  <c r="C24"/>
  <c r="A24" s="1"/>
  <c r="H24"/>
  <c r="B25"/>
  <c r="F25"/>
  <c r="K25"/>
  <c r="E26"/>
  <c r="J26"/>
  <c r="D27"/>
  <c r="I27"/>
  <c r="C28"/>
  <c r="A28" s="1"/>
  <c r="H28"/>
  <c r="B29"/>
  <c r="F29"/>
  <c r="K29"/>
  <c r="E30"/>
  <c r="J30"/>
  <c r="D31"/>
  <c r="I31"/>
  <c r="C32"/>
  <c r="A32" s="1"/>
  <c r="H32"/>
  <c r="B33"/>
  <c r="F33"/>
  <c r="K33"/>
  <c r="E34"/>
  <c r="J34"/>
  <c r="D35"/>
  <c r="I35"/>
  <c r="C36"/>
  <c r="A36" s="1"/>
  <c r="H36"/>
  <c r="B37"/>
  <c r="F37"/>
  <c r="K37"/>
  <c r="E38"/>
  <c r="J38"/>
  <c r="D39"/>
  <c r="I39"/>
  <c r="C40"/>
  <c r="A40" s="1"/>
  <c r="H40"/>
  <c r="B41"/>
  <c r="F41"/>
  <c r="K41"/>
  <c r="E42"/>
  <c r="J42"/>
  <c r="D43"/>
  <c r="I43"/>
  <c r="C44"/>
  <c r="A44" s="1"/>
  <c r="H44"/>
  <c r="B45"/>
  <c r="F45"/>
  <c r="K45"/>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E63"/>
  <c r="J63"/>
  <c r="D64"/>
  <c r="I64"/>
  <c r="B65"/>
  <c r="F65"/>
  <c r="B18"/>
  <c r="F18"/>
  <c r="K18"/>
  <c r="E19"/>
  <c r="J19"/>
  <c r="D20"/>
  <c r="I20"/>
  <c r="C21"/>
  <c r="A21" s="1"/>
  <c r="H21"/>
  <c r="B22"/>
  <c r="F22"/>
  <c r="K22"/>
  <c r="E23"/>
  <c r="J23"/>
  <c r="D24"/>
  <c r="I24"/>
  <c r="C25"/>
  <c r="A25" s="1"/>
  <c r="H25"/>
  <c r="B26"/>
  <c r="F26"/>
  <c r="K26"/>
  <c r="E27"/>
  <c r="J27"/>
  <c r="D28"/>
  <c r="I28"/>
  <c r="C29"/>
  <c r="A29" s="1"/>
  <c r="H29"/>
  <c r="B30"/>
  <c r="F30"/>
  <c r="K30"/>
  <c r="E31"/>
  <c r="J31"/>
  <c r="D32"/>
  <c r="I32"/>
  <c r="C33"/>
  <c r="A33" s="1"/>
  <c r="H33"/>
  <c r="B34"/>
  <c r="F34"/>
  <c r="K34"/>
  <c r="E35"/>
  <c r="J35"/>
  <c r="D36"/>
  <c r="I36"/>
  <c r="C37"/>
  <c r="A37" s="1"/>
  <c r="H37"/>
  <c r="B38"/>
  <c r="F38"/>
  <c r="K38"/>
  <c r="E39"/>
  <c r="J39"/>
  <c r="D40"/>
  <c r="I40"/>
  <c r="C41"/>
  <c r="A41" s="1"/>
  <c r="H41"/>
  <c r="B42"/>
  <c r="F42"/>
  <c r="K42"/>
  <c r="E43"/>
  <c r="J43"/>
  <c r="D44"/>
  <c r="I44"/>
  <c r="C45"/>
  <c r="A45" s="1"/>
  <c r="H45"/>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D63"/>
  <c r="I63"/>
  <c r="C64"/>
  <c r="A64" s="1"/>
  <c r="H64"/>
  <c r="C65"/>
  <c r="A65" s="1"/>
  <c r="H65"/>
  <c r="B66"/>
  <c r="F66"/>
  <c r="K66"/>
  <c r="D67"/>
  <c r="I67"/>
  <c r="C68"/>
  <c r="A68" s="1"/>
  <c r="H68"/>
  <c r="C69"/>
  <c r="A69" s="1"/>
  <c r="H69"/>
  <c r="B70"/>
  <c r="F70"/>
  <c r="K70"/>
  <c r="D71"/>
  <c r="I71"/>
  <c r="C72"/>
  <c r="A72" s="1"/>
  <c r="H72"/>
  <c r="E66"/>
  <c r="C67"/>
  <c r="A67" s="1"/>
  <c r="D68"/>
  <c r="B69"/>
  <c r="K69"/>
  <c r="H70"/>
  <c r="J71"/>
  <c r="F72"/>
  <c r="C73"/>
  <c r="A73" s="1"/>
  <c r="H73"/>
  <c r="B74"/>
  <c r="F74"/>
  <c r="K74"/>
  <c r="D75"/>
  <c r="I75"/>
  <c r="C76"/>
  <c r="A76" s="1"/>
  <c r="H76"/>
  <c r="C77"/>
  <c r="A77" s="1"/>
  <c r="H77"/>
  <c r="B78"/>
  <c r="F78"/>
  <c r="K78"/>
  <c r="D79"/>
  <c r="I79"/>
  <c r="C80"/>
  <c r="A80" s="1"/>
  <c r="C18"/>
  <c r="A18" s="1"/>
  <c r="H18"/>
  <c r="B19"/>
  <c r="F19"/>
  <c r="K19"/>
  <c r="E20"/>
  <c r="J20"/>
  <c r="D21"/>
  <c r="I21"/>
  <c r="C22"/>
  <c r="A22" s="1"/>
  <c r="H22"/>
  <c r="B23"/>
  <c r="F23"/>
  <c r="K23"/>
  <c r="E24"/>
  <c r="J24"/>
  <c r="D25"/>
  <c r="I25"/>
  <c r="C26"/>
  <c r="A26" s="1"/>
  <c r="H26"/>
  <c r="B27"/>
  <c r="F27"/>
  <c r="K27"/>
  <c r="E28"/>
  <c r="J28"/>
  <c r="D29"/>
  <c r="I29"/>
  <c r="C30"/>
  <c r="A30" s="1"/>
  <c r="H30"/>
  <c r="B31"/>
  <c r="F31"/>
  <c r="K31"/>
  <c r="E32"/>
  <c r="J32"/>
  <c r="D33"/>
  <c r="I33"/>
  <c r="C34"/>
  <c r="A34" s="1"/>
  <c r="H34"/>
  <c r="B35"/>
  <c r="F35"/>
  <c r="K35"/>
  <c r="E36"/>
  <c r="J36"/>
  <c r="D37"/>
  <c r="I37"/>
  <c r="C38"/>
  <c r="A38" s="1"/>
  <c r="H38"/>
  <c r="B39"/>
  <c r="F39"/>
  <c r="K39"/>
  <c r="E40"/>
  <c r="J40"/>
  <c r="D41"/>
  <c r="I41"/>
  <c r="C42"/>
  <c r="A42" s="1"/>
  <c r="H42"/>
  <c r="B43"/>
  <c r="F43"/>
  <c r="K43"/>
  <c r="E44"/>
  <c r="J44"/>
  <c r="D45"/>
  <c r="I45"/>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C63"/>
  <c r="A63" s="1"/>
  <c r="H63"/>
  <c r="B64"/>
  <c r="F64"/>
  <c r="K64"/>
  <c r="D65"/>
  <c r="I65"/>
  <c r="D18"/>
  <c r="I18"/>
  <c r="C19"/>
  <c r="A19" s="1"/>
  <c r="H19"/>
  <c r="B20"/>
  <c r="F20"/>
  <c r="K20"/>
  <c r="E21"/>
  <c r="J21"/>
  <c r="D22"/>
  <c r="I22"/>
  <c r="C23"/>
  <c r="A23" s="1"/>
  <c r="H23"/>
  <c r="B24"/>
  <c r="F24"/>
  <c r="K24"/>
  <c r="E25"/>
  <c r="J25"/>
  <c r="D26"/>
  <c r="I26"/>
  <c r="C27"/>
  <c r="A27" s="1"/>
  <c r="H27"/>
  <c r="B28"/>
  <c r="F28"/>
  <c r="K28"/>
  <c r="E29"/>
  <c r="J29"/>
  <c r="D30"/>
  <c r="I30"/>
  <c r="C31"/>
  <c r="A31" s="1"/>
  <c r="H31"/>
  <c r="B32"/>
  <c r="F32"/>
  <c r="K32"/>
  <c r="E33"/>
  <c r="J33"/>
  <c r="D34"/>
  <c r="I34"/>
  <c r="C35"/>
  <c r="A35" s="1"/>
  <c r="H35"/>
  <c r="B36"/>
  <c r="F36"/>
  <c r="K36"/>
  <c r="E37"/>
  <c r="J37"/>
  <c r="D38"/>
  <c r="I38"/>
  <c r="C39"/>
  <c r="A39" s="1"/>
  <c r="H39"/>
  <c r="B40"/>
  <c r="F40"/>
  <c r="K40"/>
  <c r="E41"/>
  <c r="J41"/>
  <c r="D42"/>
  <c r="I42"/>
  <c r="C43"/>
  <c r="A43" s="1"/>
  <c r="H43"/>
  <c r="B44"/>
  <c r="F44"/>
  <c r="K44"/>
  <c r="E45"/>
  <c r="J45"/>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B63"/>
  <c r="F63"/>
  <c r="K63"/>
  <c r="E64"/>
  <c r="J64"/>
  <c r="E65"/>
  <c r="J65"/>
  <c r="D66"/>
  <c r="I66"/>
  <c r="B67"/>
  <c r="F67"/>
  <c r="K67"/>
  <c r="E68"/>
  <c r="J68"/>
  <c r="E69"/>
  <c r="J69"/>
  <c r="D70"/>
  <c r="I70"/>
  <c r="B71"/>
  <c r="F71"/>
  <c r="K71"/>
  <c r="E72"/>
  <c r="J72"/>
  <c r="J66"/>
  <c r="H67"/>
  <c r="I68"/>
  <c r="F69"/>
  <c r="C70"/>
  <c r="A70" s="1"/>
  <c r="E71"/>
  <c r="B72"/>
  <c r="K72"/>
  <c r="E73"/>
  <c r="J73"/>
  <c r="D74"/>
  <c r="I74"/>
  <c r="B75"/>
  <c r="F75"/>
  <c r="K75"/>
  <c r="E76"/>
  <c r="J76"/>
  <c r="E77"/>
  <c r="J77"/>
  <c r="D78"/>
  <c r="I78"/>
  <c r="B79"/>
  <c r="F79"/>
  <c r="E80"/>
  <c r="J80"/>
  <c r="E81"/>
  <c r="J81"/>
  <c r="D82"/>
  <c r="I82"/>
  <c r="B83"/>
  <c r="F83"/>
  <c r="K83"/>
  <c r="E84"/>
  <c r="J84"/>
  <c r="E85"/>
  <c r="J85"/>
  <c r="D86"/>
  <c r="I86"/>
  <c r="B87"/>
  <c r="F87"/>
  <c r="K87"/>
  <c r="D88"/>
  <c r="I88"/>
  <c r="C89"/>
  <c r="A89" s="1"/>
  <c r="H89"/>
  <c r="C90"/>
  <c r="A90" s="1"/>
  <c r="H90"/>
  <c r="C91"/>
  <c r="A91" s="1"/>
  <c r="H91"/>
  <c r="C92"/>
  <c r="A92" s="1"/>
  <c r="H92"/>
  <c r="B93"/>
  <c r="F93"/>
  <c r="K93"/>
  <c r="E94"/>
  <c r="J94"/>
  <c r="D95"/>
  <c r="I95"/>
  <c r="C96"/>
  <c r="A96" s="1"/>
  <c r="H96"/>
  <c r="C97"/>
  <c r="A97" s="1"/>
  <c r="H97"/>
  <c r="C98"/>
  <c r="A98" s="1"/>
  <c r="H98"/>
  <c r="B99"/>
  <c r="F99"/>
  <c r="K99"/>
  <c r="D100"/>
  <c r="I100"/>
  <c r="B101"/>
  <c r="F101"/>
  <c r="K101"/>
  <c r="D102"/>
  <c r="I102"/>
  <c r="C103"/>
  <c r="A103" s="1"/>
  <c r="H103"/>
  <c r="B104"/>
  <c r="F104"/>
  <c r="K104"/>
  <c r="E105"/>
  <c r="J105"/>
  <c r="D106"/>
  <c r="I106"/>
  <c r="B107"/>
  <c r="F107"/>
  <c r="K107"/>
  <c r="E108"/>
  <c r="J108"/>
  <c r="D109"/>
  <c r="I109"/>
  <c r="K65"/>
  <c r="H66"/>
  <c r="J67"/>
  <c r="F68"/>
  <c r="D69"/>
  <c r="E70"/>
  <c r="C71"/>
  <c r="A71" s="1"/>
  <c r="D72"/>
  <c r="B73"/>
  <c r="F73"/>
  <c r="K73"/>
  <c r="E74"/>
  <c r="J74"/>
  <c r="E75"/>
  <c r="J75"/>
  <c r="D76"/>
  <c r="I76"/>
  <c r="B77"/>
  <c r="F77"/>
  <c r="K77"/>
  <c r="E78"/>
  <c r="J78"/>
  <c r="E79"/>
  <c r="J79"/>
  <c r="D80"/>
  <c r="I80"/>
  <c r="B81"/>
  <c r="F81"/>
  <c r="K81"/>
  <c r="E82"/>
  <c r="J82"/>
  <c r="E83"/>
  <c r="J83"/>
  <c r="D84"/>
  <c r="I84"/>
  <c r="B85"/>
  <c r="F85"/>
  <c r="K85"/>
  <c r="E86"/>
  <c r="J86"/>
  <c r="E87"/>
  <c r="J87"/>
  <c r="E88"/>
  <c r="J88"/>
  <c r="D89"/>
  <c r="I89"/>
  <c r="B90"/>
  <c r="F90"/>
  <c r="K90"/>
  <c r="D91"/>
  <c r="I91"/>
  <c r="B92"/>
  <c r="F92"/>
  <c r="K92"/>
  <c r="E93"/>
  <c r="J93"/>
  <c r="D94"/>
  <c r="I94"/>
  <c r="C95"/>
  <c r="A95" s="1"/>
  <c r="H95"/>
  <c r="B96"/>
  <c r="F96"/>
  <c r="K96"/>
  <c r="D97"/>
  <c r="I97"/>
  <c r="B98"/>
  <c r="F98"/>
  <c r="K98"/>
  <c r="E99"/>
  <c r="J99"/>
  <c r="E100"/>
  <c r="J100"/>
  <c r="E101"/>
  <c r="J101"/>
  <c r="E102"/>
  <c r="J102"/>
  <c r="D103"/>
  <c r="I103"/>
  <c r="C104"/>
  <c r="A104" s="1"/>
  <c r="H104"/>
  <c r="B105"/>
  <c r="F105"/>
  <c r="K105"/>
  <c r="E106"/>
  <c r="J106"/>
  <c r="E107"/>
  <c r="J107"/>
  <c r="D108"/>
  <c r="I108"/>
  <c r="C109"/>
  <c r="A109" s="1"/>
  <c r="H109"/>
  <c r="K79"/>
  <c r="H80"/>
  <c r="C81"/>
  <c r="A81" s="1"/>
  <c r="H81"/>
  <c r="B82"/>
  <c r="F82"/>
  <c r="K82"/>
  <c r="D83"/>
  <c r="I83"/>
  <c r="C84"/>
  <c r="A84" s="1"/>
  <c r="H84"/>
  <c r="C85"/>
  <c r="A85" s="1"/>
  <c r="H85"/>
  <c r="B86"/>
  <c r="F86"/>
  <c r="K86"/>
  <c r="D87"/>
  <c r="I87"/>
  <c r="B88"/>
  <c r="F88"/>
  <c r="K88"/>
  <c r="E89"/>
  <c r="J89"/>
  <c r="E90"/>
  <c r="J90"/>
  <c r="E91"/>
  <c r="J91"/>
  <c r="E92"/>
  <c r="J92"/>
  <c r="D93"/>
  <c r="I93"/>
  <c r="C94"/>
  <c r="A94" s="1"/>
  <c r="H94"/>
  <c r="B95"/>
  <c r="F95"/>
  <c r="K95"/>
  <c r="E96"/>
  <c r="J96"/>
  <c r="E97"/>
  <c r="J97"/>
  <c r="E98"/>
  <c r="J98"/>
  <c r="D99"/>
  <c r="I99"/>
  <c r="B100"/>
  <c r="F100"/>
  <c r="K100"/>
  <c r="D101"/>
  <c r="I101"/>
  <c r="B102"/>
  <c r="F102"/>
  <c r="K102"/>
  <c r="E103"/>
  <c r="J103"/>
  <c r="D104"/>
  <c r="I104"/>
  <c r="C105"/>
  <c r="A105" s="1"/>
  <c r="H105"/>
  <c r="B106"/>
  <c r="F106"/>
  <c r="K106"/>
  <c r="D107"/>
  <c r="I107"/>
  <c r="C108"/>
  <c r="A108" s="1"/>
  <c r="H108"/>
  <c r="B109"/>
  <c r="F109"/>
  <c r="K109"/>
  <c r="C66"/>
  <c r="A66" s="1"/>
  <c r="E67"/>
  <c r="B68"/>
  <c r="K68"/>
  <c r="I69"/>
  <c r="J70"/>
  <c r="H71"/>
  <c r="I72"/>
  <c r="D73"/>
  <c r="I73"/>
  <c r="C74"/>
  <c r="A74" s="1"/>
  <c r="H74"/>
  <c r="C75"/>
  <c r="A75" s="1"/>
  <c r="H75"/>
  <c r="B76"/>
  <c r="F76"/>
  <c r="K76"/>
  <c r="D77"/>
  <c r="I77"/>
  <c r="C78"/>
  <c r="A78" s="1"/>
  <c r="H78"/>
  <c r="C79"/>
  <c r="A79" s="1"/>
  <c r="H79"/>
  <c r="B80"/>
  <c r="F80"/>
  <c r="K80"/>
  <c r="D81"/>
  <c r="I81"/>
  <c r="C82"/>
  <c r="A82" s="1"/>
  <c r="H82"/>
  <c r="C83"/>
  <c r="A83" s="1"/>
  <c r="H83"/>
  <c r="B84"/>
  <c r="F84"/>
  <c r="K84"/>
  <c r="D85"/>
  <c r="I85"/>
  <c r="C86"/>
  <c r="A86" s="1"/>
  <c r="H86"/>
  <c r="C87"/>
  <c r="A87" s="1"/>
  <c r="H87"/>
  <c r="C88"/>
  <c r="A88" s="1"/>
  <c r="H88"/>
  <c r="B89"/>
  <c r="F89"/>
  <c r="K89"/>
  <c r="D90"/>
  <c r="I90"/>
  <c r="B91"/>
  <c r="F91"/>
  <c r="K91"/>
  <c r="D92"/>
  <c r="I92"/>
  <c r="C93"/>
  <c r="A93" s="1"/>
  <c r="H93"/>
  <c r="B94"/>
  <c r="F94"/>
  <c r="K94"/>
  <c r="E95"/>
  <c r="J95"/>
  <c r="D96"/>
  <c r="I96"/>
  <c r="B97"/>
  <c r="F97"/>
  <c r="K97"/>
  <c r="D98"/>
  <c r="I98"/>
  <c r="C99"/>
  <c r="A99" s="1"/>
  <c r="H99"/>
  <c r="C100"/>
  <c r="A100" s="1"/>
  <c r="H100"/>
  <c r="C101"/>
  <c r="A101" s="1"/>
  <c r="H101"/>
  <c r="C102"/>
  <c r="A102" s="1"/>
  <c r="H102"/>
  <c r="B103"/>
  <c r="F103"/>
  <c r="K103"/>
  <c r="E104"/>
  <c r="J104"/>
  <c r="D105"/>
  <c r="I105"/>
  <c r="C106"/>
  <c r="A106" s="1"/>
  <c r="H106"/>
  <c r="C107"/>
  <c r="A107" s="1"/>
  <c r="H107"/>
  <c r="B108"/>
  <c r="F108"/>
  <c r="K108"/>
  <c r="E109"/>
  <c r="J109"/>
  <c r="E28" i="58"/>
  <c r="I28" s="1"/>
  <c r="H25"/>
  <c r="C23"/>
  <c r="E20"/>
  <c r="H17"/>
  <c r="C15"/>
  <c r="B29"/>
  <c r="D26"/>
  <c r="G23"/>
  <c r="B21"/>
  <c r="F21" s="1"/>
  <c r="D18"/>
  <c r="G15"/>
  <c r="C30"/>
  <c r="E27"/>
  <c r="H24"/>
  <c r="C22"/>
  <c r="E19"/>
  <c r="H16"/>
  <c r="C14"/>
  <c r="G28"/>
  <c r="B26"/>
  <c r="D23"/>
  <c r="G20"/>
  <c r="B18"/>
  <c r="F18" s="1"/>
  <c r="E30"/>
  <c r="I30" s="1"/>
  <c r="H27"/>
  <c r="C25"/>
  <c r="E22"/>
  <c r="H19"/>
  <c r="C17"/>
  <c r="E14"/>
  <c r="D28"/>
  <c r="G25"/>
  <c r="B23"/>
  <c r="F23" s="1"/>
  <c r="D20"/>
  <c r="G17"/>
  <c r="B15"/>
  <c r="F15" s="1"/>
  <c r="E29"/>
  <c r="I29" s="1"/>
  <c r="H26"/>
  <c r="C24"/>
  <c r="E21"/>
  <c r="H18"/>
  <c r="C16"/>
  <c r="G30"/>
  <c r="B28"/>
  <c r="D25"/>
  <c r="G22"/>
  <c r="B20"/>
  <c r="F20" s="1"/>
  <c r="D17"/>
  <c r="G14"/>
  <c r="H29"/>
  <c r="C27"/>
  <c r="E24"/>
  <c r="H21"/>
  <c r="C19"/>
  <c r="E16"/>
  <c r="D30"/>
  <c r="G27"/>
  <c r="B25"/>
  <c r="F25" s="1"/>
  <c r="D22"/>
  <c r="G19"/>
  <c r="B17"/>
  <c r="F17" s="1"/>
  <c r="D14"/>
  <c r="H28"/>
  <c r="C26"/>
  <c r="E23"/>
  <c r="H20"/>
  <c r="C18"/>
  <c r="E15"/>
  <c r="B30"/>
  <c r="D27"/>
  <c r="G24"/>
  <c r="B22"/>
  <c r="F22" s="1"/>
  <c r="D19"/>
  <c r="G16"/>
  <c r="B14"/>
  <c r="H23"/>
  <c r="G29"/>
  <c r="B19"/>
  <c r="F19" s="1"/>
  <c r="E25"/>
  <c r="H14"/>
  <c r="D21"/>
  <c r="C21"/>
  <c r="B27"/>
  <c r="D16"/>
  <c r="H22"/>
  <c r="D29"/>
  <c r="G18"/>
  <c r="C29"/>
  <c r="E18"/>
  <c r="D24"/>
  <c r="H30"/>
  <c r="C20"/>
  <c r="G26"/>
  <c r="B16"/>
  <c r="F16" s="1"/>
  <c r="E26"/>
  <c r="H15"/>
  <c r="G21"/>
  <c r="C28"/>
  <c r="E17"/>
  <c r="B24"/>
  <c r="F24" s="1"/>
  <c r="D15"/>
  <c r="C17" i="63"/>
  <c r="A17" s="1"/>
  <c r="H17"/>
  <c r="D17"/>
  <c r="E17"/>
  <c r="J17"/>
  <c r="B17"/>
  <c r="I17"/>
  <c r="F17"/>
  <c r="K17"/>
  <c r="I20" i="52"/>
  <c r="A25"/>
  <c r="E24"/>
  <c r="D24"/>
  <c r="E22"/>
  <c r="E21"/>
  <c r="E20"/>
  <c r="G25"/>
  <c r="B24"/>
  <c r="I23"/>
  <c r="C21"/>
  <c r="E25"/>
  <c r="J24"/>
  <c r="J18"/>
  <c r="B17"/>
  <c r="D18"/>
  <c r="G19"/>
  <c r="I17"/>
  <c r="A19"/>
  <c r="C17"/>
  <c r="A20"/>
  <c r="H24"/>
  <c r="E23"/>
  <c r="H22"/>
  <c r="B22"/>
  <c r="H20"/>
  <c r="I25"/>
  <c r="H25"/>
  <c r="G23"/>
  <c r="I22"/>
  <c r="I21"/>
  <c r="B25"/>
  <c r="J23"/>
  <c r="D23"/>
  <c r="E18"/>
  <c r="H19"/>
  <c r="J17"/>
  <c r="B19"/>
  <c r="D17"/>
  <c r="G18"/>
  <c r="I24"/>
  <c r="J22"/>
  <c r="J21"/>
  <c r="J20"/>
  <c r="D20"/>
  <c r="G24"/>
  <c r="A24"/>
  <c r="H23"/>
  <c r="A22"/>
  <c r="A21"/>
  <c r="C25"/>
  <c r="B23"/>
  <c r="D22"/>
  <c r="D21"/>
  <c r="I19"/>
  <c r="A18"/>
  <c r="C19"/>
  <c r="E17"/>
  <c r="H18"/>
  <c r="J19"/>
  <c r="B18"/>
  <c r="G22"/>
  <c r="B21"/>
  <c r="B20"/>
  <c r="J25"/>
  <c r="C24"/>
  <c r="A23"/>
  <c r="C22"/>
  <c r="H21"/>
  <c r="C20"/>
  <c r="D25"/>
  <c r="C23"/>
  <c r="G21"/>
  <c r="G20"/>
  <c r="D19"/>
  <c r="G17"/>
  <c r="I18"/>
  <c r="A17"/>
  <c r="C18"/>
  <c r="E19"/>
  <c r="H17"/>
  <c r="E25" i="57"/>
  <c r="E26"/>
  <c r="E27"/>
  <c r="E28"/>
  <c r="G14"/>
  <c r="E29"/>
  <c r="E30"/>
  <c r="E14"/>
  <c r="E15"/>
  <c r="G16"/>
  <c r="E17"/>
  <c r="E18"/>
  <c r="E19"/>
  <c r="E20"/>
  <c r="E16"/>
  <c r="E21"/>
  <c r="E22"/>
  <c r="E23"/>
  <c r="E24"/>
  <c r="C29"/>
  <c r="D26"/>
  <c r="B24"/>
  <c r="C21"/>
  <c r="B30"/>
  <c r="A30" s="1"/>
  <c r="D27"/>
  <c r="B25"/>
  <c r="C22"/>
  <c r="I28"/>
  <c r="F26"/>
  <c r="G23"/>
  <c r="I20"/>
  <c r="D29"/>
  <c r="B27"/>
  <c r="A27" s="1"/>
  <c r="C24"/>
  <c r="G30"/>
  <c r="B28"/>
  <c r="A28" s="1"/>
  <c r="F24"/>
  <c r="F25"/>
  <c r="I30"/>
  <c r="G17"/>
  <c r="C19"/>
  <c r="B15"/>
  <c r="C30"/>
  <c r="I26"/>
  <c r="I22"/>
  <c r="B20"/>
  <c r="I27"/>
  <c r="I23"/>
  <c r="B21"/>
  <c r="C27"/>
  <c r="C23"/>
  <c r="D30"/>
  <c r="F27"/>
  <c r="F23"/>
  <c r="D20"/>
  <c r="C17"/>
  <c r="D14"/>
  <c r="C18"/>
  <c r="D15"/>
  <c r="F18"/>
  <c r="G15"/>
  <c r="G20"/>
  <c r="D17"/>
  <c r="F20"/>
  <c r="G27"/>
  <c r="G24"/>
  <c r="G18"/>
  <c r="B14"/>
  <c r="A14" s="1"/>
  <c r="G29"/>
  <c r="G25"/>
  <c r="D22"/>
  <c r="F30"/>
  <c r="G26"/>
  <c r="D23"/>
  <c r="I19"/>
  <c r="B26"/>
  <c r="A26" s="1"/>
  <c r="F22"/>
  <c r="I29"/>
  <c r="I25"/>
  <c r="B23"/>
  <c r="I18"/>
  <c r="F16"/>
  <c r="C20"/>
  <c r="F17"/>
  <c r="C14"/>
  <c r="B34" s="1"/>
  <c r="B18"/>
  <c r="C15"/>
  <c r="F19"/>
  <c r="C16"/>
  <c r="B29"/>
  <c r="A29" s="1"/>
  <c r="D24"/>
  <c r="D21"/>
  <c r="I15"/>
  <c r="I17"/>
  <c r="F28"/>
  <c r="C25"/>
  <c r="G21"/>
  <c r="F29"/>
  <c r="C26"/>
  <c r="G22"/>
  <c r="D28"/>
  <c r="I24"/>
  <c r="B22"/>
  <c r="G28"/>
  <c r="D25"/>
  <c r="I21"/>
  <c r="D18"/>
  <c r="B16"/>
  <c r="D19"/>
  <c r="B17"/>
  <c r="G19"/>
  <c r="I16"/>
  <c r="F14"/>
  <c r="B19"/>
  <c r="F15"/>
  <c r="F21"/>
  <c r="C28"/>
  <c r="I14"/>
  <c r="D16"/>
  <c r="B11" i="49"/>
  <c r="F11" i="48"/>
  <c r="C19"/>
  <c r="D28"/>
  <c r="E37"/>
  <c r="D19"/>
  <c r="E28"/>
  <c r="F37"/>
  <c r="F20"/>
  <c r="G29"/>
  <c r="H38"/>
  <c r="G20"/>
  <c r="H29"/>
  <c r="H12"/>
  <c r="B22"/>
  <c r="C31"/>
  <c r="B13"/>
  <c r="C22"/>
  <c r="D31"/>
  <c r="B12"/>
  <c r="C21"/>
  <c r="D30"/>
  <c r="C12"/>
  <c r="D21"/>
  <c r="E30"/>
  <c r="E13"/>
  <c r="F22"/>
  <c r="G31"/>
  <c r="F13"/>
  <c r="G22"/>
  <c r="H31"/>
  <c r="F12"/>
  <c r="G21"/>
  <c r="H30"/>
  <c r="G12"/>
  <c r="H21"/>
  <c r="B31"/>
  <c r="B14"/>
  <c r="C23"/>
  <c r="D32"/>
  <c r="E16"/>
  <c r="F25"/>
  <c r="G34"/>
  <c r="G17"/>
  <c r="H26"/>
  <c r="B36"/>
  <c r="H17"/>
  <c r="B27"/>
  <c r="C36"/>
  <c r="B11"/>
  <c r="C11" i="51"/>
  <c r="D11" i="49"/>
  <c r="F11"/>
  <c r="D12" i="48"/>
  <c r="E21"/>
  <c r="F30"/>
  <c r="E12"/>
  <c r="F21"/>
  <c r="G30"/>
  <c r="G13"/>
  <c r="H22"/>
  <c r="B32"/>
  <c r="H13"/>
  <c r="B23"/>
  <c r="C32"/>
  <c r="C15"/>
  <c r="D24"/>
  <c r="E33"/>
  <c r="D15"/>
  <c r="E24"/>
  <c r="F33"/>
  <c r="D14"/>
  <c r="E23"/>
  <c r="F32"/>
  <c r="E14"/>
  <c r="F23"/>
  <c r="G32"/>
  <c r="G15"/>
  <c r="H24"/>
  <c r="B34"/>
  <c r="H15"/>
  <c r="B25"/>
  <c r="C34"/>
  <c r="H14"/>
  <c r="B24"/>
  <c r="C33"/>
  <c r="B15"/>
  <c r="C24"/>
  <c r="D33"/>
  <c r="D16"/>
  <c r="E25"/>
  <c r="F34"/>
  <c r="G18"/>
  <c r="H27"/>
  <c r="B37"/>
  <c r="B20"/>
  <c r="C29"/>
  <c r="D38"/>
  <c r="C20"/>
  <c r="D29"/>
  <c r="E38"/>
  <c r="C11"/>
  <c r="D11" i="50"/>
  <c r="E11" i="51"/>
  <c r="G11" i="50"/>
  <c r="F11" i="51"/>
  <c r="B11"/>
  <c r="H11" i="49"/>
  <c r="C11"/>
  <c r="F14" i="48"/>
  <c r="G23"/>
  <c r="H32"/>
  <c r="G14"/>
  <c r="H23"/>
  <c r="B33"/>
  <c r="B16"/>
  <c r="C25"/>
  <c r="D34"/>
  <c r="C16"/>
  <c r="D25"/>
  <c r="E34"/>
  <c r="E17"/>
  <c r="F26"/>
  <c r="G35"/>
  <c r="F17"/>
  <c r="G26"/>
  <c r="H35"/>
  <c r="F16"/>
  <c r="G25"/>
  <c r="H34"/>
  <c r="G16"/>
  <c r="H25"/>
  <c r="B35"/>
  <c r="B18"/>
  <c r="C27"/>
  <c r="D36"/>
  <c r="C18"/>
  <c r="D27"/>
  <c r="E36"/>
  <c r="C17"/>
  <c r="D26"/>
  <c r="E35"/>
  <c r="D17"/>
  <c r="E26"/>
  <c r="F35"/>
  <c r="F18"/>
  <c r="G27"/>
  <c r="H36"/>
  <c r="B21"/>
  <c r="C30"/>
  <c r="C13"/>
  <c r="D22"/>
  <c r="E31"/>
  <c r="D13"/>
  <c r="E22"/>
  <c r="F31"/>
  <c r="G11"/>
  <c r="F11" i="50"/>
  <c r="H11" i="51"/>
  <c r="B11" i="50"/>
  <c r="H11" i="48"/>
  <c r="G11" i="51"/>
  <c r="E11" i="49"/>
  <c r="G11"/>
  <c r="H16" i="48"/>
  <c r="B26"/>
  <c r="C35"/>
  <c r="B17"/>
  <c r="C26"/>
  <c r="D35"/>
  <c r="D18"/>
  <c r="E27"/>
  <c r="F36"/>
  <c r="E18"/>
  <c r="F27"/>
  <c r="G36"/>
  <c r="G19"/>
  <c r="H28"/>
  <c r="B38"/>
  <c r="H19"/>
  <c r="B29"/>
  <c r="C38"/>
  <c r="H18"/>
  <c r="B28"/>
  <c r="C37"/>
  <c r="B19"/>
  <c r="C28"/>
  <c r="D37"/>
  <c r="D20"/>
  <c r="E29"/>
  <c r="F38"/>
  <c r="E20"/>
  <c r="F29"/>
  <c r="G38"/>
  <c r="E19"/>
  <c r="F28"/>
  <c r="G37"/>
  <c r="F19"/>
  <c r="G28"/>
  <c r="H37"/>
  <c r="H20"/>
  <c r="B30"/>
  <c r="C14"/>
  <c r="D23"/>
  <c r="E32"/>
  <c r="E15"/>
  <c r="F24"/>
  <c r="G33"/>
  <c r="F15"/>
  <c r="G24"/>
  <c r="H33"/>
  <c r="E11"/>
  <c r="D11"/>
  <c r="H11" i="50"/>
  <c r="D11" i="51"/>
  <c r="C11" i="50"/>
  <c r="E11"/>
  <c r="G118" i="47"/>
  <c r="D63"/>
  <c r="F84"/>
  <c r="A116"/>
  <c r="J116" s="1"/>
  <c r="F97"/>
  <c r="F120"/>
  <c r="G64"/>
  <c r="A66"/>
  <c r="J66" s="1"/>
  <c r="G48"/>
  <c r="B113"/>
  <c r="E48"/>
  <c r="D84"/>
  <c r="C98"/>
  <c r="F47"/>
  <c r="B66"/>
  <c r="D67"/>
  <c r="C99"/>
  <c r="D47"/>
  <c r="D33"/>
  <c r="B121"/>
  <c r="B81"/>
  <c r="E31"/>
  <c r="E114"/>
  <c r="G67"/>
  <c r="D32"/>
  <c r="G81"/>
  <c r="G32"/>
  <c r="E120"/>
  <c r="D65"/>
  <c r="A114"/>
  <c r="J114" s="1"/>
  <c r="A45"/>
  <c r="J45" s="1"/>
  <c r="G121"/>
  <c r="C47"/>
  <c r="D99"/>
  <c r="D118"/>
  <c r="D82"/>
  <c r="D68"/>
  <c r="E47"/>
  <c r="G100"/>
  <c r="A98"/>
  <c r="J98" s="1"/>
  <c r="F48"/>
  <c r="C121"/>
  <c r="B99"/>
  <c r="G49"/>
  <c r="B45"/>
  <c r="F114"/>
  <c r="E84"/>
  <c r="D48"/>
  <c r="D46"/>
  <c r="A96"/>
  <c r="J96" s="1"/>
  <c r="E116"/>
  <c r="D121"/>
  <c r="F118"/>
  <c r="C44"/>
  <c r="G99"/>
  <c r="E94"/>
  <c r="F46"/>
  <c r="G30"/>
  <c r="F67"/>
  <c r="B95"/>
  <c r="D97"/>
  <c r="E97"/>
  <c r="E68"/>
  <c r="D44"/>
  <c r="F94"/>
  <c r="F49"/>
  <c r="B33"/>
  <c r="E33"/>
  <c r="E118"/>
  <c r="D64"/>
  <c r="F98"/>
  <c r="B114"/>
  <c r="E50"/>
  <c r="B64"/>
  <c r="G97"/>
  <c r="G114"/>
  <c r="G63"/>
  <c r="E96"/>
  <c r="A113"/>
  <c r="J113" s="1"/>
  <c r="A50"/>
  <c r="J50" s="1"/>
  <c r="D50"/>
  <c r="B65"/>
  <c r="D116"/>
  <c r="D83"/>
  <c r="D66"/>
  <c r="E113"/>
  <c r="E67"/>
  <c r="A46"/>
  <c r="J46" s="1"/>
  <c r="A32"/>
  <c r="J32" s="1"/>
  <c r="F95"/>
  <c r="E64"/>
  <c r="D96"/>
  <c r="A118"/>
  <c r="J118" s="1"/>
  <c r="G94"/>
  <c r="F50"/>
  <c r="D100"/>
  <c r="B47"/>
  <c r="A31"/>
  <c r="J31" s="1"/>
  <c r="A121"/>
  <c r="J121" s="1"/>
  <c r="D94"/>
  <c r="G84"/>
  <c r="F82"/>
  <c r="E66"/>
  <c r="B118"/>
  <c r="B48"/>
  <c r="G83"/>
  <c r="G45"/>
  <c r="G33"/>
  <c r="G98"/>
  <c r="F31"/>
  <c r="C100"/>
  <c r="C96"/>
  <c r="C66"/>
  <c r="B84"/>
  <c r="B46"/>
  <c r="F121"/>
  <c r="F81"/>
  <c r="F32"/>
  <c r="B116"/>
  <c r="B82"/>
  <c r="G113"/>
  <c r="A100"/>
  <c r="J100" s="1"/>
  <c r="A48"/>
  <c r="J48" s="1"/>
  <c r="F83"/>
  <c r="E99"/>
  <c r="E44"/>
  <c r="F33"/>
  <c r="F45"/>
  <c r="E30"/>
  <c r="G96"/>
  <c r="G47"/>
  <c r="E63"/>
  <c r="A99"/>
  <c r="J99" s="1"/>
  <c r="A44"/>
  <c r="J44" s="1"/>
  <c r="B30"/>
  <c r="A47"/>
  <c r="J47" s="1"/>
  <c r="E34"/>
  <c r="E100"/>
  <c r="E65"/>
  <c r="A34"/>
  <c r="J34" s="1"/>
  <c r="F66"/>
  <c r="F96"/>
  <c r="B63"/>
  <c r="B32"/>
  <c r="F64"/>
  <c r="G31"/>
  <c r="E45"/>
  <c r="F113"/>
  <c r="E82"/>
  <c r="D45"/>
  <c r="B96"/>
  <c r="G66"/>
  <c r="B83"/>
  <c r="F116"/>
  <c r="C50"/>
  <c r="G44"/>
  <c r="B68"/>
  <c r="G120"/>
  <c r="E98"/>
  <c r="G50"/>
  <c r="A30"/>
  <c r="J30" s="1"/>
  <c r="D81"/>
  <c r="D114"/>
  <c r="C114"/>
  <c r="E81"/>
  <c r="G68"/>
  <c r="F65"/>
  <c r="G116"/>
  <c r="F68"/>
  <c r="F44"/>
  <c r="C68"/>
  <c r="B120"/>
  <c r="B67"/>
  <c r="D30"/>
  <c r="C116"/>
  <c r="G65"/>
  <c r="B98"/>
  <c r="D49"/>
  <c r="C46"/>
  <c r="A68"/>
  <c r="J68" s="1"/>
  <c r="A49"/>
  <c r="J49" s="1"/>
  <c r="B94"/>
  <c r="B49"/>
  <c r="E121"/>
  <c r="D31"/>
  <c r="E95"/>
  <c r="D95"/>
  <c r="C49"/>
  <c r="E32"/>
  <c r="D34"/>
  <c r="D120"/>
  <c r="C113"/>
  <c r="F34"/>
  <c r="F99"/>
  <c r="B50"/>
  <c r="B31"/>
  <c r="C45"/>
  <c r="G82"/>
  <c r="C118"/>
  <c r="G34"/>
  <c r="B100"/>
  <c r="D98"/>
  <c r="B44"/>
  <c r="A120"/>
  <c r="J120" s="1"/>
  <c r="G95"/>
  <c r="F63"/>
  <c r="E46"/>
  <c r="C48"/>
  <c r="D113"/>
  <c r="E49"/>
  <c r="B34"/>
  <c r="F100"/>
  <c r="A33"/>
  <c r="J33" s="1"/>
  <c r="C120"/>
  <c r="E83"/>
  <c r="G46"/>
  <c r="B97"/>
  <c r="F30"/>
  <c r="C12" i="43"/>
  <c r="B12"/>
  <c r="C118"/>
  <c r="E34"/>
  <c r="B32"/>
  <c r="F91"/>
  <c r="F112"/>
  <c r="C91"/>
  <c r="B68"/>
  <c r="G86"/>
  <c r="F35"/>
  <c r="C33"/>
  <c r="G38"/>
  <c r="E37"/>
  <c r="C44"/>
  <c r="B65"/>
  <c r="G85"/>
  <c r="G107"/>
  <c r="D81"/>
  <c r="E100"/>
  <c r="B49"/>
  <c r="G47"/>
  <c r="E54"/>
  <c r="F56"/>
  <c r="F57"/>
  <c r="G68"/>
  <c r="A112"/>
  <c r="D68"/>
  <c r="B107"/>
  <c r="A64"/>
  <c r="B31"/>
  <c r="C34"/>
  <c r="A33"/>
  <c r="F39"/>
  <c r="E59"/>
  <c r="C81"/>
  <c r="A102"/>
  <c r="G76"/>
  <c r="G32"/>
  <c r="E97"/>
  <c r="D74"/>
  <c r="B93"/>
  <c r="A70"/>
  <c r="B113"/>
  <c r="A34"/>
  <c r="B36"/>
  <c r="B37"/>
  <c r="B92"/>
  <c r="B114"/>
  <c r="F87"/>
  <c r="F108"/>
  <c r="C87"/>
  <c r="A63"/>
  <c r="D46"/>
  <c r="D47"/>
  <c r="F50"/>
  <c r="D57"/>
  <c r="A55"/>
  <c r="F74"/>
  <c r="D113"/>
  <c r="C70"/>
  <c r="A91"/>
  <c r="A113"/>
  <c r="E31"/>
  <c r="E32"/>
  <c r="E87"/>
  <c r="E109"/>
  <c r="B83"/>
  <c r="E103"/>
  <c r="F82"/>
  <c r="D121"/>
  <c r="F53"/>
  <c r="D52"/>
  <c r="B59"/>
  <c r="D73"/>
  <c r="E116"/>
  <c r="A73"/>
  <c r="F111"/>
  <c r="E68"/>
  <c r="G104"/>
  <c r="F90"/>
  <c r="E67"/>
  <c r="C86"/>
  <c r="B63"/>
  <c r="A106"/>
  <c r="G30"/>
  <c r="C36"/>
  <c r="D38"/>
  <c r="D39"/>
  <c r="D94"/>
  <c r="D116"/>
  <c r="A90"/>
  <c r="A111"/>
  <c r="E89"/>
  <c r="E123"/>
  <c r="G57"/>
  <c r="G58"/>
  <c r="B86"/>
  <c r="G59"/>
  <c r="F81"/>
  <c r="D105"/>
  <c r="G98"/>
  <c r="E42"/>
  <c r="B51"/>
  <c r="C88"/>
  <c r="C52"/>
  <c r="F109"/>
  <c r="E88"/>
  <c r="A41"/>
  <c r="A62"/>
  <c r="F100"/>
  <c r="A81"/>
  <c r="F84"/>
  <c r="E106"/>
  <c r="C67"/>
  <c r="E120"/>
  <c r="F89"/>
  <c r="G89"/>
  <c r="A85"/>
  <c r="C39"/>
  <c r="G99"/>
  <c r="E49"/>
  <c r="B58"/>
  <c r="C105"/>
  <c r="D31"/>
  <c r="E98"/>
  <c r="F93"/>
  <c r="B90"/>
  <c r="G93"/>
  <c r="G115"/>
  <c r="D76"/>
  <c r="B80"/>
  <c r="A100"/>
  <c r="E82"/>
  <c r="F77"/>
  <c r="F76"/>
  <c r="F12"/>
  <c r="D114"/>
  <c r="B61"/>
  <c r="D88"/>
  <c r="C65"/>
  <c r="A84"/>
  <c r="B60"/>
  <c r="C103"/>
  <c r="A83"/>
  <c r="E104"/>
  <c r="E78"/>
  <c r="F121"/>
  <c r="B78"/>
  <c r="G116"/>
  <c r="C37"/>
  <c r="C38"/>
  <c r="E41"/>
  <c r="C48"/>
  <c r="G45"/>
  <c r="E65"/>
  <c r="F103"/>
  <c r="F60"/>
  <c r="G81"/>
  <c r="A103"/>
  <c r="D78"/>
  <c r="B97"/>
  <c r="A74"/>
  <c r="B117"/>
  <c r="E73"/>
  <c r="B54"/>
  <c r="G60"/>
  <c r="E71"/>
  <c r="C90"/>
  <c r="B67"/>
  <c r="C110"/>
  <c r="F66"/>
  <c r="A105"/>
  <c r="G84"/>
  <c r="E105"/>
  <c r="D84"/>
  <c r="B123"/>
  <c r="A80"/>
  <c r="C31"/>
  <c r="A38"/>
  <c r="E35"/>
  <c r="B41"/>
  <c r="G39"/>
  <c r="E46"/>
  <c r="D67"/>
  <c r="B88"/>
  <c r="B110"/>
  <c r="F83"/>
  <c r="B104"/>
  <c r="E60"/>
  <c r="C80"/>
  <c r="D123"/>
  <c r="G79"/>
  <c r="E118"/>
  <c r="D75"/>
  <c r="D82"/>
  <c r="G41"/>
  <c r="G42"/>
  <c r="B46"/>
  <c r="G52"/>
  <c r="D50"/>
  <c r="B70"/>
  <c r="G108"/>
  <c r="F65"/>
  <c r="D86"/>
  <c r="D108"/>
  <c r="C47"/>
  <c r="A54"/>
  <c r="E51"/>
  <c r="B57"/>
  <c r="G55"/>
  <c r="B64"/>
  <c r="D83"/>
  <c r="A59"/>
  <c r="C102"/>
  <c r="E99"/>
  <c r="F120"/>
  <c r="A30"/>
  <c r="B87"/>
  <c r="B108"/>
  <c r="F86"/>
  <c r="G61"/>
  <c r="C82"/>
  <c r="F42"/>
  <c r="D49"/>
  <c r="A47"/>
  <c r="E52"/>
  <c r="C51"/>
  <c r="A58"/>
  <c r="G78"/>
  <c r="D100"/>
  <c r="E121"/>
  <c r="B95"/>
  <c r="B116"/>
  <c r="B40"/>
  <c r="A72"/>
  <c r="C109"/>
  <c r="D54"/>
  <c r="B66"/>
  <c r="D65"/>
  <c r="F47"/>
  <c r="F104"/>
  <c r="G101"/>
  <c r="F73"/>
  <c r="D77"/>
  <c r="E101"/>
  <c r="B103"/>
  <c r="F63"/>
  <c r="F106"/>
  <c r="F31"/>
  <c r="G111"/>
  <c r="F123"/>
  <c r="A46"/>
  <c r="B102"/>
  <c r="C56"/>
  <c r="A67"/>
  <c r="D12"/>
  <c r="E12"/>
  <c r="A45"/>
  <c r="F51"/>
  <c r="C49"/>
  <c r="G54"/>
  <c r="E53"/>
  <c r="C60"/>
  <c r="B81"/>
  <c r="D104"/>
  <c r="G123"/>
  <c r="D97"/>
  <c r="D118"/>
  <c r="A56"/>
  <c r="F54"/>
  <c r="D61"/>
  <c r="F75"/>
  <c r="G118"/>
  <c r="C75"/>
  <c r="A114"/>
  <c r="G70"/>
  <c r="A32"/>
  <c r="F30"/>
  <c r="D37"/>
  <c r="F101"/>
  <c r="A79"/>
  <c r="F97"/>
  <c r="E74"/>
  <c r="F117"/>
  <c r="D51"/>
  <c r="B50"/>
  <c r="G56"/>
  <c r="A60"/>
  <c r="B71"/>
  <c r="C114"/>
  <c r="F70"/>
  <c r="D109"/>
  <c r="C66"/>
  <c r="E44"/>
  <c r="C43"/>
  <c r="A50"/>
  <c r="B52"/>
  <c r="B53"/>
  <c r="C64"/>
  <c r="D107"/>
  <c r="G63"/>
  <c r="G100"/>
  <c r="F102"/>
  <c r="F119"/>
  <c r="C53"/>
  <c r="C54"/>
  <c r="E57"/>
  <c r="D62"/>
  <c r="E81"/>
  <c r="C120"/>
  <c r="B77"/>
  <c r="G97"/>
  <c r="G119"/>
  <c r="C30"/>
  <c r="C85"/>
  <c r="C107"/>
  <c r="G80"/>
  <c r="C99"/>
  <c r="D80"/>
  <c r="B119"/>
  <c r="F48"/>
  <c r="F49"/>
  <c r="A53"/>
  <c r="F59"/>
  <c r="C57"/>
  <c r="A77"/>
  <c r="F115"/>
  <c r="E72"/>
  <c r="C93"/>
  <c r="C115"/>
  <c r="D33"/>
  <c r="A31"/>
  <c r="E36"/>
  <c r="C35"/>
  <c r="A42"/>
  <c r="G62"/>
  <c r="E83"/>
  <c r="B105"/>
  <c r="B79"/>
  <c r="C122"/>
  <c r="F37"/>
  <c r="D36"/>
  <c r="B43"/>
  <c r="C45"/>
  <c r="C46"/>
  <c r="D103"/>
  <c r="C123"/>
  <c r="G96"/>
  <c r="G117"/>
  <c r="D96"/>
  <c r="E110"/>
  <c r="E55"/>
  <c r="E56"/>
  <c r="F64"/>
  <c r="G83"/>
  <c r="E122"/>
  <c r="D79"/>
  <c r="D101"/>
  <c r="B122"/>
  <c r="B33"/>
  <c r="G31"/>
  <c r="E38"/>
  <c r="F40"/>
  <c r="F41"/>
  <c r="F96"/>
  <c r="F118"/>
  <c r="C92"/>
  <c r="C113"/>
  <c r="G91"/>
  <c r="F68"/>
  <c r="F45"/>
  <c r="F92"/>
  <c r="G46"/>
  <c r="D55"/>
  <c r="C104"/>
  <c r="A93"/>
  <c r="E108"/>
  <c r="G49"/>
  <c r="E61"/>
  <c r="E91"/>
  <c r="E113"/>
  <c r="B74"/>
  <c r="E75"/>
  <c r="E96"/>
  <c r="C59"/>
  <c r="G102"/>
  <c r="G33"/>
  <c r="D85"/>
  <c r="A35"/>
  <c r="E43"/>
  <c r="E79"/>
  <c r="G53"/>
  <c r="F85"/>
  <c r="A123"/>
  <c r="H123" s="1"/>
  <c r="D41"/>
  <c r="B98"/>
  <c r="D102"/>
  <c r="F122"/>
  <c r="C83"/>
  <c r="A87"/>
  <c r="A109"/>
  <c r="E69"/>
  <c r="D111"/>
  <c r="B82"/>
  <c r="B35"/>
  <c r="C72"/>
  <c r="D45"/>
  <c r="C101"/>
  <c r="G12"/>
  <c r="A12"/>
  <c r="D35"/>
  <c r="B34"/>
  <c r="G40"/>
  <c r="A43"/>
  <c r="A44"/>
  <c r="D99"/>
  <c r="A121"/>
  <c r="H121" s="1"/>
  <c r="E94"/>
  <c r="E115"/>
  <c r="B94"/>
  <c r="A71"/>
  <c r="B44"/>
  <c r="B45"/>
  <c r="D48"/>
  <c r="B55"/>
  <c r="F52"/>
  <c r="D72"/>
  <c r="B111"/>
  <c r="A68"/>
  <c r="F88"/>
  <c r="F110"/>
  <c r="F58"/>
  <c r="E63"/>
  <c r="B76"/>
  <c r="G94"/>
  <c r="F71"/>
  <c r="G114"/>
  <c r="C71"/>
  <c r="A110"/>
  <c r="E39"/>
  <c r="E40"/>
  <c r="G43"/>
  <c r="E50"/>
  <c r="B48"/>
  <c r="G67"/>
  <c r="C106"/>
  <c r="D63"/>
  <c r="B84"/>
  <c r="G105"/>
  <c r="F32"/>
  <c r="F33"/>
  <c r="A37"/>
  <c r="F43"/>
  <c r="C41"/>
  <c r="D60"/>
  <c r="G121"/>
  <c r="B100"/>
  <c r="C77"/>
  <c r="A96"/>
  <c r="B38"/>
  <c r="G44"/>
  <c r="D42"/>
  <c r="A48"/>
  <c r="F46"/>
  <c r="D53"/>
  <c r="C74"/>
  <c r="A95"/>
  <c r="A117"/>
  <c r="E90"/>
  <c r="E111"/>
  <c r="C58"/>
  <c r="A57"/>
  <c r="A78"/>
  <c r="B121"/>
  <c r="E77"/>
  <c r="C116"/>
  <c r="B73"/>
  <c r="E33"/>
  <c r="C40"/>
  <c r="G37"/>
  <c r="D43"/>
  <c r="B42"/>
  <c r="G48"/>
  <c r="F69"/>
  <c r="D90"/>
  <c r="D112"/>
  <c r="A86"/>
  <c r="G106"/>
  <c r="F80"/>
  <c r="A101"/>
  <c r="C76"/>
  <c r="D119"/>
  <c r="G75"/>
  <c r="E114"/>
  <c r="B30"/>
  <c r="G36"/>
  <c r="D34"/>
  <c r="A94"/>
  <c r="A115"/>
  <c r="E93"/>
  <c r="D70"/>
  <c r="B89"/>
  <c r="D40"/>
  <c r="B47"/>
  <c r="F44"/>
  <c r="C50"/>
  <c r="A49"/>
  <c r="F55"/>
  <c r="E76"/>
  <c r="C97"/>
  <c r="C119"/>
  <c r="G92"/>
  <c r="G113"/>
  <c r="C32"/>
  <c r="D89"/>
  <c r="D110"/>
  <c r="A89"/>
  <c r="G65"/>
  <c r="E84"/>
  <c r="G35"/>
  <c r="D44"/>
  <c r="F114"/>
  <c r="E45"/>
  <c r="E66"/>
  <c r="F61"/>
  <c r="G69"/>
  <c r="C42"/>
  <c r="G50"/>
  <c r="D122"/>
  <c r="C84"/>
  <c r="F105"/>
  <c r="G66"/>
  <c r="E70"/>
  <c r="C108"/>
  <c r="A97"/>
  <c r="G34"/>
  <c r="B106"/>
  <c r="A36"/>
  <c r="C63"/>
  <c r="C98"/>
  <c r="D59"/>
  <c r="E62"/>
  <c r="D30"/>
  <c r="A39"/>
  <c r="A75"/>
  <c r="D93"/>
  <c r="F113"/>
  <c r="A76"/>
  <c r="F79"/>
  <c r="A116"/>
  <c r="C62"/>
  <c r="G120"/>
  <c r="F99"/>
  <c r="D115"/>
  <c r="E47"/>
  <c r="C112"/>
  <c r="B69"/>
  <c r="E102"/>
  <c r="A40"/>
  <c r="A99"/>
  <c r="E30"/>
  <c r="F67"/>
  <c r="F62"/>
  <c r="F116"/>
  <c r="B85"/>
  <c r="G88"/>
  <c r="G109"/>
  <c r="D71"/>
  <c r="A52"/>
  <c r="C79"/>
  <c r="E117"/>
  <c r="D69"/>
  <c r="F36"/>
  <c r="F72"/>
  <c r="B56"/>
  <c r="A88"/>
  <c r="A120"/>
  <c r="H120" s="1"/>
  <c r="E64"/>
  <c r="C68"/>
  <c r="D117"/>
  <c r="F94"/>
  <c r="D98"/>
  <c r="D120"/>
  <c r="B62"/>
  <c r="G82"/>
  <c r="G72"/>
  <c r="F38"/>
  <c r="B120"/>
  <c r="C95"/>
  <c r="G110"/>
  <c r="B99"/>
  <c r="D106"/>
  <c r="C100"/>
  <c r="E85"/>
  <c r="C89"/>
  <c r="C111"/>
  <c r="C55"/>
  <c r="A118"/>
  <c r="D56"/>
  <c r="E112"/>
  <c r="C96"/>
  <c r="D91"/>
  <c r="G64"/>
  <c r="D66"/>
  <c r="G103"/>
  <c r="A65"/>
  <c r="E107"/>
  <c r="D87"/>
  <c r="B91"/>
  <c r="G122"/>
  <c r="F34"/>
  <c r="E86"/>
  <c r="C121"/>
  <c r="E48"/>
  <c r="F98"/>
  <c r="B72"/>
  <c r="G77"/>
  <c r="A92"/>
  <c r="F95"/>
  <c r="A122"/>
  <c r="H122" s="1"/>
  <c r="C78"/>
  <c r="A82"/>
  <c r="B115"/>
  <c r="D58"/>
  <c r="G74"/>
  <c r="A61"/>
  <c r="G73"/>
  <c r="A69"/>
  <c r="D32"/>
  <c r="C117"/>
  <c r="G51"/>
  <c r="A108"/>
  <c r="B75"/>
  <c r="B112"/>
  <c r="B101"/>
  <c r="C61"/>
  <c r="A104"/>
  <c r="G87"/>
  <c r="E119"/>
  <c r="A119"/>
  <c r="D95"/>
  <c r="A107"/>
  <c r="G90"/>
  <c r="A66"/>
  <c r="B109"/>
  <c r="D92"/>
  <c r="B96"/>
  <c r="B118"/>
  <c r="F78"/>
  <c r="A51"/>
  <c r="E95"/>
  <c r="E92"/>
  <c r="F107"/>
  <c r="B39"/>
  <c r="G95"/>
  <c r="E58"/>
  <c r="C69"/>
  <c r="D64"/>
  <c r="G71"/>
  <c r="C73"/>
  <c r="C94"/>
  <c r="A98"/>
  <c r="G112"/>
  <c r="E80"/>
  <c r="L28" i="55"/>
  <c r="L36"/>
  <c r="L85"/>
  <c r="L16"/>
  <c r="I66" i="15"/>
  <c r="G15" i="12"/>
  <c r="G20"/>
  <c r="N35" i="45"/>
  <c r="E82" i="12"/>
  <c r="E84" s="1"/>
  <c r="F82"/>
  <c r="F84" s="1"/>
  <c r="N11" i="62"/>
  <c r="H41" i="12"/>
  <c r="N30" i="45"/>
  <c r="N12" i="62"/>
  <c r="G66" i="12"/>
  <c r="N10" i="62"/>
  <c r="G25" i="12"/>
  <c r="I73" i="15"/>
  <c r="I68"/>
  <c r="G20"/>
  <c r="H67" i="12"/>
  <c r="N11" i="45"/>
  <c r="P36"/>
  <c r="H47" i="12"/>
  <c r="G59"/>
  <c r="G14"/>
  <c r="N46" i="45"/>
  <c r="H46" i="12"/>
  <c r="H43"/>
  <c r="N26" i="45"/>
  <c r="G58" i="12"/>
  <c r="G55"/>
  <c r="G44"/>
  <c r="I71" i="15"/>
  <c r="H63" i="12"/>
  <c r="H65"/>
  <c r="H68"/>
  <c r="G72"/>
  <c r="H62"/>
  <c r="G52"/>
  <c r="H44"/>
  <c r="H55"/>
  <c r="G63"/>
  <c r="H59"/>
  <c r="H66"/>
  <c r="H72"/>
  <c r="G62"/>
  <c r="H58"/>
  <c r="G46"/>
  <c r="G61"/>
  <c r="G43"/>
  <c r="H52"/>
  <c r="H54"/>
  <c r="G65"/>
  <c r="G47"/>
  <c r="H48"/>
  <c r="G5"/>
  <c r="G45"/>
  <c r="H37"/>
  <c r="G12" i="15"/>
  <c r="L26" i="55"/>
  <c r="E14" i="15"/>
  <c r="N23" i="45"/>
  <c r="L24" i="55"/>
  <c r="L37"/>
  <c r="L25"/>
  <c r="N40" i="45"/>
  <c r="G16" i="12"/>
  <c r="H55" i="15"/>
  <c r="G23" i="12"/>
  <c r="G31"/>
  <c r="N17" i="45"/>
  <c r="G40" i="15"/>
  <c r="H39"/>
  <c r="F41"/>
  <c r="G39"/>
  <c r="E41"/>
  <c r="H40"/>
  <c r="N7" i="62"/>
  <c r="L102" i="55"/>
  <c r="L70"/>
  <c r="L69"/>
  <c r="J72"/>
  <c r="J73" s="1"/>
  <c r="H72"/>
  <c r="H73" s="1"/>
  <c r="G69" i="12"/>
  <c r="H18"/>
  <c r="P37" i="45"/>
  <c r="G22" i="12"/>
  <c r="P22" i="45"/>
  <c r="N16" i="62"/>
  <c r="L65" i="55"/>
  <c r="L64"/>
  <c r="L66"/>
  <c r="L67"/>
  <c r="N28" i="45"/>
  <c r="L97" i="55"/>
  <c r="L89"/>
  <c r="L17"/>
  <c r="L60"/>
  <c r="L86"/>
  <c r="L78"/>
  <c r="L14"/>
  <c r="G35" i="12"/>
  <c r="H42"/>
  <c r="L23" i="55"/>
  <c r="L76"/>
  <c r="L79"/>
  <c r="L27"/>
  <c r="L32"/>
  <c r="J106"/>
  <c r="J107" s="1"/>
  <c r="L62"/>
  <c r="L49"/>
  <c r="L46"/>
  <c r="P47" i="45"/>
  <c r="L41" i="55"/>
  <c r="L40"/>
  <c r="L48"/>
  <c r="L29"/>
  <c r="L42"/>
  <c r="H8" i="12"/>
  <c r="N42" i="45"/>
  <c r="I72" i="15"/>
  <c r="G30" i="12"/>
  <c r="L80" i="55"/>
  <c r="L92"/>
  <c r="N24" i="45"/>
  <c r="N13"/>
  <c r="H34" i="15"/>
  <c r="L75" i="55"/>
  <c r="L14" i="62"/>
  <c r="G49" i="12"/>
  <c r="L98" i="55"/>
  <c r="L100"/>
  <c r="L101"/>
  <c r="L83"/>
  <c r="L95"/>
  <c r="L88"/>
  <c r="L99"/>
  <c r="L96"/>
  <c r="L91"/>
  <c r="L90"/>
  <c r="L93"/>
  <c r="L84"/>
  <c r="L31"/>
  <c r="L20"/>
  <c r="L18"/>
  <c r="L19"/>
  <c r="J57"/>
  <c r="J58" s="1"/>
  <c r="L51"/>
  <c r="L50"/>
  <c r="P5" i="45"/>
  <c r="H35" i="12"/>
  <c r="N50" i="45"/>
  <c r="P35"/>
  <c r="L18" i="62"/>
  <c r="H6" i="12"/>
  <c r="G40"/>
  <c r="N25" i="45"/>
  <c r="N9" i="62"/>
  <c r="P49" i="45"/>
  <c r="G26" i="12"/>
  <c r="H5"/>
  <c r="L6" i="62"/>
  <c r="L30" i="55"/>
  <c r="L43"/>
  <c r="L52"/>
  <c r="H52" i="15"/>
  <c r="G36" i="12"/>
  <c r="H60"/>
  <c r="G4"/>
  <c r="N48" i="45"/>
  <c r="H19" i="12"/>
  <c r="P29" i="45"/>
  <c r="L47" i="55"/>
  <c r="H24" i="12"/>
  <c r="H9"/>
  <c r="J22" i="62"/>
  <c r="J24" s="1"/>
  <c r="G56" i="12"/>
  <c r="N33" i="45"/>
  <c r="H29" i="15"/>
  <c r="P9" i="45"/>
  <c r="H10" i="12"/>
  <c r="H33"/>
  <c r="G32"/>
  <c r="L19" i="62"/>
  <c r="P45" i="45"/>
  <c r="N43"/>
  <c r="N44"/>
  <c r="L82" i="55"/>
  <c r="H28" i="15"/>
  <c r="N8" i="45"/>
  <c r="H13" i="12"/>
  <c r="G29"/>
  <c r="L45" i="55"/>
  <c r="G51" i="12"/>
  <c r="L17" i="62"/>
  <c r="L8"/>
  <c r="H64" i="12"/>
  <c r="G53"/>
  <c r="H7"/>
  <c r="G11"/>
  <c r="G70"/>
  <c r="G13" i="15"/>
  <c r="P34" i="45"/>
  <c r="N15"/>
  <c r="N38"/>
  <c r="N10"/>
  <c r="G57" i="12"/>
  <c r="N31" i="45"/>
  <c r="N20"/>
  <c r="N21"/>
  <c r="N7"/>
  <c r="P39"/>
  <c r="P12"/>
  <c r="N6"/>
  <c r="L13" i="62"/>
  <c r="L77" i="55"/>
  <c r="L59"/>
  <c r="P17" i="45"/>
  <c r="G36" i="15"/>
  <c r="E37"/>
  <c r="N12" i="45"/>
  <c r="G57" i="15"/>
  <c r="E58"/>
  <c r="P20" i="45"/>
  <c r="P10"/>
  <c r="P13"/>
  <c r="G28" i="15"/>
  <c r="H38"/>
  <c r="N34" i="45"/>
  <c r="N16"/>
  <c r="N17" i="62"/>
  <c r="H50" i="15"/>
  <c r="N45" i="45"/>
  <c r="N19" i="62"/>
  <c r="G41" i="12"/>
  <c r="P15" i="45"/>
  <c r="N27"/>
  <c r="P18"/>
  <c r="G68" i="12"/>
  <c r="G51" i="15"/>
  <c r="P44" i="45"/>
  <c r="L11" i="62"/>
  <c r="P8" i="45"/>
  <c r="H17" i="12"/>
  <c r="N47" i="45"/>
  <c r="L16" i="62"/>
  <c r="P43" i="45"/>
  <c r="L12" i="62"/>
  <c r="G13" i="12"/>
  <c r="H29"/>
  <c r="H14"/>
  <c r="H31"/>
  <c r="G42" i="15"/>
  <c r="H43"/>
  <c r="H22" i="62"/>
  <c r="H24" s="1"/>
  <c r="L5"/>
  <c r="H57" i="55"/>
  <c r="H58" s="1"/>
  <c r="L12"/>
  <c r="G26" i="15"/>
  <c r="P25" i="45"/>
  <c r="H42" i="15"/>
  <c r="H26"/>
  <c r="F17"/>
  <c r="H16"/>
  <c r="H17" s="1"/>
  <c r="E17"/>
  <c r="G16"/>
  <c r="G17" s="1"/>
  <c r="N13" i="62"/>
  <c r="H40" i="12"/>
  <c r="H69"/>
  <c r="L9" i="62"/>
  <c r="H31" i="15"/>
  <c r="H32" s="1"/>
  <c r="F32"/>
  <c r="H13"/>
  <c r="N49" i="45"/>
  <c r="H26" i="12"/>
  <c r="G38" i="15"/>
  <c r="G22"/>
  <c r="N41" i="45"/>
  <c r="P42"/>
  <c r="G8" i="12"/>
  <c r="P11" i="45"/>
  <c r="N19"/>
  <c r="N14"/>
  <c r="H22" i="15"/>
  <c r="H45" i="12"/>
  <c r="N36" i="45"/>
  <c r="P6"/>
  <c r="H15" i="12"/>
  <c r="L15" i="62"/>
  <c r="P40" i="45"/>
  <c r="H20" i="12"/>
  <c r="H25"/>
  <c r="H12"/>
  <c r="F37" i="15"/>
  <c r="H36"/>
  <c r="H47"/>
  <c r="F48"/>
  <c r="E30"/>
  <c r="H50" i="12"/>
  <c r="H106" i="55"/>
  <c r="H107" s="1"/>
  <c r="L74"/>
  <c r="E56" i="15"/>
  <c r="J53" i="45" s="1"/>
  <c r="G54" i="15"/>
  <c r="H54"/>
  <c r="F56"/>
  <c r="L53" i="45" s="1"/>
  <c r="F30" i="15"/>
  <c r="H27"/>
  <c r="G60" i="12"/>
  <c r="H20" i="15"/>
  <c r="G33"/>
  <c r="E35"/>
  <c r="P21" i="45"/>
  <c r="P7"/>
  <c r="H70" i="12"/>
  <c r="H57" i="15"/>
  <c r="F58"/>
  <c r="L7" i="62"/>
  <c r="G55" i="15"/>
  <c r="E61"/>
  <c r="G59"/>
  <c r="G61" s="1"/>
  <c r="N6" i="62"/>
  <c r="G48" i="12"/>
  <c r="G7"/>
  <c r="P50" i="45"/>
  <c r="H49" i="12"/>
  <c r="N5" i="45"/>
  <c r="P26"/>
  <c r="E45" i="15"/>
  <c r="G44"/>
  <c r="G45" s="1"/>
  <c r="G24"/>
  <c r="H24"/>
  <c r="N22" i="45"/>
  <c r="G15" i="15"/>
  <c r="F61"/>
  <c r="H59"/>
  <c r="H61" s="1"/>
  <c r="N18" i="62"/>
  <c r="G18" i="12"/>
  <c r="H11"/>
  <c r="G34" i="15"/>
  <c r="N14" i="62"/>
  <c r="P24" i="45"/>
  <c r="P28"/>
  <c r="P32"/>
  <c r="G27" i="12"/>
  <c r="H28"/>
  <c r="H30"/>
  <c r="G6"/>
  <c r="G21"/>
  <c r="H34"/>
  <c r="G37"/>
  <c r="E53" i="15"/>
  <c r="G49"/>
  <c r="H21"/>
  <c r="F23"/>
  <c r="F45"/>
  <c r="H44"/>
  <c r="H45" s="1"/>
  <c r="H4" i="12"/>
  <c r="G21" i="15"/>
  <c r="E23"/>
  <c r="F53"/>
  <c r="H49"/>
  <c r="I62"/>
  <c r="E64"/>
  <c r="H33"/>
  <c r="F35"/>
  <c r="H57" i="12"/>
  <c r="N9" i="45"/>
  <c r="G31" i="15"/>
  <c r="G32" s="1"/>
  <c r="E32"/>
  <c r="G52"/>
  <c r="H15"/>
  <c r="H36" i="12"/>
  <c r="N8" i="62"/>
  <c r="P31" i="45"/>
  <c r="F14" i="15"/>
  <c r="H12"/>
  <c r="G47"/>
  <c r="E48"/>
  <c r="G64" i="12"/>
  <c r="N29" i="45"/>
  <c r="H25" i="15"/>
  <c r="H18"/>
  <c r="F19"/>
  <c r="G18"/>
  <c r="E19"/>
  <c r="H56" i="12"/>
  <c r="H51"/>
  <c r="G42"/>
  <c r="G29" i="15"/>
  <c r="H53" i="12"/>
  <c r="G67"/>
  <c r="P30" i="45"/>
  <c r="L10" i="62"/>
  <c r="G33" i="12"/>
  <c r="P38" i="45"/>
  <c r="P33"/>
  <c r="P23"/>
  <c r="N37"/>
  <c r="G9" i="12"/>
  <c r="N39" i="45"/>
  <c r="H16" i="12"/>
  <c r="H22"/>
  <c r="P48" i="45"/>
  <c r="P46"/>
  <c r="G24" i="12"/>
  <c r="H23"/>
  <c r="G10"/>
  <c r="H32"/>
  <c r="G19"/>
  <c r="J52" i="45"/>
  <c r="J54" s="1"/>
  <c r="G10" i="15"/>
  <c r="G11" s="1"/>
  <c r="E11"/>
  <c r="L52" i="45"/>
  <c r="L54" s="1"/>
  <c r="N5" i="62"/>
  <c r="F209" i="47" l="1"/>
  <c r="G209"/>
  <c r="F46" i="15"/>
  <c r="F75" s="1"/>
  <c r="E46"/>
  <c r="I39" i="12"/>
  <c r="I38"/>
  <c r="I34"/>
  <c r="I28"/>
  <c r="I35"/>
  <c r="I33"/>
  <c r="I4"/>
  <c r="I36"/>
  <c r="I37"/>
  <c r="I27"/>
  <c r="I34" i="14"/>
  <c r="J33"/>
  <c r="I30"/>
  <c r="I32"/>
  <c r="I28"/>
  <c r="J27"/>
  <c r="I14"/>
  <c r="J14"/>
  <c r="G40"/>
  <c r="J29"/>
  <c r="H40"/>
  <c r="J31"/>
  <c r="AQ28" i="48"/>
  <c r="J34" i="14"/>
  <c r="J35" s="1"/>
  <c r="F125" i="43"/>
  <c r="L105" i="63"/>
  <c r="M105"/>
  <c r="O105"/>
  <c r="N105"/>
  <c r="M98"/>
  <c r="O98"/>
  <c r="N98"/>
  <c r="L98"/>
  <c r="M96"/>
  <c r="O96"/>
  <c r="N96"/>
  <c r="L96"/>
  <c r="M92"/>
  <c r="O92"/>
  <c r="N92"/>
  <c r="L92"/>
  <c r="M90"/>
  <c r="O90"/>
  <c r="N90"/>
  <c r="L90"/>
  <c r="L85"/>
  <c r="M85"/>
  <c r="O85"/>
  <c r="N85"/>
  <c r="L81"/>
  <c r="M81"/>
  <c r="O81"/>
  <c r="N81"/>
  <c r="L77"/>
  <c r="M77"/>
  <c r="O77"/>
  <c r="N77"/>
  <c r="L73"/>
  <c r="M73"/>
  <c r="O73"/>
  <c r="N73"/>
  <c r="L107"/>
  <c r="O107"/>
  <c r="M107"/>
  <c r="N107"/>
  <c r="M104"/>
  <c r="O104"/>
  <c r="L104"/>
  <c r="N104"/>
  <c r="M101"/>
  <c r="O101"/>
  <c r="L101"/>
  <c r="N101"/>
  <c r="M99"/>
  <c r="O99"/>
  <c r="L99"/>
  <c r="N99"/>
  <c r="O93"/>
  <c r="M93"/>
  <c r="L93"/>
  <c r="N93"/>
  <c r="M87"/>
  <c r="O87"/>
  <c r="L87"/>
  <c r="N87"/>
  <c r="L83"/>
  <c r="O83"/>
  <c r="M83"/>
  <c r="N83"/>
  <c r="L108"/>
  <c r="M108"/>
  <c r="O108"/>
  <c r="N108"/>
  <c r="L103"/>
  <c r="M103"/>
  <c r="O103"/>
  <c r="N103"/>
  <c r="M97"/>
  <c r="O97"/>
  <c r="L97"/>
  <c r="N97"/>
  <c r="M94"/>
  <c r="O94"/>
  <c r="N94"/>
  <c r="L94"/>
  <c r="M91"/>
  <c r="O91"/>
  <c r="L91"/>
  <c r="N91"/>
  <c r="M89"/>
  <c r="O89"/>
  <c r="L89"/>
  <c r="N89"/>
  <c r="L84"/>
  <c r="O84"/>
  <c r="N84"/>
  <c r="M84"/>
  <c r="L80"/>
  <c r="O80"/>
  <c r="N80"/>
  <c r="M80"/>
  <c r="L76"/>
  <c r="O76"/>
  <c r="N76"/>
  <c r="M76"/>
  <c r="L72"/>
  <c r="O72"/>
  <c r="N72"/>
  <c r="M72"/>
  <c r="L69"/>
  <c r="M69"/>
  <c r="O69"/>
  <c r="N69"/>
  <c r="L109"/>
  <c r="O109"/>
  <c r="M109"/>
  <c r="N109"/>
  <c r="L106"/>
  <c r="N106"/>
  <c r="M106"/>
  <c r="O106"/>
  <c r="O102"/>
  <c r="M102"/>
  <c r="N102"/>
  <c r="L102"/>
  <c r="M100"/>
  <c r="O100"/>
  <c r="N100"/>
  <c r="L100"/>
  <c r="M95"/>
  <c r="L95"/>
  <c r="O95"/>
  <c r="N95"/>
  <c r="O88"/>
  <c r="M88"/>
  <c r="N88"/>
  <c r="L88"/>
  <c r="L86"/>
  <c r="O86"/>
  <c r="M86"/>
  <c r="N86"/>
  <c r="L82"/>
  <c r="O82"/>
  <c r="M82"/>
  <c r="N82"/>
  <c r="L78"/>
  <c r="O78"/>
  <c r="M78"/>
  <c r="N78"/>
  <c r="L74"/>
  <c r="O74"/>
  <c r="M74"/>
  <c r="N74"/>
  <c r="L70"/>
  <c r="O70"/>
  <c r="M70"/>
  <c r="N70"/>
  <c r="L79"/>
  <c r="O79"/>
  <c r="M79"/>
  <c r="N79"/>
  <c r="L75"/>
  <c r="O75"/>
  <c r="M75"/>
  <c r="N75"/>
  <c r="L71"/>
  <c r="O71"/>
  <c r="M71"/>
  <c r="N71"/>
  <c r="A14" i="48" a="1"/>
  <c r="A14" s="1"/>
  <c r="I14" s="1"/>
  <c r="A13" a="1"/>
  <c r="A13" s="1"/>
  <c r="I13" s="1"/>
  <c r="A12" a="1"/>
  <c r="A12" s="1"/>
  <c r="I12" s="1"/>
  <c r="A17" a="1"/>
  <c r="A17" s="1"/>
  <c r="I17" s="1"/>
  <c r="A15" i="57"/>
  <c r="A16" s="1"/>
  <c r="A17" s="1"/>
  <c r="A18" s="1"/>
  <c r="A19" s="1"/>
  <c r="A20" s="1"/>
  <c r="A21" s="1"/>
  <c r="A22" s="1"/>
  <c r="A23" s="1"/>
  <c r="A24" s="1"/>
  <c r="A25" s="1"/>
  <c r="H27" i="52"/>
  <c r="A128" i="43"/>
  <c r="H12"/>
  <c r="H13" s="1"/>
  <c r="H14" s="1"/>
  <c r="H15" s="1"/>
  <c r="H16" s="1"/>
  <c r="H17" s="1"/>
  <c r="H18" s="1"/>
  <c r="H19" s="1"/>
  <c r="H20" s="1"/>
  <c r="H21" s="1"/>
  <c r="H22" s="1"/>
  <c r="H23" s="1"/>
  <c r="H24" s="1"/>
  <c r="H25" s="1"/>
  <c r="H26" s="1"/>
  <c r="H27" s="1"/>
  <c r="H28" s="1"/>
  <c r="H29" s="1"/>
  <c r="AE20" i="48"/>
  <c r="AG20"/>
  <c r="AW20"/>
  <c r="CW20"/>
  <c r="BS20"/>
  <c r="CC20"/>
  <c r="BW20"/>
  <c r="O20"/>
  <c r="M20"/>
  <c r="AO20"/>
  <c r="BM20"/>
  <c r="CE20"/>
  <c r="AS20"/>
  <c r="BO20"/>
  <c r="BE20"/>
  <c r="S20"/>
  <c r="BA20"/>
  <c r="CI20"/>
  <c r="AY20"/>
  <c r="CK20"/>
  <c r="AC20"/>
  <c r="BY20"/>
  <c r="AU20"/>
  <c r="AM20"/>
  <c r="AA20"/>
  <c r="BI20"/>
  <c r="CQ20"/>
  <c r="CG20"/>
  <c r="Y20"/>
  <c r="BK20"/>
  <c r="CU20"/>
  <c r="DA20"/>
  <c r="CM20"/>
  <c r="W20"/>
  <c r="AI20"/>
  <c r="BQ20"/>
  <c r="CY20"/>
  <c r="U20"/>
  <c r="BG20"/>
  <c r="CS20"/>
  <c r="AK20"/>
  <c r="BU20"/>
  <c r="K20"/>
  <c r="AQ20"/>
  <c r="CA20"/>
  <c r="Q20"/>
  <c r="BC20"/>
  <c r="CO20"/>
  <c r="CR37"/>
  <c r="CB37"/>
  <c r="BH37"/>
  <c r="L37"/>
  <c r="BB37"/>
  <c r="BT37"/>
  <c r="CT37"/>
  <c r="AL37"/>
  <c r="P37"/>
  <c r="AF37"/>
  <c r="AP37"/>
  <c r="V37"/>
  <c r="BR37"/>
  <c r="AJ37"/>
  <c r="CJ37"/>
  <c r="BN37"/>
  <c r="AV37"/>
  <c r="CZ37"/>
  <c r="BP37"/>
  <c r="J37"/>
  <c r="CF37"/>
  <c r="AR37"/>
  <c r="AX37"/>
  <c r="BV37"/>
  <c r="AT37"/>
  <c r="BL37"/>
  <c r="R37"/>
  <c r="CH37"/>
  <c r="Z37"/>
  <c r="CL37"/>
  <c r="AB37"/>
  <c r="CP37"/>
  <c r="BF37"/>
  <c r="BZ37"/>
  <c r="BD37"/>
  <c r="CN37"/>
  <c r="X37"/>
  <c r="BX37"/>
  <c r="AN37"/>
  <c r="AD37"/>
  <c r="CX37"/>
  <c r="AZ37"/>
  <c r="BJ37"/>
  <c r="AH37"/>
  <c r="T37"/>
  <c r="CV37"/>
  <c r="N37"/>
  <c r="CD37"/>
  <c r="A37" a="1"/>
  <c r="A37" s="1"/>
  <c r="I37" s="1"/>
  <c r="AJ19"/>
  <c r="X19"/>
  <c r="CN19"/>
  <c r="BF19"/>
  <c r="V19"/>
  <c r="CL19"/>
  <c r="BD19"/>
  <c r="AT19"/>
  <c r="CZ19"/>
  <c r="L19"/>
  <c r="CB19"/>
  <c r="AP19"/>
  <c r="P19"/>
  <c r="CF19"/>
  <c r="AV19"/>
  <c r="CH19"/>
  <c r="BB19"/>
  <c r="BX19"/>
  <c r="CX19"/>
  <c r="BR19"/>
  <c r="AB19"/>
  <c r="CR19"/>
  <c r="BH19"/>
  <c r="AF19"/>
  <c r="CV19"/>
  <c r="BL19"/>
  <c r="BT19"/>
  <c r="AN19"/>
  <c r="BP19"/>
  <c r="AL19"/>
  <c r="BV19"/>
  <c r="AH19"/>
  <c r="BJ19"/>
  <c r="Z19"/>
  <c r="CP19"/>
  <c r="BN19"/>
  <c r="AD19"/>
  <c r="CT19"/>
  <c r="AR19"/>
  <c r="N19"/>
  <c r="AZ19"/>
  <c r="J19"/>
  <c r="CD19"/>
  <c r="R19"/>
  <c r="BZ19"/>
  <c r="CJ19"/>
  <c r="AX19"/>
  <c r="T19"/>
  <c r="A26" a="1"/>
  <c r="A26" s="1"/>
  <c r="I26" s="1"/>
  <c r="BW16"/>
  <c r="CW16"/>
  <c r="CY16"/>
  <c r="BQ16"/>
  <c r="BG16"/>
  <c r="AI16"/>
  <c r="AK16"/>
  <c r="CC16"/>
  <c r="U16"/>
  <c r="AO16"/>
  <c r="K16"/>
  <c r="CA16"/>
  <c r="O16"/>
  <c r="CE16"/>
  <c r="AY16"/>
  <c r="BY16"/>
  <c r="BE16"/>
  <c r="CO16"/>
  <c r="CI16"/>
  <c r="DA16"/>
  <c r="AU16"/>
  <c r="BS16"/>
  <c r="BA16"/>
  <c r="CK16"/>
  <c r="BU16"/>
  <c r="AS16"/>
  <c r="S16"/>
  <c r="BK16"/>
  <c r="AM16"/>
  <c r="AA16"/>
  <c r="M16"/>
  <c r="BM16"/>
  <c r="BO16"/>
  <c r="Y16"/>
  <c r="AQ16"/>
  <c r="AC16"/>
  <c r="CU16"/>
  <c r="CG16"/>
  <c r="CM16"/>
  <c r="BI16"/>
  <c r="AE16"/>
  <c r="Q16"/>
  <c r="CS16"/>
  <c r="W16"/>
  <c r="CQ16"/>
  <c r="AW16"/>
  <c r="AG16"/>
  <c r="BC16"/>
  <c r="BW11"/>
  <c r="BQ11"/>
  <c r="AE11"/>
  <c r="CW11"/>
  <c r="S11"/>
  <c r="W11"/>
  <c r="Q11"/>
  <c r="CE11"/>
  <c r="AQ11"/>
  <c r="Y11"/>
  <c r="BS11"/>
  <c r="CQ11"/>
  <c r="BY11"/>
  <c r="U11"/>
  <c r="CI11"/>
  <c r="AY11"/>
  <c r="AO11"/>
  <c r="CK11"/>
  <c r="BG11"/>
  <c r="AG11"/>
  <c r="CU11"/>
  <c r="BK11"/>
  <c r="BE11"/>
  <c r="AC11"/>
  <c r="AM11"/>
  <c r="AW11"/>
  <c r="CC11"/>
  <c r="AS11"/>
  <c r="AK11"/>
  <c r="CY11"/>
  <c r="BO11"/>
  <c r="BU11"/>
  <c r="M11"/>
  <c r="CO11"/>
  <c r="K11"/>
  <c r="AI11"/>
  <c r="DA11"/>
  <c r="BA11"/>
  <c r="O11"/>
  <c r="CG11"/>
  <c r="CM11"/>
  <c r="CA11"/>
  <c r="AU11"/>
  <c r="BM11"/>
  <c r="AA11"/>
  <c r="CS11"/>
  <c r="BC11"/>
  <c r="BI11"/>
  <c r="CZ11"/>
  <c r="AV11"/>
  <c r="V11"/>
  <c r="CN11"/>
  <c r="CX11"/>
  <c r="AN11"/>
  <c r="AX11"/>
  <c r="AB11"/>
  <c r="CP11"/>
  <c r="BR11"/>
  <c r="J11"/>
  <c r="BT11"/>
  <c r="AT11"/>
  <c r="BL11"/>
  <c r="AL11"/>
  <c r="AJ11"/>
  <c r="Z11"/>
  <c r="BD11"/>
  <c r="CF11"/>
  <c r="AR11"/>
  <c r="R11"/>
  <c r="CJ11"/>
  <c r="AP11"/>
  <c r="AD11"/>
  <c r="P11"/>
  <c r="CD11"/>
  <c r="BF11"/>
  <c r="BP11"/>
  <c r="BJ11"/>
  <c r="CL11"/>
  <c r="BV11"/>
  <c r="BH11"/>
  <c r="AH11"/>
  <c r="T11"/>
  <c r="CR11"/>
  <c r="BN11"/>
  <c r="AF11"/>
  <c r="CT11"/>
  <c r="BX11"/>
  <c r="CH11"/>
  <c r="CB11"/>
  <c r="N11"/>
  <c r="L11"/>
  <c r="BZ11"/>
  <c r="BB11"/>
  <c r="AZ11"/>
  <c r="X11"/>
  <c r="CV11"/>
  <c r="AQ35"/>
  <c r="A18" a="1"/>
  <c r="A18" s="1"/>
  <c r="I18" s="1"/>
  <c r="AN25"/>
  <c r="BJ25"/>
  <c r="CP25"/>
  <c r="Z25"/>
  <c r="AJ25"/>
  <c r="CZ25"/>
  <c r="CL25"/>
  <c r="CD25"/>
  <c r="CB25"/>
  <c r="AZ25"/>
  <c r="AT25"/>
  <c r="CF25"/>
  <c r="BB25"/>
  <c r="R25"/>
  <c r="BZ25"/>
  <c r="AV25"/>
  <c r="BF25"/>
  <c r="P25"/>
  <c r="BR25"/>
  <c r="AL25"/>
  <c r="CT25"/>
  <c r="T25"/>
  <c r="CJ25"/>
  <c r="BD25"/>
  <c r="CH25"/>
  <c r="CV25"/>
  <c r="V25"/>
  <c r="BP25"/>
  <c r="CR25"/>
  <c r="BV25"/>
  <c r="BL25"/>
  <c r="BN25"/>
  <c r="AF25"/>
  <c r="BT25"/>
  <c r="BX25"/>
  <c r="AH25"/>
  <c r="AR25"/>
  <c r="L25"/>
  <c r="AP25"/>
  <c r="AX25"/>
  <c r="CX25"/>
  <c r="J25"/>
  <c r="X25"/>
  <c r="N25"/>
  <c r="AB25"/>
  <c r="BH25"/>
  <c r="CN25"/>
  <c r="AD25"/>
  <c r="A25" a="1"/>
  <c r="A25" s="1"/>
  <c r="I25" s="1"/>
  <c r="T14"/>
  <c r="BN14"/>
  <c r="AR14"/>
  <c r="CB14"/>
  <c r="BF14"/>
  <c r="CP14"/>
  <c r="AV14"/>
  <c r="BV14"/>
  <c r="BJ14"/>
  <c r="P14"/>
  <c r="X14"/>
  <c r="CT14"/>
  <c r="BZ14"/>
  <c r="AF14"/>
  <c r="CL14"/>
  <c r="L14"/>
  <c r="CD14"/>
  <c r="AL14"/>
  <c r="CR14"/>
  <c r="AX14"/>
  <c r="AT14"/>
  <c r="AD14"/>
  <c r="BL14"/>
  <c r="AP14"/>
  <c r="BT14"/>
  <c r="Z14"/>
  <c r="CF14"/>
  <c r="AN14"/>
  <c r="J14"/>
  <c r="BD14"/>
  <c r="CN14"/>
  <c r="V14"/>
  <c r="CV14"/>
  <c r="BH14"/>
  <c r="N14"/>
  <c r="BX14"/>
  <c r="AB14"/>
  <c r="AZ14"/>
  <c r="CJ14"/>
  <c r="CX14"/>
  <c r="AH14"/>
  <c r="BR14"/>
  <c r="CH14"/>
  <c r="R14"/>
  <c r="BB14"/>
  <c r="BP14"/>
  <c r="CZ14"/>
  <c r="AJ14"/>
  <c r="A46" i="49" a="1"/>
  <c r="A46" s="1"/>
  <c r="I46" s="1"/>
  <c r="A50" a="1"/>
  <c r="A50" s="1"/>
  <c r="I50" s="1"/>
  <c r="A40" a="1"/>
  <c r="A40" s="1"/>
  <c r="I40" s="1"/>
  <c r="A43" a="1"/>
  <c r="A43" s="1"/>
  <c r="I43" s="1"/>
  <c r="A48" a="1"/>
  <c r="A48" s="1"/>
  <c r="I48" s="1"/>
  <c r="A49" a="1"/>
  <c r="A49" s="1"/>
  <c r="I49" s="1"/>
  <c r="A41" a="1"/>
  <c r="A41" s="1"/>
  <c r="I41" s="1"/>
  <c r="A44" a="1"/>
  <c r="A44" s="1"/>
  <c r="I44" s="1"/>
  <c r="A47" a="1"/>
  <c r="A47" s="1"/>
  <c r="I47" s="1"/>
  <c r="A11" a="1"/>
  <c r="A11" s="1"/>
  <c r="I11" s="1"/>
  <c r="A42" a="1"/>
  <c r="A42" s="1"/>
  <c r="I42" s="1"/>
  <c r="A45" a="1"/>
  <c r="A45" s="1"/>
  <c r="I45" s="1"/>
  <c r="CR11" i="50"/>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29" i="48" a="1"/>
  <c r="A29" s="1"/>
  <c r="I29" s="1"/>
  <c r="P18"/>
  <c r="CD18"/>
  <c r="CN18"/>
  <c r="BV18"/>
  <c r="CT18"/>
  <c r="BF18"/>
  <c r="AN18"/>
  <c r="BX18"/>
  <c r="AT18"/>
  <c r="V18"/>
  <c r="BL18"/>
  <c r="X18"/>
  <c r="AV18"/>
  <c r="BT18"/>
  <c r="CV18"/>
  <c r="AF18"/>
  <c r="T18"/>
  <c r="BB18"/>
  <c r="CJ18"/>
  <c r="R18"/>
  <c r="AZ18"/>
  <c r="CH18"/>
  <c r="BD18"/>
  <c r="CF18"/>
  <c r="AD18"/>
  <c r="AB18"/>
  <c r="BJ18"/>
  <c r="CR18"/>
  <c r="Z18"/>
  <c r="BH18"/>
  <c r="CP18"/>
  <c r="AL18"/>
  <c r="BN18"/>
  <c r="AJ18"/>
  <c r="BR18"/>
  <c r="CZ18"/>
  <c r="AH18"/>
  <c r="BP18"/>
  <c r="CX18"/>
  <c r="CL18"/>
  <c r="N18"/>
  <c r="AX18"/>
  <c r="L18"/>
  <c r="AR18"/>
  <c r="CB18"/>
  <c r="J18"/>
  <c r="AP18"/>
  <c r="BZ18"/>
  <c r="AE15"/>
  <c r="BY15"/>
  <c r="BG15"/>
  <c r="W15"/>
  <c r="Q15"/>
  <c r="AG15"/>
  <c r="AM15"/>
  <c r="AO15"/>
  <c r="AU15"/>
  <c r="Y15"/>
  <c r="CE15"/>
  <c r="CU15"/>
  <c r="BW15"/>
  <c r="BU15"/>
  <c r="CM15"/>
  <c r="CG15"/>
  <c r="AW15"/>
  <c r="CO15"/>
  <c r="BE15"/>
  <c r="AY15"/>
  <c r="O15"/>
  <c r="BO15"/>
  <c r="CW15"/>
  <c r="BM15"/>
  <c r="S15"/>
  <c r="BA15"/>
  <c r="CI15"/>
  <c r="U15"/>
  <c r="BC15"/>
  <c r="CK15"/>
  <c r="AA15"/>
  <c r="BI15"/>
  <c r="CQ15"/>
  <c r="AC15"/>
  <c r="BK15"/>
  <c r="CS15"/>
  <c r="K15"/>
  <c r="AQ15"/>
  <c r="CA15"/>
  <c r="M15"/>
  <c r="CY15"/>
  <c r="CC15"/>
  <c r="AK15"/>
  <c r="DA15"/>
  <c r="AI15"/>
  <c r="AS15"/>
  <c r="BQ15"/>
  <c r="BS15"/>
  <c r="AT32"/>
  <c r="CD32"/>
  <c r="N32"/>
  <c r="AD32"/>
  <c r="CV32"/>
  <c r="BX32"/>
  <c r="V32"/>
  <c r="CJ32"/>
  <c r="BR32"/>
  <c r="BP32"/>
  <c r="AB32"/>
  <c r="CB32"/>
  <c r="BZ32"/>
  <c r="AV32"/>
  <c r="CP32"/>
  <c r="BB32"/>
  <c r="AX32"/>
  <c r="CH32"/>
  <c r="AR32"/>
  <c r="AN32"/>
  <c r="BT32"/>
  <c r="AH32"/>
  <c r="L32"/>
  <c r="BJ32"/>
  <c r="AJ32"/>
  <c r="J32"/>
  <c r="CT32"/>
  <c r="BH32"/>
  <c r="X32"/>
  <c r="CL32"/>
  <c r="AZ32"/>
  <c r="T32"/>
  <c r="AL32"/>
  <c r="AP32"/>
  <c r="P32"/>
  <c r="AF32"/>
  <c r="CN32"/>
  <c r="BL32"/>
  <c r="Z32"/>
  <c r="CZ32"/>
  <c r="BD32"/>
  <c r="R32"/>
  <c r="CR32"/>
  <c r="CX32"/>
  <c r="BN32"/>
  <c r="BF32"/>
  <c r="CF32"/>
  <c r="BV32"/>
  <c r="A32" a="1"/>
  <c r="A32" s="1"/>
  <c r="I32" s="1"/>
  <c r="BW22"/>
  <c r="BM22"/>
  <c r="CK22"/>
  <c r="CU22"/>
  <c r="CE22"/>
  <c r="U22"/>
  <c r="CG22"/>
  <c r="AU22"/>
  <c r="AI22"/>
  <c r="BO22"/>
  <c r="CY22"/>
  <c r="AE22"/>
  <c r="CW22"/>
  <c r="Y22"/>
  <c r="AM22"/>
  <c r="AA22"/>
  <c r="K22"/>
  <c r="AO22"/>
  <c r="Q22"/>
  <c r="CM22"/>
  <c r="S22"/>
  <c r="CS22"/>
  <c r="CI22"/>
  <c r="O22"/>
  <c r="AG22"/>
  <c r="CQ22"/>
  <c r="W22"/>
  <c r="AQ22"/>
  <c r="AW22"/>
  <c r="AS22"/>
  <c r="BU22"/>
  <c r="DA22"/>
  <c r="AC22"/>
  <c r="BQ22"/>
  <c r="BK22"/>
  <c r="CA22"/>
  <c r="M22"/>
  <c r="AY22"/>
  <c r="CC22"/>
  <c r="BC22"/>
  <c r="BY22"/>
  <c r="BE22"/>
  <c r="AK22"/>
  <c r="BG22"/>
  <c r="BA22"/>
  <c r="BS22"/>
  <c r="CO22"/>
  <c r="BI22"/>
  <c r="A36" a="1"/>
  <c r="A36" s="1"/>
  <c r="I36" s="1"/>
  <c r="BW26"/>
  <c r="BO26"/>
  <c r="CY26"/>
  <c r="AG26"/>
  <c r="CK26"/>
  <c r="AY26"/>
  <c r="BI26"/>
  <c r="CC26"/>
  <c r="M26"/>
  <c r="AO26"/>
  <c r="CM26"/>
  <c r="BE26"/>
  <c r="W26"/>
  <c r="DA26"/>
  <c r="AI26"/>
  <c r="CI26"/>
  <c r="BC26"/>
  <c r="Q26"/>
  <c r="AQ26"/>
  <c r="BQ26"/>
  <c r="BS26"/>
  <c r="BA26"/>
  <c r="U26"/>
  <c r="CQ26"/>
  <c r="AA26"/>
  <c r="AK26"/>
  <c r="CW26"/>
  <c r="S26"/>
  <c r="CG26"/>
  <c r="CA26"/>
  <c r="K26"/>
  <c r="AC26"/>
  <c r="Y26"/>
  <c r="BU26"/>
  <c r="AE26"/>
  <c r="CS26"/>
  <c r="CO26"/>
  <c r="AU26"/>
  <c r="BM26"/>
  <c r="O26"/>
  <c r="BK26"/>
  <c r="BY26"/>
  <c r="CU26"/>
  <c r="AW26"/>
  <c r="AS26"/>
  <c r="BG26"/>
  <c r="CE26"/>
  <c r="AM26"/>
  <c r="P21"/>
  <c r="CP21"/>
  <c r="CZ21"/>
  <c r="BJ21"/>
  <c r="AV21"/>
  <c r="AN21"/>
  <c r="AT21"/>
  <c r="BT21"/>
  <c r="BN21"/>
  <c r="AZ21"/>
  <c r="AF21"/>
  <c r="R21"/>
  <c r="AX21"/>
  <c r="AJ21"/>
  <c r="BH21"/>
  <c r="BF21"/>
  <c r="V21"/>
  <c r="CL21"/>
  <c r="CJ21"/>
  <c r="BZ21"/>
  <c r="BB21"/>
  <c r="AP21"/>
  <c r="CD21"/>
  <c r="BP21"/>
  <c r="N21"/>
  <c r="BV21"/>
  <c r="BX21"/>
  <c r="AL21"/>
  <c r="T21"/>
  <c r="J21"/>
  <c r="CT21"/>
  <c r="CB21"/>
  <c r="BL21"/>
  <c r="AH21"/>
  <c r="Z21"/>
  <c r="BR21"/>
  <c r="X21"/>
  <c r="CN21"/>
  <c r="BD21"/>
  <c r="AR21"/>
  <c r="AD21"/>
  <c r="L21"/>
  <c r="CV21"/>
  <c r="CH21"/>
  <c r="CR21"/>
  <c r="CF21"/>
  <c r="CX21"/>
  <c r="AB21"/>
  <c r="A21" a="1"/>
  <c r="A21" s="1"/>
  <c r="I21" s="1"/>
  <c r="DA29"/>
  <c r="CA29"/>
  <c r="BY29"/>
  <c r="AC29"/>
  <c r="AA29"/>
  <c r="BA29"/>
  <c r="U29"/>
  <c r="BU29"/>
  <c r="CS29"/>
  <c r="K29"/>
  <c r="BW29"/>
  <c r="AY29"/>
  <c r="BM29"/>
  <c r="AO29"/>
  <c r="CM29"/>
  <c r="BQ29"/>
  <c r="BC29"/>
  <c r="CQ29"/>
  <c r="AG29"/>
  <c r="AI29"/>
  <c r="AK29"/>
  <c r="CG29"/>
  <c r="BG29"/>
  <c r="S29"/>
  <c r="BS29"/>
  <c r="CO29"/>
  <c r="AM29"/>
  <c r="O29"/>
  <c r="CI29"/>
  <c r="W29"/>
  <c r="M29"/>
  <c r="BO29"/>
  <c r="BI29"/>
  <c r="CC29"/>
  <c r="CK29"/>
  <c r="CU29"/>
  <c r="Y29"/>
  <c r="AQ29"/>
  <c r="AE29"/>
  <c r="CY29"/>
  <c r="AW29"/>
  <c r="BK29"/>
  <c r="CW29"/>
  <c r="CE29"/>
  <c r="Q29"/>
  <c r="AU29"/>
  <c r="BE29"/>
  <c r="AS29"/>
  <c r="H21" i="57"/>
  <c r="J21"/>
  <c r="H19"/>
  <c r="J19"/>
  <c r="J17"/>
  <c r="H17"/>
  <c r="H30"/>
  <c r="J30"/>
  <c r="H20"/>
  <c r="J20"/>
  <c r="H18"/>
  <c r="J18"/>
  <c r="L30"/>
  <c r="K30"/>
  <c r="L29"/>
  <c r="K29"/>
  <c r="N25" i="52"/>
  <c r="K25"/>
  <c r="L25"/>
  <c r="M25"/>
  <c r="K115" i="63"/>
  <c r="J115"/>
  <c r="N17"/>
  <c r="M17"/>
  <c r="O17"/>
  <c r="L17"/>
  <c r="F27" i="58"/>
  <c r="A35"/>
  <c r="A14"/>
  <c r="A15" s="1"/>
  <c r="A16" s="1"/>
  <c r="A17" s="1"/>
  <c r="A18" s="1"/>
  <c r="A19" s="1"/>
  <c r="A20" s="1"/>
  <c r="A21" s="1"/>
  <c r="A22" s="1"/>
  <c r="A23" s="1"/>
  <c r="A24" s="1"/>
  <c r="A25" s="1"/>
  <c r="F14"/>
  <c r="E5"/>
  <c r="G125" i="43"/>
  <c r="A43" i="50" a="1"/>
  <c r="A43" s="1"/>
  <c r="I43" s="1"/>
  <c r="A49" a="1"/>
  <c r="A49" s="1"/>
  <c r="I49" s="1"/>
  <c r="A44" a="1"/>
  <c r="A44" s="1"/>
  <c r="I44" s="1"/>
  <c r="A50" a="1"/>
  <c r="A50" s="1"/>
  <c r="I50" s="1"/>
  <c r="A45" a="1"/>
  <c r="A45" s="1"/>
  <c r="I45" s="1"/>
  <c r="A40" a="1"/>
  <c r="A40" s="1"/>
  <c r="I40" s="1"/>
  <c r="A11" a="1"/>
  <c r="A11" s="1"/>
  <c r="I11" s="1"/>
  <c r="A46" a="1"/>
  <c r="A46" s="1"/>
  <c r="I46" s="1"/>
  <c r="A41" a="1"/>
  <c r="A41" s="1"/>
  <c r="I41" s="1"/>
  <c r="A47" a="1"/>
  <c r="A47" s="1"/>
  <c r="I47" s="1"/>
  <c r="A42" a="1"/>
  <c r="A42" s="1"/>
  <c r="I42" s="1"/>
  <c r="A48" a="1"/>
  <c r="A48" s="1"/>
  <c r="I48" s="1"/>
  <c r="AB33" i="48"/>
  <c r="L33"/>
  <c r="CL33"/>
  <c r="AJ33"/>
  <c r="BH33"/>
  <c r="CP33"/>
  <c r="CZ33"/>
  <c r="BT33"/>
  <c r="P33"/>
  <c r="AF33"/>
  <c r="CJ33"/>
  <c r="AR33"/>
  <c r="AD33"/>
  <c r="CT33"/>
  <c r="BP33"/>
  <c r="V33"/>
  <c r="Z33"/>
  <c r="BB33"/>
  <c r="BZ33"/>
  <c r="AL33"/>
  <c r="CR33"/>
  <c r="AX33"/>
  <c r="CV33"/>
  <c r="BN33"/>
  <c r="AV33"/>
  <c r="R33"/>
  <c r="CH33"/>
  <c r="CF33"/>
  <c r="BD33"/>
  <c r="AP33"/>
  <c r="AT33"/>
  <c r="BR33"/>
  <c r="BJ33"/>
  <c r="BV33"/>
  <c r="CN33"/>
  <c r="BL33"/>
  <c r="AH33"/>
  <c r="CX33"/>
  <c r="CB33"/>
  <c r="J33"/>
  <c r="BF33"/>
  <c r="AN33"/>
  <c r="T33"/>
  <c r="BX33"/>
  <c r="X33"/>
  <c r="N33"/>
  <c r="CD33"/>
  <c r="AZ33"/>
  <c r="CY37"/>
  <c r="BA37"/>
  <c r="BG37"/>
  <c r="CO37"/>
  <c r="Y37"/>
  <c r="K37"/>
  <c r="S37"/>
  <c r="U37"/>
  <c r="BC37"/>
  <c r="CK37"/>
  <c r="CI37"/>
  <c r="BS37"/>
  <c r="CA37"/>
  <c r="W37"/>
  <c r="BE37"/>
  <c r="CM37"/>
  <c r="AC37"/>
  <c r="CW37"/>
  <c r="BO37"/>
  <c r="AI37"/>
  <c r="BY37"/>
  <c r="AK37"/>
  <c r="BI37"/>
  <c r="AE37"/>
  <c r="BM37"/>
  <c r="CU37"/>
  <c r="AS37"/>
  <c r="Q37"/>
  <c r="CG37"/>
  <c r="AO37"/>
  <c r="AU37"/>
  <c r="AQ37"/>
  <c r="AM37"/>
  <c r="BU37"/>
  <c r="BW37"/>
  <c r="BQ37"/>
  <c r="CS37"/>
  <c r="CQ37"/>
  <c r="AA37"/>
  <c r="O37"/>
  <c r="AW37"/>
  <c r="CE37"/>
  <c r="M37"/>
  <c r="CC37"/>
  <c r="AY37"/>
  <c r="AG37"/>
  <c r="DA37"/>
  <c r="BK37"/>
  <c r="AI19"/>
  <c r="W19"/>
  <c r="CG19"/>
  <c r="CM19"/>
  <c r="BE19"/>
  <c r="AS19"/>
  <c r="Y19"/>
  <c r="BW19"/>
  <c r="AK19"/>
  <c r="K19"/>
  <c r="CA19"/>
  <c r="AG19"/>
  <c r="O19"/>
  <c r="CE19"/>
  <c r="AY19"/>
  <c r="DA19"/>
  <c r="BA19"/>
  <c r="CO19"/>
  <c r="BU19"/>
  <c r="CS19"/>
  <c r="AA19"/>
  <c r="CQ19"/>
  <c r="CW19"/>
  <c r="AE19"/>
  <c r="CU19"/>
  <c r="U19"/>
  <c r="BC19"/>
  <c r="AM19"/>
  <c r="CY19"/>
  <c r="Q19"/>
  <c r="BY19"/>
  <c r="BQ19"/>
  <c r="BI19"/>
  <c r="BK19"/>
  <c r="AO19"/>
  <c r="BM19"/>
  <c r="CC19"/>
  <c r="BG19"/>
  <c r="AQ19"/>
  <c r="M19"/>
  <c r="S19"/>
  <c r="AU19"/>
  <c r="CK19"/>
  <c r="BO19"/>
  <c r="BS19"/>
  <c r="AC19"/>
  <c r="AW19"/>
  <c r="CI19"/>
  <c r="AX36"/>
  <c r="AB36"/>
  <c r="BT36"/>
  <c r="BB36"/>
  <c r="CF36"/>
  <c r="CX36"/>
  <c r="AH36"/>
  <c r="AL36"/>
  <c r="BF36"/>
  <c r="CT36"/>
  <c r="CV36"/>
  <c r="L36"/>
  <c r="T36"/>
  <c r="BZ36"/>
  <c r="P36"/>
  <c r="AF36"/>
  <c r="CH36"/>
  <c r="Z36"/>
  <c r="BP36"/>
  <c r="AT36"/>
  <c r="AD36"/>
  <c r="AJ36"/>
  <c r="BN36"/>
  <c r="BV36"/>
  <c r="BH36"/>
  <c r="CZ36"/>
  <c r="CR36"/>
  <c r="CJ36"/>
  <c r="AP36"/>
  <c r="N36"/>
  <c r="BR36"/>
  <c r="AZ36"/>
  <c r="CP36"/>
  <c r="AV36"/>
  <c r="CN36"/>
  <c r="V36"/>
  <c r="AR36"/>
  <c r="BJ36"/>
  <c r="CD36"/>
  <c r="CB36"/>
  <c r="BD36"/>
  <c r="BX36"/>
  <c r="J36"/>
  <c r="AN36"/>
  <c r="R36"/>
  <c r="CL36"/>
  <c r="BL36"/>
  <c r="X36"/>
  <c r="AD11" i="49"/>
  <c r="AD52" s="1"/>
  <c r="BJ11"/>
  <c r="BJ52" s="1"/>
  <c r="CP11"/>
  <c r="CP52" s="1"/>
  <c r="F43" s="1"/>
  <c r="AF11"/>
  <c r="AF52" s="1"/>
  <c r="BL11"/>
  <c r="BL52" s="1"/>
  <c r="CR11"/>
  <c r="CR52" s="1"/>
  <c r="F44" s="1"/>
  <c r="AH11"/>
  <c r="AH52" s="1"/>
  <c r="BN11"/>
  <c r="BN52" s="1"/>
  <c r="CT11"/>
  <c r="AJ11"/>
  <c r="AJ52" s="1"/>
  <c r="BP11"/>
  <c r="BP52" s="1"/>
  <c r="CV11"/>
  <c r="CV52" s="1"/>
  <c r="F50" s="1"/>
  <c r="N11"/>
  <c r="N52" s="1"/>
  <c r="BB11"/>
  <c r="BB52" s="1"/>
  <c r="CX11"/>
  <c r="CX52" s="1"/>
  <c r="AV11"/>
  <c r="AV52" s="1"/>
  <c r="CJ11"/>
  <c r="CJ52" s="1"/>
  <c r="AP11"/>
  <c r="AP52" s="1"/>
  <c r="CD11"/>
  <c r="AB11"/>
  <c r="AB52" s="1"/>
  <c r="BX11"/>
  <c r="BX52" s="1"/>
  <c r="V11"/>
  <c r="V52" s="1"/>
  <c r="BR11"/>
  <c r="BR52" s="1"/>
  <c r="P11"/>
  <c r="P52" s="1"/>
  <c r="BD11"/>
  <c r="BD52" s="1"/>
  <c r="J11"/>
  <c r="J52" s="1"/>
  <c r="AX11"/>
  <c r="CL11"/>
  <c r="CL52" s="1"/>
  <c r="F41" s="1"/>
  <c r="AR11"/>
  <c r="AR52" s="1"/>
  <c r="CF11"/>
  <c r="AL11"/>
  <c r="AL52" s="1"/>
  <c r="BZ11"/>
  <c r="BZ52" s="1"/>
  <c r="X11"/>
  <c r="X52" s="1"/>
  <c r="BT11"/>
  <c r="BT52" s="1"/>
  <c r="R11"/>
  <c r="R52" s="1"/>
  <c r="BF11"/>
  <c r="BF52" s="1"/>
  <c r="L11"/>
  <c r="L52" s="1"/>
  <c r="AZ11"/>
  <c r="AZ52" s="1"/>
  <c r="CN11"/>
  <c r="CN52" s="1"/>
  <c r="F42" s="1"/>
  <c r="CZ11"/>
  <c r="AT11"/>
  <c r="AT52" s="1"/>
  <c r="CH11"/>
  <c r="AN11"/>
  <c r="AN52" s="1"/>
  <c r="CB11"/>
  <c r="CB52" s="1"/>
  <c r="Z11"/>
  <c r="Z52" s="1"/>
  <c r="BV11"/>
  <c r="BV52" s="1"/>
  <c r="T11"/>
  <c r="T52" s="1"/>
  <c r="BH11"/>
  <c r="BH52" s="1"/>
  <c r="BW36" i="48"/>
  <c r="K36"/>
  <c r="CG36"/>
  <c r="BC36"/>
  <c r="U36"/>
  <c r="AA36"/>
  <c r="AK36"/>
  <c r="CY36"/>
  <c r="AI36"/>
  <c r="BK36"/>
  <c r="CO36"/>
  <c r="Y36"/>
  <c r="CE36"/>
  <c r="AW36"/>
  <c r="O36"/>
  <c r="Q36"/>
  <c r="AY36"/>
  <c r="CW36"/>
  <c r="CI36"/>
  <c r="S36"/>
  <c r="AQ36"/>
  <c r="CQ36"/>
  <c r="DA36"/>
  <c r="BO36"/>
  <c r="BQ36"/>
  <c r="CA36"/>
  <c r="CK36"/>
  <c r="BI36"/>
  <c r="BS36"/>
  <c r="AG36"/>
  <c r="BA36"/>
  <c r="AC36"/>
  <c r="AO36"/>
  <c r="BU36"/>
  <c r="AE36"/>
  <c r="CS36"/>
  <c r="M36"/>
  <c r="AU36"/>
  <c r="BM36"/>
  <c r="W36"/>
  <c r="CC36"/>
  <c r="BY36"/>
  <c r="CU36"/>
  <c r="BE36"/>
  <c r="AS36"/>
  <c r="BG36"/>
  <c r="CM36"/>
  <c r="AM36"/>
  <c r="AI25"/>
  <c r="K25"/>
  <c r="DA25"/>
  <c r="AE25"/>
  <c r="CY25"/>
  <c r="AS25"/>
  <c r="BG25"/>
  <c r="BA25"/>
  <c r="AK25"/>
  <c r="CG25"/>
  <c r="CW25"/>
  <c r="BW25"/>
  <c r="BK25"/>
  <c r="BQ25"/>
  <c r="CC25"/>
  <c r="AG25"/>
  <c r="CE25"/>
  <c r="BI25"/>
  <c r="O25"/>
  <c r="CI25"/>
  <c r="Y25"/>
  <c r="AC25"/>
  <c r="CA25"/>
  <c r="M25"/>
  <c r="BU25"/>
  <c r="BS25"/>
  <c r="AM25"/>
  <c r="CS25"/>
  <c r="BE25"/>
  <c r="CK25"/>
  <c r="AW25"/>
  <c r="Q25"/>
  <c r="AU25"/>
  <c r="S25"/>
  <c r="BC25"/>
  <c r="AA25"/>
  <c r="AY25"/>
  <c r="U25"/>
  <c r="W25"/>
  <c r="BO25"/>
  <c r="CM25"/>
  <c r="AQ25"/>
  <c r="CO25"/>
  <c r="CU25"/>
  <c r="BY25"/>
  <c r="CQ25"/>
  <c r="AO25"/>
  <c r="BM25"/>
  <c r="L35"/>
  <c r="BP35"/>
  <c r="BV35"/>
  <c r="BT35"/>
  <c r="CX35"/>
  <c r="N35"/>
  <c r="AF35"/>
  <c r="V35"/>
  <c r="CD35"/>
  <c r="AB35"/>
  <c r="BF35"/>
  <c r="J35"/>
  <c r="BH35"/>
  <c r="BR35"/>
  <c r="Z35"/>
  <c r="T35"/>
  <c r="AN35"/>
  <c r="CF35"/>
  <c r="BB35"/>
  <c r="CZ35"/>
  <c r="AP35"/>
  <c r="R35"/>
  <c r="CV35"/>
  <c r="BX35"/>
  <c r="CB35"/>
  <c r="AL35"/>
  <c r="BZ35"/>
  <c r="BL35"/>
  <c r="BN35"/>
  <c r="BD35"/>
  <c r="BJ35"/>
  <c r="AH35"/>
  <c r="AJ35"/>
  <c r="CP35"/>
  <c r="AT35"/>
  <c r="X35"/>
  <c r="CL35"/>
  <c r="CJ35"/>
  <c r="AD35"/>
  <c r="AZ35"/>
  <c r="AX35"/>
  <c r="AV35"/>
  <c r="AR35"/>
  <c r="CT35"/>
  <c r="CR35"/>
  <c r="CH35"/>
  <c r="CN35"/>
  <c r="P35"/>
  <c r="S32"/>
  <c r="AG32"/>
  <c r="CS32"/>
  <c r="Q32"/>
  <c r="K32"/>
  <c r="AY32"/>
  <c r="AA32"/>
  <c r="DA32"/>
  <c r="Y32"/>
  <c r="O32"/>
  <c r="CG32"/>
  <c r="CA32"/>
  <c r="BC32"/>
  <c r="CI32"/>
  <c r="CK32"/>
  <c r="CY32"/>
  <c r="BW32"/>
  <c r="BK32"/>
  <c r="CQ32"/>
  <c r="BM32"/>
  <c r="BS32"/>
  <c r="AW32"/>
  <c r="W32"/>
  <c r="CW32"/>
  <c r="BI32"/>
  <c r="AK32"/>
  <c r="CE32"/>
  <c r="U32"/>
  <c r="BQ32"/>
  <c r="CU32"/>
  <c r="AC32"/>
  <c r="BG32"/>
  <c r="AE32"/>
  <c r="CO32"/>
  <c r="BA32"/>
  <c r="BO32"/>
  <c r="AM32"/>
  <c r="AS32"/>
  <c r="AU32"/>
  <c r="AI32"/>
  <c r="M32"/>
  <c r="CM32"/>
  <c r="AQ32"/>
  <c r="BY32"/>
  <c r="BU32"/>
  <c r="CC32"/>
  <c r="AO32"/>
  <c r="BE32"/>
  <c r="W11" i="49"/>
  <c r="W52" s="1"/>
  <c r="BC11"/>
  <c r="BC52" s="1"/>
  <c r="CI11"/>
  <c r="CI52" s="1"/>
  <c r="F46" s="1"/>
  <c r="U11"/>
  <c r="U52" s="1"/>
  <c r="BA11"/>
  <c r="BA52" s="1"/>
  <c r="CG11"/>
  <c r="CG52" s="1"/>
  <c r="F48" s="1"/>
  <c r="S11"/>
  <c r="AY11"/>
  <c r="AY52" s="1"/>
  <c r="F40" s="1"/>
  <c r="CE11"/>
  <c r="CE52" s="1"/>
  <c r="F47" s="1"/>
  <c r="Y11"/>
  <c r="Y52" s="1"/>
  <c r="BE11"/>
  <c r="BE52" s="1"/>
  <c r="CK11"/>
  <c r="CK52" s="1"/>
  <c r="AE11"/>
  <c r="AE52" s="1"/>
  <c r="BK11"/>
  <c r="BK52" s="1"/>
  <c r="CQ11"/>
  <c r="AC11"/>
  <c r="AC52" s="1"/>
  <c r="BI11"/>
  <c r="BI52" s="1"/>
  <c r="CO11"/>
  <c r="AA11"/>
  <c r="AA52" s="1"/>
  <c r="BG11"/>
  <c r="BG52" s="1"/>
  <c r="CM11"/>
  <c r="AG11"/>
  <c r="AG52" s="1"/>
  <c r="BM11"/>
  <c r="BM52" s="1"/>
  <c r="CS11"/>
  <c r="DA11"/>
  <c r="AM11"/>
  <c r="AM52" s="1"/>
  <c r="BS11"/>
  <c r="BS52" s="1"/>
  <c r="CY11"/>
  <c r="CY52" s="1"/>
  <c r="AK11"/>
  <c r="AK52" s="1"/>
  <c r="BQ11"/>
  <c r="BQ52" s="1"/>
  <c r="CW11"/>
  <c r="AI11"/>
  <c r="AI52" s="1"/>
  <c r="BO11"/>
  <c r="BO52" s="1"/>
  <c r="CU11"/>
  <c r="CU52" s="1"/>
  <c r="F49" s="1"/>
  <c r="AO11"/>
  <c r="AO52" s="1"/>
  <c r="BU11"/>
  <c r="BU52" s="1"/>
  <c r="O11"/>
  <c r="O52" s="1"/>
  <c r="AU11"/>
  <c r="AU52" s="1"/>
  <c r="CA11"/>
  <c r="CA52" s="1"/>
  <c r="M11"/>
  <c r="M52" s="1"/>
  <c r="AS11"/>
  <c r="AS52" s="1"/>
  <c r="BY11"/>
  <c r="BY52" s="1"/>
  <c r="K11"/>
  <c r="K52" s="1"/>
  <c r="AQ11"/>
  <c r="AQ52" s="1"/>
  <c r="BW11"/>
  <c r="BW52" s="1"/>
  <c r="Q11"/>
  <c r="Q52" s="1"/>
  <c r="AW11"/>
  <c r="AW52" s="1"/>
  <c r="CC11"/>
  <c r="CC52" s="1"/>
  <c r="A24" i="48" a="1"/>
  <c r="A24" s="1"/>
  <c r="I24" s="1"/>
  <c r="BW14"/>
  <c r="CG14"/>
  <c r="CE14"/>
  <c r="CU14"/>
  <c r="CW14"/>
  <c r="Q14"/>
  <c r="O14"/>
  <c r="BO14"/>
  <c r="AG14"/>
  <c r="AW14"/>
  <c r="AE14"/>
  <c r="BM14"/>
  <c r="AY14"/>
  <c r="CO14"/>
  <c r="Y14"/>
  <c r="BE14"/>
  <c r="S14"/>
  <c r="BA14"/>
  <c r="CI14"/>
  <c r="U14"/>
  <c r="BC14"/>
  <c r="CK14"/>
  <c r="BY14"/>
  <c r="AU14"/>
  <c r="AM14"/>
  <c r="AA14"/>
  <c r="BI14"/>
  <c r="CQ14"/>
  <c r="AC14"/>
  <c r="BK14"/>
  <c r="CS14"/>
  <c r="BG14"/>
  <c r="CM14"/>
  <c r="W14"/>
  <c r="AO14"/>
  <c r="BU14"/>
  <c r="K14"/>
  <c r="AQ14"/>
  <c r="CA14"/>
  <c r="M14"/>
  <c r="AS14"/>
  <c r="CC14"/>
  <c r="CY14"/>
  <c r="AK14"/>
  <c r="AI14"/>
  <c r="BS14"/>
  <c r="BQ14"/>
  <c r="DA14"/>
  <c r="L13"/>
  <c r="AH13"/>
  <c r="BP13"/>
  <c r="AZ13"/>
  <c r="BZ13"/>
  <c r="J13"/>
  <c r="AR13"/>
  <c r="BT13"/>
  <c r="AT13"/>
  <c r="AN13"/>
  <c r="CT13"/>
  <c r="AD13"/>
  <c r="BN13"/>
  <c r="CZ13"/>
  <c r="CJ13"/>
  <c r="CH13"/>
  <c r="BH13"/>
  <c r="CR13"/>
  <c r="AB13"/>
  <c r="BD13"/>
  <c r="CN13"/>
  <c r="X13"/>
  <c r="CD13"/>
  <c r="N13"/>
  <c r="AX13"/>
  <c r="CX13"/>
  <c r="BR13"/>
  <c r="AJ13"/>
  <c r="T13"/>
  <c r="R13"/>
  <c r="AP13"/>
  <c r="CB13"/>
  <c r="BV13"/>
  <c r="AL13"/>
  <c r="BX13"/>
  <c r="BL13"/>
  <c r="CV13"/>
  <c r="AF13"/>
  <c r="BB13"/>
  <c r="CP13"/>
  <c r="Z13"/>
  <c r="BJ13"/>
  <c r="CL13"/>
  <c r="V13"/>
  <c r="BF13"/>
  <c r="AV13"/>
  <c r="CF13"/>
  <c r="P13"/>
  <c r="BV17"/>
  <c r="BJ17"/>
  <c r="CP17"/>
  <c r="CR17"/>
  <c r="J17"/>
  <c r="CX17"/>
  <c r="AH17"/>
  <c r="BR17"/>
  <c r="CT17"/>
  <c r="BL17"/>
  <c r="AD17"/>
  <c r="CV17"/>
  <c r="BN17"/>
  <c r="AF17"/>
  <c r="AB17"/>
  <c r="CB17"/>
  <c r="CH17"/>
  <c r="R17"/>
  <c r="BB17"/>
  <c r="BZ17"/>
  <c r="AR17"/>
  <c r="BP17"/>
  <c r="CZ17"/>
  <c r="AJ17"/>
  <c r="Z17"/>
  <c r="BH17"/>
  <c r="AP17"/>
  <c r="L17"/>
  <c r="AZ17"/>
  <c r="CJ17"/>
  <c r="T17"/>
  <c r="CL17"/>
  <c r="AV17"/>
  <c r="AT17"/>
  <c r="BF17"/>
  <c r="P17"/>
  <c r="CD17"/>
  <c r="AL17"/>
  <c r="CN17"/>
  <c r="AX17"/>
  <c r="BT17"/>
  <c r="V17"/>
  <c r="CF17"/>
  <c r="AN17"/>
  <c r="BD17"/>
  <c r="N17"/>
  <c r="BX17"/>
  <c r="X17"/>
  <c r="CI21"/>
  <c r="O21"/>
  <c r="BQ21"/>
  <c r="CG21"/>
  <c r="BA21"/>
  <c r="BY21"/>
  <c r="S21"/>
  <c r="AI21"/>
  <c r="CY21"/>
  <c r="DA21"/>
  <c r="AK21"/>
  <c r="Q21"/>
  <c r="AS21"/>
  <c r="AO21"/>
  <c r="CA21"/>
  <c r="K21"/>
  <c r="CS21"/>
  <c r="BG21"/>
  <c r="U21"/>
  <c r="CE21"/>
  <c r="AW21"/>
  <c r="AY21"/>
  <c r="BS21"/>
  <c r="BI21"/>
  <c r="CW21"/>
  <c r="BK21"/>
  <c r="Y21"/>
  <c r="BW21"/>
  <c r="BU21"/>
  <c r="AM21"/>
  <c r="CC21"/>
  <c r="AU21"/>
  <c r="AQ21"/>
  <c r="BO21"/>
  <c r="AC21"/>
  <c r="CK21"/>
  <c r="CU21"/>
  <c r="BM21"/>
  <c r="AE21"/>
  <c r="M21"/>
  <c r="CQ21"/>
  <c r="AA21"/>
  <c r="AG21"/>
  <c r="CO21"/>
  <c r="BC21"/>
  <c r="CM21"/>
  <c r="BE21"/>
  <c r="W21"/>
  <c r="J31"/>
  <c r="N31"/>
  <c r="BN31"/>
  <c r="CX31"/>
  <c r="T31"/>
  <c r="X31"/>
  <c r="CN31"/>
  <c r="R31"/>
  <c r="AJ31"/>
  <c r="BD31"/>
  <c r="AB31"/>
  <c r="V31"/>
  <c r="CL31"/>
  <c r="BH31"/>
  <c r="CB31"/>
  <c r="AN31"/>
  <c r="AT31"/>
  <c r="AZ31"/>
  <c r="BJ31"/>
  <c r="CT31"/>
  <c r="AX31"/>
  <c r="BT31"/>
  <c r="CV31"/>
  <c r="BL31"/>
  <c r="AF31"/>
  <c r="BF31"/>
  <c r="AV31"/>
  <c r="CH31"/>
  <c r="CF31"/>
  <c r="AP31"/>
  <c r="BR31"/>
  <c r="Z31"/>
  <c r="BB31"/>
  <c r="CJ31"/>
  <c r="AH31"/>
  <c r="BV31"/>
  <c r="BX31"/>
  <c r="CD31"/>
  <c r="P31"/>
  <c r="CZ31"/>
  <c r="CP31"/>
  <c r="CR31"/>
  <c r="BP31"/>
  <c r="BZ31"/>
  <c r="L31"/>
  <c r="AR31"/>
  <c r="AL31"/>
  <c r="AD31"/>
  <c r="A31" a="1"/>
  <c r="A31" s="1"/>
  <c r="I31" s="1"/>
  <c r="CN20"/>
  <c r="CL20"/>
  <c r="X20"/>
  <c r="V20"/>
  <c r="BF20"/>
  <c r="BD20"/>
  <c r="BB20"/>
  <c r="R20"/>
  <c r="CH20"/>
  <c r="AR20"/>
  <c r="J20"/>
  <c r="BZ20"/>
  <c r="AV20"/>
  <c r="P20"/>
  <c r="BV20"/>
  <c r="BL20"/>
  <c r="AF20"/>
  <c r="BR20"/>
  <c r="AH20"/>
  <c r="CX20"/>
  <c r="BJ20"/>
  <c r="Z20"/>
  <c r="CP20"/>
  <c r="N20"/>
  <c r="BX20"/>
  <c r="AD20"/>
  <c r="T20"/>
  <c r="CJ20"/>
  <c r="AZ20"/>
  <c r="L20"/>
  <c r="CB20"/>
  <c r="AP20"/>
  <c r="CF20"/>
  <c r="BT20"/>
  <c r="AN20"/>
  <c r="CV20"/>
  <c r="AJ20"/>
  <c r="CZ20"/>
  <c r="BP20"/>
  <c r="AB20"/>
  <c r="CR20"/>
  <c r="BH20"/>
  <c r="CD20"/>
  <c r="AX20"/>
  <c r="AL20"/>
  <c r="AT20"/>
  <c r="CT20"/>
  <c r="BN20"/>
  <c r="J15" i="57"/>
  <c r="H15"/>
  <c r="J28"/>
  <c r="H28"/>
  <c r="M24" i="52"/>
  <c r="N24"/>
  <c r="I27"/>
  <c r="I14" i="58"/>
  <c r="I15" s="1"/>
  <c r="I16" s="1"/>
  <c r="I17" s="1"/>
  <c r="I18" s="1"/>
  <c r="I19" s="1"/>
  <c r="I20" s="1"/>
  <c r="I21" s="1"/>
  <c r="I22" s="1"/>
  <c r="I23" s="1"/>
  <c r="I24" s="1"/>
  <c r="I25" s="1"/>
  <c r="I26" s="1"/>
  <c r="I27" s="1"/>
  <c r="F29"/>
  <c r="A29"/>
  <c r="W33" i="48"/>
  <c r="CU33"/>
  <c r="CC33"/>
  <c r="AW33"/>
  <c r="CK33"/>
  <c r="CI33"/>
  <c r="S33"/>
  <c r="BY33"/>
  <c r="AK33"/>
  <c r="BI33"/>
  <c r="BO33"/>
  <c r="AC33"/>
  <c r="BE33"/>
  <c r="BM33"/>
  <c r="CO33"/>
  <c r="BC33"/>
  <c r="BQ33"/>
  <c r="AO33"/>
  <c r="AU33"/>
  <c r="AQ33"/>
  <c r="AG33"/>
  <c r="BW33"/>
  <c r="AM33"/>
  <c r="AE33"/>
  <c r="O33"/>
  <c r="Q33"/>
  <c r="CG33"/>
  <c r="AY33"/>
  <c r="BG33"/>
  <c r="U33"/>
  <c r="BA33"/>
  <c r="DA33"/>
  <c r="CQ33"/>
  <c r="AA33"/>
  <c r="CS33"/>
  <c r="CM33"/>
  <c r="AS33"/>
  <c r="CE33"/>
  <c r="M33"/>
  <c r="Y33"/>
  <c r="CY33"/>
  <c r="AI33"/>
  <c r="BS33"/>
  <c r="CA33"/>
  <c r="K33"/>
  <c r="CW33"/>
  <c r="BK33"/>
  <c r="BU33"/>
  <c r="AF28"/>
  <c r="R28"/>
  <c r="BD28"/>
  <c r="AT28"/>
  <c r="P28"/>
  <c r="AX28"/>
  <c r="BN28"/>
  <c r="CF28"/>
  <c r="V28"/>
  <c r="CL28"/>
  <c r="CV28"/>
  <c r="CX28"/>
  <c r="CN28"/>
  <c r="X28"/>
  <c r="T28"/>
  <c r="BB28"/>
  <c r="CJ28"/>
  <c r="Z28"/>
  <c r="CP28"/>
  <c r="BL28"/>
  <c r="AZ28"/>
  <c r="BP28"/>
  <c r="BX28"/>
  <c r="AB28"/>
  <c r="BJ28"/>
  <c r="CR28"/>
  <c r="AP28"/>
  <c r="N28"/>
  <c r="CD28"/>
  <c r="CH28"/>
  <c r="BT28"/>
  <c r="AH28"/>
  <c r="BF28"/>
  <c r="AL28"/>
  <c r="BV28"/>
  <c r="AN28"/>
  <c r="L28"/>
  <c r="AR28"/>
  <c r="CB28"/>
  <c r="J28"/>
  <c r="BZ28"/>
  <c r="AV28"/>
  <c r="CZ28"/>
  <c r="BH28"/>
  <c r="AJ28"/>
  <c r="AD28"/>
  <c r="BR28"/>
  <c r="CT28"/>
  <c r="A28" a="1"/>
  <c r="A28" s="1"/>
  <c r="I28" s="1"/>
  <c r="K18"/>
  <c r="CW18"/>
  <c r="M18"/>
  <c r="CA18"/>
  <c r="AM18"/>
  <c r="BW18"/>
  <c r="AS18"/>
  <c r="AG18"/>
  <c r="W18"/>
  <c r="U18"/>
  <c r="AW18"/>
  <c r="BQ18"/>
  <c r="CO18"/>
  <c r="DA18"/>
  <c r="BU18"/>
  <c r="AC18"/>
  <c r="BY18"/>
  <c r="BG18"/>
  <c r="BK18"/>
  <c r="O18"/>
  <c r="CI18"/>
  <c r="CC18"/>
  <c r="S18"/>
  <c r="CM18"/>
  <c r="CS18"/>
  <c r="CQ18"/>
  <c r="Q18"/>
  <c r="BS18"/>
  <c r="BI18"/>
  <c r="CE18"/>
  <c r="BA18"/>
  <c r="Y18"/>
  <c r="AK18"/>
  <c r="BE18"/>
  <c r="AO18"/>
  <c r="BC18"/>
  <c r="BO18"/>
  <c r="BM18"/>
  <c r="AI18"/>
  <c r="CK18"/>
  <c r="AA18"/>
  <c r="AE18"/>
  <c r="AU18"/>
  <c r="AY18"/>
  <c r="CY18"/>
  <c r="CG18"/>
  <c r="CU18"/>
  <c r="AQ18"/>
  <c r="A35" a="1"/>
  <c r="A35" s="1"/>
  <c r="I35" s="1"/>
  <c r="CS11" i="51"/>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L27" i="48"/>
  <c r="AL27"/>
  <c r="CN27"/>
  <c r="J27"/>
  <c r="BF27"/>
  <c r="X27"/>
  <c r="BZ27"/>
  <c r="BX27"/>
  <c r="CP27"/>
  <c r="BD27"/>
  <c r="BN27"/>
  <c r="CX27"/>
  <c r="AH27"/>
  <c r="BL27"/>
  <c r="CZ27"/>
  <c r="BR27"/>
  <c r="AJ27"/>
  <c r="AP27"/>
  <c r="AN27"/>
  <c r="BH27"/>
  <c r="V27"/>
  <c r="AX27"/>
  <c r="CH27"/>
  <c r="R27"/>
  <c r="AV27"/>
  <c r="CR27"/>
  <c r="BJ27"/>
  <c r="AB27"/>
  <c r="BT27"/>
  <c r="BV27"/>
  <c r="Z27"/>
  <c r="CV27"/>
  <c r="AF27"/>
  <c r="BP27"/>
  <c r="CT27"/>
  <c r="AD27"/>
  <c r="CJ27"/>
  <c r="BB27"/>
  <c r="T27"/>
  <c r="AT27"/>
  <c r="CL27"/>
  <c r="CF27"/>
  <c r="P27"/>
  <c r="AZ27"/>
  <c r="CD27"/>
  <c r="N27"/>
  <c r="CB27"/>
  <c r="AR27"/>
  <c r="A27" a="1"/>
  <c r="A27" s="1"/>
  <c r="I27" s="1"/>
  <c r="L16"/>
  <c r="AJ16"/>
  <c r="CL16"/>
  <c r="AF16"/>
  <c r="CV16"/>
  <c r="BL16"/>
  <c r="R16"/>
  <c r="AB16"/>
  <c r="BF16"/>
  <c r="V16"/>
  <c r="CZ16"/>
  <c r="AX16"/>
  <c r="N16"/>
  <c r="CD16"/>
  <c r="AP16"/>
  <c r="BN16"/>
  <c r="AD16"/>
  <c r="CT16"/>
  <c r="BP16"/>
  <c r="CB16"/>
  <c r="P16"/>
  <c r="CF16"/>
  <c r="AV16"/>
  <c r="CH16"/>
  <c r="BX16"/>
  <c r="AH16"/>
  <c r="AR16"/>
  <c r="CP16"/>
  <c r="BV16"/>
  <c r="T16"/>
  <c r="BH16"/>
  <c r="BB16"/>
  <c r="CX16"/>
  <c r="J16"/>
  <c r="X16"/>
  <c r="BT16"/>
  <c r="CJ16"/>
  <c r="AL16"/>
  <c r="AT16"/>
  <c r="BZ16"/>
  <c r="CN16"/>
  <c r="AZ16"/>
  <c r="BJ16"/>
  <c r="CR16"/>
  <c r="BD16"/>
  <c r="BR16"/>
  <c r="Z16"/>
  <c r="AN16"/>
  <c r="AI35"/>
  <c r="BM35"/>
  <c r="CK35"/>
  <c r="AG35"/>
  <c r="BI35"/>
  <c r="AK35"/>
  <c r="BY35"/>
  <c r="CC35"/>
  <c r="BE35"/>
  <c r="CG35"/>
  <c r="AS35"/>
  <c r="CA35"/>
  <c r="BS35"/>
  <c r="AC35"/>
  <c r="AE35"/>
  <c r="BW35"/>
  <c r="CI35"/>
  <c r="W35"/>
  <c r="CQ35"/>
  <c r="DA35"/>
  <c r="BO35"/>
  <c r="CY35"/>
  <c r="O35"/>
  <c r="AM35"/>
  <c r="AU35"/>
  <c r="AO35"/>
  <c r="Y35"/>
  <c r="CE35"/>
  <c r="BG35"/>
  <c r="CU35"/>
  <c r="BC35"/>
  <c r="AW35"/>
  <c r="Q35"/>
  <c r="BU35"/>
  <c r="CO35"/>
  <c r="M35"/>
  <c r="S35"/>
  <c r="BK35"/>
  <c r="BA35"/>
  <c r="AY35"/>
  <c r="CM35"/>
  <c r="K35"/>
  <c r="CW35"/>
  <c r="U35"/>
  <c r="AA35"/>
  <c r="CS35"/>
  <c r="BQ35"/>
  <c r="A16" a="1"/>
  <c r="A16" s="1"/>
  <c r="I16" s="1"/>
  <c r="T23"/>
  <c r="V23"/>
  <c r="X23"/>
  <c r="BX23"/>
  <c r="CX23"/>
  <c r="AH23"/>
  <c r="BN23"/>
  <c r="AV23"/>
  <c r="CB23"/>
  <c r="L23"/>
  <c r="BD23"/>
  <c r="CJ23"/>
  <c r="BZ23"/>
  <c r="AN23"/>
  <c r="CH23"/>
  <c r="N23"/>
  <c r="AX23"/>
  <c r="CT23"/>
  <c r="Z23"/>
  <c r="BJ23"/>
  <c r="AL23"/>
  <c r="BR23"/>
  <c r="CP23"/>
  <c r="BH23"/>
  <c r="AP23"/>
  <c r="BV23"/>
  <c r="BP23"/>
  <c r="CV23"/>
  <c r="AF23"/>
  <c r="CD23"/>
  <c r="J23"/>
  <c r="AR23"/>
  <c r="CL23"/>
  <c r="R23"/>
  <c r="BB23"/>
  <c r="BF23"/>
  <c r="CN23"/>
  <c r="AT23"/>
  <c r="AZ23"/>
  <c r="CF23"/>
  <c r="P23"/>
  <c r="BL23"/>
  <c r="CR23"/>
  <c r="AB23"/>
  <c r="BT23"/>
  <c r="CZ23"/>
  <c r="AJ23"/>
  <c r="AD23"/>
  <c r="A20" a="1"/>
  <c r="A20" s="1"/>
  <c r="I20" s="1"/>
  <c r="A34" a="1"/>
  <c r="A34" s="1"/>
  <c r="I34" s="1"/>
  <c r="O24"/>
  <c r="BO24"/>
  <c r="AS24"/>
  <c r="W24"/>
  <c r="CM24"/>
  <c r="AO24"/>
  <c r="BU24"/>
  <c r="Y24"/>
  <c r="BM24"/>
  <c r="BG24"/>
  <c r="CE24"/>
  <c r="BS24"/>
  <c r="AM24"/>
  <c r="BC24"/>
  <c r="AE24"/>
  <c r="CK24"/>
  <c r="AW24"/>
  <c r="DA24"/>
  <c r="CC24"/>
  <c r="CW24"/>
  <c r="BW24"/>
  <c r="BK24"/>
  <c r="CG24"/>
  <c r="BE24"/>
  <c r="AK24"/>
  <c r="BY24"/>
  <c r="M24"/>
  <c r="AU24"/>
  <c r="CO24"/>
  <c r="CU24"/>
  <c r="AC24"/>
  <c r="AG24"/>
  <c r="U24"/>
  <c r="CS24"/>
  <c r="S24"/>
  <c r="BA24"/>
  <c r="CI24"/>
  <c r="AY24"/>
  <c r="AA24"/>
  <c r="BI24"/>
  <c r="AQ24"/>
  <c r="CY24"/>
  <c r="BQ24"/>
  <c r="Q24"/>
  <c r="K24"/>
  <c r="CA24"/>
  <c r="AI24"/>
  <c r="CQ24"/>
  <c r="S13"/>
  <c r="BE13"/>
  <c r="W13"/>
  <c r="BO13"/>
  <c r="CU13"/>
  <c r="AE13"/>
  <c r="BK13"/>
  <c r="CQ13"/>
  <c r="AA13"/>
  <c r="BS13"/>
  <c r="CY13"/>
  <c r="AI13"/>
  <c r="AY13"/>
  <c r="CE13"/>
  <c r="O13"/>
  <c r="AS13"/>
  <c r="CA13"/>
  <c r="K13"/>
  <c r="BC13"/>
  <c r="CI13"/>
  <c r="CG13"/>
  <c r="BW13"/>
  <c r="AM13"/>
  <c r="AO13"/>
  <c r="CS13"/>
  <c r="BG13"/>
  <c r="DA13"/>
  <c r="AG13"/>
  <c r="BM13"/>
  <c r="CW13"/>
  <c r="AC13"/>
  <c r="BI13"/>
  <c r="AU13"/>
  <c r="AK13"/>
  <c r="BQ13"/>
  <c r="BY13"/>
  <c r="BU13"/>
  <c r="Y13"/>
  <c r="CM13"/>
  <c r="CK13"/>
  <c r="Q13"/>
  <c r="AW13"/>
  <c r="CC13"/>
  <c r="M13"/>
  <c r="AQ13"/>
  <c r="CO13"/>
  <c r="U13"/>
  <c r="BA13"/>
  <c r="L30"/>
  <c r="CT30"/>
  <c r="AX30"/>
  <c r="AV30"/>
  <c r="J30"/>
  <c r="AN30"/>
  <c r="AL30"/>
  <c r="BV30"/>
  <c r="AJ30"/>
  <c r="CH30"/>
  <c r="CB30"/>
  <c r="BH30"/>
  <c r="AD30"/>
  <c r="CP30"/>
  <c r="N30"/>
  <c r="CN30"/>
  <c r="X30"/>
  <c r="CX30"/>
  <c r="CJ30"/>
  <c r="T30"/>
  <c r="CL30"/>
  <c r="AZ30"/>
  <c r="BJ30"/>
  <c r="CZ30"/>
  <c r="CF30"/>
  <c r="BL30"/>
  <c r="BZ30"/>
  <c r="BX30"/>
  <c r="CR30"/>
  <c r="BP30"/>
  <c r="BR30"/>
  <c r="AT30"/>
  <c r="BD30"/>
  <c r="R30"/>
  <c r="AR30"/>
  <c r="BN30"/>
  <c r="AF30"/>
  <c r="P30"/>
  <c r="Z30"/>
  <c r="CD30"/>
  <c r="AP30"/>
  <c r="BF30"/>
  <c r="BT30"/>
  <c r="AH30"/>
  <c r="BB30"/>
  <c r="V30"/>
  <c r="CV30"/>
  <c r="AB30"/>
  <c r="A46" i="51" a="1"/>
  <c r="A46" s="1"/>
  <c r="I46" s="1"/>
  <c r="A41" a="1"/>
  <c r="A41" s="1"/>
  <c r="I41" s="1"/>
  <c r="A47" a="1"/>
  <c r="A47" s="1"/>
  <c r="I47" s="1"/>
  <c r="A11" a="1"/>
  <c r="A11" s="1"/>
  <c r="I11" s="1"/>
  <c r="A42" a="1"/>
  <c r="A42" s="1"/>
  <c r="I42" s="1"/>
  <c r="A48" a="1"/>
  <c r="A48" s="1"/>
  <c r="I48" s="1"/>
  <c r="A43" a="1"/>
  <c r="A43" s="1"/>
  <c r="I43" s="1"/>
  <c r="A49" a="1"/>
  <c r="A49" s="1"/>
  <c r="I49" s="1"/>
  <c r="A44" a="1"/>
  <c r="A44" s="1"/>
  <c r="I44" s="1"/>
  <c r="A50" a="1"/>
  <c r="A50" s="1"/>
  <c r="I50" s="1"/>
  <c r="A45" a="1"/>
  <c r="A45" s="1"/>
  <c r="I45" s="1"/>
  <c r="A40" a="1"/>
  <c r="A40" s="1"/>
  <c r="I40" s="1"/>
  <c r="K17" i="48"/>
  <c r="O17"/>
  <c r="CG17"/>
  <c r="BO17"/>
  <c r="AE17"/>
  <c r="BG17"/>
  <c r="CM17"/>
  <c r="W17"/>
  <c r="CK17"/>
  <c r="BC17"/>
  <c r="U17"/>
  <c r="CI17"/>
  <c r="BA17"/>
  <c r="S17"/>
  <c r="Q17"/>
  <c r="AG17"/>
  <c r="AU17"/>
  <c r="AO17"/>
  <c r="BU17"/>
  <c r="AY17"/>
  <c r="AW17"/>
  <c r="CU17"/>
  <c r="CO17"/>
  <c r="Y17"/>
  <c r="BE17"/>
  <c r="CE17"/>
  <c r="CW17"/>
  <c r="BM17"/>
  <c r="BY17"/>
  <c r="BW17"/>
  <c r="AM17"/>
  <c r="CC17"/>
  <c r="AK17"/>
  <c r="CQ17"/>
  <c r="AQ17"/>
  <c r="BS17"/>
  <c r="AC17"/>
  <c r="CA17"/>
  <c r="AI17"/>
  <c r="DA17"/>
  <c r="BK17"/>
  <c r="M17"/>
  <c r="BQ17"/>
  <c r="AA17"/>
  <c r="CS17"/>
  <c r="AS17"/>
  <c r="CY17"/>
  <c r="BI17"/>
  <c r="AT34"/>
  <c r="AV34"/>
  <c r="AX34"/>
  <c r="N34"/>
  <c r="CB34"/>
  <c r="AJ34"/>
  <c r="AD34"/>
  <c r="AL34"/>
  <c r="BP34"/>
  <c r="BV34"/>
  <c r="L34"/>
  <c r="BF34"/>
  <c r="BB34"/>
  <c r="CD34"/>
  <c r="BX34"/>
  <c r="BZ34"/>
  <c r="X34"/>
  <c r="P34"/>
  <c r="BH34"/>
  <c r="CP34"/>
  <c r="AB34"/>
  <c r="CT34"/>
  <c r="AP34"/>
  <c r="CJ34"/>
  <c r="CZ34"/>
  <c r="CV34"/>
  <c r="Z34"/>
  <c r="BL34"/>
  <c r="J34"/>
  <c r="BJ34"/>
  <c r="BD34"/>
  <c r="AZ34"/>
  <c r="BN34"/>
  <c r="BR34"/>
  <c r="V34"/>
  <c r="AH34"/>
  <c r="AN34"/>
  <c r="AR34"/>
  <c r="CL34"/>
  <c r="CX34"/>
  <c r="R34"/>
  <c r="CR34"/>
  <c r="AF34"/>
  <c r="BT34"/>
  <c r="CH34"/>
  <c r="CN34"/>
  <c r="CF34"/>
  <c r="T34"/>
  <c r="A23" a="1"/>
  <c r="A23" s="1"/>
  <c r="I23" s="1"/>
  <c r="BN12"/>
  <c r="CD12"/>
  <c r="BL12"/>
  <c r="N12"/>
  <c r="CV12"/>
  <c r="AF12"/>
  <c r="L12"/>
  <c r="AD12"/>
  <c r="CT12"/>
  <c r="AV12"/>
  <c r="AX12"/>
  <c r="CF12"/>
  <c r="P12"/>
  <c r="AL12"/>
  <c r="BX12"/>
  <c r="AT12"/>
  <c r="CH12"/>
  <c r="AZ12"/>
  <c r="R12"/>
  <c r="CJ12"/>
  <c r="BB12"/>
  <c r="T12"/>
  <c r="CL12"/>
  <c r="V12"/>
  <c r="BF12"/>
  <c r="BZ12"/>
  <c r="AP12"/>
  <c r="J12"/>
  <c r="CB12"/>
  <c r="AR12"/>
  <c r="BT12"/>
  <c r="BV12"/>
  <c r="AN12"/>
  <c r="CX12"/>
  <c r="BP12"/>
  <c r="AH12"/>
  <c r="CZ12"/>
  <c r="BR12"/>
  <c r="AJ12"/>
  <c r="BD12"/>
  <c r="CN12"/>
  <c r="X12"/>
  <c r="CP12"/>
  <c r="BH12"/>
  <c r="Z12"/>
  <c r="CR12"/>
  <c r="BJ12"/>
  <c r="AB12"/>
  <c r="M31"/>
  <c r="S31"/>
  <c r="CS31"/>
  <c r="CO31"/>
  <c r="BQ31"/>
  <c r="W31"/>
  <c r="CQ31"/>
  <c r="DA31"/>
  <c r="AI31"/>
  <c r="AS31"/>
  <c r="AA31"/>
  <c r="U31"/>
  <c r="CW31"/>
  <c r="BO31"/>
  <c r="K31"/>
  <c r="AW31"/>
  <c r="AC31"/>
  <c r="AM31"/>
  <c r="AU31"/>
  <c r="AO31"/>
  <c r="BM31"/>
  <c r="CK31"/>
  <c r="BA31"/>
  <c r="BK31"/>
  <c r="CC31"/>
  <c r="AY31"/>
  <c r="AQ31"/>
  <c r="CE31"/>
  <c r="BI31"/>
  <c r="AK31"/>
  <c r="BY31"/>
  <c r="CI31"/>
  <c r="AG31"/>
  <c r="BU31"/>
  <c r="Q31"/>
  <c r="CY31"/>
  <c r="BC31"/>
  <c r="AE31"/>
  <c r="CA31"/>
  <c r="BS31"/>
  <c r="O31"/>
  <c r="BW31"/>
  <c r="CG31"/>
  <c r="CU31"/>
  <c r="BG31"/>
  <c r="BE31"/>
  <c r="CM31"/>
  <c r="Y31"/>
  <c r="BQ38"/>
  <c r="CQ38"/>
  <c r="M38"/>
  <c r="Q38"/>
  <c r="CO38"/>
  <c r="AK38"/>
  <c r="AE38"/>
  <c r="CS38"/>
  <c r="BE38"/>
  <c r="BS38"/>
  <c r="AO38"/>
  <c r="BM38"/>
  <c r="CC38"/>
  <c r="CI38"/>
  <c r="BO38"/>
  <c r="BA38"/>
  <c r="AC38"/>
  <c r="CA38"/>
  <c r="BU38"/>
  <c r="AG38"/>
  <c r="K38"/>
  <c r="CG38"/>
  <c r="BI38"/>
  <c r="CK38"/>
  <c r="O38"/>
  <c r="AY38"/>
  <c r="AM38"/>
  <c r="S38"/>
  <c r="CM38"/>
  <c r="CW38"/>
  <c r="AA38"/>
  <c r="DA38"/>
  <c r="W38"/>
  <c r="BG38"/>
  <c r="CY38"/>
  <c r="BC38"/>
  <c r="BW38"/>
  <c r="AI38"/>
  <c r="AU38"/>
  <c r="BK38"/>
  <c r="AW38"/>
  <c r="BY38"/>
  <c r="U38"/>
  <c r="AS38"/>
  <c r="CE38"/>
  <c r="Y38"/>
  <c r="CU38"/>
  <c r="AQ38"/>
  <c r="A19" a="1"/>
  <c r="A19" s="1"/>
  <c r="I19" s="1"/>
  <c r="I32" i="57"/>
  <c r="H29"/>
  <c r="J29"/>
  <c r="J16"/>
  <c r="H16"/>
  <c r="J23"/>
  <c r="H23"/>
  <c r="H25"/>
  <c r="J25"/>
  <c r="J27" i="52"/>
  <c r="I115" i="63"/>
  <c r="H115"/>
  <c r="F30" i="58"/>
  <c r="A30"/>
  <c r="G32"/>
  <c r="CS11" i="50"/>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Z24" i="48"/>
  <c r="J24"/>
  <c r="T24"/>
  <c r="AL24"/>
  <c r="BT24"/>
  <c r="CR24"/>
  <c r="V24"/>
  <c r="AV24"/>
  <c r="CF24"/>
  <c r="P24"/>
  <c r="BF24"/>
  <c r="CX24"/>
  <c r="AH24"/>
  <c r="BR24"/>
  <c r="AB24"/>
  <c r="L24"/>
  <c r="BJ24"/>
  <c r="CT24"/>
  <c r="AD24"/>
  <c r="BN24"/>
  <c r="BV24"/>
  <c r="AN24"/>
  <c r="CH24"/>
  <c r="R24"/>
  <c r="BB24"/>
  <c r="BZ24"/>
  <c r="BH24"/>
  <c r="CP24"/>
  <c r="CL24"/>
  <c r="CD24"/>
  <c r="N24"/>
  <c r="AX24"/>
  <c r="CN24"/>
  <c r="X24"/>
  <c r="BP24"/>
  <c r="CZ24"/>
  <c r="AJ24"/>
  <c r="AR24"/>
  <c r="CB24"/>
  <c r="AP24"/>
  <c r="BD24"/>
  <c r="BL24"/>
  <c r="CV24"/>
  <c r="AF24"/>
  <c r="BX24"/>
  <c r="AT24"/>
  <c r="AZ24"/>
  <c r="CJ24"/>
  <c r="AP38"/>
  <c r="X38"/>
  <c r="BF38"/>
  <c r="CN38"/>
  <c r="CB38"/>
  <c r="BL38"/>
  <c r="AD38"/>
  <c r="CT38"/>
  <c r="BZ38"/>
  <c r="L38"/>
  <c r="AR38"/>
  <c r="AT38"/>
  <c r="BX38"/>
  <c r="AB38"/>
  <c r="P38"/>
  <c r="CF38"/>
  <c r="BD38"/>
  <c r="AH38"/>
  <c r="CX38"/>
  <c r="BR38"/>
  <c r="J38"/>
  <c r="CD38"/>
  <c r="AN38"/>
  <c r="CP38"/>
  <c r="AF38"/>
  <c r="CV38"/>
  <c r="BT38"/>
  <c r="AZ38"/>
  <c r="T38"/>
  <c r="CJ38"/>
  <c r="AV38"/>
  <c r="CR38"/>
  <c r="BH38"/>
  <c r="N38"/>
  <c r="BJ38"/>
  <c r="Z38"/>
  <c r="BV38"/>
  <c r="BN38"/>
  <c r="AL38"/>
  <c r="R38"/>
  <c r="CH38"/>
  <c r="BB38"/>
  <c r="AX38"/>
  <c r="AJ38"/>
  <c r="V38"/>
  <c r="CZ38"/>
  <c r="CL38"/>
  <c r="BP38"/>
  <c r="A38" a="1"/>
  <c r="A38" s="1"/>
  <c r="I38" s="1"/>
  <c r="AE28"/>
  <c r="CM28"/>
  <c r="M28"/>
  <c r="CC28"/>
  <c r="S28"/>
  <c r="AO28"/>
  <c r="BE28"/>
  <c r="AS28"/>
  <c r="AI28"/>
  <c r="BO28"/>
  <c r="BW28"/>
  <c r="CA28"/>
  <c r="CG28"/>
  <c r="K28"/>
  <c r="CE28"/>
  <c r="CO28"/>
  <c r="AG28"/>
  <c r="BY28"/>
  <c r="CY28"/>
  <c r="W28"/>
  <c r="CQ28"/>
  <c r="U28"/>
  <c r="AA28"/>
  <c r="CU28"/>
  <c r="AC28"/>
  <c r="AU28"/>
  <c r="DA28"/>
  <c r="BQ28"/>
  <c r="BU28"/>
  <c r="AK28"/>
  <c r="BI28"/>
  <c r="AY28"/>
  <c r="CK28"/>
  <c r="BM28"/>
  <c r="BG28"/>
  <c r="CS28"/>
  <c r="BC28"/>
  <c r="BS28"/>
  <c r="O28"/>
  <c r="AW28"/>
  <c r="CW28"/>
  <c r="AM28"/>
  <c r="Y28"/>
  <c r="CI28"/>
  <c r="Q28"/>
  <c r="BK28"/>
  <c r="BA28"/>
  <c r="CR11" i="51"/>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30" i="48" a="1"/>
  <c r="A30" s="1"/>
  <c r="I30" s="1"/>
  <c r="K34"/>
  <c r="AI34"/>
  <c r="AU34"/>
  <c r="AE34"/>
  <c r="CY34"/>
  <c r="AK34"/>
  <c r="CC34"/>
  <c r="CU34"/>
  <c r="BW34"/>
  <c r="CE34"/>
  <c r="BI34"/>
  <c r="BA34"/>
  <c r="AG34"/>
  <c r="BS34"/>
  <c r="AC34"/>
  <c r="AS34"/>
  <c r="CK34"/>
  <c r="BQ34"/>
  <c r="BO34"/>
  <c r="DA34"/>
  <c r="AY34"/>
  <c r="CO34"/>
  <c r="O34"/>
  <c r="CI34"/>
  <c r="CW34"/>
  <c r="AO34"/>
  <c r="Y34"/>
  <c r="W34"/>
  <c r="BC34"/>
  <c r="CM34"/>
  <c r="CA34"/>
  <c r="BK34"/>
  <c r="CQ34"/>
  <c r="M34"/>
  <c r="BM34"/>
  <c r="BE34"/>
  <c r="U34"/>
  <c r="BU34"/>
  <c r="BG34"/>
  <c r="AM34"/>
  <c r="CG34"/>
  <c r="AA34"/>
  <c r="BY34"/>
  <c r="AW34"/>
  <c r="CS34"/>
  <c r="Q34"/>
  <c r="S34"/>
  <c r="AQ34"/>
  <c r="P26"/>
  <c r="CF26"/>
  <c r="CD26"/>
  <c r="BF26"/>
  <c r="AH26"/>
  <c r="BT26"/>
  <c r="Z26"/>
  <c r="AF26"/>
  <c r="CH26"/>
  <c r="AT26"/>
  <c r="BX26"/>
  <c r="BP26"/>
  <c r="BL26"/>
  <c r="CV26"/>
  <c r="L26"/>
  <c r="CZ26"/>
  <c r="X26"/>
  <c r="CN26"/>
  <c r="CX26"/>
  <c r="V26"/>
  <c r="CB26"/>
  <c r="AJ26"/>
  <c r="AP26"/>
  <c r="AD26"/>
  <c r="BJ26"/>
  <c r="AN26"/>
  <c r="BV26"/>
  <c r="AL26"/>
  <c r="BZ26"/>
  <c r="BB26"/>
  <c r="N26"/>
  <c r="BR26"/>
  <c r="CL26"/>
  <c r="J26"/>
  <c r="T26"/>
  <c r="BH26"/>
  <c r="AX26"/>
  <c r="AV26"/>
  <c r="CJ26"/>
  <c r="CT26"/>
  <c r="R26"/>
  <c r="AB26"/>
  <c r="CP26"/>
  <c r="BN26"/>
  <c r="BD26"/>
  <c r="CR26"/>
  <c r="AZ26"/>
  <c r="AR26"/>
  <c r="K23"/>
  <c r="CY23"/>
  <c r="AM23"/>
  <c r="U23"/>
  <c r="CU23"/>
  <c r="O23"/>
  <c r="AK23"/>
  <c r="BY23"/>
  <c r="AY23"/>
  <c r="CE23"/>
  <c r="AE23"/>
  <c r="S23"/>
  <c r="CS23"/>
  <c r="DA23"/>
  <c r="BO23"/>
  <c r="BG23"/>
  <c r="CC23"/>
  <c r="BI23"/>
  <c r="BA23"/>
  <c r="BM23"/>
  <c r="AC23"/>
  <c r="CI23"/>
  <c r="CK23"/>
  <c r="M23"/>
  <c r="AI23"/>
  <c r="BQ23"/>
  <c r="BS23"/>
  <c r="AU23"/>
  <c r="AA23"/>
  <c r="CO23"/>
  <c r="Q23"/>
  <c r="BU23"/>
  <c r="AQ23"/>
  <c r="CW23"/>
  <c r="CQ23"/>
  <c r="Y23"/>
  <c r="AS23"/>
  <c r="AW23"/>
  <c r="AG23"/>
  <c r="CA23"/>
  <c r="BC23"/>
  <c r="BW23"/>
  <c r="W23"/>
  <c r="AO23"/>
  <c r="BK23"/>
  <c r="BE23"/>
  <c r="CG23"/>
  <c r="CM23"/>
  <c r="A11" a="1"/>
  <c r="A11" s="1"/>
  <c r="I11" s="1"/>
  <c r="A39" a="1"/>
  <c r="A39" s="1"/>
  <c r="I39" s="1"/>
  <c r="A40" a="1"/>
  <c r="A40" s="1"/>
  <c r="I40" s="1"/>
  <c r="A43" a="1"/>
  <c r="A43" s="1"/>
  <c r="I43" s="1"/>
  <c r="A41" a="1"/>
  <c r="A41" s="1"/>
  <c r="I41" s="1"/>
  <c r="A42" a="1"/>
  <c r="A42" s="1"/>
  <c r="I42" s="1"/>
  <c r="A50" a="1"/>
  <c r="A50" s="1"/>
  <c r="I50" s="1"/>
  <c r="A44" a="1"/>
  <c r="A44" s="1"/>
  <c r="I44" s="1"/>
  <c r="A45" a="1"/>
  <c r="A45" s="1"/>
  <c r="I45" s="1"/>
  <c r="A46" a="1"/>
  <c r="A46" s="1"/>
  <c r="I46" s="1"/>
  <c r="A47" a="1"/>
  <c r="A47" s="1"/>
  <c r="I47" s="1"/>
  <c r="A48" a="1"/>
  <c r="A48" s="1"/>
  <c r="I48" s="1"/>
  <c r="A49" a="1"/>
  <c r="A49" s="1"/>
  <c r="I49" s="1"/>
  <c r="S27"/>
  <c r="AU27"/>
  <c r="BS27"/>
  <c r="CA27"/>
  <c r="DA27"/>
  <c r="AA27"/>
  <c r="K27"/>
  <c r="AK27"/>
  <c r="AO27"/>
  <c r="AQ27"/>
  <c r="BY27"/>
  <c r="BI27"/>
  <c r="CQ27"/>
  <c r="CK27"/>
  <c r="CI27"/>
  <c r="W27"/>
  <c r="BE27"/>
  <c r="CM27"/>
  <c r="AC27"/>
  <c r="CS27"/>
  <c r="BO27"/>
  <c r="CO27"/>
  <c r="BC27"/>
  <c r="BQ27"/>
  <c r="AE27"/>
  <c r="BM27"/>
  <c r="CU27"/>
  <c r="AS27"/>
  <c r="Q27"/>
  <c r="CG27"/>
  <c r="BG27"/>
  <c r="U27"/>
  <c r="BA27"/>
  <c r="AM27"/>
  <c r="BU27"/>
  <c r="BW27"/>
  <c r="BK27"/>
  <c r="AG27"/>
  <c r="CW27"/>
  <c r="Y27"/>
  <c r="CY27"/>
  <c r="AI27"/>
  <c r="O27"/>
  <c r="AW27"/>
  <c r="CE27"/>
  <c r="M27"/>
  <c r="CC27"/>
  <c r="AY27"/>
  <c r="A33" a="1"/>
  <c r="A33" s="1"/>
  <c r="I33" s="1"/>
  <c r="T15"/>
  <c r="BF15"/>
  <c r="CN15"/>
  <c r="AP15"/>
  <c r="BZ15"/>
  <c r="BP15"/>
  <c r="CV15"/>
  <c r="AF15"/>
  <c r="AD15"/>
  <c r="BL15"/>
  <c r="CR15"/>
  <c r="AB15"/>
  <c r="CL15"/>
  <c r="R15"/>
  <c r="BB15"/>
  <c r="CP15"/>
  <c r="V15"/>
  <c r="X15"/>
  <c r="BX15"/>
  <c r="AT15"/>
  <c r="AZ15"/>
  <c r="CF15"/>
  <c r="P15"/>
  <c r="AV15"/>
  <c r="CB15"/>
  <c r="L15"/>
  <c r="BT15"/>
  <c r="CZ15"/>
  <c r="AJ15"/>
  <c r="BV15"/>
  <c r="AN15"/>
  <c r="CX15"/>
  <c r="AH15"/>
  <c r="BN15"/>
  <c r="CT15"/>
  <c r="Z15"/>
  <c r="BJ15"/>
  <c r="BH15"/>
  <c r="CH15"/>
  <c r="N15"/>
  <c r="AX15"/>
  <c r="CD15"/>
  <c r="J15"/>
  <c r="AR15"/>
  <c r="AL15"/>
  <c r="BR15"/>
  <c r="BD15"/>
  <c r="CJ15"/>
  <c r="A15" a="1"/>
  <c r="A15" s="1"/>
  <c r="I15" s="1"/>
  <c r="AI30"/>
  <c r="AY30"/>
  <c r="AK30"/>
  <c r="CE30"/>
  <c r="BW30"/>
  <c r="BU30"/>
  <c r="BY30"/>
  <c r="S30"/>
  <c r="Q30"/>
  <c r="CS30"/>
  <c r="CA30"/>
  <c r="AC30"/>
  <c r="BQ30"/>
  <c r="BI30"/>
  <c r="BK30"/>
  <c r="W30"/>
  <c r="CM30"/>
  <c r="M30"/>
  <c r="AQ30"/>
  <c r="BG30"/>
  <c r="K30"/>
  <c r="CU30"/>
  <c r="BS30"/>
  <c r="DA30"/>
  <c r="AA30"/>
  <c r="CK30"/>
  <c r="O30"/>
  <c r="BO30"/>
  <c r="AM30"/>
  <c r="AU30"/>
  <c r="AS30"/>
  <c r="BM30"/>
  <c r="CW30"/>
  <c r="AE30"/>
  <c r="AG30"/>
  <c r="U30"/>
  <c r="CO30"/>
  <c r="CQ30"/>
  <c r="BE30"/>
  <c r="AO30"/>
  <c r="CC30"/>
  <c r="CI30"/>
  <c r="BC30"/>
  <c r="BA30"/>
  <c r="CG30"/>
  <c r="Y30"/>
  <c r="CY30"/>
  <c r="AW30"/>
  <c r="CJ22"/>
  <c r="BZ22"/>
  <c r="AD22"/>
  <c r="AR22"/>
  <c r="BF22"/>
  <c r="V22"/>
  <c r="CL22"/>
  <c r="CF22"/>
  <c r="BP22"/>
  <c r="BR22"/>
  <c r="BH22"/>
  <c r="BL22"/>
  <c r="CT22"/>
  <c r="T22"/>
  <c r="CV22"/>
  <c r="AT22"/>
  <c r="BX22"/>
  <c r="AL22"/>
  <c r="P22"/>
  <c r="CZ22"/>
  <c r="CP22"/>
  <c r="CR22"/>
  <c r="CD22"/>
  <c r="R22"/>
  <c r="AZ22"/>
  <c r="BB22"/>
  <c r="X22"/>
  <c r="CN22"/>
  <c r="BD22"/>
  <c r="AJ22"/>
  <c r="Z22"/>
  <c r="AB22"/>
  <c r="N22"/>
  <c r="CX22"/>
  <c r="CB22"/>
  <c r="J22"/>
  <c r="CH22"/>
  <c r="L22"/>
  <c r="AN22"/>
  <c r="BV22"/>
  <c r="BT22"/>
  <c r="BJ22"/>
  <c r="AV22"/>
  <c r="AX22"/>
  <c r="AH22"/>
  <c r="AF22"/>
  <c r="BN22"/>
  <c r="AP22"/>
  <c r="A22" a="1"/>
  <c r="A22" s="1"/>
  <c r="I22" s="1"/>
  <c r="M12"/>
  <c r="BG12"/>
  <c r="CW12"/>
  <c r="BM12"/>
  <c r="W12"/>
  <c r="S12"/>
  <c r="CI12"/>
  <c r="BC12"/>
  <c r="BW12"/>
  <c r="CQ12"/>
  <c r="CG12"/>
  <c r="CE12"/>
  <c r="BY12"/>
  <c r="CU12"/>
  <c r="CC12"/>
  <c r="CA12"/>
  <c r="AI12"/>
  <c r="CY12"/>
  <c r="BS12"/>
  <c r="AA12"/>
  <c r="Q12"/>
  <c r="O12"/>
  <c r="AU12"/>
  <c r="CS12"/>
  <c r="BE12"/>
  <c r="AG12"/>
  <c r="AE12"/>
  <c r="BA12"/>
  <c r="U12"/>
  <c r="CK12"/>
  <c r="AW12"/>
  <c r="AO12"/>
  <c r="AM12"/>
  <c r="AC12"/>
  <c r="CO12"/>
  <c r="K12"/>
  <c r="CM12"/>
  <c r="BO12"/>
  <c r="BQ12"/>
  <c r="AK12"/>
  <c r="DA12"/>
  <c r="BU12"/>
  <c r="BK12"/>
  <c r="BI12"/>
  <c r="AY12"/>
  <c r="AS12"/>
  <c r="AQ12"/>
  <c r="Y12"/>
  <c r="AX29"/>
  <c r="V29"/>
  <c r="CR29"/>
  <c r="R29"/>
  <c r="AB29"/>
  <c r="CX29"/>
  <c r="BR29"/>
  <c r="BH29"/>
  <c r="BL29"/>
  <c r="BF29"/>
  <c r="AL29"/>
  <c r="BZ29"/>
  <c r="CT29"/>
  <c r="BN29"/>
  <c r="AV29"/>
  <c r="AJ29"/>
  <c r="CD29"/>
  <c r="BB29"/>
  <c r="BV29"/>
  <c r="BX29"/>
  <c r="BT29"/>
  <c r="BD29"/>
  <c r="AR29"/>
  <c r="CH29"/>
  <c r="CZ29"/>
  <c r="P29"/>
  <c r="AD29"/>
  <c r="AF29"/>
  <c r="X29"/>
  <c r="CN29"/>
  <c r="J29"/>
  <c r="CP29"/>
  <c r="N29"/>
  <c r="T29"/>
  <c r="AH29"/>
  <c r="CF29"/>
  <c r="BP29"/>
  <c r="CV29"/>
  <c r="L29"/>
  <c r="AN29"/>
  <c r="AT29"/>
  <c r="AP29"/>
  <c r="AZ29"/>
  <c r="CJ29"/>
  <c r="CL29"/>
  <c r="BJ29"/>
  <c r="Z29"/>
  <c r="CB29"/>
  <c r="J14" i="57"/>
  <c r="H14"/>
  <c r="L28"/>
  <c r="K28"/>
  <c r="J22"/>
  <c r="H22"/>
  <c r="K14"/>
  <c r="K15" s="1"/>
  <c r="K16" s="1"/>
  <c r="K17" s="1"/>
  <c r="K18" s="1"/>
  <c r="K19" s="1"/>
  <c r="K20" s="1"/>
  <c r="K21" s="1"/>
  <c r="K22" s="1"/>
  <c r="K23" s="1"/>
  <c r="K24" s="1"/>
  <c r="K25" s="1"/>
  <c r="J27"/>
  <c r="H27"/>
  <c r="J24"/>
  <c r="H24"/>
  <c r="H26"/>
  <c r="J26"/>
  <c r="L27"/>
  <c r="K27"/>
  <c r="L26"/>
  <c r="K26"/>
  <c r="G32"/>
  <c r="G27" i="52"/>
  <c r="N17"/>
  <c r="L17"/>
  <c r="M17"/>
  <c r="K17"/>
  <c r="H32" i="58"/>
  <c r="A28"/>
  <c r="F28"/>
  <c r="F26"/>
  <c r="A26"/>
  <c r="A27" s="1"/>
  <c r="H82" i="12"/>
  <c r="G82"/>
  <c r="G14" i="15"/>
  <c r="H56"/>
  <c r="P53" i="45" s="1"/>
  <c r="G41" i="15"/>
  <c r="G46" s="1"/>
  <c r="H41"/>
  <c r="H46" s="1"/>
  <c r="L72" i="55"/>
  <c r="L73" s="1"/>
  <c r="H35" i="15"/>
  <c r="H14"/>
  <c r="H53"/>
  <c r="L106" i="55"/>
  <c r="L107" s="1"/>
  <c r="H58" i="15"/>
  <c r="L57" i="55"/>
  <c r="L58" s="1"/>
  <c r="H30" i="15"/>
  <c r="G48"/>
  <c r="G23"/>
  <c r="G30"/>
  <c r="H37"/>
  <c r="N22" i="62"/>
  <c r="H19" i="15"/>
  <c r="N52" i="45"/>
  <c r="P52"/>
  <c r="G56" i="15"/>
  <c r="L22" i="62"/>
  <c r="G58" i="15"/>
  <c r="G37"/>
  <c r="E65"/>
  <c r="I65" s="1"/>
  <c r="I64"/>
  <c r="H23"/>
  <c r="G53"/>
  <c r="G35"/>
  <c r="G19"/>
  <c r="H48"/>
  <c r="N28" i="52" l="1"/>
  <c r="J15" i="14"/>
  <c r="J41"/>
  <c r="I15"/>
  <c r="I41"/>
  <c r="I35"/>
  <c r="I36" s="1"/>
  <c r="H30" i="43"/>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O18" i="63"/>
  <c r="K28" i="52"/>
  <c r="L18" i="63"/>
  <c r="N18"/>
  <c r="M18"/>
  <c r="K32" i="57"/>
  <c r="L116" i="63"/>
  <c r="H125" i="43"/>
  <c r="H126" s="1"/>
  <c r="M116" i="63"/>
  <c r="L14" i="57"/>
  <c r="L15" s="1"/>
  <c r="L16" s="1"/>
  <c r="L17" s="1"/>
  <c r="L18" s="1"/>
  <c r="L19" s="1"/>
  <c r="L20" s="1"/>
  <c r="L21" s="1"/>
  <c r="L22" s="1"/>
  <c r="L23" s="1"/>
  <c r="L24" s="1"/>
  <c r="L25" s="1"/>
  <c r="M18" i="52"/>
  <c r="L18"/>
  <c r="N18"/>
  <c r="K18"/>
  <c r="CW50" i="51"/>
  <c r="CW52" s="1"/>
  <c r="CZ50"/>
  <c r="CO42"/>
  <c r="CO52" s="1"/>
  <c r="CZ42"/>
  <c r="CS44"/>
  <c r="CS52" s="1"/>
  <c r="CZ44"/>
  <c r="I32" i="58"/>
  <c r="CT49" i="51"/>
  <c r="CT52" s="1"/>
  <c r="DA49"/>
  <c r="DA49" i="49"/>
  <c r="CT49"/>
  <c r="CF48"/>
  <c r="CF52" s="1"/>
  <c r="DA48"/>
  <c r="CS44"/>
  <c r="CS52" s="1"/>
  <c r="CZ44"/>
  <c r="O116" i="63"/>
  <c r="CZ50" i="50"/>
  <c r="CW50"/>
  <c r="CW52" s="1"/>
  <c r="CZ42"/>
  <c r="CO42"/>
  <c r="CO52" s="1"/>
  <c r="CZ44"/>
  <c r="CS44"/>
  <c r="CS52" s="1"/>
  <c r="CV52" i="48"/>
  <c r="BZ52"/>
  <c r="BN52"/>
  <c r="BH52"/>
  <c r="BP52"/>
  <c r="AD52"/>
  <c r="AR52"/>
  <c r="AJ52"/>
  <c r="BT52"/>
  <c r="AB52"/>
  <c r="CN52"/>
  <c r="BI52"/>
  <c r="BM52"/>
  <c r="CG52"/>
  <c r="AI52"/>
  <c r="BU52"/>
  <c r="AS52"/>
  <c r="AC52"/>
  <c r="AG52"/>
  <c r="AY52"/>
  <c r="CE52"/>
  <c r="CD47" i="50"/>
  <c r="CD52" s="1"/>
  <c r="DA47"/>
  <c r="DA46"/>
  <c r="CH46"/>
  <c r="CH52" s="1"/>
  <c r="S40" i="51"/>
  <c r="S52" s="1"/>
  <c r="AX40"/>
  <c r="AX52" s="1"/>
  <c r="CF48"/>
  <c r="CF52" s="1"/>
  <c r="DA48"/>
  <c r="M28" i="52"/>
  <c r="CD47" i="49"/>
  <c r="CD52" s="1"/>
  <c r="DA47"/>
  <c r="CT52"/>
  <c r="X52" i="48"/>
  <c r="L52"/>
  <c r="BX52"/>
  <c r="CR52"/>
  <c r="BV52"/>
  <c r="BF52"/>
  <c r="AP52"/>
  <c r="AL52"/>
  <c r="J52"/>
  <c r="V52"/>
  <c r="BC52"/>
  <c r="AU52"/>
  <c r="O52"/>
  <c r="K52"/>
  <c r="BO52"/>
  <c r="CC52"/>
  <c r="BE52"/>
  <c r="BG52"/>
  <c r="CI52"/>
  <c r="BS52"/>
  <c r="Q52"/>
  <c r="AE52"/>
  <c r="I210" i="47"/>
  <c r="H210"/>
  <c r="H32" i="57"/>
  <c r="CM41" i="51"/>
  <c r="CM52" s="1"/>
  <c r="CZ41"/>
  <c r="CQ43"/>
  <c r="CQ52" s="1"/>
  <c r="CZ43"/>
  <c r="DA49" i="50"/>
  <c r="CT49"/>
  <c r="CT52" s="1"/>
  <c r="AX40" i="49"/>
  <c r="AX52" s="1"/>
  <c r="S40"/>
  <c r="S52" s="1"/>
  <c r="CM41"/>
  <c r="CM52" s="1"/>
  <c r="CZ41"/>
  <c r="CZ50"/>
  <c r="CW50"/>
  <c r="CW52" s="1"/>
  <c r="CZ41" i="50"/>
  <c r="CM41"/>
  <c r="CM52" s="1"/>
  <c r="CZ43"/>
  <c r="CQ43"/>
  <c r="CQ52" s="1"/>
  <c r="AZ52" i="48"/>
  <c r="N52"/>
  <c r="T52"/>
  <c r="CL52"/>
  <c r="CJ52"/>
  <c r="BD52"/>
  <c r="BL52"/>
  <c r="BR52"/>
  <c r="AN52"/>
  <c r="AV52"/>
  <c r="CA52"/>
  <c r="BA52"/>
  <c r="CY52"/>
  <c r="AW52"/>
  <c r="BK52"/>
  <c r="CK52"/>
  <c r="U52"/>
  <c r="Y52"/>
  <c r="W52"/>
  <c r="BQ52"/>
  <c r="J32" i="57"/>
  <c r="AX40" i="50"/>
  <c r="AX52" s="1"/>
  <c r="S40"/>
  <c r="S52" s="1"/>
  <c r="DA48"/>
  <c r="CF48"/>
  <c r="CF52" s="1"/>
  <c r="L28" i="52"/>
  <c r="DA47" i="51"/>
  <c r="CD47"/>
  <c r="CD52" s="1"/>
  <c r="CH46"/>
  <c r="CH52" s="1"/>
  <c r="DA46"/>
  <c r="CH46" i="49"/>
  <c r="CH52" s="1"/>
  <c r="DA46"/>
  <c r="CO42"/>
  <c r="CO52" s="1"/>
  <c r="CZ42"/>
  <c r="CQ43"/>
  <c r="CQ52" s="1"/>
  <c r="CZ43"/>
  <c r="N116" i="63"/>
  <c r="BB52" i="48"/>
  <c r="CB52"/>
  <c r="AF52"/>
  <c r="AH52"/>
  <c r="BJ52"/>
  <c r="P52"/>
  <c r="P54" s="1"/>
  <c r="P54" i="49" s="1"/>
  <c r="P54" i="50" s="1"/>
  <c r="P54" i="51" s="1"/>
  <c r="R52" i="48"/>
  <c r="Z52"/>
  <c r="AT52"/>
  <c r="CP52"/>
  <c r="CX52"/>
  <c r="AA52"/>
  <c r="M52"/>
  <c r="AK52"/>
  <c r="AM52"/>
  <c r="CU52"/>
  <c r="AO52"/>
  <c r="BY52"/>
  <c r="AQ52"/>
  <c r="BW52"/>
  <c r="P54" i="45"/>
  <c r="N24" i="62"/>
  <c r="H84" i="12"/>
  <c r="H75" i="15"/>
  <c r="G75"/>
  <c r="E75"/>
  <c r="F77" s="1"/>
  <c r="A26" i="56"/>
  <c r="K19" i="52" l="1"/>
  <c r="I16" i="14"/>
  <c r="J16"/>
  <c r="J36"/>
  <c r="J37" s="1"/>
  <c r="M19" i="63"/>
  <c r="L19" i="52"/>
  <c r="N19"/>
  <c r="M19"/>
  <c r="N19" i="63"/>
  <c r="L19"/>
  <c r="O19"/>
  <c r="DA52" i="51"/>
  <c r="DA52" i="49"/>
  <c r="CZ52" i="50"/>
  <c r="CZ52" i="51"/>
  <c r="CZ52" i="49"/>
  <c r="DA52" i="50"/>
  <c r="BY54" i="48"/>
  <c r="BY54" i="49" s="1"/>
  <c r="BY54" i="50" s="1"/>
  <c r="BY54" i="51" s="1"/>
  <c r="BY53" i="48"/>
  <c r="BY10" i="49" s="1"/>
  <c r="AK54" i="48"/>
  <c r="AK54" i="49" s="1"/>
  <c r="AK54" i="50" s="1"/>
  <c r="AK54" i="51" s="1"/>
  <c r="AK53" i="48"/>
  <c r="AK10" i="49" s="1"/>
  <c r="CX54" i="48"/>
  <c r="CX54" i="49" s="1"/>
  <c r="CX54" i="50" s="1"/>
  <c r="CX54" i="51" s="1"/>
  <c r="CX53" i="48"/>
  <c r="CX10" i="49" s="1"/>
  <c r="R54" i="48"/>
  <c r="R54" i="49" s="1"/>
  <c r="R54" i="50" s="1"/>
  <c r="R54" i="51" s="1"/>
  <c r="AF54" i="48"/>
  <c r="AF54" i="49" s="1"/>
  <c r="AF54" i="50" s="1"/>
  <c r="AF54" i="51" s="1"/>
  <c r="AF53" i="48"/>
  <c r="AF10" i="49" s="1"/>
  <c r="W54" i="48"/>
  <c r="W54" i="49" s="1"/>
  <c r="W54" i="50" s="1"/>
  <c r="W54" i="51" s="1"/>
  <c r="W53" i="48"/>
  <c r="W10" i="49" s="1"/>
  <c r="BK54" i="48"/>
  <c r="BK54" i="49" s="1"/>
  <c r="BK54" i="50" s="1"/>
  <c r="BK54" i="51" s="1"/>
  <c r="BK53" i="48"/>
  <c r="BK10" i="49" s="1"/>
  <c r="CA54" i="48"/>
  <c r="CA54" i="49" s="1"/>
  <c r="CA54" i="50" s="1"/>
  <c r="CA54" i="51" s="1"/>
  <c r="CA53" i="48"/>
  <c r="CA10" i="49" s="1"/>
  <c r="BL53" i="48"/>
  <c r="BL10" i="49" s="1"/>
  <c r="BL54" i="48"/>
  <c r="BL54" i="49" s="1"/>
  <c r="BL54" i="50" s="1"/>
  <c r="BL54" i="51" s="1"/>
  <c r="T54" i="48"/>
  <c r="T54" i="49" s="1"/>
  <c r="T54" i="50" s="1"/>
  <c r="T54" i="51" s="1"/>
  <c r="T53" i="48"/>
  <c r="T10" i="49" s="1"/>
  <c r="L32" i="57"/>
  <c r="AE54" i="48"/>
  <c r="AE54" i="49" s="1"/>
  <c r="AE54" i="50" s="1"/>
  <c r="AE54" i="51" s="1"/>
  <c r="AE53" i="48"/>
  <c r="AE10" i="49" s="1"/>
  <c r="BG53" i="48"/>
  <c r="BG10" i="49" s="1"/>
  <c r="BG54" i="48"/>
  <c r="BG54" i="49" s="1"/>
  <c r="BG54" i="50" s="1"/>
  <c r="BG54" i="51" s="1"/>
  <c r="K54" i="48"/>
  <c r="K54" i="49" s="1"/>
  <c r="K54" i="50" s="1"/>
  <c r="K54" i="51" s="1"/>
  <c r="K53" i="48"/>
  <c r="K10" i="49" s="1"/>
  <c r="V54" i="48"/>
  <c r="V54" i="49" s="1"/>
  <c r="V54" i="50" s="1"/>
  <c r="V54" i="51" s="1"/>
  <c r="V53" i="48"/>
  <c r="V10" i="49" s="1"/>
  <c r="BF54" i="48"/>
  <c r="BF54" i="49" s="1"/>
  <c r="BF54" i="50" s="1"/>
  <c r="BF54" i="51" s="1"/>
  <c r="BF53" i="48"/>
  <c r="BF10" i="49" s="1"/>
  <c r="L53" i="48"/>
  <c r="L10" i="49" s="1"/>
  <c r="L54" i="48"/>
  <c r="L54" i="49" s="1"/>
  <c r="L54" i="50" s="1"/>
  <c r="L54" i="51" s="1"/>
  <c r="AG54" i="48"/>
  <c r="AG54" i="49" s="1"/>
  <c r="AG54" i="50" s="1"/>
  <c r="AG54" i="51" s="1"/>
  <c r="AG53" i="48"/>
  <c r="AG10" i="49" s="1"/>
  <c r="AI54" i="48"/>
  <c r="AI54" i="49" s="1"/>
  <c r="AI54" i="50" s="1"/>
  <c r="AI54" i="51" s="1"/>
  <c r="AI53" i="48"/>
  <c r="AI10" i="49" s="1"/>
  <c r="CN54" i="48"/>
  <c r="CN54" i="49" s="1"/>
  <c r="CN54" i="50" s="1"/>
  <c r="CN54" i="51" s="1"/>
  <c r="F42" i="48"/>
  <c r="AR54"/>
  <c r="AR54" i="49" s="1"/>
  <c r="AR54" i="50" s="1"/>
  <c r="AR54" i="51" s="1"/>
  <c r="AR53" i="48"/>
  <c r="AR10" i="49" s="1"/>
  <c r="BN53" i="48"/>
  <c r="BN10" i="49" s="1"/>
  <c r="BN54" i="48"/>
  <c r="BN54" i="49" s="1"/>
  <c r="BN54" i="50" s="1"/>
  <c r="BN54" i="51" s="1"/>
  <c r="AO54" i="48"/>
  <c r="AO54" i="49" s="1"/>
  <c r="AO54" i="50" s="1"/>
  <c r="AO54" i="51" s="1"/>
  <c r="AO53" i="48"/>
  <c r="AO10" i="49" s="1"/>
  <c r="M54" i="48"/>
  <c r="M54" i="49" s="1"/>
  <c r="M54" i="50" s="1"/>
  <c r="M54" i="51" s="1"/>
  <c r="M53" i="48"/>
  <c r="M10" i="49" s="1"/>
  <c r="F43" i="48"/>
  <c r="CP54"/>
  <c r="CP54" i="49" s="1"/>
  <c r="CP54" i="50" s="1"/>
  <c r="CP54" i="51" s="1"/>
  <c r="CB54" i="48"/>
  <c r="CB54" i="49" s="1"/>
  <c r="CB54" i="50" s="1"/>
  <c r="CB54" i="51" s="1"/>
  <c r="CB53" i="48"/>
  <c r="CB10" i="49" s="1"/>
  <c r="Y53" i="48"/>
  <c r="Y10" i="49" s="1"/>
  <c r="Y54" i="48"/>
  <c r="Y54" i="49" s="1"/>
  <c r="Y54" i="50" s="1"/>
  <c r="Y54" i="51" s="1"/>
  <c r="AW53" i="48"/>
  <c r="AW10" i="49" s="1"/>
  <c r="AW54" i="48"/>
  <c r="AW54" i="49" s="1"/>
  <c r="AW54" i="50" s="1"/>
  <c r="AW54" i="51" s="1"/>
  <c r="AV54" i="48"/>
  <c r="AV54" i="49" s="1"/>
  <c r="AV54" i="50" s="1"/>
  <c r="AV54" i="51" s="1"/>
  <c r="AV53" i="48"/>
  <c r="AV10" i="49" s="1"/>
  <c r="BD54" i="48"/>
  <c r="BD54" i="49" s="1"/>
  <c r="BD54" i="50" s="1"/>
  <c r="BD54" i="51" s="1"/>
  <c r="BD53" i="48"/>
  <c r="BD10" i="49" s="1"/>
  <c r="N54" i="48"/>
  <c r="N54" i="49" s="1"/>
  <c r="N54" i="50" s="1"/>
  <c r="N54" i="51" s="1"/>
  <c r="N53" i="48"/>
  <c r="N10" i="49" s="1"/>
  <c r="P53" i="48"/>
  <c r="P10" i="49" s="1"/>
  <c r="Q53" i="48"/>
  <c r="Q10" i="49" s="1"/>
  <c r="Q54" i="48"/>
  <c r="Q54" i="49" s="1"/>
  <c r="Q54" i="50" s="1"/>
  <c r="Q54" i="51" s="1"/>
  <c r="BE54" i="48"/>
  <c r="BE54" i="49" s="1"/>
  <c r="BE54" i="50" s="1"/>
  <c r="BE54" i="51" s="1"/>
  <c r="BE53" i="48"/>
  <c r="BE10" i="49" s="1"/>
  <c r="O53" i="48"/>
  <c r="O10" i="49" s="1"/>
  <c r="O54" i="48"/>
  <c r="O54" i="49" s="1"/>
  <c r="O54" i="50" s="1"/>
  <c r="O54" i="51" s="1"/>
  <c r="J54" i="48"/>
  <c r="J54" i="49" s="1"/>
  <c r="J54" i="50" s="1"/>
  <c r="J54" i="51" s="1"/>
  <c r="J53" i="48"/>
  <c r="J10" i="49" s="1"/>
  <c r="BV54" i="48"/>
  <c r="BV54" i="49" s="1"/>
  <c r="BV54" i="50" s="1"/>
  <c r="BV54" i="51" s="1"/>
  <c r="BV53" i="48"/>
  <c r="BV10" i="49" s="1"/>
  <c r="X54" i="48"/>
  <c r="X54" i="49" s="1"/>
  <c r="X54" i="50" s="1"/>
  <c r="X54" i="51" s="1"/>
  <c r="X53" i="48"/>
  <c r="X10" i="49" s="1"/>
  <c r="AC54" i="48"/>
  <c r="AC54" i="49" s="1"/>
  <c r="AC54" i="50" s="1"/>
  <c r="AC54" i="51" s="1"/>
  <c r="AC53" i="48"/>
  <c r="AC10" i="49" s="1"/>
  <c r="CG54" i="48"/>
  <c r="CG54" i="49" s="1"/>
  <c r="CG54" i="50" s="1"/>
  <c r="CG54" i="51" s="1"/>
  <c r="F48" i="48"/>
  <c r="AB54"/>
  <c r="AB54" i="49" s="1"/>
  <c r="AB54" i="50" s="1"/>
  <c r="AB54" i="51" s="1"/>
  <c r="AB53" i="48"/>
  <c r="AB10" i="49" s="1"/>
  <c r="AB53" s="1"/>
  <c r="AB10" i="50" s="1"/>
  <c r="AD54" i="48"/>
  <c r="AD54" i="49" s="1"/>
  <c r="AD54" i="50" s="1"/>
  <c r="AD54" i="51" s="1"/>
  <c r="AD53" i="48"/>
  <c r="AD10" i="49" s="1"/>
  <c r="BZ54" i="48"/>
  <c r="BZ54" i="49" s="1"/>
  <c r="BZ54" i="50" s="1"/>
  <c r="BZ54" i="51" s="1"/>
  <c r="BZ53" i="48"/>
  <c r="BZ10" i="49" s="1"/>
  <c r="BZ53" s="1"/>
  <c r="BZ10" i="50" s="1"/>
  <c r="BW53" i="48"/>
  <c r="BW10" i="49" s="1"/>
  <c r="BW54" i="48"/>
  <c r="BW54" i="49" s="1"/>
  <c r="BW54" i="50" s="1"/>
  <c r="BW54" i="51" s="1"/>
  <c r="F49" i="48"/>
  <c r="CU54"/>
  <c r="CU54" i="49" s="1"/>
  <c r="CU54" i="50" s="1"/>
  <c r="CU54" i="51" s="1"/>
  <c r="AA54" i="48"/>
  <c r="AA54" i="49" s="1"/>
  <c r="AA54" i="50" s="1"/>
  <c r="AA54" i="51" s="1"/>
  <c r="AA53" i="48"/>
  <c r="AA10" i="49" s="1"/>
  <c r="AT53" i="48"/>
  <c r="AT10" i="49" s="1"/>
  <c r="AT54" i="48"/>
  <c r="AT54" i="49" s="1"/>
  <c r="AT54" i="50" s="1"/>
  <c r="AT54" i="51" s="1"/>
  <c r="BJ53" i="48"/>
  <c r="BJ10" i="49" s="1"/>
  <c r="BJ54" i="48"/>
  <c r="BJ54" i="49" s="1"/>
  <c r="BJ54" i="50" s="1"/>
  <c r="BJ54" i="51" s="1"/>
  <c r="BB54" i="48"/>
  <c r="BB54" i="49" s="1"/>
  <c r="BB54" i="50" s="1"/>
  <c r="BB54" i="51" s="1"/>
  <c r="BB53" i="48"/>
  <c r="BB10" i="49" s="1"/>
  <c r="U54" i="48"/>
  <c r="U54" i="49" s="1"/>
  <c r="U54" i="50" s="1"/>
  <c r="U54" i="51" s="1"/>
  <c r="U53" i="48"/>
  <c r="U10" i="49" s="1"/>
  <c r="CY54" i="48"/>
  <c r="CY54" i="49" s="1"/>
  <c r="CY54" i="50" s="1"/>
  <c r="CY54" i="51" s="1"/>
  <c r="CY53" i="48"/>
  <c r="CY10" i="49" s="1"/>
  <c r="AN53" i="48"/>
  <c r="AN10" i="49" s="1"/>
  <c r="AN53" s="1"/>
  <c r="AN10" i="50" s="1"/>
  <c r="AN54" i="48"/>
  <c r="AN54" i="49" s="1"/>
  <c r="AN54" i="50" s="1"/>
  <c r="AN54" i="51" s="1"/>
  <c r="CJ54" i="48"/>
  <c r="CJ54" i="49" s="1"/>
  <c r="CJ54" i="50" s="1"/>
  <c r="CJ54" i="51" s="1"/>
  <c r="CJ53" i="48"/>
  <c r="CJ10" i="49" s="1"/>
  <c r="AZ53" i="48"/>
  <c r="AZ10" i="49" s="1"/>
  <c r="AZ54" i="48"/>
  <c r="AZ54" i="49" s="1"/>
  <c r="AZ54" i="50" s="1"/>
  <c r="AZ54" i="51" s="1"/>
  <c r="BS53" i="48"/>
  <c r="BS10" i="49" s="1"/>
  <c r="BS54" i="48"/>
  <c r="BS54" i="49" s="1"/>
  <c r="BS54" i="50" s="1"/>
  <c r="BS54" i="51" s="1"/>
  <c r="CC54" i="48"/>
  <c r="CC54" i="49" s="1"/>
  <c r="CC54" i="50" s="1"/>
  <c r="CC54" i="51" s="1"/>
  <c r="CC53" i="48"/>
  <c r="CC10" i="49" s="1"/>
  <c r="AU54" i="48"/>
  <c r="AU54" i="49" s="1"/>
  <c r="AU54" i="50" s="1"/>
  <c r="AU54" i="51" s="1"/>
  <c r="AU53" i="48"/>
  <c r="AU10" i="49" s="1"/>
  <c r="AL54" i="48"/>
  <c r="AL54" i="49" s="1"/>
  <c r="AL54" i="50" s="1"/>
  <c r="AL54" i="51" s="1"/>
  <c r="AL53" i="48"/>
  <c r="AL10" i="49" s="1"/>
  <c r="F44" i="48"/>
  <c r="CR54"/>
  <c r="CR54" i="49" s="1"/>
  <c r="CR54" i="50" s="1"/>
  <c r="CR54" i="51" s="1"/>
  <c r="F47" i="48"/>
  <c r="CE54"/>
  <c r="CE54" i="49" s="1"/>
  <c r="CE54" i="50" s="1"/>
  <c r="CE54" i="51" s="1"/>
  <c r="AS54" i="48"/>
  <c r="AS54" i="49" s="1"/>
  <c r="AS54" i="50" s="1"/>
  <c r="AS54" i="51" s="1"/>
  <c r="AS53" i="48"/>
  <c r="AS10" i="49" s="1"/>
  <c r="BM54" i="48"/>
  <c r="BM54" i="49" s="1"/>
  <c r="BM54" i="50" s="1"/>
  <c r="BM54" i="51" s="1"/>
  <c r="BM53" i="48"/>
  <c r="BM10" i="49" s="1"/>
  <c r="BT54" i="48"/>
  <c r="BT54" i="49" s="1"/>
  <c r="BT54" i="50" s="1"/>
  <c r="BT54" i="51" s="1"/>
  <c r="BT53" i="48"/>
  <c r="BT10" i="49" s="1"/>
  <c r="BP53" i="48"/>
  <c r="BP10" i="49" s="1"/>
  <c r="BP54" i="48"/>
  <c r="BP54" i="49" s="1"/>
  <c r="BP54" i="50" s="1"/>
  <c r="BP54" i="51" s="1"/>
  <c r="F50" i="48"/>
  <c r="CV54"/>
  <c r="CV54" i="49" s="1"/>
  <c r="CV54" i="50" s="1"/>
  <c r="CV54" i="51" s="1"/>
  <c r="AQ54" i="48"/>
  <c r="AQ54" i="49" s="1"/>
  <c r="AQ54" i="50" s="1"/>
  <c r="AQ54" i="51" s="1"/>
  <c r="AQ53" i="48"/>
  <c r="AQ10" i="49" s="1"/>
  <c r="AM54" i="48"/>
  <c r="AM54" i="49" s="1"/>
  <c r="AM54" i="50" s="1"/>
  <c r="AM54" i="51" s="1"/>
  <c r="AM53" i="48"/>
  <c r="AM10" i="49" s="1"/>
  <c r="Z54" i="48"/>
  <c r="Z54" i="49" s="1"/>
  <c r="Z54" i="50" s="1"/>
  <c r="Z54" i="51" s="1"/>
  <c r="Z53" i="48"/>
  <c r="Z10" i="49" s="1"/>
  <c r="AH54" i="48"/>
  <c r="AH54" i="49" s="1"/>
  <c r="AH54" i="50" s="1"/>
  <c r="AH54" i="51" s="1"/>
  <c r="AH53" i="48"/>
  <c r="AH10" i="49" s="1"/>
  <c r="BQ54" i="48"/>
  <c r="BQ54" i="49" s="1"/>
  <c r="BQ54" i="50" s="1"/>
  <c r="BQ54" i="51" s="1"/>
  <c r="BQ53" i="48"/>
  <c r="BQ10" i="49" s="1"/>
  <c r="CK54" i="48"/>
  <c r="CK54" i="49" s="1"/>
  <c r="CK54" i="50" s="1"/>
  <c r="CK54" i="51" s="1"/>
  <c r="CK53" i="48"/>
  <c r="CK10" i="49" s="1"/>
  <c r="BA54" i="48"/>
  <c r="BA54" i="49" s="1"/>
  <c r="BA54" i="50" s="1"/>
  <c r="BA54" i="51" s="1"/>
  <c r="BA53" i="48"/>
  <c r="BA10" i="49" s="1"/>
  <c r="BR54" i="48"/>
  <c r="BR54" i="49" s="1"/>
  <c r="BR54" i="50" s="1"/>
  <c r="BR54" i="51" s="1"/>
  <c r="BR53" i="48"/>
  <c r="BR10" i="49" s="1"/>
  <c r="F41" i="48"/>
  <c r="CL54"/>
  <c r="CL54" i="49" s="1"/>
  <c r="CL54" i="50" s="1"/>
  <c r="CL54" i="51" s="1"/>
  <c r="F46" i="48"/>
  <c r="CI54"/>
  <c r="CI54" i="49" s="1"/>
  <c r="CI54" i="50" s="1"/>
  <c r="CI54" i="51" s="1"/>
  <c r="BO54" i="48"/>
  <c r="BO54" i="49" s="1"/>
  <c r="BO54" i="50" s="1"/>
  <c r="BO54" i="51" s="1"/>
  <c r="BO53" i="48"/>
  <c r="BO10" i="49" s="1"/>
  <c r="BC54" i="48"/>
  <c r="BC54" i="49" s="1"/>
  <c r="BC54" i="50" s="1"/>
  <c r="BC54" i="51" s="1"/>
  <c r="BC53" i="48"/>
  <c r="BC10" i="49" s="1"/>
  <c r="BC53" s="1"/>
  <c r="BC10" i="50" s="1"/>
  <c r="AP54" i="48"/>
  <c r="AP54" i="49" s="1"/>
  <c r="AP54" i="50" s="1"/>
  <c r="AP54" i="51" s="1"/>
  <c r="AP53" i="48"/>
  <c r="AP10" i="49" s="1"/>
  <c r="AP53" s="1"/>
  <c r="AP10" i="50" s="1"/>
  <c r="BX54" i="48"/>
  <c r="BX54" i="49" s="1"/>
  <c r="BX54" i="50" s="1"/>
  <c r="BX54" i="51" s="1"/>
  <c r="BX53" i="48"/>
  <c r="BX10" i="49" s="1"/>
  <c r="AY54" i="48"/>
  <c r="AY54" i="49" s="1"/>
  <c r="AY54" i="50" s="1"/>
  <c r="AY54" i="51" s="1"/>
  <c r="F40" i="48"/>
  <c r="BU53"/>
  <c r="BU10" i="49" s="1"/>
  <c r="BU54" i="48"/>
  <c r="BU54" i="49" s="1"/>
  <c r="BU54" i="50" s="1"/>
  <c r="BU54" i="51" s="1"/>
  <c r="BI54" i="48"/>
  <c r="BI54" i="49" s="1"/>
  <c r="BI54" i="50" s="1"/>
  <c r="BI54" i="51" s="1"/>
  <c r="BI53" i="48"/>
  <c r="BI10" i="49" s="1"/>
  <c r="AJ54" i="48"/>
  <c r="AJ54" i="49" s="1"/>
  <c r="AJ54" i="50" s="1"/>
  <c r="AJ54" i="51" s="1"/>
  <c r="AJ53" i="48"/>
  <c r="AJ10" i="49" s="1"/>
  <c r="BH54" i="48"/>
  <c r="BH54" i="49" s="1"/>
  <c r="BH54" i="50" s="1"/>
  <c r="BH54" i="51" s="1"/>
  <c r="BH53" i="48"/>
  <c r="BH10" i="49" s="1"/>
  <c r="BH53" s="1"/>
  <c r="BH10" i="50" s="1"/>
  <c r="H77" i="15"/>
  <c r="B87" i="55"/>
  <c r="A87" s="1"/>
  <c r="M20" i="52" l="1"/>
  <c r="J17" i="14"/>
  <c r="I17"/>
  <c r="O20" i="63"/>
  <c r="I37" i="14"/>
  <c r="I38" s="1"/>
  <c r="N20" i="52"/>
  <c r="L20"/>
  <c r="K20"/>
  <c r="CK53" i="49"/>
  <c r="CK10" i="50" s="1"/>
  <c r="M20" i="63"/>
  <c r="L20"/>
  <c r="N20"/>
  <c r="AJ53" i="49"/>
  <c r="AJ10" i="50" s="1"/>
  <c r="BX53" i="49"/>
  <c r="BX10" i="50" s="1"/>
  <c r="BR53" i="49"/>
  <c r="BR10" i="50" s="1"/>
  <c r="AH53" i="49"/>
  <c r="AH10" i="50" s="1"/>
  <c r="AU53" i="49"/>
  <c r="AU10" i="50" s="1"/>
  <c r="CC53" i="49"/>
  <c r="CC10" i="50" s="1"/>
  <c r="CY53" i="49"/>
  <c r="CY10" i="50" s="1"/>
  <c r="AD53" i="49"/>
  <c r="AD10" i="50" s="1"/>
  <c r="J53" i="49"/>
  <c r="J10" i="50" s="1"/>
  <c r="BE53" i="49"/>
  <c r="BE10" i="50" s="1"/>
  <c r="BU53" i="49"/>
  <c r="BU10" i="50" s="1"/>
  <c r="M53" i="49"/>
  <c r="M10" i="50" s="1"/>
  <c r="U53" i="49"/>
  <c r="U10" i="50" s="1"/>
  <c r="X53" i="49"/>
  <c r="X10" i="50" s="1"/>
  <c r="P53" i="49"/>
  <c r="P10" i="50" s="1"/>
  <c r="BW53" i="49"/>
  <c r="BW10" i="50" s="1"/>
  <c r="AM53" i="49"/>
  <c r="AM10" i="50" s="1"/>
  <c r="BJ53" i="49"/>
  <c r="BJ10" i="50" s="1"/>
  <c r="BO53" i="49"/>
  <c r="BO10" i="50" s="1"/>
  <c r="Z53" i="49"/>
  <c r="Z10" i="50" s="1"/>
  <c r="AG53" i="49"/>
  <c r="AG10" i="50" s="1"/>
  <c r="BF53" i="49"/>
  <c r="BF10" i="50" s="1"/>
  <c r="V53" i="49"/>
  <c r="V10" i="50" s="1"/>
  <c r="AS53" i="49"/>
  <c r="AS10" i="50" s="1"/>
  <c r="BA53" i="49"/>
  <c r="BA10" i="50" s="1"/>
  <c r="O53" i="49"/>
  <c r="O10" i="50" s="1"/>
  <c r="BM53" i="49"/>
  <c r="BM10" i="50" s="1"/>
  <c r="AW53" i="49"/>
  <c r="AW10" i="50" s="1"/>
  <c r="BQ53" i="49"/>
  <c r="BQ10" i="50" s="1"/>
  <c r="AX40" i="48"/>
  <c r="AX52" s="1"/>
  <c r="S40"/>
  <c r="S52" s="1"/>
  <c r="DA46"/>
  <c r="CH46"/>
  <c r="CH52" s="1"/>
  <c r="CZ50"/>
  <c r="CW50"/>
  <c r="CW52" s="1"/>
  <c r="AZ53" i="49"/>
  <c r="AZ10" i="50" s="1"/>
  <c r="AC53" i="49"/>
  <c r="AC10" i="50" s="1"/>
  <c r="AC53" s="1"/>
  <c r="AC10" i="51" s="1"/>
  <c r="BV53" i="49"/>
  <c r="BV10" i="50" s="1"/>
  <c r="Y53" i="49"/>
  <c r="Y10" i="50" s="1"/>
  <c r="AO53" i="49"/>
  <c r="AO10" i="50" s="1"/>
  <c r="AO53" s="1"/>
  <c r="AO10" i="51" s="1"/>
  <c r="BN53" i="49"/>
  <c r="BN10" i="50" s="1"/>
  <c r="CZ42" i="48"/>
  <c r="CO42"/>
  <c r="CO52" s="1"/>
  <c r="K53" i="49"/>
  <c r="K10" i="50" s="1"/>
  <c r="AE53" i="49"/>
  <c r="AE10" i="50" s="1"/>
  <c r="AK53" i="49"/>
  <c r="AK10" i="50" s="1"/>
  <c r="CJ53" i="49"/>
  <c r="CJ10" i="50" s="1"/>
  <c r="BB53" i="49"/>
  <c r="BB10" i="50" s="1"/>
  <c r="BB53" s="1"/>
  <c r="BB10" i="51" s="1"/>
  <c r="Q53" i="49"/>
  <c r="Q10" i="50" s="1"/>
  <c r="BD53" i="49"/>
  <c r="BD10" i="50" s="1"/>
  <c r="CB53" i="49"/>
  <c r="CB10" i="50" s="1"/>
  <c r="CQ43" i="48"/>
  <c r="CQ52" s="1"/>
  <c r="CZ43"/>
  <c r="AR53" i="49"/>
  <c r="AR10" i="50" s="1"/>
  <c r="BK53" i="49"/>
  <c r="BK10" i="50" s="1"/>
  <c r="AF53" i="49"/>
  <c r="AF10" i="50" s="1"/>
  <c r="AQ53" i="49"/>
  <c r="AQ10" i="50" s="1"/>
  <c r="AQ53" s="1"/>
  <c r="AQ10" i="51" s="1"/>
  <c r="BP53" i="49"/>
  <c r="BP10" i="50" s="1"/>
  <c r="CZ44" i="48"/>
  <c r="CS44"/>
  <c r="CS52" s="1"/>
  <c r="BS53" i="49"/>
  <c r="BS10" i="50" s="1"/>
  <c r="AT53" i="49"/>
  <c r="AT10" i="50" s="1"/>
  <c r="CF48" i="48"/>
  <c r="CF52" s="1"/>
  <c r="DA48"/>
  <c r="AI53" i="49"/>
  <c r="AI10" i="50" s="1"/>
  <c r="BL53" i="49"/>
  <c r="BL10" i="50" s="1"/>
  <c r="CX53" i="49"/>
  <c r="CX10" i="50" s="1"/>
  <c r="BY53" i="49"/>
  <c r="BY10" i="50" s="1"/>
  <c r="BI53" i="49"/>
  <c r="BI10" i="50" s="1"/>
  <c r="BI53" s="1"/>
  <c r="BI10" i="51" s="1"/>
  <c r="CZ41" i="48"/>
  <c r="CM41"/>
  <c r="CM52" s="1"/>
  <c r="BT53" i="49"/>
  <c r="BT10" i="50" s="1"/>
  <c r="CD47" i="48"/>
  <c r="CD52" s="1"/>
  <c r="DA47"/>
  <c r="AL53" i="49"/>
  <c r="AL10" i="50" s="1"/>
  <c r="AA53" i="49"/>
  <c r="AA10" i="50" s="1"/>
  <c r="CT49" i="48"/>
  <c r="CT52" s="1"/>
  <c r="DA49"/>
  <c r="N53" i="49"/>
  <c r="N10" i="50" s="1"/>
  <c r="AV53" i="49"/>
  <c r="AV10" i="50" s="1"/>
  <c r="L53" i="49"/>
  <c r="L10" i="50" s="1"/>
  <c r="BG53" i="49"/>
  <c r="BG10" i="50" s="1"/>
  <c r="T53" i="49"/>
  <c r="T10" i="50" s="1"/>
  <c r="CA53" i="49"/>
  <c r="CA10" i="50" s="1"/>
  <c r="CA53" s="1"/>
  <c r="CA10" i="51" s="1"/>
  <c r="W53" i="49"/>
  <c r="W10" i="50" s="1"/>
  <c r="B88" i="55"/>
  <c r="AF53" i="50" l="1"/>
  <c r="AF10" i="51" s="1"/>
  <c r="K21" i="52"/>
  <c r="M21" i="63"/>
  <c r="I18" i="14"/>
  <c r="J18"/>
  <c r="J38"/>
  <c r="L21" i="52"/>
  <c r="M21"/>
  <c r="M22" s="1"/>
  <c r="N21"/>
  <c r="N21" i="63"/>
  <c r="BR53" i="50"/>
  <c r="BR10" i="51" s="1"/>
  <c r="P53" i="50"/>
  <c r="P10" i="51" s="1"/>
  <c r="BV53" i="50"/>
  <c r="BV10" i="51" s="1"/>
  <c r="O21" i="63"/>
  <c r="L21"/>
  <c r="L53" i="50"/>
  <c r="L10" i="51" s="1"/>
  <c r="AI53" i="50"/>
  <c r="AI10" i="51" s="1"/>
  <c r="BG53" i="50"/>
  <c r="BG10" i="51" s="1"/>
  <c r="AA53" i="50"/>
  <c r="AA10" i="51" s="1"/>
  <c r="BT53" i="50"/>
  <c r="BT10" i="51" s="1"/>
  <c r="AT53" i="50"/>
  <c r="AT10" i="51" s="1"/>
  <c r="AR53" i="50"/>
  <c r="AR10" i="51" s="1"/>
  <c r="AK53" i="50"/>
  <c r="AK10" i="51" s="1"/>
  <c r="K53" i="50"/>
  <c r="K10" i="51" s="1"/>
  <c r="AZ53" i="50"/>
  <c r="AZ10" i="51" s="1"/>
  <c r="X53" i="50"/>
  <c r="X10" i="51" s="1"/>
  <c r="BY53" i="50"/>
  <c r="BY10" i="51" s="1"/>
  <c r="CB53" i="50"/>
  <c r="CB10" i="51" s="1"/>
  <c r="AE53" i="50"/>
  <c r="AE10" i="51" s="1"/>
  <c r="BW53" i="50"/>
  <c r="BW10" i="51" s="1"/>
  <c r="Y53" i="50"/>
  <c r="Y10" i="51" s="1"/>
  <c r="AV53" i="50"/>
  <c r="AV10" i="51" s="1"/>
  <c r="AS53" i="50"/>
  <c r="AS10" i="51" s="1"/>
  <c r="J53" i="50"/>
  <c r="J10" i="51" s="1"/>
  <c r="BA53" i="50"/>
  <c r="BA10" i="51" s="1"/>
  <c r="BK53" i="50"/>
  <c r="BK10" i="51" s="1"/>
  <c r="Q53" i="50"/>
  <c r="Q10" i="51" s="1"/>
  <c r="W53" i="50"/>
  <c r="W10" i="51" s="1"/>
  <c r="CZ52" i="48"/>
  <c r="CZ54" s="1"/>
  <c r="CZ54" i="49" s="1"/>
  <c r="CZ54" i="50" s="1"/>
  <c r="CZ54" i="51" s="1"/>
  <c r="AJ53" i="50"/>
  <c r="AJ10" i="51" s="1"/>
  <c r="T53" i="50"/>
  <c r="T10" i="51" s="1"/>
  <c r="AL53" i="50"/>
  <c r="AL10" i="51" s="1"/>
  <c r="BO53" i="50"/>
  <c r="BO10" i="51" s="1"/>
  <c r="N53" i="50"/>
  <c r="N10" i="51" s="1"/>
  <c r="AB53" i="50"/>
  <c r="AB10" i="51" s="1"/>
  <c r="AB53" s="1"/>
  <c r="CC53" i="50"/>
  <c r="CC10" i="51" s="1"/>
  <c r="BP53" i="50"/>
  <c r="BP10" i="51" s="1"/>
  <c r="BC53" i="50"/>
  <c r="BC10" i="51" s="1"/>
  <c r="BC53" s="1"/>
  <c r="AD53" i="50"/>
  <c r="AD10" i="51" s="1"/>
  <c r="BQ53" i="50"/>
  <c r="BQ10" i="51" s="1"/>
  <c r="BH53" i="50"/>
  <c r="BH10" i="51" s="1"/>
  <c r="BH53" s="1"/>
  <c r="CF54" i="48"/>
  <c r="CF54" i="49" s="1"/>
  <c r="CF54" i="50" s="1"/>
  <c r="CF54" i="51" s="1"/>
  <c r="CF53" i="48"/>
  <c r="CF10" i="49" s="1"/>
  <c r="CG53" i="48"/>
  <c r="CG10" i="49" s="1"/>
  <c r="CS54" i="48"/>
  <c r="CS54" i="49" s="1"/>
  <c r="CS54" i="50" s="1"/>
  <c r="CS54" i="51" s="1"/>
  <c r="CS53" i="48"/>
  <c r="CS10" i="49" s="1"/>
  <c r="CR53" i="48"/>
  <c r="CR10" i="49" s="1"/>
  <c r="Z53" i="50"/>
  <c r="Z10" i="51" s="1"/>
  <c r="AU53" i="50"/>
  <c r="AU10" i="51" s="1"/>
  <c r="CO53" i="48"/>
  <c r="CO10" i="49" s="1"/>
  <c r="CO54" i="48"/>
  <c r="CO54" i="49" s="1"/>
  <c r="CO54" i="50" s="1"/>
  <c r="CO54" i="51" s="1"/>
  <c r="CN53" i="48"/>
  <c r="CN10" i="49" s="1"/>
  <c r="AN53" i="50"/>
  <c r="AN10" i="51" s="1"/>
  <c r="AN53" s="1"/>
  <c r="BS53" i="50"/>
  <c r="BS10" i="51" s="1"/>
  <c r="BN53" i="50"/>
  <c r="BN10" i="51" s="1"/>
  <c r="CT53" i="48"/>
  <c r="CT10" i="49" s="1"/>
  <c r="CT54" i="48"/>
  <c r="CT54" i="49" s="1"/>
  <c r="CT54" i="50" s="1"/>
  <c r="CT54" i="51" s="1"/>
  <c r="CU53" i="48"/>
  <c r="CU10" i="49" s="1"/>
  <c r="CY53" i="50"/>
  <c r="CY10" i="51" s="1"/>
  <c r="CX53" i="50"/>
  <c r="CX10" i="51" s="1"/>
  <c r="BU53" i="50"/>
  <c r="BU10" i="51" s="1"/>
  <c r="BE53" i="50"/>
  <c r="BE10" i="51" s="1"/>
  <c r="BD53" i="50"/>
  <c r="BD10" i="51" s="1"/>
  <c r="AM53" i="50"/>
  <c r="AM10" i="51" s="1"/>
  <c r="CH53" i="48"/>
  <c r="CH10" i="49" s="1"/>
  <c r="CH54" i="48"/>
  <c r="CH54" i="49" s="1"/>
  <c r="CH54" i="50" s="1"/>
  <c r="CH54" i="51" s="1"/>
  <c r="CI53" i="48"/>
  <c r="CI10" i="49" s="1"/>
  <c r="AP53" i="50"/>
  <c r="AP10" i="51" s="1"/>
  <c r="AP53" s="1"/>
  <c r="CM53" i="48"/>
  <c r="CM10" i="49" s="1"/>
  <c r="CM54" i="48"/>
  <c r="CM54" i="49" s="1"/>
  <c r="CM54" i="50" s="1"/>
  <c r="CM54" i="51" s="1"/>
  <c r="CL53" i="48"/>
  <c r="CL10" i="49" s="1"/>
  <c r="BX53" i="50"/>
  <c r="BX10" i="51" s="1"/>
  <c r="BM53" i="50"/>
  <c r="BM10" i="51" s="1"/>
  <c r="BL53" i="50"/>
  <c r="BL10" i="51" s="1"/>
  <c r="M53" i="50"/>
  <c r="M10" i="51" s="1"/>
  <c r="BF53" i="50"/>
  <c r="BF10" i="51" s="1"/>
  <c r="CW54" i="48"/>
  <c r="CW54" i="49" s="1"/>
  <c r="CW54" i="50" s="1"/>
  <c r="CW54" i="51" s="1"/>
  <c r="CW53" i="48"/>
  <c r="CW10" i="49" s="1"/>
  <c r="CV53" i="48"/>
  <c r="CV10" i="49" s="1"/>
  <c r="AH53" i="50"/>
  <c r="AH10" i="51" s="1"/>
  <c r="S54" i="48"/>
  <c r="S54" i="49" s="1"/>
  <c r="S54" i="50" s="1"/>
  <c r="S54" i="51" s="1"/>
  <c r="S53" i="48"/>
  <c r="S10" i="49" s="1"/>
  <c r="R53" i="48"/>
  <c r="R10" i="49" s="1"/>
  <c r="BZ53" i="50"/>
  <c r="BZ10" i="51" s="1"/>
  <c r="U53" i="50"/>
  <c r="U10" i="51" s="1"/>
  <c r="CD54" i="48"/>
  <c r="CD54" i="49" s="1"/>
  <c r="CD54" i="50" s="1"/>
  <c r="CD54" i="51" s="1"/>
  <c r="CD53" i="48"/>
  <c r="CD10" i="49" s="1"/>
  <c r="CE53" i="48"/>
  <c r="CE10" i="49" s="1"/>
  <c r="V53" i="50"/>
  <c r="V10" i="51" s="1"/>
  <c r="AW53" i="50"/>
  <c r="AW10" i="51" s="1"/>
  <c r="DA52" i="48"/>
  <c r="CQ53"/>
  <c r="CQ10" i="49" s="1"/>
  <c r="CQ54" i="48"/>
  <c r="CQ54" i="49" s="1"/>
  <c r="CQ54" i="50" s="1"/>
  <c r="CQ54" i="51" s="1"/>
  <c r="CP53" i="48"/>
  <c r="CP10" i="49" s="1"/>
  <c r="O53" i="50"/>
  <c r="O10" i="51" s="1"/>
  <c r="CK53" i="50"/>
  <c r="CK10" i="51" s="1"/>
  <c r="CJ53" i="50"/>
  <c r="CJ10" i="51" s="1"/>
  <c r="AG53" i="50"/>
  <c r="AG10" i="51" s="1"/>
  <c r="BJ53" i="50"/>
  <c r="BJ10" i="51" s="1"/>
  <c r="AX54" i="48"/>
  <c r="AX54" i="49" s="1"/>
  <c r="AX54" i="50" s="1"/>
  <c r="AX54" i="51" s="1"/>
  <c r="AX53" i="48"/>
  <c r="AX10" i="49" s="1"/>
  <c r="AY53" i="48"/>
  <c r="AY10" i="49" s="1"/>
  <c r="B89" i="55"/>
  <c r="A88"/>
  <c r="AG53" i="51" l="1"/>
  <c r="O22" i="63"/>
  <c r="J19" i="14"/>
  <c r="I19"/>
  <c r="N22" i="52"/>
  <c r="AU53" i="51"/>
  <c r="BA53"/>
  <c r="L22" i="63"/>
  <c r="K22" i="52"/>
  <c r="K23" s="1"/>
  <c r="K24" s="1"/>
  <c r="J53" i="51"/>
  <c r="Q53"/>
  <c r="AJ53"/>
  <c r="P53"/>
  <c r="L22" i="52"/>
  <c r="L23" s="1"/>
  <c r="L24" s="1"/>
  <c r="M23"/>
  <c r="N23"/>
  <c r="BS53" i="51"/>
  <c r="AK53"/>
  <c r="AH53"/>
  <c r="AZ53"/>
  <c r="AT53"/>
  <c r="AA53"/>
  <c r="BY53"/>
  <c r="Z53"/>
  <c r="M53"/>
  <c r="CB53"/>
  <c r="BV53"/>
  <c r="O53"/>
  <c r="V53"/>
  <c r="BB53"/>
  <c r="AM53"/>
  <c r="AD53"/>
  <c r="BW53"/>
  <c r="M22" i="63"/>
  <c r="M23" s="1"/>
  <c r="N22"/>
  <c r="BU53" i="51"/>
  <c r="Y53"/>
  <c r="AR53"/>
  <c r="BF53"/>
  <c r="AS53"/>
  <c r="X53"/>
  <c r="AO53"/>
  <c r="CC53"/>
  <c r="BJ53"/>
  <c r="AQ53"/>
  <c r="AW53"/>
  <c r="U53"/>
  <c r="BT53"/>
  <c r="K53"/>
  <c r="BI53"/>
  <c r="BN53"/>
  <c r="AE53"/>
  <c r="AC53"/>
  <c r="BQ53"/>
  <c r="AY53" i="49"/>
  <c r="AY10" i="50" s="1"/>
  <c r="CK53" i="51"/>
  <c r="L53"/>
  <c r="CH53" i="49"/>
  <c r="CH10" i="50" s="1"/>
  <c r="BP53" i="51"/>
  <c r="CX53"/>
  <c r="BM53"/>
  <c r="CR53" i="49"/>
  <c r="CR10" i="50" s="1"/>
  <c r="CW53" i="49"/>
  <c r="CW10" i="50" s="1"/>
  <c r="CQ53" i="49"/>
  <c r="CQ10" i="50" s="1"/>
  <c r="CM53" i="49"/>
  <c r="CM10" i="50" s="1"/>
  <c r="CU53" i="49"/>
  <c r="CU10" i="50" s="1"/>
  <c r="CN53" i="49"/>
  <c r="CN10" i="50" s="1"/>
  <c r="CJ53" i="51"/>
  <c r="CE53" i="49"/>
  <c r="CE10" i="50" s="1"/>
  <c r="BD53" i="51"/>
  <c r="CG53" i="49"/>
  <c r="CG10" i="50" s="1"/>
  <c r="DA54" i="48"/>
  <c r="DA54" i="49" s="1"/>
  <c r="DA54" i="50" s="1"/>
  <c r="DA54" i="51" s="1"/>
  <c r="DA53" i="48"/>
  <c r="DA10" i="49" s="1"/>
  <c r="W53" i="51"/>
  <c r="BL53"/>
  <c r="AL53"/>
  <c r="BE53"/>
  <c r="CT53" i="49"/>
  <c r="CT10" i="50" s="1"/>
  <c r="CO53" i="49"/>
  <c r="CO10" i="50" s="1"/>
  <c r="BK53" i="51"/>
  <c r="BX53"/>
  <c r="CZ53" i="48"/>
  <c r="CZ10" i="49" s="1"/>
  <c r="T53" i="51"/>
  <c r="AV53"/>
  <c r="AF53"/>
  <c r="CA53"/>
  <c r="BZ53"/>
  <c r="N53"/>
  <c r="CF53" i="49"/>
  <c r="CF10" i="50" s="1"/>
  <c r="AI53" i="51"/>
  <c r="BR53"/>
  <c r="AX53" i="49"/>
  <c r="AX10" i="50" s="1"/>
  <c r="CP53" i="49"/>
  <c r="CP10" i="50" s="1"/>
  <c r="CD53" i="49"/>
  <c r="CD10" i="50" s="1"/>
  <c r="S53" i="49"/>
  <c r="S10" i="50" s="1"/>
  <c r="R53" i="49"/>
  <c r="R10" i="50" s="1"/>
  <c r="CV53" i="49"/>
  <c r="CV10" i="50" s="1"/>
  <c r="CL53" i="49"/>
  <c r="CL10" i="50" s="1"/>
  <c r="BG53" i="51"/>
  <c r="CI53" i="49"/>
  <c r="CI10" i="50" s="1"/>
  <c r="CY53" i="51"/>
  <c r="CS53" i="49"/>
  <c r="CS10" i="50" s="1"/>
  <c r="BO53" i="51"/>
  <c r="A89" i="55"/>
  <c r="B90"/>
  <c r="I20" i="14" l="1"/>
  <c r="J20"/>
  <c r="N23" i="63"/>
  <c r="CI53" i="50"/>
  <c r="CI10" i="51" s="1"/>
  <c r="L23" i="63"/>
  <c r="O23"/>
  <c r="O24" s="1"/>
  <c r="CP53" i="50"/>
  <c r="CP10" i="51" s="1"/>
  <c r="AX53" i="50"/>
  <c r="AX10" i="51" s="1"/>
  <c r="CV53" i="50"/>
  <c r="CV10" i="51" s="1"/>
  <c r="CG53" i="50"/>
  <c r="CG10" i="51" s="1"/>
  <c r="R53" i="50"/>
  <c r="R10" i="51" s="1"/>
  <c r="CS53" i="50"/>
  <c r="CS10" i="51" s="1"/>
  <c r="CL53" i="50"/>
  <c r="CL10" i="51" s="1"/>
  <c r="CD53" i="50"/>
  <c r="CD10" i="51" s="1"/>
  <c r="CZ53" i="49"/>
  <c r="CZ10" i="50" s="1"/>
  <c r="AY53"/>
  <c r="AY10" i="51" s="1"/>
  <c r="CT53" i="50"/>
  <c r="CT10" i="51" s="1"/>
  <c r="CU53" i="50"/>
  <c r="CU10" i="51" s="1"/>
  <c r="S53" i="50"/>
  <c r="S10" i="51" s="1"/>
  <c r="S53" s="1"/>
  <c r="CR53" i="50"/>
  <c r="CR10" i="51" s="1"/>
  <c r="CF53" i="50"/>
  <c r="CF10" i="51" s="1"/>
  <c r="CM53" i="50"/>
  <c r="CM10" i="51" s="1"/>
  <c r="CW53" i="50"/>
  <c r="CW10" i="51" s="1"/>
  <c r="CH53" i="50"/>
  <c r="CH10" i="51" s="1"/>
  <c r="CN53" i="50"/>
  <c r="CN10" i="51" s="1"/>
  <c r="CO53" i="50"/>
  <c r="CO10" i="51" s="1"/>
  <c r="CQ53" i="50"/>
  <c r="CQ10" i="51" s="1"/>
  <c r="DA53" i="49"/>
  <c r="DA10" i="50" s="1"/>
  <c r="CE53"/>
  <c r="CE10" i="51" s="1"/>
  <c r="A90" i="55"/>
  <c r="B91"/>
  <c r="J21" i="14" l="1"/>
  <c r="I21"/>
  <c r="CH53" i="51"/>
  <c r="L24" i="63"/>
  <c r="CQ53" i="51"/>
  <c r="M24" i="63"/>
  <c r="M25" s="1"/>
  <c r="N24"/>
  <c r="AY53" i="51"/>
  <c r="CW53"/>
  <c r="CM53"/>
  <c r="CT53"/>
  <c r="CF53"/>
  <c r="CE53"/>
  <c r="CR53"/>
  <c r="CO53"/>
  <c r="AX53"/>
  <c r="DA53" i="50"/>
  <c r="DA10" i="51" s="1"/>
  <c r="CU53"/>
  <c r="R53"/>
  <c r="CV53"/>
  <c r="CL53"/>
  <c r="CD53"/>
  <c r="CN53"/>
  <c r="CS53"/>
  <c r="CP53"/>
  <c r="CZ53" i="50"/>
  <c r="CZ10" i="51" s="1"/>
  <c r="CI53"/>
  <c r="CG53"/>
  <c r="A91" i="55"/>
  <c r="B92"/>
  <c r="N25" i="63" l="1"/>
  <c r="I22" i="14"/>
  <c r="J22"/>
  <c r="L25" i="63"/>
  <c r="O25"/>
  <c r="M26" s="1"/>
  <c r="CZ53" i="51"/>
  <c r="DA53"/>
  <c r="A92" i="55"/>
  <c r="B93"/>
  <c r="J23" i="14" l="1"/>
  <c r="I23"/>
  <c r="L26" i="63"/>
  <c r="N26"/>
  <c r="O26"/>
  <c r="O27" s="1"/>
  <c r="B94" i="55"/>
  <c r="A93"/>
  <c r="I24" i="14" l="1"/>
  <c r="J24"/>
  <c r="N27" i="63"/>
  <c r="L27"/>
  <c r="M27"/>
  <c r="M28" s="1"/>
  <c r="B95" i="55"/>
  <c r="A94"/>
  <c r="J25" i="14" l="1"/>
  <c r="I25"/>
  <c r="L28" i="63"/>
  <c r="N28"/>
  <c r="O28"/>
  <c r="M29" s="1"/>
  <c r="A95" i="55"/>
  <c r="B96"/>
  <c r="I26" i="14" l="1"/>
  <c r="J26"/>
  <c r="N29" i="63"/>
  <c r="L29"/>
  <c r="O29"/>
  <c r="O30" s="1"/>
  <c r="A96" i="55"/>
  <c r="B97"/>
  <c r="L30" i="63" l="1"/>
  <c r="N30"/>
  <c r="M30"/>
  <c r="O31" s="1"/>
  <c r="B98" i="55"/>
  <c r="A97"/>
  <c r="N31" i="63" l="1"/>
  <c r="L31"/>
  <c r="L32" s="1"/>
  <c r="M31"/>
  <c r="M32" s="1"/>
  <c r="B99" i="55"/>
  <c r="A98"/>
  <c r="N32" i="63" l="1"/>
  <c r="N33" s="1"/>
  <c r="L33"/>
  <c r="L34" s="1"/>
  <c r="O32"/>
  <c r="O33" s="1"/>
  <c r="A99" i="55"/>
  <c r="B100"/>
  <c r="N34" i="63" l="1"/>
  <c r="L35" s="1"/>
  <c r="M33"/>
  <c r="O34" s="1"/>
  <c r="A100" i="55"/>
  <c r="B101"/>
  <c r="N35" i="63" l="1"/>
  <c r="L36" s="1"/>
  <c r="M34"/>
  <c r="M35" s="1"/>
  <c r="N36"/>
  <c r="A101" i="55"/>
  <c r="B102"/>
  <c r="J87" i="60"/>
  <c r="J89"/>
  <c r="J91"/>
  <c r="J90"/>
  <c r="J88"/>
  <c r="J86"/>
  <c r="K91"/>
  <c r="K87"/>
  <c r="K89"/>
  <c r="K88"/>
  <c r="K90"/>
  <c r="I87"/>
  <c r="I89"/>
  <c r="I88"/>
  <c r="I90"/>
  <c r="I91"/>
  <c r="H90"/>
  <c r="H87"/>
  <c r="H88"/>
  <c r="H89"/>
  <c r="I86"/>
  <c r="H86"/>
  <c r="H91"/>
  <c r="K86"/>
  <c r="A102" i="55" l="1"/>
  <c r="B103"/>
  <c r="A103" s="1"/>
  <c r="N90" i="60"/>
  <c r="P90" s="1"/>
  <c r="N91"/>
  <c r="P91" s="1"/>
  <c r="O35" i="63"/>
  <c r="M36" s="1"/>
  <c r="N86" i="60"/>
  <c r="P86" s="1"/>
  <c r="L37" i="63"/>
  <c r="N37"/>
  <c r="N87" i="60"/>
  <c r="P87" s="1"/>
  <c r="N89"/>
  <c r="P89" s="1"/>
  <c r="N88"/>
  <c r="P88" s="1"/>
  <c r="O36" i="63" l="1"/>
  <c r="O37" s="1"/>
  <c r="M37"/>
  <c r="M38" s="1"/>
  <c r="N38"/>
  <c r="L38"/>
  <c r="N93" i="60"/>
  <c r="D125"/>
  <c r="D127" s="1"/>
  <c r="N39" i="63" l="1"/>
  <c r="O38"/>
  <c r="O39" s="1"/>
  <c r="L39"/>
  <c r="N40"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N118" s="1"/>
  <c r="P118" s="1"/>
  <c r="H121"/>
  <c r="G125"/>
  <c r="M39" i="63" l="1"/>
  <c r="L40"/>
  <c r="L41" s="1"/>
  <c r="N121" i="60"/>
  <c r="P121" s="1"/>
  <c r="N120"/>
  <c r="P120" s="1"/>
  <c r="N122"/>
  <c r="P122" s="1"/>
  <c r="N123"/>
  <c r="P123" s="1"/>
  <c r="N113"/>
  <c r="P113" s="1"/>
  <c r="N116"/>
  <c r="P116" s="1"/>
  <c r="N111"/>
  <c r="P111" s="1"/>
  <c r="N115"/>
  <c r="P115" s="1"/>
  <c r="N117"/>
  <c r="P117" s="1"/>
  <c r="N112"/>
  <c r="P112" s="1"/>
  <c r="G127"/>
  <c r="N125"/>
  <c r="P125" s="1"/>
  <c r="N114"/>
  <c r="P114" s="1"/>
  <c r="N119"/>
  <c r="P119" s="1"/>
  <c r="N124"/>
  <c r="P124" s="1"/>
  <c r="N41" i="63" l="1"/>
  <c r="N42" s="1"/>
  <c r="O40"/>
  <c r="M40"/>
  <c r="N127" i="60"/>
  <c r="L42" i="63" l="1"/>
  <c r="L43" s="1"/>
  <c r="O41"/>
  <c r="M41"/>
  <c r="N43" l="1"/>
  <c r="N44" s="1"/>
  <c r="M42"/>
  <c r="O42"/>
  <c r="L44" l="1"/>
  <c r="L45" s="1"/>
  <c r="O43"/>
  <c r="M43"/>
  <c r="M44" l="1"/>
  <c r="N45"/>
  <c r="N46" s="1"/>
  <c r="O44"/>
  <c r="O45" s="1"/>
  <c r="L46" l="1"/>
  <c r="L47" s="1"/>
  <c r="M45"/>
  <c r="M46" s="1"/>
  <c r="N47" l="1"/>
  <c r="O46"/>
  <c r="O47" s="1"/>
  <c r="L48" l="1"/>
  <c r="N48"/>
  <c r="M47"/>
  <c r="M48" s="1"/>
  <c r="L49" l="1"/>
  <c r="N49"/>
  <c r="O48"/>
  <c r="O49" s="1"/>
  <c r="L50" l="1"/>
  <c r="N50"/>
  <c r="M49"/>
  <c r="M50" s="1"/>
  <c r="N51" l="1"/>
  <c r="L51"/>
  <c r="O50"/>
  <c r="O51" s="1"/>
  <c r="L52" l="1"/>
  <c r="N52"/>
  <c r="M51"/>
  <c r="M52" s="1"/>
  <c r="N53" l="1"/>
  <c r="L53"/>
  <c r="O52"/>
  <c r="O53" s="1"/>
  <c r="L54" l="1"/>
  <c r="N54"/>
  <c r="M53"/>
  <c r="M54" s="1"/>
  <c r="N55" l="1"/>
  <c r="L55"/>
  <c r="O54"/>
  <c r="O55" s="1"/>
  <c r="L56" l="1"/>
  <c r="N56"/>
  <c r="M55"/>
  <c r="M56" s="1"/>
  <c r="N57" l="1"/>
  <c r="L57"/>
  <c r="O56"/>
  <c r="O57" s="1"/>
  <c r="L58" l="1"/>
  <c r="N58"/>
  <c r="M57"/>
  <c r="M58" s="1"/>
  <c r="N59" l="1"/>
  <c r="L59"/>
  <c r="O58"/>
  <c r="O59" s="1"/>
  <c r="L60" l="1"/>
  <c r="N60"/>
  <c r="M59"/>
  <c r="M60" s="1"/>
  <c r="N61" l="1"/>
  <c r="L61"/>
  <c r="O60"/>
  <c r="O61" s="1"/>
  <c r="L62" l="1"/>
  <c r="N62"/>
  <c r="M61"/>
  <c r="M62" s="1"/>
  <c r="N63" l="1"/>
  <c r="L63"/>
  <c r="O62"/>
  <c r="O63" s="1"/>
  <c r="L64" l="1"/>
  <c r="N64"/>
  <c r="M63"/>
  <c r="M64" s="1"/>
  <c r="L65" l="1"/>
  <c r="N65"/>
  <c r="O64"/>
  <c r="O65" s="1"/>
  <c r="N66" l="1"/>
  <c r="L66"/>
  <c r="M65"/>
  <c r="M66" s="1"/>
  <c r="L67" l="1"/>
  <c r="N67"/>
  <c r="O66"/>
  <c r="O67" s="1"/>
  <c r="N68" l="1"/>
  <c r="L68"/>
  <c r="M67"/>
  <c r="M68" s="1"/>
  <c r="O68" l="1"/>
  <c r="A83" i="47" l="1"/>
  <c r="J83" s="1"/>
  <c r="AD1726" i="34"/>
  <c r="A67" i="47"/>
  <c r="J67" s="1"/>
  <c r="AD1727" i="34"/>
  <c r="A84" i="47"/>
  <c r="J84" s="1"/>
  <c r="A95"/>
  <c r="J95" s="1"/>
  <c r="AD1552" i="34"/>
  <c r="A81" i="47"/>
  <c r="J81" s="1"/>
  <c r="AD1553" i="34"/>
  <c r="A82" i="47"/>
  <c r="J82" s="1"/>
  <c r="AD1418" i="34"/>
  <c r="A65" i="47"/>
  <c r="J65" s="1"/>
  <c r="AD1554" i="34"/>
  <c r="A94" i="47"/>
  <c r="J94" s="1"/>
  <c r="AD1344" i="34"/>
  <c r="A64" i="47"/>
  <c r="J64" s="1"/>
  <c r="E1344" i="34"/>
  <c r="C128" i="47" s="1"/>
  <c r="Q1344" i="34"/>
  <c r="E1726"/>
  <c r="E1727"/>
  <c r="C95" i="47"/>
  <c r="A97"/>
  <c r="J97" s="1"/>
  <c r="E1554" i="34"/>
  <c r="Q1554"/>
  <c r="E1553"/>
  <c r="E1552"/>
  <c r="E1418"/>
  <c r="Q1418"/>
  <c r="AD1313"/>
  <c r="A63" i="47"/>
  <c r="J63" s="1"/>
  <c r="Q1313" i="34"/>
  <c r="S1313"/>
  <c r="E1313"/>
  <c r="C175" i="47" l="1"/>
  <c r="C174"/>
  <c r="C144"/>
  <c r="I28" i="69"/>
  <c r="C151" i="47"/>
  <c r="C147"/>
  <c r="C161"/>
  <c r="C157"/>
  <c r="AA1313" i="34"/>
  <c r="C27" i="47"/>
  <c r="AA1726" i="34"/>
  <c r="C32" i="47"/>
  <c r="AA1418" i="34"/>
  <c r="C29" i="47"/>
  <c r="AA1553" i="34"/>
  <c r="C33" i="47"/>
  <c r="C94"/>
  <c r="C35"/>
  <c r="C81"/>
  <c r="C31"/>
  <c r="AA1727" i="34"/>
  <c r="C34" i="47"/>
  <c r="C30"/>
  <c r="C64"/>
  <c r="C28"/>
  <c r="B22" i="69"/>
  <c r="F22" s="1"/>
  <c r="B34"/>
  <c r="F34" s="1"/>
  <c r="B19"/>
  <c r="E19" s="1"/>
  <c r="B31"/>
  <c r="B37"/>
  <c r="J37" s="1"/>
  <c r="B32"/>
  <c r="C32" s="1"/>
  <c r="B15"/>
  <c r="F15" s="1"/>
  <c r="Q1553" i="34"/>
  <c r="R1726"/>
  <c r="Q1552"/>
  <c r="R1313"/>
  <c r="B30" i="69"/>
  <c r="E30" s="1"/>
  <c r="B23"/>
  <c r="E23" s="1"/>
  <c r="B27"/>
  <c r="F27" s="1"/>
  <c r="B35"/>
  <c r="E35" s="1"/>
  <c r="B28"/>
  <c r="C28" s="1"/>
  <c r="B26"/>
  <c r="F26" s="1"/>
  <c r="B29"/>
  <c r="E29" s="1"/>
  <c r="C63" i="47"/>
  <c r="S1418" i="34"/>
  <c r="R1552"/>
  <c r="S1553"/>
  <c r="S1554"/>
  <c r="B40" i="69"/>
  <c r="B33"/>
  <c r="R1418" i="34"/>
  <c r="S1552"/>
  <c r="R1553"/>
  <c r="R1554"/>
  <c r="Q1727"/>
  <c r="S1727"/>
  <c r="S1726"/>
  <c r="R1344"/>
  <c r="D13" i="39"/>
  <c r="B14" i="69"/>
  <c r="B17"/>
  <c r="B16"/>
  <c r="B18"/>
  <c r="B21"/>
  <c r="B25"/>
  <c r="E32"/>
  <c r="F32"/>
  <c r="B39"/>
  <c r="B36"/>
  <c r="E31"/>
  <c r="C31"/>
  <c r="F31"/>
  <c r="B38"/>
  <c r="B20"/>
  <c r="B24"/>
  <c r="AA1554" i="34"/>
  <c r="AA1552"/>
  <c r="AA1344"/>
  <c r="C97" i="47"/>
  <c r="C84"/>
  <c r="C82"/>
  <c r="C83"/>
  <c r="C65"/>
  <c r="C67"/>
  <c r="A40" i="69"/>
  <c r="G17"/>
  <c r="D36"/>
  <c r="H29"/>
  <c r="D35"/>
  <c r="D15"/>
  <c r="H15"/>
  <c r="D34"/>
  <c r="D30"/>
  <c r="H30"/>
  <c r="A17"/>
  <c r="H16"/>
  <c r="G33"/>
  <c r="H20"/>
  <c r="H37"/>
  <c r="H35"/>
  <c r="A33"/>
  <c r="A36"/>
  <c r="A37"/>
  <c r="G14"/>
  <c r="A32"/>
  <c r="H34"/>
  <c r="A21"/>
  <c r="A18"/>
  <c r="G24"/>
  <c r="I21"/>
  <c r="H40"/>
  <c r="H27"/>
  <c r="I33"/>
  <c r="G26"/>
  <c r="G30"/>
  <c r="G21"/>
  <c r="D37"/>
  <c r="A25"/>
  <c r="D20"/>
  <c r="A22"/>
  <c r="G23"/>
  <c r="G15"/>
  <c r="D38"/>
  <c r="I39"/>
  <c r="A27"/>
  <c r="D17"/>
  <c r="H25"/>
  <c r="I22"/>
  <c r="I20"/>
  <c r="D39"/>
  <c r="A31"/>
  <c r="I16"/>
  <c r="D22"/>
  <c r="G18"/>
  <c r="I15"/>
  <c r="G28"/>
  <c r="G37"/>
  <c r="I30"/>
  <c r="I38"/>
  <c r="G36"/>
  <c r="A34"/>
  <c r="H17"/>
  <c r="D40"/>
  <c r="D14"/>
  <c r="G34"/>
  <c r="I40"/>
  <c r="H36"/>
  <c r="H26"/>
  <c r="D32"/>
  <c r="I34"/>
  <c r="I25"/>
  <c r="R1727" i="34"/>
  <c r="Q1726"/>
  <c r="B69" i="42" s="1"/>
  <c r="S1344" i="34"/>
  <c r="I37" i="69"/>
  <c r="H23"/>
  <c r="H38"/>
  <c r="I17"/>
  <c r="I14"/>
  <c r="I35"/>
  <c r="A24"/>
  <c r="H39"/>
  <c r="I23"/>
  <c r="G32"/>
  <c r="H28"/>
  <c r="J28" s="1"/>
  <c r="G35"/>
  <c r="G27"/>
  <c r="H18"/>
  <c r="A16"/>
  <c r="H14"/>
  <c r="I18"/>
  <c r="A15"/>
  <c r="A39"/>
  <c r="D19"/>
  <c r="G25"/>
  <c r="A26"/>
  <c r="H32"/>
  <c r="I19"/>
  <c r="G20"/>
  <c r="D16"/>
  <c r="A19"/>
  <c r="D26"/>
  <c r="A23"/>
  <c r="H21"/>
  <c r="A30"/>
  <c r="D23"/>
  <c r="G29"/>
  <c r="I27"/>
  <c r="H19"/>
  <c r="H31"/>
  <c r="I24"/>
  <c r="D27"/>
  <c r="G22"/>
  <c r="H33"/>
  <c r="G40"/>
  <c r="D31"/>
  <c r="D18"/>
  <c r="A29"/>
  <c r="G31"/>
  <c r="I31"/>
  <c r="D21"/>
  <c r="H22"/>
  <c r="J22" s="1"/>
  <c r="D24"/>
  <c r="G38"/>
  <c r="I32"/>
  <c r="G16"/>
  <c r="I36"/>
  <c r="I26"/>
  <c r="A28"/>
  <c r="D25"/>
  <c r="H24"/>
  <c r="D29"/>
  <c r="D33"/>
  <c r="A35"/>
  <c r="D28"/>
  <c r="A14"/>
  <c r="G39"/>
  <c r="G19"/>
  <c r="A38"/>
  <c r="I29"/>
  <c r="A20"/>
  <c r="A100" i="42"/>
  <c r="D96"/>
  <c r="F101"/>
  <c r="C98"/>
  <c r="C85"/>
  <c r="H57"/>
  <c r="F49"/>
  <c r="B36"/>
  <c r="G36"/>
  <c r="A38"/>
  <c r="D15"/>
  <c r="G47"/>
  <c r="G60"/>
  <c r="D94"/>
  <c r="B90"/>
  <c r="C90"/>
  <c r="A69" l="1"/>
  <c r="H30"/>
  <c r="D90"/>
  <c r="F76"/>
  <c r="F19"/>
  <c r="D95"/>
  <c r="H32"/>
  <c r="A95"/>
  <c r="A84"/>
  <c r="D70"/>
  <c r="H22"/>
  <c r="B51"/>
  <c r="F83"/>
  <c r="F74"/>
  <c r="C104"/>
  <c r="D78"/>
  <c r="F94"/>
  <c r="E15" i="69"/>
  <c r="C22"/>
  <c r="B32" i="42"/>
  <c r="B44"/>
  <c r="F30"/>
  <c r="A62"/>
  <c r="A16"/>
  <c r="C88"/>
  <c r="C54"/>
  <c r="D49"/>
  <c r="F17"/>
  <c r="D38"/>
  <c r="C45"/>
  <c r="F32"/>
  <c r="B102"/>
  <c r="B58"/>
  <c r="A32"/>
  <c r="C58"/>
  <c r="H72"/>
  <c r="G59"/>
  <c r="D42"/>
  <c r="H20"/>
  <c r="G54"/>
  <c r="G86"/>
  <c r="G29"/>
  <c r="A45"/>
  <c r="B35"/>
  <c r="B99"/>
  <c r="H56"/>
  <c r="D84"/>
  <c r="H83"/>
  <c r="D91"/>
  <c r="D97"/>
  <c r="D100"/>
  <c r="F39"/>
  <c r="H17"/>
  <c r="E37" i="69"/>
  <c r="C15"/>
  <c r="F37"/>
  <c r="F19"/>
  <c r="F35"/>
  <c r="J35"/>
  <c r="C37"/>
  <c r="C35"/>
  <c r="E22"/>
  <c r="C19"/>
  <c r="C26"/>
  <c r="F23"/>
  <c r="C23"/>
  <c r="D105" i="42"/>
  <c r="F116"/>
  <c r="B116"/>
  <c r="E115"/>
  <c r="I115" s="1"/>
  <c r="A115"/>
  <c r="F114"/>
  <c r="B114"/>
  <c r="E113"/>
  <c r="I113" s="1"/>
  <c r="A113"/>
  <c r="F112"/>
  <c r="B112"/>
  <c r="E111"/>
  <c r="I111" s="1"/>
  <c r="A111"/>
  <c r="F110"/>
  <c r="B110"/>
  <c r="E109"/>
  <c r="A109"/>
  <c r="F108"/>
  <c r="B108"/>
  <c r="E107"/>
  <c r="A107"/>
  <c r="E116"/>
  <c r="I116" s="1"/>
  <c r="A116"/>
  <c r="F115"/>
  <c r="B115"/>
  <c r="E114"/>
  <c r="I114" s="1"/>
  <c r="A114"/>
  <c r="F113"/>
  <c r="B113"/>
  <c r="E112"/>
  <c r="I112" s="1"/>
  <c r="A112"/>
  <c r="F111"/>
  <c r="B111"/>
  <c r="E110"/>
  <c r="I110" s="1"/>
  <c r="A110"/>
  <c r="F109"/>
  <c r="B109"/>
  <c r="E108"/>
  <c r="A108"/>
  <c r="F107"/>
  <c r="B107"/>
  <c r="H116"/>
  <c r="D116"/>
  <c r="G115"/>
  <c r="C115"/>
  <c r="H114"/>
  <c r="D114"/>
  <c r="G113"/>
  <c r="C113"/>
  <c r="H112"/>
  <c r="D112"/>
  <c r="G111"/>
  <c r="C111"/>
  <c r="H110"/>
  <c r="D110"/>
  <c r="G109"/>
  <c r="C109"/>
  <c r="H108"/>
  <c r="D108"/>
  <c r="G107"/>
  <c r="C107"/>
  <c r="G116"/>
  <c r="C116"/>
  <c r="H115"/>
  <c r="D115"/>
  <c r="G114"/>
  <c r="C114"/>
  <c r="H113"/>
  <c r="D113"/>
  <c r="G112"/>
  <c r="C112"/>
  <c r="H111"/>
  <c r="D111"/>
  <c r="G110"/>
  <c r="C110"/>
  <c r="H109"/>
  <c r="D109"/>
  <c r="G108"/>
  <c r="C108"/>
  <c r="H107"/>
  <c r="D107"/>
  <c r="F106"/>
  <c r="B106"/>
  <c r="E105"/>
  <c r="A105"/>
  <c r="E106"/>
  <c r="A106"/>
  <c r="F105"/>
  <c r="B105"/>
  <c r="H106"/>
  <c r="D106"/>
  <c r="G105"/>
  <c r="C105"/>
  <c r="G106"/>
  <c r="C106"/>
  <c r="H105"/>
  <c r="E26" i="69"/>
  <c r="F28"/>
  <c r="C29"/>
  <c r="E27"/>
  <c r="F29"/>
  <c r="F30"/>
  <c r="E28"/>
  <c r="C27"/>
  <c r="C30"/>
  <c r="C34"/>
  <c r="E34"/>
  <c r="G56" i="42"/>
  <c r="D87"/>
  <c r="C57"/>
  <c r="B100"/>
  <c r="H18"/>
  <c r="F84"/>
  <c r="F103"/>
  <c r="F75"/>
  <c r="G21" i="56"/>
  <c r="E27" i="42"/>
  <c r="H16"/>
  <c r="B25"/>
  <c r="H89"/>
  <c r="D72"/>
  <c r="A70"/>
  <c r="D39"/>
  <c r="F36"/>
  <c r="J19" i="69"/>
  <c r="B82" i="42"/>
  <c r="H74"/>
  <c r="B98"/>
  <c r="B37"/>
  <c r="D16"/>
  <c r="D34"/>
  <c r="G70"/>
  <c r="G25"/>
  <c r="B54"/>
  <c r="B103"/>
  <c r="G31"/>
  <c r="C44"/>
  <c r="C70"/>
  <c r="C62"/>
  <c r="D20"/>
  <c r="F42"/>
  <c r="I13"/>
  <c r="J32" i="69"/>
  <c r="J26"/>
  <c r="J27"/>
  <c r="J34"/>
  <c r="J30"/>
  <c r="J29"/>
  <c r="J31"/>
  <c r="J23"/>
  <c r="J15"/>
  <c r="F24"/>
  <c r="E24"/>
  <c r="J24"/>
  <c r="C24"/>
  <c r="C20"/>
  <c r="E20"/>
  <c r="J20"/>
  <c r="F20"/>
  <c r="C39"/>
  <c r="E39"/>
  <c r="J39"/>
  <c r="F39"/>
  <c r="E25"/>
  <c r="F25"/>
  <c r="C25"/>
  <c r="J25"/>
  <c r="J16"/>
  <c r="E16"/>
  <c r="C16"/>
  <c r="F16"/>
  <c r="J17"/>
  <c r="F17"/>
  <c r="C17"/>
  <c r="E17"/>
  <c r="F33"/>
  <c r="J33"/>
  <c r="C33"/>
  <c r="E33"/>
  <c r="E14" i="42"/>
  <c r="A79"/>
  <c r="B73"/>
  <c r="A91"/>
  <c r="F97"/>
  <c r="C97"/>
  <c r="B52"/>
  <c r="D79"/>
  <c r="H29"/>
  <c r="A101"/>
  <c r="H88"/>
  <c r="D74"/>
  <c r="C55"/>
  <c r="D66"/>
  <c r="C66"/>
  <c r="F102"/>
  <c r="G43"/>
  <c r="F58"/>
  <c r="H103"/>
  <c r="C47"/>
  <c r="D40"/>
  <c r="B70"/>
  <c r="A15"/>
  <c r="H102"/>
  <c r="C96"/>
  <c r="C86"/>
  <c r="A55"/>
  <c r="F95"/>
  <c r="D98"/>
  <c r="H47"/>
  <c r="H68"/>
  <c r="C36"/>
  <c r="G101"/>
  <c r="A42"/>
  <c r="B28"/>
  <c r="D36"/>
  <c r="C17"/>
  <c r="B89"/>
  <c r="C92"/>
  <c r="C41"/>
  <c r="D60"/>
  <c r="H73"/>
  <c r="A52"/>
  <c r="H24"/>
  <c r="C14"/>
  <c r="F53"/>
  <c r="G83"/>
  <c r="G100"/>
  <c r="D27"/>
  <c r="G21"/>
  <c r="C51"/>
  <c r="F87"/>
  <c r="G23"/>
  <c r="F23"/>
  <c r="G61"/>
  <c r="A51"/>
  <c r="G88"/>
  <c r="H23"/>
  <c r="D28"/>
  <c r="G48"/>
  <c r="B63"/>
  <c r="A33"/>
  <c r="A76"/>
  <c r="A64"/>
  <c r="G84"/>
  <c r="G34"/>
  <c r="D17"/>
  <c r="H44"/>
  <c r="G87"/>
  <c r="H28"/>
  <c r="F100"/>
  <c r="C63"/>
  <c r="A41"/>
  <c r="G32"/>
  <c r="D88"/>
  <c r="H19"/>
  <c r="H15"/>
  <c r="H37"/>
  <c r="G15"/>
  <c r="C81"/>
  <c r="F41"/>
  <c r="C28"/>
  <c r="G77"/>
  <c r="D64"/>
  <c r="A30"/>
  <c r="H48"/>
  <c r="G72"/>
  <c r="B85"/>
  <c r="F34"/>
  <c r="D18"/>
  <c r="F44"/>
  <c r="G71"/>
  <c r="B49"/>
  <c r="G92"/>
  <c r="H25"/>
  <c r="B19"/>
  <c r="B23"/>
  <c r="G75"/>
  <c r="F64"/>
  <c r="C33"/>
  <c r="G66"/>
  <c r="G97"/>
  <c r="G93"/>
  <c r="D101"/>
  <c r="B81"/>
  <c r="B39"/>
  <c r="D86"/>
  <c r="F67"/>
  <c r="D82"/>
  <c r="B77"/>
  <c r="D48"/>
  <c r="G58"/>
  <c r="D52"/>
  <c r="B57"/>
  <c r="B55"/>
  <c r="D45"/>
  <c r="A85"/>
  <c r="C78"/>
  <c r="D56"/>
  <c r="B79"/>
  <c r="H52"/>
  <c r="F31"/>
  <c r="H55"/>
  <c r="B47"/>
  <c r="B78"/>
  <c r="F90"/>
  <c r="F24"/>
  <c r="H46"/>
  <c r="C76"/>
  <c r="H42"/>
  <c r="G78"/>
  <c r="G27"/>
  <c r="A74"/>
  <c r="G19"/>
  <c r="C15"/>
  <c r="B48"/>
  <c r="A63"/>
  <c r="C103"/>
  <c r="F61"/>
  <c r="A58"/>
  <c r="C43"/>
  <c r="H60"/>
  <c r="H78"/>
  <c r="G79"/>
  <c r="B101"/>
  <c r="A71"/>
  <c r="F57"/>
  <c r="D62"/>
  <c r="C34"/>
  <c r="C18"/>
  <c r="F14"/>
  <c r="B87"/>
  <c r="B76"/>
  <c r="A50"/>
  <c r="A25"/>
  <c r="C42"/>
  <c r="A47"/>
  <c r="B74"/>
  <c r="D104"/>
  <c r="A78"/>
  <c r="D35"/>
  <c r="A27"/>
  <c r="D58"/>
  <c r="G80"/>
  <c r="G38"/>
  <c r="G104"/>
  <c r="G49"/>
  <c r="D75"/>
  <c r="C50"/>
  <c r="H33"/>
  <c r="H67"/>
  <c r="B45"/>
  <c r="G35"/>
  <c r="G73"/>
  <c r="C31"/>
  <c r="A59"/>
  <c r="D23"/>
  <c r="H35"/>
  <c r="G18"/>
  <c r="A53"/>
  <c r="C82"/>
  <c r="D65"/>
  <c r="C64"/>
  <c r="B17"/>
  <c r="G62"/>
  <c r="D93"/>
  <c r="G74"/>
  <c r="D50"/>
  <c r="H45"/>
  <c r="D44"/>
  <c r="D69"/>
  <c r="G40"/>
  <c r="D55"/>
  <c r="C77"/>
  <c r="D67"/>
  <c r="H104"/>
  <c r="B62"/>
  <c r="G24"/>
  <c r="B65"/>
  <c r="F78"/>
  <c r="G89"/>
  <c r="F50"/>
  <c r="G98"/>
  <c r="B75"/>
  <c r="H50"/>
  <c r="A54"/>
  <c r="D22"/>
  <c r="G94"/>
  <c r="A40"/>
  <c r="F56"/>
  <c r="B59"/>
  <c r="H64"/>
  <c r="A103"/>
  <c r="H84"/>
  <c r="A43"/>
  <c r="A94"/>
  <c r="D61"/>
  <c r="G45"/>
  <c r="F38"/>
  <c r="B66"/>
  <c r="H97"/>
  <c r="B41"/>
  <c r="A21"/>
  <c r="D57"/>
  <c r="A37"/>
  <c r="H40"/>
  <c r="A81"/>
  <c r="G28"/>
  <c r="G90"/>
  <c r="B64"/>
  <c r="C100"/>
  <c r="A28"/>
  <c r="F89"/>
  <c r="H93"/>
  <c r="C49"/>
  <c r="G82"/>
  <c r="D25"/>
  <c r="A86"/>
  <c r="G16"/>
  <c r="F86"/>
  <c r="G65"/>
  <c r="C21"/>
  <c r="F54"/>
  <c r="D59"/>
  <c r="F91"/>
  <c r="C87"/>
  <c r="B53"/>
  <c r="A73"/>
  <c r="H100"/>
  <c r="B43"/>
  <c r="B84"/>
  <c r="G33"/>
  <c r="B29"/>
  <c r="A87"/>
  <c r="F72"/>
  <c r="F47"/>
  <c r="D76"/>
  <c r="C56"/>
  <c r="B56"/>
  <c r="G39"/>
  <c r="C16"/>
  <c r="B93"/>
  <c r="A44"/>
  <c r="C30"/>
  <c r="C24"/>
  <c r="G95"/>
  <c r="C71"/>
  <c r="F59"/>
  <c r="F45"/>
  <c r="A66"/>
  <c r="A29"/>
  <c r="G26"/>
  <c r="B92"/>
  <c r="H91"/>
  <c r="F63"/>
  <c r="C74"/>
  <c r="C101"/>
  <c r="F82"/>
  <c r="F70"/>
  <c r="D19"/>
  <c r="C83"/>
  <c r="F66"/>
  <c r="B67"/>
  <c r="E16"/>
  <c r="E87"/>
  <c r="E79"/>
  <c r="E71"/>
  <c r="E63"/>
  <c r="E53"/>
  <c r="E45"/>
  <c r="E37"/>
  <c r="E29"/>
  <c r="E21"/>
  <c r="G14"/>
  <c r="H14"/>
  <c r="E103"/>
  <c r="E101"/>
  <c r="E99"/>
  <c r="E97"/>
  <c r="E95"/>
  <c r="E92"/>
  <c r="E90"/>
  <c r="E86"/>
  <c r="E82"/>
  <c r="E78"/>
  <c r="E74"/>
  <c r="E70"/>
  <c r="E66"/>
  <c r="E62"/>
  <c r="E59"/>
  <c r="E55"/>
  <c r="E52"/>
  <c r="E48"/>
  <c r="E44"/>
  <c r="E40"/>
  <c r="E36"/>
  <c r="E32"/>
  <c r="E28"/>
  <c r="E24"/>
  <c r="E20"/>
  <c r="E17"/>
  <c r="E85"/>
  <c r="E77"/>
  <c r="E68"/>
  <c r="E61"/>
  <c r="E51"/>
  <c r="E43"/>
  <c r="E35"/>
  <c r="E23"/>
  <c r="E15"/>
  <c r="F23" i="56"/>
  <c r="F17"/>
  <c r="B22"/>
  <c r="F18"/>
  <c r="F20"/>
  <c r="F19"/>
  <c r="D6"/>
  <c r="F28" s="1"/>
  <c r="G23"/>
  <c r="B20"/>
  <c r="G20"/>
  <c r="G18"/>
  <c r="G19"/>
  <c r="G22"/>
  <c r="J38" i="69"/>
  <c r="F38"/>
  <c r="C38"/>
  <c r="E38"/>
  <c r="F36"/>
  <c r="J36"/>
  <c r="E36"/>
  <c r="C36"/>
  <c r="C21"/>
  <c r="J21"/>
  <c r="F21"/>
  <c r="E21"/>
  <c r="C18"/>
  <c r="J18"/>
  <c r="E18"/>
  <c r="F18"/>
  <c r="J14"/>
  <c r="C14"/>
  <c r="F14"/>
  <c r="E14"/>
  <c r="E40"/>
  <c r="F40"/>
  <c r="J40"/>
  <c r="C40"/>
  <c r="G69" i="42"/>
  <c r="D51"/>
  <c r="G53"/>
  <c r="H86"/>
  <c r="H71"/>
  <c r="A22"/>
  <c r="D32"/>
  <c r="D63"/>
  <c r="A102"/>
  <c r="C94"/>
  <c r="A49"/>
  <c r="H65"/>
  <c r="C69"/>
  <c r="B24"/>
  <c r="B22"/>
  <c r="A19"/>
  <c r="G85"/>
  <c r="B96"/>
  <c r="G76"/>
  <c r="A31"/>
  <c r="H87"/>
  <c r="C79"/>
  <c r="C46"/>
  <c r="F68"/>
  <c r="C22"/>
  <c r="G52"/>
  <c r="F46"/>
  <c r="B42"/>
  <c r="G102"/>
  <c r="A60"/>
  <c r="A75"/>
  <c r="C72"/>
  <c r="F81"/>
  <c r="D37"/>
  <c r="C20"/>
  <c r="B104"/>
  <c r="D29"/>
  <c r="F73"/>
  <c r="D30"/>
  <c r="G63"/>
  <c r="H69"/>
  <c r="C38"/>
  <c r="C73"/>
  <c r="H43"/>
  <c r="C23"/>
  <c r="G64"/>
  <c r="A18"/>
  <c r="H92"/>
  <c r="F26"/>
  <c r="H82"/>
  <c r="H95"/>
  <c r="D77"/>
  <c r="H21"/>
  <c r="F40"/>
  <c r="F16"/>
  <c r="F99"/>
  <c r="G55"/>
  <c r="D103"/>
  <c r="C102"/>
  <c r="G22"/>
  <c r="G67"/>
  <c r="A24"/>
  <c r="A36"/>
  <c r="C84"/>
  <c r="B94"/>
  <c r="D26"/>
  <c r="B83"/>
  <c r="F62"/>
  <c r="B20"/>
  <c r="A26"/>
  <c r="C27"/>
  <c r="A57"/>
  <c r="C52"/>
  <c r="B26"/>
  <c r="A77"/>
  <c r="H63"/>
  <c r="D47"/>
  <c r="B30"/>
  <c r="F79"/>
  <c r="B14"/>
  <c r="H94"/>
  <c r="D31"/>
  <c r="H38"/>
  <c r="D54"/>
  <c r="F27"/>
  <c r="B38"/>
  <c r="F33"/>
  <c r="C25"/>
  <c r="A56"/>
  <c r="G99"/>
  <c r="C61"/>
  <c r="B68"/>
  <c r="A96"/>
  <c r="C19"/>
  <c r="A20"/>
  <c r="A17"/>
  <c r="F71"/>
  <c r="A61"/>
  <c r="B61"/>
  <c r="F15"/>
  <c r="A89"/>
  <c r="D21"/>
  <c r="F43"/>
  <c r="H31"/>
  <c r="F20"/>
  <c r="H81"/>
  <c r="F98"/>
  <c r="F80"/>
  <c r="D85"/>
  <c r="F55"/>
  <c r="H26"/>
  <c r="H51"/>
  <c r="D68"/>
  <c r="A35"/>
  <c r="D41"/>
  <c r="B71"/>
  <c r="A72"/>
  <c r="B50"/>
  <c r="G17"/>
  <c r="G46"/>
  <c r="C95"/>
  <c r="H59"/>
  <c r="C89"/>
  <c r="G81"/>
  <c r="F77"/>
  <c r="A88"/>
  <c r="H76"/>
  <c r="G96"/>
  <c r="F92"/>
  <c r="D81"/>
  <c r="A82"/>
  <c r="H99"/>
  <c r="C35"/>
  <c r="A98"/>
  <c r="C59"/>
  <c r="H61"/>
  <c r="H36"/>
  <c r="C99"/>
  <c r="A34"/>
  <c r="G37"/>
  <c r="B18"/>
  <c r="F48"/>
  <c r="H70"/>
  <c r="C37"/>
  <c r="A68"/>
  <c r="D99"/>
  <c r="C48"/>
  <c r="B27"/>
  <c r="H49"/>
  <c r="B40"/>
  <c r="H66"/>
  <c r="H54"/>
  <c r="H96"/>
  <c r="G41"/>
  <c r="G42"/>
  <c r="H53"/>
  <c r="H101"/>
  <c r="A67"/>
  <c r="G57"/>
  <c r="G44"/>
  <c r="A80"/>
  <c r="C91"/>
  <c r="C65"/>
  <c r="H90"/>
  <c r="H80"/>
  <c r="D102"/>
  <c r="A83"/>
  <c r="G30"/>
  <c r="B15"/>
  <c r="B91"/>
  <c r="F35"/>
  <c r="B95"/>
  <c r="D53"/>
  <c r="F96"/>
  <c r="B33"/>
  <c r="F85"/>
  <c r="D92"/>
  <c r="D73"/>
  <c r="B34"/>
  <c r="A48"/>
  <c r="B86"/>
  <c r="G103"/>
  <c r="H39"/>
  <c r="H27"/>
  <c r="C26"/>
  <c r="D43"/>
  <c r="G20"/>
  <c r="C32"/>
  <c r="D33"/>
  <c r="G50"/>
  <c r="F104"/>
  <c r="A93"/>
  <c r="C68"/>
  <c r="G91"/>
  <c r="F25"/>
  <c r="D80"/>
  <c r="F88"/>
  <c r="H34"/>
  <c r="H79"/>
  <c r="A104"/>
  <c r="H62"/>
  <c r="A90"/>
  <c r="C60"/>
  <c r="B97"/>
  <c r="B46"/>
  <c r="C75"/>
  <c r="A99"/>
  <c r="B60"/>
  <c r="A23"/>
  <c r="B21"/>
  <c r="D83"/>
  <c r="H75"/>
  <c r="C53"/>
  <c r="A97"/>
  <c r="F69"/>
  <c r="C40"/>
  <c r="F21"/>
  <c r="C67"/>
  <c r="G68"/>
  <c r="F29"/>
  <c r="H58"/>
  <c r="D71"/>
  <c r="A46"/>
  <c r="F93"/>
  <c r="A92"/>
  <c r="F60"/>
  <c r="F28"/>
  <c r="F18"/>
  <c r="F51"/>
  <c r="B31"/>
  <c r="D89"/>
  <c r="F37"/>
  <c r="F65"/>
  <c r="A65"/>
  <c r="H77"/>
  <c r="F52"/>
  <c r="H98"/>
  <c r="B88"/>
  <c r="G51"/>
  <c r="C80"/>
  <c r="H85"/>
  <c r="F22"/>
  <c r="D24"/>
  <c r="C29"/>
  <c r="D46"/>
  <c r="C93"/>
  <c r="B80"/>
  <c r="C39"/>
  <c r="B72"/>
  <c r="B16"/>
  <c r="H41"/>
  <c r="A39"/>
  <c r="E94"/>
  <c r="E83"/>
  <c r="E75"/>
  <c r="E67"/>
  <c r="E58"/>
  <c r="E49"/>
  <c r="E41"/>
  <c r="E33"/>
  <c r="E25"/>
  <c r="D14"/>
  <c r="A14"/>
  <c r="A125" s="1"/>
  <c r="E104"/>
  <c r="E102"/>
  <c r="E100"/>
  <c r="E98"/>
  <c r="E96"/>
  <c r="E93"/>
  <c r="E91"/>
  <c r="E88"/>
  <c r="E84"/>
  <c r="E80"/>
  <c r="E76"/>
  <c r="E72"/>
  <c r="E69"/>
  <c r="E64"/>
  <c r="E60"/>
  <c r="E57"/>
  <c r="E54"/>
  <c r="E50"/>
  <c r="E46"/>
  <c r="E42"/>
  <c r="E38"/>
  <c r="E34"/>
  <c r="E30"/>
  <c r="E26"/>
  <c r="E22"/>
  <c r="E19"/>
  <c r="E89"/>
  <c r="E81"/>
  <c r="E73"/>
  <c r="E65"/>
  <c r="E56"/>
  <c r="E47"/>
  <c r="E39"/>
  <c r="E31"/>
  <c r="E18"/>
  <c r="F21" i="56"/>
  <c r="H21" s="1"/>
  <c r="B18"/>
  <c r="F22"/>
  <c r="H22" s="1"/>
  <c r="B19"/>
  <c r="B21"/>
  <c r="B17"/>
  <c r="B23"/>
  <c r="G17"/>
  <c r="G8"/>
  <c r="G7"/>
  <c r="A9"/>
  <c r="I14" i="42" l="1"/>
  <c r="H20" i="56"/>
  <c r="H23"/>
  <c r="H18"/>
  <c r="E136" i="42"/>
  <c r="D19" i="56"/>
  <c r="E41" i="69"/>
  <c r="N41"/>
  <c r="H19" i="56"/>
  <c r="H17"/>
  <c r="G121" i="42"/>
  <c r="D17" i="56"/>
  <c r="A17"/>
  <c r="D18"/>
  <c r="A18"/>
  <c r="A19" s="1"/>
  <c r="A20" s="1"/>
  <c r="A21" s="1"/>
  <c r="A22" s="1"/>
  <c r="A23" s="1"/>
  <c r="D23"/>
  <c r="D21"/>
  <c r="D20"/>
  <c r="D22"/>
  <c r="H121" i="42"/>
  <c r="I15"/>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I109" s="1"/>
  <c r="H24" i="56" l="1"/>
  <c r="I122" i="42"/>
  <c r="I15" i="47" l="1"/>
  <c r="H15"/>
  <c r="I16" l="1"/>
  <c r="H16"/>
  <c r="H17" l="1"/>
  <c r="I17"/>
  <c r="H18" l="1"/>
  <c r="I18"/>
  <c r="I19" l="1"/>
  <c r="H19"/>
  <c r="H20" l="1"/>
  <c r="I20"/>
  <c r="I21" l="1"/>
  <c r="H21"/>
  <c r="H22" l="1"/>
  <c r="I22"/>
  <c r="I23" l="1"/>
  <c r="H23"/>
  <c r="H24" l="1"/>
  <c r="I24"/>
  <c r="H25" l="1"/>
  <c r="I25"/>
  <c r="I26" l="1"/>
  <c r="H26"/>
  <c r="H27" l="1"/>
  <c r="I27"/>
  <c r="I28" l="1"/>
  <c r="H28"/>
  <c r="H29" l="1"/>
  <c r="I29"/>
  <c r="I30" l="1"/>
  <c r="H30"/>
  <c r="H31" l="1"/>
  <c r="I31"/>
  <c r="I32" l="1"/>
  <c r="H32"/>
  <c r="H33" l="1"/>
  <c r="I33"/>
  <c r="I34" l="1"/>
  <c r="H34"/>
  <c r="H35" l="1"/>
  <c r="I35"/>
  <c r="H36" l="1"/>
  <c r="I36"/>
  <c r="I37" l="1"/>
  <c r="H37"/>
  <c r="H38" l="1"/>
  <c r="I38"/>
  <c r="I39" l="1"/>
  <c r="H39"/>
  <c r="H40" l="1"/>
  <c r="I40"/>
  <c r="I41" l="1"/>
  <c r="H41"/>
  <c r="H42" l="1"/>
  <c r="I42"/>
  <c r="I43" l="1"/>
  <c r="H43"/>
  <c r="H44" l="1"/>
  <c r="I44"/>
  <c r="I45" l="1"/>
  <c r="H45"/>
  <c r="H46" l="1"/>
  <c r="I46"/>
  <c r="I47" l="1"/>
  <c r="H47"/>
  <c r="H48" l="1"/>
  <c r="I48"/>
  <c r="I49" l="1"/>
  <c r="H49"/>
  <c r="H50" l="1"/>
  <c r="I50"/>
  <c r="I51" l="1"/>
  <c r="H51"/>
  <c r="H52" l="1"/>
  <c r="I52"/>
  <c r="I53" l="1"/>
  <c r="H53"/>
  <c r="I54" l="1"/>
  <c r="H54"/>
  <c r="H55" l="1"/>
  <c r="I55"/>
  <c r="I56" l="1"/>
  <c r="H56"/>
  <c r="H57" l="1"/>
  <c r="I57"/>
  <c r="I58" l="1"/>
  <c r="H58"/>
  <c r="H59" l="1"/>
  <c r="I59"/>
  <c r="I60" l="1"/>
  <c r="H60"/>
  <c r="H61" l="1"/>
  <c r="I61"/>
  <c r="I62" l="1"/>
  <c r="H62"/>
  <c r="H63" l="1"/>
  <c r="I63"/>
  <c r="I64" l="1"/>
  <c r="H64"/>
  <c r="H65" l="1"/>
  <c r="I65"/>
  <c r="I66" l="1"/>
  <c r="H66"/>
  <c r="H67" l="1"/>
  <c r="I67"/>
  <c r="I68" l="1"/>
  <c r="H68"/>
  <c r="H69" l="1"/>
  <c r="I69"/>
  <c r="I70" l="1"/>
  <c r="H70"/>
  <c r="I71" l="1"/>
  <c r="H71"/>
  <c r="H72" l="1"/>
  <c r="I72"/>
  <c r="H73" l="1"/>
  <c r="I73"/>
  <c r="I74" l="1"/>
  <c r="H74"/>
  <c r="I75" l="1"/>
  <c r="H75"/>
  <c r="H76" l="1"/>
  <c r="I76"/>
  <c r="I77" l="1"/>
  <c r="H77"/>
  <c r="H78" l="1"/>
  <c r="I78"/>
  <c r="H79" l="1"/>
  <c r="I79"/>
  <c r="I80" l="1"/>
  <c r="H80"/>
  <c r="I81" l="1"/>
  <c r="H81"/>
  <c r="I82" l="1"/>
  <c r="H82"/>
  <c r="H83" l="1"/>
  <c r="I83"/>
  <c r="I84" l="1"/>
  <c r="H84"/>
  <c r="H85" l="1"/>
  <c r="I85"/>
  <c r="I86" l="1"/>
  <c r="H86"/>
  <c r="H87" l="1"/>
  <c r="I87"/>
  <c r="I88" l="1"/>
  <c r="H88"/>
  <c r="H89" l="1"/>
  <c r="I89"/>
  <c r="I90" l="1"/>
  <c r="H90"/>
  <c r="H91" l="1"/>
  <c r="I91"/>
  <c r="I92" l="1"/>
  <c r="H92"/>
  <c r="H93" l="1"/>
  <c r="I93"/>
  <c r="I94" l="1"/>
  <c r="H94"/>
  <c r="H95" l="1"/>
  <c r="I95"/>
  <c r="I96" l="1"/>
  <c r="H96"/>
  <c r="H97" l="1"/>
  <c r="I97"/>
  <c r="I98" l="1"/>
  <c r="H98"/>
  <c r="I99" l="1"/>
  <c r="H99"/>
  <c r="I100" l="1"/>
  <c r="H100"/>
  <c r="H101" l="1"/>
  <c r="I101"/>
  <c r="I102" l="1"/>
  <c r="H102"/>
  <c r="H103" l="1"/>
  <c r="I103"/>
  <c r="I104" l="1"/>
  <c r="H104"/>
  <c r="I105" l="1"/>
  <c r="H105"/>
  <c r="I106" l="1"/>
  <c r="H106"/>
  <c r="I107" l="1"/>
  <c r="H107"/>
  <c r="I108" l="1"/>
  <c r="H108"/>
  <c r="H109" l="1"/>
  <c r="I109"/>
  <c r="H110" l="1"/>
  <c r="I110"/>
  <c r="I111" l="1"/>
  <c r="H111"/>
  <c r="H112" l="1"/>
  <c r="I112"/>
  <c r="I113" l="1"/>
  <c r="H113"/>
  <c r="H114" l="1"/>
  <c r="I114"/>
  <c r="H115" l="1"/>
  <c r="I115"/>
  <c r="H116" l="1"/>
  <c r="I116"/>
  <c r="I117" l="1"/>
  <c r="H117"/>
  <c r="H118" l="1"/>
  <c r="I118"/>
  <c r="I119" l="1"/>
  <c r="H119"/>
  <c r="H120" l="1"/>
  <c r="I120"/>
  <c r="I121" l="1"/>
  <c r="H121"/>
  <c r="I122" l="1"/>
  <c r="H122"/>
  <c r="I123" l="1"/>
  <c r="H123"/>
  <c r="H124" l="1"/>
  <c r="I124"/>
  <c r="I125" l="1"/>
  <c r="H125"/>
  <c r="H126" l="1"/>
  <c r="I126"/>
  <c r="I127" l="1"/>
  <c r="H127"/>
  <c r="H128" l="1"/>
  <c r="I128"/>
  <c r="I129" l="1"/>
  <c r="H129"/>
  <c r="H130" l="1"/>
  <c r="I130"/>
  <c r="I131" l="1"/>
  <c r="H131"/>
  <c r="I132" l="1"/>
  <c r="H132"/>
  <c r="H133" l="1"/>
  <c r="I133"/>
  <c r="I134" l="1"/>
  <c r="H134"/>
  <c r="H135" l="1"/>
  <c r="I135"/>
  <c r="I136" l="1"/>
  <c r="H136"/>
  <c r="H137" l="1"/>
  <c r="I137"/>
  <c r="I138" l="1"/>
  <c r="H138"/>
  <c r="H139" l="1"/>
  <c r="I139"/>
  <c r="I140" l="1"/>
  <c r="H140"/>
  <c r="H141" l="1"/>
  <c r="I141"/>
  <c r="I142" l="1"/>
  <c r="H142"/>
  <c r="I143" l="1"/>
  <c r="H143"/>
  <c r="I144" l="1"/>
  <c r="H144"/>
  <c r="H145" l="1"/>
  <c r="I145"/>
  <c r="I146" l="1"/>
  <c r="H146"/>
  <c r="H147" l="1"/>
  <c r="I147"/>
  <c r="I148" l="1"/>
  <c r="H148"/>
  <c r="H149" l="1"/>
  <c r="I149"/>
  <c r="I150" l="1"/>
  <c r="H150"/>
  <c r="H151" l="1"/>
  <c r="I151"/>
  <c r="I152" l="1"/>
  <c r="H152"/>
  <c r="H153" l="1"/>
  <c r="I153"/>
  <c r="I154" l="1"/>
  <c r="H154"/>
  <c r="H155" l="1"/>
  <c r="I155"/>
  <c r="I156" l="1"/>
  <c r="H156"/>
  <c r="H157" l="1"/>
  <c r="I157"/>
  <c r="I158" l="1"/>
  <c r="H158"/>
  <c r="H159" l="1"/>
  <c r="I159"/>
  <c r="I160" l="1"/>
  <c r="H160"/>
  <c r="H161" l="1"/>
  <c r="I161"/>
  <c r="I162" l="1"/>
  <c r="H162"/>
  <c r="H163" l="1"/>
  <c r="I163"/>
  <c r="I164" l="1"/>
  <c r="H164"/>
  <c r="I165" l="1"/>
  <c r="H165"/>
  <c r="H166" l="1"/>
  <c r="I166"/>
  <c r="I167" l="1"/>
  <c r="H167"/>
  <c r="H168" l="1"/>
  <c r="I168"/>
  <c r="I169" l="1"/>
  <c r="H169"/>
  <c r="H170" l="1"/>
  <c r="I170"/>
  <c r="I171" l="1"/>
  <c r="H171"/>
  <c r="H172" l="1"/>
  <c r="I172"/>
  <c r="I173" l="1"/>
  <c r="H173"/>
  <c r="I174" l="1"/>
  <c r="H174"/>
  <c r="H175" l="1"/>
  <c r="I175"/>
  <c r="I176" l="1"/>
  <c r="H176"/>
  <c r="H177" l="1"/>
  <c r="I177"/>
  <c r="I178" l="1"/>
  <c r="H178"/>
  <c r="H179" l="1"/>
  <c r="I179"/>
  <c r="I180" l="1"/>
  <c r="H180"/>
  <c r="H181" l="1"/>
  <c r="I181"/>
  <c r="I182" l="1"/>
  <c r="H182"/>
  <c r="I183" l="1"/>
  <c r="H183"/>
  <c r="H184" l="1"/>
  <c r="I184"/>
  <c r="I185" l="1"/>
  <c r="H185"/>
  <c r="H186" l="1"/>
  <c r="I186"/>
  <c r="I187" l="1"/>
  <c r="H187"/>
  <c r="H188" l="1"/>
  <c r="I188"/>
  <c r="I189" l="1"/>
  <c r="H189"/>
  <c r="H190" l="1"/>
  <c r="I190"/>
  <c r="I191" l="1"/>
  <c r="H191"/>
  <c r="H192" l="1"/>
  <c r="I192"/>
  <c r="I193" l="1"/>
  <c r="H193"/>
  <c r="H194" l="1"/>
  <c r="I194"/>
  <c r="I195" l="1"/>
  <c r="H195"/>
  <c r="H196" l="1"/>
  <c r="I196"/>
  <c r="I197" l="1"/>
  <c r="H197"/>
  <c r="H198" s="1"/>
  <c r="I198" l="1"/>
  <c r="I199" s="1"/>
  <c r="H199" l="1"/>
  <c r="H200" s="1"/>
  <c r="I200" l="1"/>
  <c r="I201" s="1"/>
  <c r="H201" l="1"/>
  <c r="H202" s="1"/>
  <c r="I202" l="1"/>
  <c r="I203" s="1"/>
  <c r="H203" l="1"/>
  <c r="H204" s="1"/>
  <c r="I204" l="1"/>
  <c r="I205" s="1"/>
  <c r="H205" l="1"/>
  <c r="H206" s="1"/>
  <c r="I206" l="1"/>
  <c r="I207" l="1"/>
  <c r="I208" s="1"/>
  <c r="H207"/>
  <c r="H208" s="1"/>
</calcChain>
</file>

<file path=xl/comments1.xml><?xml version="1.0" encoding="utf-8"?>
<comments xmlns="http://schemas.openxmlformats.org/spreadsheetml/2006/main">
  <authors>
    <author>User</author>
  </authors>
  <commentList>
    <comment ref="G112" authorId="0">
      <text>
        <r>
          <rPr>
            <b/>
            <sz val="9"/>
            <color indexed="81"/>
            <rFont val="Tahoma"/>
            <family val="2"/>
          </rPr>
          <t>User:</t>
        </r>
        <r>
          <rPr>
            <sz val="9"/>
            <color indexed="81"/>
            <rFont val="Tahoma"/>
            <family val="2"/>
          </rPr>
          <t xml:space="preserve">
Huỳnh Thị Như:3.317.000
</t>
        </r>
      </text>
    </comment>
    <comment ref="G126" authorId="0">
      <text>
        <r>
          <rPr>
            <b/>
            <sz val="9"/>
            <color indexed="81"/>
            <rFont val="Tahoma"/>
            <family val="2"/>
          </rPr>
          <t>User:</t>
        </r>
        <r>
          <rPr>
            <sz val="9"/>
            <color indexed="81"/>
            <rFont val="Tahoma"/>
            <family val="2"/>
          </rPr>
          <t xml:space="preserve">
5ng
</t>
        </r>
      </text>
    </comment>
    <comment ref="M2660" authorId="0">
      <text>
        <r>
          <rPr>
            <b/>
            <sz val="9"/>
            <color indexed="81"/>
            <rFont val="Tahoma"/>
            <family val="2"/>
          </rPr>
          <t>User:</t>
        </r>
        <r>
          <rPr>
            <sz val="9"/>
            <color indexed="81"/>
            <rFont val="Tahoma"/>
            <family val="2"/>
          </rPr>
          <t xml:space="preserve">
1.935.564
</t>
        </r>
      </text>
    </comment>
  </commentList>
</comments>
</file>

<file path=xl/sharedStrings.xml><?xml version="1.0" encoding="utf-8"?>
<sst xmlns="http://schemas.openxmlformats.org/spreadsheetml/2006/main" count="19940" uniqueCount="2380">
  <si>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</si>
  <si>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</si>
  <si>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</si>
  <si>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</si>
  <si>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</si>
  <si>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</si>
  <si>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</si>
  <si>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</si>
  <si>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</si>
  <si>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</si>
  <si>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</si>
  <si>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</si>
  <si>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</si>
  <si>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</si>
  <si>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</si>
  <si>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</si>
  <si>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</si>
  <si>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</si>
  <si>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</si>
  <si>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</si>
  <si>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</si>
  <si>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</si>
  <si>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</si>
  <si>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</si>
  <si>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</si>
  <si>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</si>
  <si>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</si>
  <si>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</si>
  <si>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</si>
  <si>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</si>
  <si>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</si>
  <si>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</si>
  <si>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</si>
  <si>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</si>
  <si>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</si>
  <si>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</si>
  <si>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</si>
  <si>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</si>
  <si>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</si>
  <si>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</si>
  <si>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</si>
  <si>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</si>
  <si>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</si>
  <si>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</si>
  <si>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</si>
  <si>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</si>
  <si>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</si>
  <si>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</si>
  <si>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</si>
  <si>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</si>
  <si>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</si>
  <si>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</si>
  <si>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</si>
  <si>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</si>
  <si>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</si>
  <si>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</si>
  <si>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</si>
  <si>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</si>
  <si>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</si>
  <si>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</si>
  <si>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</si>
  <si>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</si>
  <si>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</si>
  <si>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</si>
  <si>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</si>
  <si>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</si>
  <si>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</si>
  <si>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</si>
  <si>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</si>
  <si>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</si>
  <si>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</si>
  <si>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</si>
  <si>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</si>
  <si>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</si>
  <si>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</si>
  <si>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</si>
  <si>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</si>
  <si>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</si>
  <si>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</si>
  <si>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</si>
  <si>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</si>
  <si>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</si>
  <si>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</si>
  <si>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</si>
  <si>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</si>
  <si>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</si>
  <si>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</si>
  <si>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</si>
  <si>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</si>
  <si>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</si>
  <si>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</si>
  <si>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</si>
  <si>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</si>
  <si>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</si>
  <si>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</si>
  <si>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</si>
  <si>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</si>
  <si>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</si>
  <si>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</si>
  <si>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</si>
  <si>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</si>
  <si>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</si>
  <si>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</si>
  <si>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</si>
  <si>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</si>
  <si>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</si>
  <si>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</si>
  <si>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</si>
  <si>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</si>
  <si>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</si>
  <si>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</si>
  <si>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</si>
  <si>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</si>
  <si>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</si>
  <si>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</si>
  <si>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</si>
  <si>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</si>
  <si>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</si>
  <si>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</si>
  <si>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</si>
  <si>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</si>
  <si>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</si>
  <si>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</si>
  <si>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</si>
  <si>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</si>
  <si>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</si>
  <si>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</si>
  <si>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</si>
  <si>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</si>
  <si>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</si>
  <si>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</si>
  <si>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</si>
  <si>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</si>
  <si>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</si>
  <si>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</si>
  <si>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</si>
  <si>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</si>
  <si>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</si>
  <si>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</si>
  <si>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</si>
  <si>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</si>
  <si>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</si>
  <si>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</si>
  <si>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</si>
  <si>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</si>
  <si>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</si>
  <si>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</si>
  <si>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</si>
  <si>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</si>
  <si>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</si>
  <si>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</si>
  <si>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</si>
  <si>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</si>
  <si>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</si>
  <si>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</si>
  <si>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</si>
  <si>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</si>
  <si>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</si>
  <si>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</si>
  <si>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</si>
  <si>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</si>
  <si>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</si>
  <si>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</si>
  <si>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</si>
  <si>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</si>
  <si>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</si>
  <si>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</si>
  <si>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</si>
  <si>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</si>
  <si>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</si>
  <si>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</si>
  <si>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</si>
  <si>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</si>
  <si>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</si>
  <si>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</si>
  <si>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</si>
  <si>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</si>
  <si>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</si>
  <si>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</si>
  <si>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</si>
  <si>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</si>
  <si>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</si>
  <si>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</si>
  <si>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</si>
  <si>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</si>
  <si>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</si>
  <si>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</si>
  <si>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</si>
  <si>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</si>
  <si>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</si>
  <si>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</si>
  <si>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</si>
  <si>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</si>
  <si>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</si>
  <si>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</si>
  <si>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</si>
  <si>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</si>
  <si>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</si>
  <si>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</si>
  <si>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</si>
  <si>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</si>
  <si>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</si>
  <si>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</si>
  <si>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</si>
  <si>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</si>
  <si>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</si>
  <si>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</si>
  <si>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</si>
  <si>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</si>
  <si>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</si>
  <si>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</si>
  <si>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</si>
  <si>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</si>
  <si>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</si>
  <si>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</si>
  <si>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</si>
  <si>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</si>
  <si>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</si>
  <si>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</si>
  <si>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</si>
  <si>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</si>
  <si>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</si>
  <si>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</si>
  <si>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</si>
  <si>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</si>
  <si>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</si>
  <si>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</si>
  <si>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</si>
  <si>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</si>
  <si>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</si>
  <si>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</si>
  <si>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</si>
  <si>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</si>
  <si>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</si>
  <si>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</si>
  <si>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</si>
  <si>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</si>
  <si>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</si>
  <si>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</si>
  <si>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</si>
  <si>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</si>
  <si>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</si>
  <si>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</si>
  <si>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</si>
  <si>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</si>
  <si>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</si>
  <si>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</si>
  <si>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</si>
  <si>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</si>
  <si>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</si>
  <si>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</si>
  <si>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</si>
  <si>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</si>
  <si>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</si>
  <si>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</si>
  <si>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</si>
  <si>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</si>
  <si>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</si>
  <si>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</si>
  <si>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</si>
  <si>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</si>
  <si>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</si>
  <si>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</si>
  <si>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</si>
  <si>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</si>
  <si>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</si>
  <si>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</si>
  <si>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</si>
  <si>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</si>
  <si>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</si>
  <si>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</si>
  <si>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</si>
  <si>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</si>
  <si>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</si>
  <si>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</si>
  <si>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</si>
  <si>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</si>
  <si>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</si>
  <si>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</si>
  <si>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</si>
  <si>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</si>
  <si>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</si>
  <si>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</si>
  <si>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</si>
  <si>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</si>
  <si>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</si>
  <si>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</si>
  <si>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</si>
  <si>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</si>
  <si>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</si>
  <si>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</si>
  <si>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</si>
  <si>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</si>
  <si>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</si>
  <si>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</si>
  <si>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</si>
  <si>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</si>
  <si>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</si>
  <si>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</si>
  <si>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</si>
  <si>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</si>
  <si>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</si>
  <si>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</si>
  <si>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</si>
  <si>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</si>
  <si>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</si>
  <si>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</si>
  <si>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</si>
  <si>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</si>
  <si>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</si>
  <si>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</si>
  <si>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</si>
  <si>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</si>
  <si>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</si>
  <si>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</si>
  <si>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</si>
  <si>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</si>
  <si>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</si>
  <si>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</si>
  <si>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</si>
  <si>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</si>
  <si>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</si>
  <si>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</si>
  <si>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</si>
  <si>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</si>
  <si>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</si>
  <si>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</si>
  <si>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</si>
  <si>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</si>
  <si>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</si>
  <si>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</si>
  <si>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</si>
  <si>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</si>
  <si>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</si>
  <si>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</si>
  <si>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</si>
  <si>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</si>
  <si>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</si>
  <si>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</si>
  <si>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</si>
  <si>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</si>
  <si>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</si>
  <si>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</si>
  <si>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</si>
  <si>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</si>
  <si>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</si>
  <si>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</si>
  <si>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</si>
  <si>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</si>
  <si>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</si>
  <si>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</si>
  <si>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</si>
  <si>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</si>
  <si>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</si>
  <si>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</si>
  <si>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</si>
  <si>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</si>
  <si>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</si>
  <si>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</si>
  <si>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</si>
  <si>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</si>
  <si>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</si>
  <si>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</si>
  <si>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</si>
  <si>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</si>
  <si>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</si>
  <si>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</si>
  <si>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</si>
  <si>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</si>
  <si>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</si>
  <si>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</si>
  <si>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</si>
  <si>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</si>
  <si>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</si>
  <si>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</si>
  <si>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</si>
  <si>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</si>
  <si>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</si>
  <si>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</si>
  <si>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</si>
  <si>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</si>
  <si>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</si>
  <si>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</si>
  <si>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</si>
  <si>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</si>
  <si>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</si>
  <si>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</si>
  <si>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</si>
  <si>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</si>
  <si>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</si>
  <si>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</si>
  <si>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</si>
  <si>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</si>
  <si>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</si>
  <si>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</si>
  <si>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</si>
  <si>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</si>
  <si>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</si>
  <si>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</si>
  <si>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</si>
  <si>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</si>
  <si>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</si>
  <si>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</si>
  <si>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</si>
  <si>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</si>
  <si>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</si>
  <si>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</si>
  <si>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</si>
  <si>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</si>
  <si>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</si>
  <si>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</si>
  <si>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</si>
  <si>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</si>
  <si>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</si>
  <si>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</si>
  <si>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</si>
  <si>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</si>
  <si>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</si>
  <si>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</si>
  <si>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</si>
  <si>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</si>
  <si>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</si>
  <si>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</si>
  <si>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</si>
  <si>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</si>
  <si>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</si>
  <si>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</si>
  <si>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</si>
  <si>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</si>
  <si>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</si>
  <si>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</si>
  <si>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</si>
  <si>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</si>
  <si>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</si>
  <si>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</si>
  <si>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</si>
  <si>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</si>
  <si>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</si>
  <si>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</si>
  <si>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</si>
  <si>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</si>
  <si>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</si>
  <si>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</si>
  <si>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</si>
  <si>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</si>
  <si>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</si>
  <si>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</si>
  <si>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</si>
  <si>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</si>
  <si>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</si>
  <si>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</si>
  <si>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</si>
  <si>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</si>
  <si>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</si>
  <si>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</si>
  <si>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</si>
  <si>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</si>
  <si>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</si>
  <si>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</si>
  <si>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</si>
  <si>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</si>
  <si>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</si>
  <si>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</si>
  <si>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</si>
  <si>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</si>
  <si>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</si>
  <si>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</si>
  <si>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</si>
  <si>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</si>
  <si>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</si>
  <si>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</si>
  <si>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</si>
  <si>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</si>
  <si>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</si>
  <si>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</si>
  <si>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</si>
  <si>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</si>
  <si>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</si>
  <si>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</si>
  <si>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</si>
  <si>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</si>
  <si>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</si>
  <si>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</si>
  <si>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</si>
  <si>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</si>
  <si>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</si>
  <si>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</si>
  <si>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</si>
  <si>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</si>
  <si>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</si>
  <si>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</si>
  <si>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</si>
  <si>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</si>
  <si>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</si>
  <si>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</si>
  <si>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</si>
  <si>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</si>
  <si>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</si>
  <si>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</si>
  <si>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</si>
  <si>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</si>
  <si>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</si>
  <si>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</si>
  <si>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</si>
  <si>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</si>
  <si>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</si>
  <si>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</si>
  <si>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</si>
  <si>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</si>
  <si>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</si>
  <si>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</si>
  <si>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</si>
  <si>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</si>
  <si>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</si>
  <si>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</si>
  <si>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</si>
  <si>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</si>
  <si>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</si>
  <si>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</si>
  <si>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</si>
  <si>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</si>
  <si>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</si>
  <si>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</si>
  <si>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</si>
  <si>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</si>
  <si>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</si>
  <si>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</si>
  <si>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</si>
  <si>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</si>
  <si>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</si>
  <si>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</si>
  <si>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</si>
  <si>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</si>
  <si>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</si>
  <si>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</si>
  <si>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</si>
  <si>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</si>
  <si>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</si>
  <si>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</si>
  <si>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</si>
  <si>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</si>
  <si>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</si>
  <si>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</si>
  <si>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</si>
  <si>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</si>
  <si>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</si>
  <si>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</si>
  <si>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</si>
  <si>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</si>
  <si>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</si>
  <si>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</si>
  <si>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</si>
  <si>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</si>
  <si>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</si>
  <si>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</si>
  <si>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</si>
  <si>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</si>
  <si>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</si>
  <si>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</si>
  <si>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</si>
  <si>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</si>
  <si>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</si>
  <si>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</si>
  <si>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</si>
  <si>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</si>
  <si>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</si>
  <si>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</si>
  <si>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</si>
  <si>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</si>
  <si>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</si>
  <si>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</si>
  <si>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</si>
  <si>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</si>
  <si>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</si>
  <si>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</si>
  <si>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</si>
  <si>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</si>
  <si>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</si>
  <si>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</si>
  <si>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</si>
  <si>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</si>
  <si>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</si>
  <si>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</si>
  <si>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</si>
  <si>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</si>
  <si>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</si>
  <si>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</si>
  <si>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</si>
  <si>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</si>
  <si>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</si>
  <si>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</si>
  <si>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</si>
  <si>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</si>
  <si>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</si>
  <si>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</si>
  <si>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</si>
  <si>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</si>
  <si>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</si>
  <si>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</si>
  <si>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</si>
  <si>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JINTATSU FOODSTUFF CO., LTD</t>
  </si>
  <si>
    <t>CUULONG TRADING CORPORATION</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</si>
  <si>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</si>
  <si>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</si>
  <si>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</si>
  <si>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</si>
  <si>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</si>
  <si>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</si>
  <si>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</si>
  <si>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</si>
  <si>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</si>
  <si>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</si>
  <si>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</si>
  <si>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</si>
  <si>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</si>
  <si>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</si>
  <si>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</si>
  <si>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</si>
  <si>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</si>
  <si>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</si>
  <si>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</si>
  <si>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</si>
  <si>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</si>
  <si>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</si>
  <si>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</si>
  <si>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</si>
  <si>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</si>
  <si>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</si>
  <si>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</si>
  <si>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</si>
  <si>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</si>
  <si>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</si>
  <si>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</si>
  <si>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</si>
  <si>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</si>
  <si>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</si>
  <si>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</si>
  <si>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</si>
  <si>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</si>
  <si>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</si>
  <si>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</si>
  <si>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</si>
  <si>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</si>
  <si>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</si>
  <si>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</si>
  <si>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</si>
  <si>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</si>
  <si>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</si>
  <si>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</si>
  <si>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</si>
  <si>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</si>
  <si>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</si>
  <si>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</si>
  <si>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</si>
  <si>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</si>
  <si>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</si>
  <si>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</si>
  <si>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</si>
  <si>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</si>
  <si>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</si>
  <si>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</si>
  <si>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</si>
  <si>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</si>
  <si>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</si>
  <si>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</si>
  <si>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</si>
  <si>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</si>
  <si>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</si>
  <si>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</si>
  <si>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</si>
  <si>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</si>
  <si>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</si>
  <si>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</si>
  <si>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</si>
  <si>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</si>
  <si>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</si>
  <si>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</si>
  <si>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</si>
  <si>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</si>
  <si>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</si>
  <si>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</si>
  <si>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</si>
  <si>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</si>
  <si>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</si>
  <si>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</si>
  <si>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</si>
  <si>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</si>
  <si>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</si>
  <si>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</si>
  <si>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</si>
  <si>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</si>
  <si>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</si>
  <si>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</si>
  <si>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</si>
  <si>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</si>
  <si>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</si>
  <si>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</si>
  <si>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</si>
  <si>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</si>
  <si>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</si>
  <si>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</si>
  <si>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</si>
  <si>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</si>
  <si>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</si>
  <si>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</si>
  <si>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</si>
  <si>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</si>
  <si>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</si>
  <si>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</si>
  <si>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</si>
  <si>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</si>
  <si>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</si>
  <si>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</si>
  <si>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</si>
  <si>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</si>
  <si>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</si>
  <si>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</si>
  <si>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</si>
  <si>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</si>
  <si>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</si>
  <si>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</si>
  <si>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</si>
  <si>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</si>
  <si>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</si>
  <si>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</si>
  <si>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</si>
  <si>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</si>
  <si>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</si>
  <si>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</si>
  <si>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</si>
  <si>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</si>
  <si>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</si>
  <si>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</si>
  <si>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</si>
  <si>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</si>
  <si>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</si>
  <si>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</si>
  <si>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</si>
  <si>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</si>
  <si>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</si>
  <si>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</si>
  <si>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</si>
  <si>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</si>
  <si>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</si>
  <si>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</si>
  <si>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</si>
  <si>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</si>
  <si>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</si>
  <si>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</si>
  <si>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</si>
  <si>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</si>
  <si>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</si>
  <si>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</si>
  <si>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</si>
  <si>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</si>
  <si>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</si>
  <si>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</si>
  <si>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</si>
  <si>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</si>
  <si>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</si>
  <si>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</si>
  <si>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</si>
  <si>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</si>
  <si>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</si>
  <si>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</si>
  <si>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</si>
  <si>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</si>
  <si>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</si>
  <si>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</si>
  <si>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</si>
  <si>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</si>
  <si>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</si>
  <si>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</si>
  <si>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</si>
  <si>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</si>
  <si>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</si>
  <si>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</si>
  <si>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</si>
  <si>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</si>
  <si>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</si>
  <si>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</si>
  <si>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</si>
  <si>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</si>
  <si>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</si>
  <si>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</si>
  <si>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</si>
  <si>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</si>
  <si>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</si>
  <si>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</si>
  <si>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</si>
  <si>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</si>
  <si>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</si>
  <si>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</si>
  <si>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</si>
  <si>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</si>
  <si>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</si>
  <si>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</si>
  <si>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</si>
  <si>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</si>
  <si>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</si>
  <si>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</si>
  <si>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</si>
  <si>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</si>
  <si>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</si>
  <si>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</si>
  <si>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</si>
  <si>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</si>
  <si>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</si>
  <si>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</si>
  <si>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</si>
  <si>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</si>
  <si>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</si>
  <si>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</si>
  <si>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</si>
  <si>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</si>
  <si>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</si>
  <si>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</si>
  <si>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</si>
  <si>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</si>
  <si>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</si>
  <si>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</si>
  <si>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</si>
  <si>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</si>
  <si>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</si>
  <si>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</si>
  <si>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</si>
  <si>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</si>
  <si>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</si>
  <si>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</si>
  <si>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</si>
  <si>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</si>
  <si>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</si>
  <si>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</si>
  <si>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</si>
  <si>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</si>
  <si>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</si>
  <si>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</si>
  <si>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</si>
  <si>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</si>
  <si>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</si>
  <si>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</si>
  <si>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</si>
  <si>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</si>
  <si>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</si>
  <si>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</si>
  <si>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</si>
  <si>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</si>
  <si>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</si>
  <si>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</si>
  <si>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</si>
  <si>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</si>
  <si>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</si>
  <si>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</si>
  <si>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</si>
  <si>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</si>
  <si>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</si>
  <si>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</si>
  <si>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</si>
  <si>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</si>
  <si>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</si>
  <si>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</si>
  <si>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</si>
  <si>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</si>
  <si>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</si>
  <si>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</si>
  <si>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</si>
  <si>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</si>
  <si>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</si>
  <si>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</si>
  <si>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</si>
  <si>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</si>
  <si>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</si>
  <si>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</si>
  <si>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</si>
  <si>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</si>
  <si>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</si>
  <si>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</si>
  <si>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</si>
  <si>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</si>
  <si>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</si>
  <si>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</si>
  <si>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</si>
  <si>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</si>
  <si>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</si>
  <si>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</si>
  <si>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</si>
  <si>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</si>
  <si>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</si>
  <si>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</si>
  <si>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</si>
  <si>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</si>
  <si>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</si>
  <si>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</si>
  <si>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</si>
  <si>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</si>
  <si>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</si>
  <si>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</si>
  <si>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</si>
  <si>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</si>
  <si>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</si>
  <si>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</si>
  <si>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</si>
  <si>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</si>
  <si>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</si>
  <si>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</si>
  <si>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</si>
  <si>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</si>
  <si>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</si>
  <si>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</si>
  <si>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</si>
  <si>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</si>
  <si>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</si>
  <si>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</si>
  <si>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</si>
  <si>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</si>
  <si>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</si>
  <si>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</si>
  <si>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</si>
  <si>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</si>
  <si>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</si>
  <si>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</si>
  <si>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</si>
  <si>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</si>
  <si>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</si>
  <si>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</si>
  <si>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</si>
  <si>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</si>
  <si>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</si>
  <si>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</si>
  <si>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</si>
  <si>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</si>
  <si>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</si>
  <si>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</si>
  <si>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</si>
  <si>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</si>
  <si>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</si>
  <si>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</si>
  <si>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</si>
  <si>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</si>
  <si>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</si>
  <si>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</si>
  <si>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</si>
  <si>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</si>
  <si>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</si>
  <si>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</si>
  <si>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</si>
  <si>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</si>
  <si>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</si>
  <si>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</si>
  <si>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</si>
  <si>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</si>
  <si>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</si>
  <si>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</si>
  <si>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</si>
  <si>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</si>
  <si>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</si>
  <si>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</si>
  <si>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</si>
  <si>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</si>
  <si>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</si>
  <si>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</si>
  <si>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</si>
  <si>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</si>
  <si>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</si>
  <si>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</si>
  <si>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</si>
  <si>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</si>
  <si>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</si>
  <si>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</si>
  <si>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</si>
  <si>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</si>
  <si>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</si>
  <si>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</si>
  <si>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</si>
  <si>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</si>
  <si>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</si>
  <si>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</si>
  <si>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</si>
  <si>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</si>
  <si>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</si>
  <si>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</si>
  <si>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</si>
  <si>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</si>
  <si>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</si>
  <si>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</si>
  <si>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</si>
  <si>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</si>
  <si>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</si>
  <si>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</si>
  <si>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</si>
  <si>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</si>
  <si>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</si>
  <si>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</si>
  <si>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</si>
  <si>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</si>
  <si>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</si>
  <si>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</si>
  <si>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</si>
  <si>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</si>
  <si>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</si>
  <si>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</si>
  <si>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</si>
  <si>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</si>
  <si>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</si>
  <si>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</si>
  <si>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</si>
  <si>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</si>
  <si>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</si>
  <si>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</si>
  <si>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</si>
  <si>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</si>
  <si>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</si>
  <si>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</si>
  <si>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</si>
  <si>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</si>
  <si>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</si>
  <si>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</si>
  <si>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</si>
  <si>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</si>
  <si>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</si>
  <si>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</si>
  <si>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</si>
  <si>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</si>
  <si>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</si>
  <si>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</si>
  <si>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</si>
  <si>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</si>
  <si>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</si>
  <si>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</si>
  <si>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</si>
  <si>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</si>
  <si>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</si>
  <si>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</si>
  <si>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</si>
  <si>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</si>
  <si>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</si>
  <si>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</si>
  <si>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</si>
  <si>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</si>
  <si>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</si>
  <si>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</si>
  <si>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</si>
  <si>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</si>
  <si>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</si>
  <si>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</si>
  <si>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</si>
  <si>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</si>
  <si>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</si>
  <si>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</si>
  <si>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</si>
  <si>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</si>
  <si>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</si>
  <si>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</si>
  <si>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</si>
  <si>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</si>
  <si>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</si>
  <si>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</si>
  <si>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</si>
  <si>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</si>
  <si>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</si>
  <si>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</si>
  <si>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</si>
  <si>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</si>
  <si>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</si>
  <si>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</si>
  <si>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</si>
  <si>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</si>
  <si>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</si>
  <si>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</si>
  <si>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</si>
  <si>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</si>
  <si>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</si>
  <si>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</si>
  <si>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</si>
  <si>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</si>
  <si>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</si>
  <si>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</si>
  <si>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</si>
  <si>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</si>
  <si>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</si>
  <si>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</si>
  <si>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</si>
  <si>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</si>
  <si>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</si>
  <si>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</si>
  <si>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</si>
  <si>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</si>
  <si>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</si>
  <si>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</si>
  <si>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</si>
  <si>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</si>
  <si>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</si>
  <si>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</si>
  <si>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</si>
  <si>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</si>
  <si>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</si>
  <si>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</si>
  <si>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</si>
  <si>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</si>
  <si>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</si>
  <si>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</si>
  <si>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</si>
  <si>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</si>
  <si>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</si>
  <si>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</si>
  <si>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</si>
  <si>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</si>
  <si>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</si>
  <si>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</si>
  <si>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</si>
  <si>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</si>
  <si>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</si>
  <si>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</si>
  <si>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</si>
  <si>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</si>
  <si>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</si>
  <si>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</si>
  <si>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</si>
  <si>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</si>
  <si>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</si>
  <si>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</si>
  <si>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</si>
  <si>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</si>
  <si>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</si>
  <si>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</si>
  <si>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</si>
  <si>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</si>
  <si>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</si>
  <si>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</si>
  <si>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</si>
  <si>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</si>
  <si>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</si>
  <si>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</si>
  <si>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</si>
  <si>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</si>
  <si>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</si>
  <si>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</si>
  <si>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</si>
  <si>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</si>
  <si>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</si>
  <si>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</si>
  <si>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</si>
  <si>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</si>
  <si>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</si>
  <si>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</si>
  <si>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</si>
  <si>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</si>
  <si>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</si>
  <si>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</si>
  <si>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</si>
  <si>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</si>
  <si>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</si>
  <si>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</si>
  <si>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</si>
  <si>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</si>
  <si>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</si>
  <si>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</si>
  <si>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</si>
  <si>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</si>
  <si>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</si>
  <si>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</si>
  <si>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</si>
  <si>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</si>
  <si>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</si>
  <si>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</si>
  <si>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</si>
  <si>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</si>
  <si>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</si>
  <si>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</si>
  <si>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</si>
  <si>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</si>
  <si>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</si>
  <si>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</si>
  <si>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</si>
  <si>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</si>
  <si>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</si>
  <si>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</si>
  <si>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</si>
  <si>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</si>
  <si>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</si>
  <si>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</si>
  <si>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</si>
  <si>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</si>
  <si>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</si>
  <si>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</si>
  <si>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</si>
  <si>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</si>
  <si>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</si>
  <si>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</si>
  <si>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</si>
  <si>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</si>
  <si>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</si>
  <si>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</si>
  <si>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</si>
  <si>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</si>
  <si>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</si>
  <si>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</si>
  <si>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</si>
  <si>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</si>
  <si>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</si>
  <si>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</si>
  <si>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</si>
  <si>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</si>
  <si>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</si>
  <si>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</si>
  <si>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</si>
  <si>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</si>
  <si>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</si>
  <si>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</si>
  <si>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</si>
  <si>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</si>
  <si>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</si>
  <si>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</si>
  <si>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</si>
  <si>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</si>
  <si>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</si>
  <si>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</si>
  <si>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</si>
  <si>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</si>
  <si>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</si>
  <si>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</si>
  <si>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</si>
  <si>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</si>
  <si>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</si>
  <si>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</si>
  <si>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</si>
  <si>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</si>
  <si>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</si>
  <si>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</si>
  <si>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</si>
  <si>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</si>
  <si>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</si>
  <si>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</si>
  <si>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</si>
  <si>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</si>
  <si>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</si>
  <si>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</si>
  <si>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</si>
  <si>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</si>
  <si>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</si>
  <si>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</si>
  <si>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</si>
  <si>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</si>
  <si>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</si>
  <si>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</si>
  <si>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</si>
  <si>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</si>
  <si>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</si>
  <si>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</si>
  <si>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</si>
  <si>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</si>
  <si>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</si>
  <si>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</si>
  <si>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</si>
  <si>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</si>
  <si>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</si>
  <si>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</si>
  <si>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</si>
  <si>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</si>
  <si>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</si>
  <si>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</si>
  <si>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</si>
  <si>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</si>
  <si>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</si>
  <si>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</si>
  <si>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</si>
  <si>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</si>
  <si>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</si>
  <si>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</si>
  <si>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</si>
  <si>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</si>
  <si>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</si>
  <si>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</si>
  <si>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</si>
  <si>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</si>
  <si>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</si>
  <si>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</si>
  <si>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</si>
  <si>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</si>
  <si>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</si>
  <si>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</si>
  <si>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</si>
  <si>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</si>
  <si>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</si>
  <si>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</si>
  <si>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</si>
  <si>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</si>
  <si>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</si>
  <si>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</si>
  <si>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</si>
  <si>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</si>
  <si>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</si>
  <si>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</si>
  <si>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</si>
  <si>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</si>
  <si>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</si>
  <si>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</si>
  <si>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</si>
  <si>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</si>
  <si>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</si>
  <si>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</si>
  <si>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</si>
  <si>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</si>
  <si>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</si>
  <si>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</si>
  <si>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</si>
  <si>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</si>
  <si>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</si>
  <si>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</si>
  <si>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</si>
  <si>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</si>
  <si>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</si>
  <si>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</si>
  <si>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</si>
  <si>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</si>
  <si>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</si>
  <si>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</si>
  <si>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</si>
  <si>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</si>
  <si>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</si>
  <si>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</si>
  <si>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</si>
  <si>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</si>
  <si>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</si>
  <si>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</si>
  <si>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</si>
  <si>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</si>
  <si>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</si>
  <si>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</si>
  <si>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</si>
  <si>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</si>
  <si>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</si>
  <si>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</si>
  <si>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</si>
  <si>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</si>
  <si>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</si>
  <si>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</si>
  <si>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</si>
  <si>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</si>
  <si>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</si>
  <si>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</si>
  <si>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</si>
  <si>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</si>
  <si>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</si>
  <si>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</si>
  <si>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</si>
  <si>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</si>
  <si>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</si>
  <si>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</si>
  <si>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</si>
  <si>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</si>
  <si>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</si>
  <si>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</si>
  <si>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</si>
  <si>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</si>
  <si>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</si>
  <si>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</si>
  <si>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</si>
  <si>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</si>
  <si>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</si>
  <si>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</si>
  <si>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</si>
  <si>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</si>
  <si>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</si>
  <si>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</si>
  <si>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</si>
  <si>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</si>
  <si>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</si>
  <si>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</si>
  <si>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</si>
  <si>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</si>
  <si>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</si>
  <si>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</si>
  <si>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</si>
  <si>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</si>
  <si>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</si>
  <si>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</si>
  <si>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</si>
  <si>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</si>
  <si>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</si>
  <si>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</si>
  <si>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</si>
  <si>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</si>
  <si>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</si>
  <si>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</si>
  <si>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</si>
  <si>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</si>
  <si>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</si>
  <si>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</si>
  <si>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</si>
  <si>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</si>
  <si>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</si>
  <si>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</si>
  <si>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</si>
  <si>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</si>
  <si>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</si>
  <si>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</si>
  <si>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</si>
  <si>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</si>
  <si>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</si>
  <si>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</si>
  <si>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</si>
  <si>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</si>
  <si>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</si>
  <si>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</si>
  <si>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</si>
  <si>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</si>
  <si>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</si>
  <si>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</si>
  <si>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</si>
  <si>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</si>
  <si>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</si>
  <si>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</si>
  <si>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</si>
  <si>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</si>
  <si>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</si>
  <si>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</si>
  <si>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</si>
  <si>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</si>
  <si>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</si>
  <si>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</si>
  <si>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</si>
  <si>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</si>
  <si>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</si>
  <si>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</si>
  <si>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</si>
  <si>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</si>
  <si>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</si>
  <si>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</si>
  <si>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</si>
  <si>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</si>
  <si>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</si>
  <si>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</si>
  <si>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</si>
  <si>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</si>
  <si>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</si>
  <si>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</si>
  <si>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</si>
  <si>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</si>
  <si>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</si>
  <si>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</si>
  <si>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</si>
  <si>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BHXH Long An</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</si>
  <si>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</si>
  <si>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</si>
  <si>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</si>
  <si>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</si>
  <si>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</si>
  <si>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</si>
  <si>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</si>
  <si>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</si>
  <si>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</si>
  <si>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</si>
  <si>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</si>
  <si>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</si>
  <si>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</si>
  <si>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</si>
  <si>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</si>
  <si>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</si>
  <si>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</si>
  <si>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</si>
  <si>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</si>
  <si>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</si>
  <si>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</si>
  <si>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</si>
  <si>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</si>
  <si>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</si>
  <si>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</si>
  <si>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</si>
  <si>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</si>
  <si>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</si>
  <si>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</si>
  <si>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</si>
  <si>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</si>
  <si>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</si>
  <si>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</si>
  <si>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</si>
  <si>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</si>
  <si>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</si>
  <si>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</si>
  <si>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</si>
  <si>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</si>
  <si>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</si>
  <si>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</si>
  <si>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</si>
  <si>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</si>
  <si>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</si>
  <si>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</si>
  <si>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</si>
  <si>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</si>
  <si>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</si>
  <si>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</si>
  <si>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</si>
  <si>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</si>
  <si>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</si>
  <si>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</si>
  <si>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</si>
  <si>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</si>
  <si>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</si>
  <si>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</si>
  <si>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</si>
  <si>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</si>
  <si>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</si>
  <si>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</si>
  <si>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</si>
  <si>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</si>
  <si>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</si>
  <si>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</si>
  <si>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</si>
  <si>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</si>
  <si>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</si>
  <si>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</si>
  <si>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</si>
  <si>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</si>
  <si>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</si>
  <si>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</si>
  <si>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</si>
  <si>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</si>
  <si>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</si>
  <si>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</si>
  <si>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</si>
  <si>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</si>
  <si>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</si>
  <si>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</si>
  <si>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</si>
  <si>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</si>
  <si>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</si>
  <si>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</si>
  <si>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</si>
  <si>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</si>
  <si>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</si>
  <si>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</si>
  <si>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</si>
  <si>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</si>
  <si>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</si>
  <si>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</si>
  <si>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</si>
  <si>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</si>
  <si>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</si>
  <si>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</si>
  <si>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</si>
  <si>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</si>
  <si>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</si>
  <si>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</si>
  <si>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</si>
  <si>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</si>
  <si>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</si>
  <si>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</si>
  <si>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</si>
  <si>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</si>
  <si>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</si>
  <si>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</si>
  <si>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</si>
  <si>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</si>
  <si>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</si>
  <si>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</si>
  <si>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</si>
  <si>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</si>
  <si>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</si>
  <si>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</si>
  <si>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</si>
  <si>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</si>
  <si>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</si>
  <si>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</si>
  <si>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</si>
  <si>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</si>
  <si>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</si>
  <si>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</si>
  <si>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</si>
  <si>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</si>
  <si>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</si>
  <si>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</si>
  <si>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</si>
  <si>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</si>
  <si>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</si>
  <si>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</si>
  <si>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</si>
  <si>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</si>
  <si>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</si>
  <si>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</si>
  <si>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</si>
  <si>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</si>
  <si>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</si>
  <si>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</si>
  <si>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</si>
  <si>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</si>
  <si>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</si>
  <si>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</si>
  <si>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</si>
  <si>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</si>
  <si>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</si>
  <si>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</si>
  <si>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</si>
  <si>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</si>
  <si>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</si>
  <si>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</si>
  <si>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</si>
  <si>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</si>
  <si>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</si>
  <si>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</si>
  <si>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</si>
  <si>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</si>
  <si>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</si>
  <si>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</si>
  <si>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</si>
  <si>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</si>
  <si>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</si>
  <si>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</si>
  <si>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</si>
  <si>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</si>
  <si>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</si>
  <si>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</si>
  <si>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</si>
  <si>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</si>
  <si>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</si>
  <si>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</si>
  <si>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</si>
  <si>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</si>
  <si>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</si>
  <si>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</si>
  <si>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</si>
  <si>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</si>
  <si>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</si>
  <si>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</si>
  <si>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</si>
  <si>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</si>
  <si>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</si>
  <si>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</si>
  <si>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</si>
  <si>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</si>
  <si>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</si>
  <si>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</si>
  <si>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</si>
  <si>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</si>
  <si>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</si>
  <si>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</si>
  <si>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</si>
  <si>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</si>
  <si>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</si>
  <si>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</si>
  <si>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</si>
  <si>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</si>
  <si>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</si>
  <si>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</si>
  <si>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</si>
  <si>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</si>
  <si>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</si>
  <si>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</si>
  <si>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</si>
  <si>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</si>
  <si>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</si>
  <si>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</si>
  <si>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</si>
  <si>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</si>
  <si>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</si>
  <si>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</si>
  <si>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</si>
  <si>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</si>
  <si>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</si>
  <si>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</si>
  <si>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</si>
  <si>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</si>
  <si>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</si>
  <si>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</si>
  <si>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</si>
  <si>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</si>
  <si>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</si>
  <si>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</si>
  <si>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</si>
  <si>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</si>
  <si>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</si>
  <si>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</si>
  <si>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</si>
  <si>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</si>
  <si>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</si>
  <si>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</si>
  <si>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</si>
  <si>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</si>
  <si>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</si>
  <si>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</si>
  <si>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</si>
  <si>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</si>
  <si>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</si>
  <si>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</si>
  <si>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</si>
  <si>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</si>
  <si>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</si>
  <si>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</si>
  <si>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</si>
  <si>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</si>
  <si>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</si>
  <si>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</si>
  <si>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</si>
  <si>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</si>
  <si>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</si>
  <si>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</si>
  <si>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</si>
  <si>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</si>
  <si>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</si>
  <si>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</si>
  <si>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</si>
  <si>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</si>
  <si>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</si>
  <si>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</si>
  <si>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</si>
  <si>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</si>
  <si>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</si>
  <si>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</si>
  <si>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</si>
  <si>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</si>
  <si>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</si>
  <si>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</si>
  <si>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</si>
  <si>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</si>
  <si>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</si>
  <si>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</si>
  <si>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</si>
  <si>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</si>
  <si>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</si>
  <si>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</si>
  <si>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</si>
  <si>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</si>
  <si>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</si>
  <si>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</si>
  <si>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</si>
  <si>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</si>
  <si>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</si>
  <si>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</si>
  <si>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</si>
  <si>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</si>
  <si>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</si>
  <si>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</si>
  <si>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</si>
  <si>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</si>
  <si>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</si>
  <si>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</si>
  <si>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</si>
  <si>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</si>
  <si>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</si>
  <si>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</si>
  <si>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</si>
  <si>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</si>
  <si>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</si>
  <si>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</si>
  <si>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</si>
  <si>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</si>
  <si>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</si>
  <si>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</si>
  <si>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</si>
  <si>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</si>
  <si>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</si>
  <si>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</si>
  <si>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</si>
  <si>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</si>
  <si>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</si>
  <si>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</si>
  <si>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</si>
  <si>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</si>
  <si>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</si>
  <si>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</si>
  <si>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</si>
  <si>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</si>
  <si>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</si>
  <si>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</si>
  <si>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</si>
  <si>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</si>
  <si>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</si>
  <si>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</si>
  <si>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</si>
  <si>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</si>
  <si>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</si>
  <si>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</si>
  <si>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</si>
  <si>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</si>
  <si>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</si>
  <si>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</si>
  <si>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</si>
  <si>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</si>
  <si>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</si>
  <si>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</si>
  <si>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</si>
  <si>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</si>
  <si>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</si>
  <si>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</si>
  <si>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</si>
  <si>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</si>
  <si>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</si>
  <si>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</si>
  <si>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</si>
  <si>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</si>
  <si>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</si>
  <si>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</si>
  <si>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</si>
  <si>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</si>
  <si>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</si>
  <si>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</si>
  <si>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</si>
  <si>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</si>
  <si>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</si>
  <si>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</si>
  <si>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</si>
  <si>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</si>
  <si>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</si>
  <si>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</si>
  <si>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</si>
  <si>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</si>
  <si>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</si>
  <si>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</si>
  <si>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</si>
  <si>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</si>
  <si>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</si>
  <si>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</si>
  <si>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</si>
  <si>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</si>
  <si>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</si>
  <si>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</si>
  <si>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</si>
  <si>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</si>
  <si>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</si>
  <si>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</si>
  <si>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</si>
  <si>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</si>
  <si>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</si>
  <si>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</si>
  <si>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</si>
  <si>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</si>
  <si>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</si>
  <si>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</si>
  <si>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</si>
  <si>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</si>
  <si>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</si>
  <si>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</si>
  <si>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</si>
  <si>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</si>
  <si>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</si>
  <si>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</si>
  <si>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</si>
  <si>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</si>
  <si>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</si>
  <si>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</si>
  <si>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</si>
  <si>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</si>
  <si>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</si>
  <si>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</si>
  <si>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</si>
  <si>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</si>
  <si>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</si>
  <si>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</si>
  <si>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</si>
  <si>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</si>
  <si>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</si>
  <si>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</si>
  <si>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</si>
  <si>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</si>
  <si>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</si>
  <si>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</si>
  <si>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</si>
  <si>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</si>
  <si>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</si>
  <si>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</si>
  <si>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</si>
  <si>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</si>
  <si>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</si>
  <si>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</si>
  <si>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</si>
  <si>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</si>
  <si>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</si>
  <si>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</si>
  <si>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</si>
  <si>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</si>
  <si>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</si>
  <si>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</si>
  <si>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</si>
  <si>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</si>
  <si>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</si>
  <si>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</si>
  <si>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</si>
  <si>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</si>
  <si>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</si>
  <si>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</si>
  <si>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</si>
  <si>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</si>
  <si>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</si>
  <si>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</si>
  <si>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</si>
  <si>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</si>
  <si>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</si>
  <si>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</si>
  <si>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</si>
  <si>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</si>
  <si>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</si>
  <si>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</si>
  <si>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</si>
  <si>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</si>
  <si>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</si>
  <si>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</si>
  <si>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</si>
  <si>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</si>
  <si>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</si>
  <si>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</si>
  <si>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</si>
  <si>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</si>
  <si>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</si>
  <si>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</si>
  <si>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</si>
  <si>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</si>
  <si>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</si>
  <si>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</si>
  <si>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</si>
  <si>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</si>
  <si>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</si>
  <si>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</si>
  <si>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</si>
  <si>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</si>
  <si>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</si>
  <si>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</si>
  <si>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</si>
  <si>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</si>
  <si>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</si>
  <si>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</si>
  <si>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</si>
  <si>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</si>
  <si>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</si>
  <si>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</si>
  <si>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</si>
  <si>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</si>
  <si>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</si>
  <si>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</si>
  <si>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</si>
  <si>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</si>
  <si>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</si>
  <si>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</si>
  <si>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</si>
  <si>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</si>
  <si>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</si>
  <si>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</si>
  <si>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</si>
  <si>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</si>
  <si>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</si>
  <si>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</si>
  <si>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</si>
  <si>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</si>
  <si>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</si>
  <si>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</si>
  <si>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</si>
  <si>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</si>
  <si>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</si>
  <si>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</si>
  <si>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</si>
  <si>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</si>
  <si>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</si>
  <si>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</si>
  <si>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</si>
  <si>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</si>
  <si>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</si>
  <si>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</si>
  <si>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</si>
  <si>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</si>
  <si>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</si>
  <si>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</si>
  <si>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</si>
  <si>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</si>
  <si>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</si>
  <si>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</si>
  <si>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</si>
  <si>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</si>
  <si>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</si>
  <si>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</si>
  <si>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</si>
  <si>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</si>
  <si>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</si>
  <si>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</si>
  <si>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</si>
  <si>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</si>
  <si>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</si>
  <si>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</si>
  <si>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</si>
  <si>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</si>
  <si>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</si>
  <si>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</si>
  <si>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</si>
  <si>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</si>
  <si>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</si>
  <si>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</si>
  <si>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</si>
  <si>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</si>
  <si>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</si>
  <si>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</si>
  <si>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</si>
  <si>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</si>
  <si>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</si>
  <si>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</si>
  <si>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</si>
  <si>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</si>
  <si>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</si>
  <si>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</si>
  <si>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</si>
  <si>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</si>
  <si>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</si>
  <si>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</si>
  <si>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</si>
  <si>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</si>
  <si>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</si>
  <si>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</si>
  <si>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</si>
  <si>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</si>
  <si>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</si>
  <si>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</si>
  <si>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</si>
  <si>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</si>
  <si>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</si>
  <si>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</si>
  <si>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</si>
  <si>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</si>
  <si>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</si>
  <si>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</si>
  <si>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</si>
  <si>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</si>
  <si>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</si>
  <si>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</si>
  <si>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</si>
  <si>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</si>
  <si>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</si>
  <si>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</si>
  <si>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</si>
  <si>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</si>
  <si>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</si>
  <si>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</si>
  <si>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</si>
  <si>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</si>
  <si>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</si>
  <si>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</si>
  <si>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</si>
  <si>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</si>
  <si>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</si>
  <si>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</si>
  <si>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</si>
  <si>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</si>
  <si>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</si>
  <si>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</si>
  <si>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</si>
  <si>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</si>
  <si>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</si>
  <si>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</si>
  <si>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</si>
  <si>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</si>
  <si>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</si>
  <si>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</si>
  <si>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</si>
  <si>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</si>
  <si>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</si>
  <si>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</si>
  <si>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</si>
  <si>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</si>
  <si>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</si>
  <si>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</si>
  <si>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</si>
  <si>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</si>
  <si>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</si>
  <si>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</si>
  <si>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</si>
  <si>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</si>
  <si>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</si>
  <si>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</si>
  <si>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</si>
  <si>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</si>
  <si>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</si>
  <si>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</si>
  <si>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</si>
  <si>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</si>
  <si>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</si>
  <si>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</si>
  <si>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</si>
  <si>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</si>
  <si>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</si>
  <si>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</si>
  <si>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</si>
  <si>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</si>
  <si>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</si>
  <si>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</si>
  <si>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</si>
  <si>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</si>
  <si>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</si>
  <si>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</si>
  <si>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</si>
  <si>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</si>
  <si>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</si>
  <si>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</si>
  <si>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</si>
  <si>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</si>
  <si>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</si>
  <si>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</si>
  <si>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</si>
  <si>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</si>
  <si>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</si>
  <si>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</si>
  <si>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</si>
  <si>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</si>
  <si>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</si>
  <si>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</si>
  <si>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</si>
  <si>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</si>
  <si>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</si>
  <si>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</si>
  <si>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</si>
  <si>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</si>
  <si>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</si>
  <si>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</si>
  <si>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</si>
  <si>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</si>
  <si>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</si>
  <si>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</si>
  <si>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</si>
  <si>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</si>
  <si>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</si>
  <si>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</si>
  <si>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</si>
  <si>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</si>
  <si>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</si>
  <si>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</si>
  <si>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</si>
  <si>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</si>
  <si>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</si>
  <si>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</si>
  <si>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</si>
  <si>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</si>
  <si>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</si>
  <si>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</si>
  <si>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</si>
  <si>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</si>
  <si>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</si>
  <si>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</si>
  <si>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</si>
  <si>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</si>
  <si>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</si>
  <si>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</si>
  <si>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</si>
  <si>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</si>
  <si>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</si>
  <si>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</si>
  <si>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</si>
  <si>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</si>
  <si>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</si>
  <si>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</si>
  <si>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</si>
  <si>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</si>
  <si>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</si>
  <si>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</si>
  <si>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</si>
  <si>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</si>
  <si>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</si>
  <si>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</si>
  <si>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</si>
  <si>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</si>
  <si>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</si>
  <si>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</si>
  <si>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</si>
  <si>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</si>
  <si>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</si>
  <si>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</si>
  <si>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</si>
  <si>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</si>
  <si>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</si>
  <si>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</si>
  <si>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</si>
  <si>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</si>
  <si>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</si>
  <si>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</si>
  <si>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</si>
  <si>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</si>
  <si>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</si>
  <si>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</si>
  <si>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</si>
  <si>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</si>
  <si>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</si>
  <si>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</si>
  <si>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</si>
  <si>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</si>
  <si>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</si>
  <si>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</si>
  <si>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</si>
  <si>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</si>
  <si>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</si>
  <si>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</si>
  <si>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</si>
  <si>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</si>
  <si>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</si>
  <si>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</si>
  <si>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1027 416000 283</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</si>
  <si>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</si>
  <si>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</si>
  <si>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</si>
  <si>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</si>
  <si>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</si>
  <si>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</si>
  <si>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</si>
  <si>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</si>
  <si>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</si>
  <si>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</si>
  <si>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</si>
  <si>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</si>
  <si>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</si>
  <si>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</si>
  <si>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</si>
  <si>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</si>
  <si>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</si>
  <si>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</si>
  <si>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</si>
  <si>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</si>
  <si>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</si>
  <si>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</si>
  <si>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</si>
  <si>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</si>
  <si>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</si>
  <si>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</si>
  <si>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</si>
  <si>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</si>
  <si>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</si>
  <si>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</si>
  <si>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Xuất bỏ phế liệu</t>
  </si>
  <si>
    <t>Chi phí nhập khẩu</t>
  </si>
  <si>
    <t>Thanh toán tiền baăng keo</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</si>
  <si>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</si>
  <si>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</si>
  <si>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</si>
  <si>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</si>
  <si>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</si>
  <si>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</si>
  <si>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</si>
  <si>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</si>
  <si>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</si>
  <si>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</si>
  <si>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</si>
  <si>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</si>
  <si>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</si>
  <si>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</si>
  <si>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</si>
  <si>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</si>
  <si>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</si>
  <si>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Thạch Tiền</t>
  </si>
  <si>
    <t>CHI</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</si>
  <si>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</si>
  <si>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</si>
  <si>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</si>
  <si>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</si>
  <si>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</si>
  <si>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</si>
  <si>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</si>
  <si>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</si>
  <si>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</si>
  <si>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</si>
  <si>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</si>
  <si>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</si>
  <si>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</si>
  <si>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</si>
  <si>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</si>
  <si>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</si>
  <si>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</si>
  <si>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</si>
  <si>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</si>
  <si>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</si>
  <si>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</si>
  <si>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</si>
  <si>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</si>
  <si>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</si>
  <si>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</si>
  <si>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</si>
  <si>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</si>
  <si>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</si>
  <si>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</si>
  <si>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</si>
  <si>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</si>
  <si>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</si>
  <si>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</si>
  <si>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</si>
  <si>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</si>
  <si>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</si>
  <si>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</si>
  <si>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</si>
  <si>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</si>
  <si>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</si>
  <si>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</si>
  <si>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</si>
  <si>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</si>
  <si>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</si>
  <si>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</si>
  <si>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</si>
  <si>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</si>
  <si>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</si>
  <si>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</si>
  <si>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</si>
  <si>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</si>
  <si>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</si>
  <si>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</si>
  <si>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</si>
  <si>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</si>
  <si>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NL/X19</t>
  </si>
  <si>
    <t>NL/X20</t>
  </si>
  <si>
    <t>NL/X21</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</si>
  <si>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</si>
  <si>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</si>
  <si>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</si>
  <si>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</si>
  <si>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</si>
  <si>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</si>
  <si>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</si>
  <si>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</si>
  <si>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</si>
  <si>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</si>
  <si>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</si>
  <si>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</si>
  <si>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</si>
  <si>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</si>
  <si>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</si>
  <si>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</si>
  <si>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</si>
  <si>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</si>
  <si>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</si>
  <si>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</si>
  <si>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</si>
  <si>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</si>
  <si>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</si>
  <si>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</si>
  <si>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</si>
  <si>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</si>
  <si>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</si>
  <si>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</si>
  <si>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</si>
  <si>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</si>
  <si>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</si>
  <si>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</si>
  <si>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</si>
  <si>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</si>
  <si>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</si>
  <si>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</si>
  <si>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</si>
  <si>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NL/N92</t>
  </si>
  <si>
    <t>NL/N93</t>
  </si>
  <si>
    <t>NL/N94</t>
  </si>
  <si>
    <t>NL/N95</t>
  </si>
  <si>
    <t>NL/N96</t>
  </si>
  <si>
    <t>NL/N97</t>
  </si>
  <si>
    <t>NL/N98</t>
  </si>
  <si>
    <t>NL/N99</t>
  </si>
  <si>
    <t>NL/N100</t>
  </si>
  <si>
    <t>NL/N101</t>
  </si>
  <si>
    <t>NL/N102</t>
  </si>
  <si>
    <t>NL/N103</t>
  </si>
  <si>
    <t>NL/N104</t>
  </si>
  <si>
    <t>NL/X22</t>
  </si>
  <si>
    <t>NL/X23</t>
  </si>
  <si>
    <t>NL/X24</t>
  </si>
  <si>
    <t>NL/X25</t>
  </si>
  <si>
    <t>NL/X26</t>
  </si>
  <si>
    <t>NL/X27</t>
  </si>
  <si>
    <t>NL/X28</t>
  </si>
  <si>
    <t>NL/X29</t>
  </si>
  <si>
    <t>NL/X30</t>
  </si>
  <si>
    <t>NL/X31</t>
  </si>
  <si>
    <t>NL/X32</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</si>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</sst>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sz val="10"/>
      <color theme="6" tint="-0.499984740745262"/>
      <name val="Times New Roman"/>
      <family val="1"/>
    </font>
    <font>
      <sz val="10"/>
      <color theme="6" tint="-0.499984740745262"/>
      <name val="Arial"/>
      <family val="2"/>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9" tint="0.59999389629810485"/>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xf numFmtId="43" fontId="3" fillId="0" borderId="0" applyFont="0" applyFill="0" applyBorder="0" applyAlignment="0" applyProtection="0"/>
    <xf numFmtId="0" fontId="3" fillId="0" borderId="0"/>
  </cellStyleXfs>
  <cellXfs count="1508">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3" fontId="34" fillId="0" borderId="21" xfId="46" applyFont="1" applyBorder="1" applyAlignment="1">
      <alignment vertical="center" wrapText="1"/>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0" fontId="104" fillId="0" borderId="0" xfId="0" applyFont="1" applyFill="1" applyAlignment="1"/>
    <xf numFmtId="164" fontId="34" fillId="0" borderId="16" xfId="77" quotePrefix="1" applyNumberFormat="1" applyFont="1" applyFill="1" applyBorder="1" applyAlignment="1">
      <alignment vertical="center"/>
    </xf>
    <xf numFmtId="0" fontId="105" fillId="0" borderId="16" xfId="77" applyNumberFormat="1" applyFont="1" applyFill="1" applyBorder="1" applyAlignment="1">
      <alignment horizontal="center"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0" fontId="0" fillId="0" borderId="0" xfId="0" applyFont="1" applyFill="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164" fontId="3" fillId="0" borderId="0" xfId="0" applyNumberFormat="1" applyFont="1" applyFill="1"/>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164" fontId="0" fillId="0" borderId="0" xfId="29" applyNumberFormat="1" applyFont="1" applyFill="1" applyAlignment="1">
      <alignment horizontal="left"/>
    </xf>
    <xf numFmtId="0" fontId="34" fillId="25" borderId="16" xfId="77" applyNumberFormat="1" applyFont="1" applyFill="1" applyBorder="1" applyAlignment="1">
      <alignment horizontal="center" vertical="center"/>
    </xf>
    <xf numFmtId="14" fontId="49" fillId="25" borderId="16" xfId="76" applyNumberFormat="1" applyFont="1" applyFill="1" applyBorder="1" applyAlignment="1">
      <alignment horizontal="center" vertical="center"/>
    </xf>
    <xf numFmtId="164" fontId="49" fillId="25" borderId="16" xfId="76" applyNumberFormat="1" applyFont="1" applyFill="1" applyBorder="1" applyAlignment="1">
      <alignment horizontal="left" vertical="center"/>
    </xf>
    <xf numFmtId="49" fontId="49" fillId="25" borderId="16" xfId="76" applyNumberFormat="1" applyFont="1" applyFill="1" applyBorder="1" applyAlignment="1">
      <alignment horizontal="left" vertical="center"/>
    </xf>
    <xf numFmtId="164" fontId="49" fillId="25" borderId="16" xfId="29" applyNumberFormat="1" applyFont="1" applyFill="1" applyBorder="1" applyAlignment="1">
      <alignment horizontal="left" vertical="center"/>
    </xf>
    <xf numFmtId="164" fontId="49" fillId="25" borderId="16" xfId="77" applyNumberFormat="1" applyFont="1" applyFill="1" applyBorder="1" applyAlignment="1">
      <alignment vertical="center"/>
    </xf>
    <xf numFmtId="0" fontId="49" fillId="25" borderId="16" xfId="76" quotePrefix="1" applyNumberFormat="1" applyFont="1" applyFill="1" applyBorder="1" applyAlignment="1">
      <alignment horizontal="center" vertical="center"/>
    </xf>
    <xf numFmtId="43" fontId="49" fillId="25" borderId="16" xfId="29" applyFont="1" applyFill="1" applyBorder="1" applyAlignment="1">
      <alignment horizontal="left" vertical="center"/>
    </xf>
    <xf numFmtId="1" fontId="49" fillId="25" borderId="16" xfId="76" quotePrefix="1" applyNumberFormat="1" applyFont="1" applyFill="1" applyBorder="1" applyAlignment="1">
      <alignment horizontal="center" vertical="center"/>
    </xf>
    <xf numFmtId="0" fontId="0" fillId="25" borderId="0" xfId="0" applyFill="1" applyAlignment="1"/>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64" fontId="34" fillId="25" borderId="0" xfId="29" applyNumberFormat="1" applyFont="1" applyFill="1"/>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164" fontId="34" fillId="25" borderId="16" xfId="76" applyNumberFormat="1" applyFont="1" applyFill="1" applyBorder="1" applyAlignment="1">
      <alignment horizontal="left" vertical="center"/>
    </xf>
    <xf numFmtId="14" fontId="34" fillId="25" borderId="16" xfId="76" applyNumberFormat="1" applyFont="1" applyFill="1" applyBorder="1" applyAlignment="1">
      <alignment horizontal="center" vertical="center"/>
    </xf>
    <xf numFmtId="0" fontId="3" fillId="0" borderId="16" xfId="0" applyFont="1" applyFill="1" applyBorder="1"/>
    <xf numFmtId="49" fontId="34" fillId="25" borderId="16" xfId="76"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64" fontId="3" fillId="0" borderId="0" xfId="29" applyNumberFormat="1" applyFont="1" applyFill="1" applyAlignment="1"/>
    <xf numFmtId="164" fontId="34" fillId="25" borderId="16" xfId="76" quotePrefix="1" applyNumberFormat="1" applyFont="1" applyFill="1" applyBorder="1" applyAlignment="1">
      <alignment horizontal="left" vertical="center"/>
    </xf>
    <xf numFmtId="164" fontId="51" fillId="0" borderId="16" xfId="0" quotePrefix="1" applyNumberFormat="1" applyFont="1" applyFill="1" applyBorder="1" applyAlignment="1">
      <alignment horizontal="left" vertical="center"/>
    </xf>
    <xf numFmtId="43" fontId="51" fillId="0" borderId="16" xfId="29" applyNumberFormat="1" applyFont="1" applyFill="1" applyBorder="1" applyAlignment="1">
      <alignment horizontal="left" vertical="center"/>
    </xf>
    <xf numFmtId="164" fontId="51" fillId="0" borderId="16" xfId="0" applyNumberFormat="1" applyFont="1" applyFill="1" applyBorder="1" applyAlignment="1">
      <alignment vertical="center"/>
    </xf>
    <xf numFmtId="0" fontId="51" fillId="0" borderId="16" xfId="90" quotePrefix="1" applyNumberFormat="1" applyFont="1" applyFill="1" applyBorder="1" applyAlignment="1">
      <alignment horizontal="center" vertical="center"/>
    </xf>
    <xf numFmtId="43" fontId="52" fillId="0" borderId="0" xfId="0" applyNumberFormat="1" applyFont="1" applyFill="1" applyAlignment="1"/>
    <xf numFmtId="164" fontId="39" fillId="0" borderId="0" xfId="29" applyNumberFormat="1" applyFont="1"/>
    <xf numFmtId="0" fontId="51" fillId="0" borderId="16" xfId="0" applyFont="1" applyFill="1" applyBorder="1" applyAlignment="1">
      <alignment horizontal="center"/>
    </xf>
    <xf numFmtId="0" fontId="49" fillId="0" borderId="16" xfId="0" applyFont="1" applyFill="1" applyBorder="1" applyAlignment="1">
      <alignment horizontal="center"/>
    </xf>
    <xf numFmtId="164" fontId="105"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5"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9" fontId="34" fillId="35" borderId="16" xfId="76" applyNumberFormat="1" applyFont="1" applyFill="1" applyBorder="1" applyAlignment="1">
      <alignment horizontal="left" vertical="center"/>
    </xf>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49" fontId="109" fillId="0" borderId="16" xfId="76" applyNumberFormat="1" applyFont="1" applyFill="1" applyBorder="1" applyAlignment="1">
      <alignment horizontal="left" vertical="center"/>
    </xf>
    <xf numFmtId="164" fontId="109" fillId="0" borderId="16" xfId="76" quotePrefix="1"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0" fontId="110" fillId="0" borderId="0" xfId="0" applyFont="1" applyFill="1"/>
    <xf numFmtId="43" fontId="3" fillId="0" borderId="0" xfId="29" applyFont="1" applyFill="1"/>
    <xf numFmtId="43" fontId="0" fillId="0" borderId="0" xfId="0" applyNumberFormat="1" applyFill="1"/>
    <xf numFmtId="0" fontId="51" fillId="0" borderId="16" xfId="0" applyFont="1" applyFill="1" applyBorder="1" applyAlignment="1">
      <alignment vertical="center"/>
    </xf>
    <xf numFmtId="49" fontId="51" fillId="0" borderId="16" xfId="90" applyNumberFormat="1" applyFont="1" applyFill="1" applyBorder="1" applyAlignment="1">
      <alignment horizontal="left" vertical="center"/>
    </xf>
    <xf numFmtId="0" fontId="34" fillId="0" borderId="21" xfId="77" applyFont="1" applyBorder="1" applyAlignment="1">
      <alignment vertical="center"/>
    </xf>
    <xf numFmtId="164" fontId="34" fillId="0" borderId="21" xfId="96" applyNumberFormat="1" applyFont="1" applyBorder="1"/>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0" xfId="52" applyFont="1" applyAlignment="1">
      <alignment horizontal="center" vertical="center"/>
    </xf>
    <xf numFmtId="0" fontId="34" fillId="0" borderId="22" xfId="52" applyFont="1" applyBorder="1" applyAlignment="1">
      <alignment horizontal="right"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8" fillId="0" borderId="0" xfId="52" applyFont="1" applyAlignment="1">
      <alignment horizontal="center"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2" xfId="76" applyFont="1" applyFill="1" applyBorder="1" applyAlignment="1">
      <alignment horizontal="center" vertical="center" wrapText="1"/>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60"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2" fillId="0" borderId="22" xfId="0" applyFont="1" applyBorder="1" applyAlignment="1">
      <alignment horizontal="center" vertical="center"/>
    </xf>
    <xf numFmtId="0" fontId="33" fillId="0" borderId="0" xfId="99" applyFont="1" applyAlignment="1" applyProtection="1">
      <alignment horizontal="center"/>
      <protection hidden="1"/>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H9" sqref="H9:I9"/>
    </sheetView>
  </sheetViews>
  <sheetFormatPr defaultRowHeight="12.75"/>
  <cols>
    <col min="1" max="1" width="8.42578125" style="242" customWidth="1"/>
    <col min="2" max="2" width="7" style="242" customWidth="1"/>
    <col min="3" max="3" width="8.140625" style="242" customWidth="1"/>
    <col min="4" max="4" width="35.42578125" style="242" customWidth="1"/>
    <col min="5" max="5" width="6.5703125" style="242" customWidth="1"/>
    <col min="6" max="6" width="9.140625" style="242"/>
    <col min="7" max="7" width="9.7109375" style="242" customWidth="1"/>
    <col min="8" max="8" width="11.85546875" style="242" customWidth="1"/>
    <col min="9" max="9" width="9.7109375" style="242" customWidth="1"/>
    <col min="10" max="10" width="12.42578125" style="242" customWidth="1"/>
    <col min="11" max="11" width="9.28515625" style="242" customWidth="1"/>
    <col min="12" max="12" width="11" style="242" customWidth="1"/>
    <col min="13" max="13" width="10.85546875" style="242" customWidth="1"/>
    <col min="14" max="14" width="14" style="242" customWidth="1"/>
    <col min="15" max="16384" width="9.140625" style="242"/>
  </cols>
  <sheetData>
    <row r="1" spans="1:14" s="237" customFormat="1" ht="16.5" customHeight="1">
      <c r="A1" s="243" t="s">
        <v>14</v>
      </c>
      <c r="B1" s="236"/>
      <c r="C1" s="236"/>
      <c r="H1" s="236"/>
      <c r="I1" s="236"/>
      <c r="J1" s="1278" t="s">
        <v>238</v>
      </c>
      <c r="K1" s="1278"/>
      <c r="L1" s="1278"/>
      <c r="M1" s="1278"/>
      <c r="N1" s="1278"/>
    </row>
    <row r="2" spans="1:14" s="237" customFormat="1" ht="16.5" customHeight="1">
      <c r="A2" s="244" t="s">
        <v>179</v>
      </c>
      <c r="B2" s="355"/>
      <c r="C2" s="355"/>
      <c r="H2" s="238"/>
      <c r="I2" s="238"/>
      <c r="J2" s="1279" t="s">
        <v>239</v>
      </c>
      <c r="K2" s="1279"/>
      <c r="L2" s="1279"/>
      <c r="M2" s="1279"/>
      <c r="N2" s="1279"/>
    </row>
    <row r="3" spans="1:14" s="237" customFormat="1" ht="16.5" customHeight="1">
      <c r="A3" s="355"/>
      <c r="B3" s="355"/>
      <c r="C3" s="355"/>
      <c r="H3" s="238"/>
      <c r="I3" s="238"/>
      <c r="J3" s="1279"/>
      <c r="K3" s="1279"/>
      <c r="L3" s="1279"/>
      <c r="M3" s="1279"/>
      <c r="N3" s="1279"/>
    </row>
    <row r="4" spans="1:14" s="237" customFormat="1" ht="16.5" customHeight="1">
      <c r="A4" s="355"/>
      <c r="B4" s="355"/>
      <c r="C4" s="355"/>
      <c r="H4" s="238"/>
      <c r="I4" s="238"/>
      <c r="J4" s="356"/>
      <c r="K4" s="356"/>
      <c r="L4" s="356"/>
      <c r="M4" s="356"/>
      <c r="N4" s="356"/>
    </row>
    <row r="5" spans="1:14" s="18" customFormat="1" ht="23.25" customHeight="1">
      <c r="A5" s="1280" t="s">
        <v>240</v>
      </c>
      <c r="B5" s="1280"/>
      <c r="C5" s="1280"/>
      <c r="D5" s="1280"/>
      <c r="E5" s="1280"/>
      <c r="F5" s="1280"/>
      <c r="G5" s="1280"/>
      <c r="H5" s="1280"/>
      <c r="I5" s="1280"/>
      <c r="J5" s="1280"/>
      <c r="K5" s="1280"/>
      <c r="L5" s="1280"/>
      <c r="M5" s="1280"/>
      <c r="N5" s="1280"/>
    </row>
    <row r="6" spans="1:14" s="18" customFormat="1">
      <c r="A6" s="1266" t="s">
        <v>241</v>
      </c>
      <c r="B6" s="1266"/>
      <c r="C6" s="1266"/>
      <c r="D6" s="1266"/>
      <c r="E6" s="1266"/>
      <c r="F6" s="1266"/>
      <c r="G6" s="1266"/>
      <c r="H6" s="1266"/>
      <c r="I6" s="1266"/>
      <c r="J6" s="1266"/>
      <c r="K6" s="1266"/>
      <c r="L6" s="1266"/>
      <c r="M6" s="1266"/>
      <c r="N6" s="1266"/>
    </row>
    <row r="7" spans="1:14" s="18" customFormat="1">
      <c r="A7" s="1266" t="s">
        <v>242</v>
      </c>
      <c r="B7" s="1266"/>
      <c r="C7" s="1266"/>
      <c r="D7" s="1266"/>
      <c r="E7" s="1266"/>
      <c r="F7" s="1266"/>
      <c r="G7" s="1266"/>
      <c r="H7" s="1266"/>
      <c r="I7" s="1266"/>
      <c r="J7" s="1266"/>
      <c r="K7" s="1266"/>
      <c r="L7" s="1266"/>
      <c r="M7" s="1266"/>
      <c r="N7" s="1266"/>
    </row>
    <row r="8" spans="1:14" s="18" customFormat="1" ht="15" customHeight="1">
      <c r="A8" s="1266" t="str">
        <f>IF(MID($H$9,4,4)="1015","Đối tượng cho vay: NH Eximbank CN Q11","Đối tượng cho vay: NH Eximbank CN Q4")</f>
        <v>Đối tượng cho vay: NH Eximbank CN Q11</v>
      </c>
      <c r="B8" s="1266"/>
      <c r="C8" s="1266"/>
      <c r="D8" s="1266"/>
      <c r="E8" s="1266"/>
      <c r="F8" s="1266"/>
      <c r="G8" s="1266"/>
      <c r="H8" s="1266"/>
      <c r="I8" s="1266"/>
      <c r="J8" s="1266"/>
      <c r="K8" s="1266"/>
      <c r="L8" s="1266"/>
      <c r="M8" s="1266"/>
      <c r="N8" s="1266"/>
    </row>
    <row r="9" spans="1:14" s="18" customFormat="1">
      <c r="A9" s="354"/>
      <c r="B9" s="354"/>
      <c r="C9" s="354"/>
      <c r="D9" s="354"/>
      <c r="E9" s="354"/>
      <c r="F9" s="354"/>
      <c r="G9" s="20" t="s">
        <v>243</v>
      </c>
      <c r="H9" s="1265" t="s">
        <v>1540</v>
      </c>
      <c r="I9" s="1265"/>
      <c r="J9" s="357" t="str">
        <f>"ngày "&amp; TEXT(VLOOKUP($H$9,'341'!$B$5:$P$51,2,0),"dd/MM/yy")</f>
        <v>ngày 11/05/16</v>
      </c>
      <c r="K9" s="354"/>
      <c r="L9" s="354"/>
      <c r="M9" s="354"/>
      <c r="N9" s="354"/>
    </row>
    <row r="10" spans="1:14" s="18" customFormat="1">
      <c r="A10" s="1266" t="s">
        <v>244</v>
      </c>
      <c r="B10" s="1266"/>
      <c r="C10" s="1266"/>
      <c r="D10" s="1266"/>
      <c r="E10" s="1266"/>
      <c r="F10" s="1266"/>
      <c r="G10" s="1266"/>
      <c r="H10" s="1266"/>
      <c r="I10" s="1266"/>
      <c r="J10" s="1266"/>
      <c r="K10" s="1266"/>
      <c r="L10" s="1266"/>
      <c r="M10" s="1266"/>
      <c r="N10" s="1266"/>
    </row>
    <row r="11" spans="1:14" s="18" customFormat="1">
      <c r="C11" s="1267"/>
      <c r="D11" s="1267"/>
      <c r="E11" s="1267"/>
      <c r="F11" s="1267"/>
      <c r="G11" s="1267"/>
      <c r="H11" s="1267"/>
      <c r="I11" s="1267"/>
      <c r="J11" s="1267"/>
      <c r="K11" s="1267"/>
      <c r="L11" s="1267"/>
      <c r="M11" s="1267"/>
      <c r="N11" s="1267"/>
    </row>
    <row r="12" spans="1:14" s="18" customFormat="1" ht="15.75" customHeight="1">
      <c r="A12" s="1268" t="s">
        <v>22</v>
      </c>
      <c r="B12" s="1271" t="s">
        <v>1</v>
      </c>
      <c r="C12" s="1272"/>
      <c r="D12" s="1268" t="s">
        <v>0</v>
      </c>
      <c r="E12" s="1268" t="s">
        <v>16</v>
      </c>
      <c r="F12" s="1268" t="s">
        <v>245</v>
      </c>
      <c r="G12" s="1271" t="s">
        <v>23</v>
      </c>
      <c r="H12" s="1275"/>
      <c r="I12" s="1275"/>
      <c r="J12" s="1264"/>
      <c r="K12" s="1271" t="s">
        <v>33</v>
      </c>
      <c r="L12" s="1275"/>
      <c r="M12" s="1275"/>
      <c r="N12" s="1264"/>
    </row>
    <row r="13" spans="1:14" s="18" customFormat="1" ht="15.75" customHeight="1">
      <c r="A13" s="1269"/>
      <c r="B13" s="1276" t="s">
        <v>17</v>
      </c>
      <c r="C13" s="1276" t="s">
        <v>34</v>
      </c>
      <c r="D13" s="1269"/>
      <c r="E13" s="1269"/>
      <c r="F13" s="1273"/>
      <c r="G13" s="1263" t="s">
        <v>24</v>
      </c>
      <c r="H13" s="1264"/>
      <c r="I13" s="1263" t="s">
        <v>25</v>
      </c>
      <c r="J13" s="1264"/>
      <c r="K13" s="1263" t="s">
        <v>24</v>
      </c>
      <c r="L13" s="1264"/>
      <c r="M13" s="1263" t="s">
        <v>25</v>
      </c>
      <c r="N13" s="1264"/>
    </row>
    <row r="14" spans="1:14" s="18" customFormat="1" ht="32.25" customHeight="1">
      <c r="A14" s="1270"/>
      <c r="B14" s="1277"/>
      <c r="C14" s="1277"/>
      <c r="D14" s="1270"/>
      <c r="E14" s="1270"/>
      <c r="F14" s="1274"/>
      <c r="G14" s="30" t="s">
        <v>246</v>
      </c>
      <c r="H14" s="30" t="s">
        <v>247</v>
      </c>
      <c r="I14" s="30" t="s">
        <v>246</v>
      </c>
      <c r="J14" s="30" t="s">
        <v>247</v>
      </c>
      <c r="K14" s="30" t="s">
        <v>246</v>
      </c>
      <c r="L14" s="30" t="s">
        <v>247</v>
      </c>
      <c r="M14" s="30" t="s">
        <v>246</v>
      </c>
      <c r="N14" s="30" t="s">
        <v>247</v>
      </c>
    </row>
    <row r="15" spans="1:14" s="354" customFormat="1">
      <c r="A15" s="358" t="s">
        <v>2</v>
      </c>
      <c r="B15" s="359" t="s">
        <v>3</v>
      </c>
      <c r="C15" s="358" t="s">
        <v>4</v>
      </c>
      <c r="D15" s="358" t="s">
        <v>5</v>
      </c>
      <c r="E15" s="358" t="s">
        <v>6</v>
      </c>
      <c r="F15" s="358">
        <v>1</v>
      </c>
      <c r="G15" s="358">
        <v>2</v>
      </c>
      <c r="H15" s="358">
        <v>3</v>
      </c>
      <c r="I15" s="358">
        <v>4</v>
      </c>
      <c r="J15" s="358">
        <v>5</v>
      </c>
      <c r="K15" s="358">
        <v>6</v>
      </c>
      <c r="L15" s="358">
        <v>7</v>
      </c>
      <c r="M15" s="358">
        <v>8</v>
      </c>
      <c r="N15" s="358">
        <v>9</v>
      </c>
    </row>
    <row r="16" spans="1:14" s="18" customFormat="1" ht="19.5" customHeight="1">
      <c r="A16" s="383"/>
      <c r="B16" s="383"/>
      <c r="C16" s="383"/>
      <c r="D16" s="384" t="s">
        <v>7</v>
      </c>
      <c r="E16" s="385"/>
      <c r="F16" s="385"/>
      <c r="G16" s="383"/>
      <c r="H16" s="383"/>
      <c r="I16" s="383"/>
      <c r="J16" s="383"/>
      <c r="K16" s="386">
        <f>VLOOKUP($H$9,'341'!$B$5:$P$51,4,0)</f>
        <v>0</v>
      </c>
      <c r="L16" s="387">
        <f>VLOOKUP($H$9,'341'!$B$5:$P$51,5,0)</f>
        <v>0</v>
      </c>
      <c r="M16" s="386">
        <f>VLOOKUP($H$9,'341'!$B$5:$P$51,6,0)</f>
        <v>0</v>
      </c>
      <c r="N16" s="387">
        <f>VLOOKUP($H$9,'341'!$B$5:$P$51,7,0)</f>
        <v>0</v>
      </c>
    </row>
    <row r="17" spans="1:14" s="18" customFormat="1" ht="19.5" customHeight="1">
      <c r="A17" s="329">
        <f ca="1">IF(ROWS($1:1)&gt;COUNT(Dong4),"",OFFSET(TH!C$1,SMALL(Dong4,ROWS($1:1)),))</f>
        <v>42501</v>
      </c>
      <c r="B17" s="239" t="str">
        <f ca="1">IF(ROWS($1:1)&gt;COUNT(Dong4),"",OFFSET(TH!D$1,SMALL(Dong4,ROWS($1:1)),))</f>
        <v>GBC</v>
      </c>
      <c r="C17" s="239">
        <f ca="1">IF(ROWS($1:1)&gt;COUNT(Dong4),"",OFFSET(TH!E$1,SMALL(Dong4,ROWS($1:1)),))</f>
        <v>42501</v>
      </c>
      <c r="D17" s="388" t="str">
        <f ca="1">IF(ROWS($1:1)&gt;COUNT(Dong4),"",OFFSET(TH!F$1,SMALL(Dong4,ROWS($1:1)),))</f>
        <v>Chiết khấu LC</v>
      </c>
      <c r="E17" s="239" t="str">
        <f ca="1">IF(ROWS($1:1)&gt;COUNT(Dong4),"",IF(LEFT(OFFSET(TH!O$1,SMALL(Dong4,ROWS($1:1)),),3)="341",OFFSET(TH!N$1,SMALL(Dong4,ROWS($1:1)),),OFFSET(TH!O$1,SMALL(Dong4,ROWS($1:1)),)))</f>
        <v>1121</v>
      </c>
      <c r="F17" s="389"/>
      <c r="G17" s="390">
        <f ca="1">IF(ROWS($1:1)&gt;COUNT(Dong4),"",IF(LEFT(OFFSET(TH!N$1,SMALL(Dong4,ROWS($1:1)),),3)="341",OFFSET(TH!K$1,SMALL(Dong4,ROWS($1:1)),),0))</f>
        <v>0</v>
      </c>
      <c r="H17" s="389">
        <f ca="1">IF(ROWS($1:1)&gt;COUNT(Dong4),"",IF(LEFT(OFFSET(TH!N$1,SMALL(Dong4,ROWS($1:1)),),3)="341",OFFSET(TH!M$1,SMALL(Dong4,ROWS($1:1)),),0))</f>
        <v>0</v>
      </c>
      <c r="I17" s="390">
        <f ca="1">IF(ROWS($1:1)&gt;COUNT(Dong4),"",IF(LEFT(OFFSET(TH!O$1,SMALL(Dong4,ROWS($1:1)),),3)="341",OFFSET(TH!K$1,SMALL(Dong4,ROWS($1:1)),),0))</f>
        <v>0</v>
      </c>
      <c r="J17" s="389">
        <f ca="1">IF(ROWS($1:1)&gt;COUNT(Dong4),"",IF(LEFT(OFFSET(TH!O$1,SMALL(Dong4,ROWS($1:1)),),3)="341",OFFSET(TH!M$1,SMALL(Dong4,ROWS($1:1)),),0))</f>
        <v>1417486081</v>
      </c>
      <c r="K17" s="230">
        <f ca="1">IF(C17&lt;&gt;"",ROUND(MAX(K16+G17-I17-M16,0),2),0)</f>
        <v>0</v>
      </c>
      <c r="L17" s="8">
        <f ca="1">IF(C17&lt;&gt;"",MAX(L16-N16+H17-J17,0),0)</f>
        <v>0</v>
      </c>
      <c r="M17" s="230">
        <f ca="1">IF(C17&lt;&gt;"",ROUND(MAX(M16+I17-G17-K16,0),2),0)</f>
        <v>0</v>
      </c>
      <c r="N17" s="8">
        <f ca="1">IF(C17&lt;&gt;"",MAX(N16-L16+J17-H17,0),0)</f>
        <v>1417486081</v>
      </c>
    </row>
    <row r="18" spans="1:14" s="391" customFormat="1" ht="19.5" customHeight="1">
      <c r="A18" s="329">
        <f ca="1">IF(ROWS($1:2)&gt;COUNT(Dong4),"",OFFSET(TH!C$1,SMALL(Dong4,ROWS($1:2)),))</f>
        <v>42501</v>
      </c>
      <c r="B18" s="239" t="str">
        <f ca="1">IF(ROWS($1:2)&gt;COUNT(Dong4),"",OFFSET(TH!D$1,SMALL(Dong4,ROWS($1:2)),))</f>
        <v>CTGS</v>
      </c>
      <c r="C18" s="239">
        <f ca="1">IF(ROWS($1:2)&gt;COUNT(Dong4),"",OFFSET(TH!E$1,SMALL(Dong4,ROWS($1:2)),))</f>
        <v>42501</v>
      </c>
      <c r="D18" s="388" t="str">
        <f ca="1">IF(ROWS($1:2)&gt;COUNT(Dong4),"",OFFSET(TH!F$1,SMALL(Dong4,ROWS($1:2)),))</f>
        <v>Phí xử lý bộ chứng từ</v>
      </c>
      <c r="E18" s="239" t="str">
        <f ca="1">IF(ROWS($1:2)&gt;COUNT(Dong4),"",IF(LEFT(OFFSET(TH!O$1,SMALL(Dong4,ROWS($1:2)),),3)="341",OFFSET(TH!N$1,SMALL(Dong4,ROWS($1:2)),),OFFSET(TH!O$1,SMALL(Dong4,ROWS($1:2)),)))</f>
        <v>642</v>
      </c>
      <c r="F18" s="389"/>
      <c r="G18" s="390">
        <f ca="1">IF(ROWS($1:2)&gt;COUNT(Dong4),"",IF(LEFT(OFFSET(TH!N$1,SMALL(Dong4,ROWS($1:2)),),3)="341",OFFSET(TH!K$1,SMALL(Dong4,ROWS($1:2)),),0))</f>
        <v>0</v>
      </c>
      <c r="H18" s="389">
        <f ca="1">IF(ROWS($1:2)&gt;COUNT(Dong4),"",IF(LEFT(OFFSET(TH!N$1,SMALL(Dong4,ROWS($1:2)),),3)="341",OFFSET(TH!M$1,SMALL(Dong4,ROWS($1:2)),),0))</f>
        <v>0</v>
      </c>
      <c r="I18" s="390">
        <f ca="1">IF(ROWS($1:2)&gt;COUNT(Dong4),"",IF(LEFT(OFFSET(TH!O$1,SMALL(Dong4,ROWS($1:2)),),3)="341",OFFSET(TH!K$1,SMALL(Dong4,ROWS($1:2)),),0))</f>
        <v>0</v>
      </c>
      <c r="J18" s="389">
        <f ca="1">IF(ROWS($1:2)&gt;COUNT(Dong4),"",IF(LEFT(OFFSET(TH!O$1,SMALL(Dong4,ROWS($1:2)),),3)="341",OFFSET(TH!M$1,SMALL(Dong4,ROWS($1:2)),),0))</f>
        <v>222600</v>
      </c>
      <c r="K18" s="230">
        <f ca="1">IF(C18&lt;&gt;"",ROUND(MAX(K17+G18-I18-M17,0),2),0)</f>
        <v>0</v>
      </c>
      <c r="L18" s="8">
        <f ca="1">IF(C18&lt;&gt;"",MAX(L17-N17+H18-J18,0),0)</f>
        <v>0</v>
      </c>
      <c r="M18" s="230">
        <f ca="1">IF(C18&lt;&gt;"",ROUND(MAX(M17+I18-G18-K17,0),2),0)</f>
        <v>0</v>
      </c>
      <c r="N18" s="8">
        <f ca="1">IF(C18&lt;&gt;"",MAX(N17-L17+J18-H18,0),0)</f>
        <v>1417708681</v>
      </c>
    </row>
    <row r="19" spans="1:14" s="391" customFormat="1" ht="19.5" customHeight="1">
      <c r="A19" s="329">
        <f ca="1">IF(ROWS($1:3)&gt;COUNT(Dong4),"",OFFSET(TH!C$1,SMALL(Dong4,ROWS($1:3)),))</f>
        <v>42501</v>
      </c>
      <c r="B19" s="239" t="str">
        <f ca="1">IF(ROWS($1:3)&gt;COUNT(Dong4),"",OFFSET(TH!D$1,SMALL(Dong4,ROWS($1:3)),))</f>
        <v>CTGS</v>
      </c>
      <c r="C19" s="239">
        <f ca="1">IF(ROWS($1:3)&gt;COUNT(Dong4),"",OFFSET(TH!E$1,SMALL(Dong4,ROWS($1:3)),))</f>
        <v>42501</v>
      </c>
      <c r="D19" s="388" t="str">
        <f ca="1">IF(ROWS($1:3)&gt;COUNT(Dong4),"",OFFSET(TH!F$1,SMALL(Dong4,ROWS($1:3)),))</f>
        <v>VAT Phí xử lý bộ chứng từ</v>
      </c>
      <c r="E19" s="239" t="str">
        <f ca="1">IF(ROWS($1:3)&gt;COUNT(Dong4),"",IF(LEFT(OFFSET(TH!O$1,SMALL(Dong4,ROWS($1:3)),),3)="341",OFFSET(TH!N$1,SMALL(Dong4,ROWS($1:3)),),OFFSET(TH!O$1,SMALL(Dong4,ROWS($1:3)),)))</f>
        <v>1331</v>
      </c>
      <c r="F19" s="389"/>
      <c r="G19" s="390">
        <f ca="1">IF(ROWS($1:3)&gt;COUNT(Dong4),"",IF(LEFT(OFFSET(TH!N$1,SMALL(Dong4,ROWS($1:3)),),3)="341",OFFSET(TH!K$1,SMALL(Dong4,ROWS($1:3)),),0))</f>
        <v>0</v>
      </c>
      <c r="H19" s="389">
        <f ca="1">IF(ROWS($1:3)&gt;COUNT(Dong4),"",IF(LEFT(OFFSET(TH!N$1,SMALL(Dong4,ROWS($1:3)),),3)="341",OFFSET(TH!M$1,SMALL(Dong4,ROWS($1:3)),),0))</f>
        <v>0</v>
      </c>
      <c r="I19" s="390">
        <f ca="1">IF(ROWS($1:3)&gt;COUNT(Dong4),"",IF(LEFT(OFFSET(TH!O$1,SMALL(Dong4,ROWS($1:3)),),3)="341",OFFSET(TH!K$1,SMALL(Dong4,ROWS($1:3)),),0))</f>
        <v>0</v>
      </c>
      <c r="J19" s="389">
        <f ca="1">IF(ROWS($1:3)&gt;COUNT(Dong4),"",IF(LEFT(OFFSET(TH!O$1,SMALL(Dong4,ROWS($1:3)),),3)="341",OFFSET(TH!M$1,SMALL(Dong4,ROWS($1:3)),),0))</f>
        <v>22260</v>
      </c>
      <c r="K19" s="230">
        <f ca="1">IF(C19&lt;&gt;"",ROUND(MAX(K18+G19-I19-M18,0),2),0)</f>
        <v>0</v>
      </c>
      <c r="L19" s="8">
        <f ca="1">IF(C19&lt;&gt;"",MAX(L18-N18+H19-J19,0),0)</f>
        <v>0</v>
      </c>
      <c r="M19" s="230">
        <f ca="1">IF(C19&lt;&gt;"",ROUND(MAX(M18+I19-G19-K18,0),2),0)</f>
        <v>0</v>
      </c>
      <c r="N19" s="8">
        <f ca="1">IF(C19&lt;&gt;"",MAX(N18-L18+J19-H19,0),0)</f>
        <v>1417730941</v>
      </c>
    </row>
    <row r="20" spans="1:14" s="391" customFormat="1" ht="19.5" customHeight="1">
      <c r="A20" s="329">
        <f ca="1">IF(ROWS($1:4)&gt;COUNT(Dong4),"",OFFSET(TH!C$1,SMALL(Dong4,ROWS($1:4)),))</f>
        <v>42501</v>
      </c>
      <c r="B20" s="239" t="str">
        <f ca="1">IF(ROWS($1:4)&gt;COUNT(Dong4),"",OFFSET(TH!D$1,SMALL(Dong4,ROWS($1:4)),))</f>
        <v>CTGS</v>
      </c>
      <c r="C20" s="239">
        <f ca="1">IF(ROWS($1:4)&gt;COUNT(Dong4),"",OFFSET(TH!E$1,SMALL(Dong4,ROWS($1:4)),))</f>
        <v>42501</v>
      </c>
      <c r="D20" s="388" t="str">
        <f ca="1">IF(ROWS($1:4)&gt;COUNT(Dong4),"",OFFSET(TH!F$1,SMALL(Dong4,ROWS($1:4)),))</f>
        <v>Phí DHL</v>
      </c>
      <c r="E20" s="239" t="str">
        <f ca="1">IF(ROWS($1:4)&gt;COUNT(Dong4),"",IF(LEFT(OFFSET(TH!O$1,SMALL(Dong4,ROWS($1:4)),),3)="341",OFFSET(TH!N$1,SMALL(Dong4,ROWS($1:4)),),OFFSET(TH!O$1,SMALL(Dong4,ROWS($1:4)),)))</f>
        <v>642</v>
      </c>
      <c r="F20" s="389"/>
      <c r="G20" s="390">
        <f ca="1">IF(ROWS($1:4)&gt;COUNT(Dong4),"",IF(LEFT(OFFSET(TH!N$1,SMALL(Dong4,ROWS($1:4)),),3)="341",OFFSET(TH!K$1,SMALL(Dong4,ROWS($1:4)),),0))</f>
        <v>0</v>
      </c>
      <c r="H20" s="389">
        <f ca="1">IF(ROWS($1:4)&gt;COUNT(Dong4),"",IF(LEFT(OFFSET(TH!N$1,SMALL(Dong4,ROWS($1:4)),),3)="341",OFFSET(TH!M$1,SMALL(Dong4,ROWS($1:4)),),0))</f>
        <v>0</v>
      </c>
      <c r="I20" s="390">
        <f ca="1">IF(ROWS($1:4)&gt;COUNT(Dong4),"",IF(LEFT(OFFSET(TH!O$1,SMALL(Dong4,ROWS($1:4)),),3)="341",OFFSET(TH!K$1,SMALL(Dong4,ROWS($1:4)),),0))</f>
        <v>0</v>
      </c>
      <c r="J20" s="389">
        <f ca="1">IF(ROWS($1:4)&gt;COUNT(Dong4),"",IF(LEFT(OFFSET(TH!O$1,SMALL(Dong4,ROWS($1:4)),),3)="341",OFFSET(TH!M$1,SMALL(Dong4,ROWS($1:4)),),0))</f>
        <v>614821</v>
      </c>
      <c r="K20" s="230">
        <f t="shared" ref="K20:K25" ca="1" si="0">IF(C20&lt;&gt;"",ROUND(MAX(K19+G20-I20-M19,0),2),0)</f>
        <v>0</v>
      </c>
      <c r="L20" s="8">
        <f t="shared" ref="L20:L25" ca="1" si="1">IF(C20&lt;&gt;"",MAX(L19-N19+H20-J20,0),0)</f>
        <v>0</v>
      </c>
      <c r="M20" s="230">
        <f t="shared" ref="M20:M25" ca="1" si="2">IF(C20&lt;&gt;"",ROUND(MAX(M19+I20-G20-K19,0),2),0)</f>
        <v>0</v>
      </c>
      <c r="N20" s="8">
        <f t="shared" ref="N20:N25" ca="1" si="3">IF(C20&lt;&gt;"",MAX(N19-L19+J20-H20,0),0)</f>
        <v>1418345762</v>
      </c>
    </row>
    <row r="21" spans="1:14" s="391" customFormat="1" ht="19.5" customHeight="1">
      <c r="A21" s="329">
        <f ca="1">IF(ROWS($1:5)&gt;COUNT(Dong4),"",OFFSET(TH!C$1,SMALL(Dong4,ROWS($1:5)),))</f>
        <v>42501</v>
      </c>
      <c r="B21" s="239" t="str">
        <f ca="1">IF(ROWS($1:5)&gt;COUNT(Dong4),"",OFFSET(TH!D$1,SMALL(Dong4,ROWS($1:5)),))</f>
        <v>CTGS</v>
      </c>
      <c r="C21" s="239">
        <f ca="1">IF(ROWS($1:5)&gt;COUNT(Dong4),"",OFFSET(TH!E$1,SMALL(Dong4,ROWS($1:5)),))</f>
        <v>42501</v>
      </c>
      <c r="D21" s="388" t="str">
        <f ca="1">IF(ROWS($1:5)&gt;COUNT(Dong4),"",OFFSET(TH!F$1,SMALL(Dong4,ROWS($1:5)),))</f>
        <v>VAT Phí DHL</v>
      </c>
      <c r="E21" s="239" t="str">
        <f ca="1">IF(ROWS($1:5)&gt;COUNT(Dong4),"",IF(LEFT(OFFSET(TH!O$1,SMALL(Dong4,ROWS($1:5)),),3)="341",OFFSET(TH!N$1,SMALL(Dong4,ROWS($1:5)),),OFFSET(TH!O$1,SMALL(Dong4,ROWS($1:5)),)))</f>
        <v>1331</v>
      </c>
      <c r="F21" s="389"/>
      <c r="G21" s="390">
        <f ca="1">IF(ROWS($1:5)&gt;COUNT(Dong4),"",IF(LEFT(OFFSET(TH!N$1,SMALL(Dong4,ROWS($1:5)),),3)="341",OFFSET(TH!K$1,SMALL(Dong4,ROWS($1:5)),),0))</f>
        <v>0</v>
      </c>
      <c r="H21" s="389">
        <f ca="1">IF(ROWS($1:5)&gt;COUNT(Dong4),"",IF(LEFT(OFFSET(TH!N$1,SMALL(Dong4,ROWS($1:5)),),3)="341",OFFSET(TH!M$1,SMALL(Dong4,ROWS($1:5)),),0))</f>
        <v>0</v>
      </c>
      <c r="I21" s="390">
        <f ca="1">IF(ROWS($1:5)&gt;COUNT(Dong4),"",IF(LEFT(OFFSET(TH!O$1,SMALL(Dong4,ROWS($1:5)),),3)="341",OFFSET(TH!K$1,SMALL(Dong4,ROWS($1:5)),),0))</f>
        <v>0</v>
      </c>
      <c r="J21" s="389">
        <f ca="1">IF(ROWS($1:5)&gt;COUNT(Dong4),"",IF(LEFT(OFFSET(TH!O$1,SMALL(Dong4,ROWS($1:5)),),3)="341",OFFSET(TH!M$1,SMALL(Dong4,ROWS($1:5)),),0))</f>
        <v>61438</v>
      </c>
      <c r="K21" s="230">
        <f t="shared" ca="1" si="0"/>
        <v>0</v>
      </c>
      <c r="L21" s="8">
        <f t="shared" ca="1" si="1"/>
        <v>0</v>
      </c>
      <c r="M21" s="230">
        <f t="shared" ca="1" si="2"/>
        <v>0</v>
      </c>
      <c r="N21" s="8">
        <f t="shared" ca="1" si="3"/>
        <v>1418407200</v>
      </c>
    </row>
    <row r="22" spans="1:14" s="391" customFormat="1" ht="19.5" customHeight="1">
      <c r="A22" s="329">
        <f ca="1">IF(ROWS($1:6)&gt;COUNT(Dong4),"",OFFSET(TH!C$1,SMALL(Dong4,ROWS($1:6)),))</f>
        <v>42508</v>
      </c>
      <c r="B22" s="239" t="str">
        <f ca="1">IF(ROWS($1:6)&gt;COUNT(Dong4),"",OFFSET(TH!D$1,SMALL(Dong4,ROWS($1:6)),))</f>
        <v>GBN</v>
      </c>
      <c r="C22" s="239">
        <f ca="1">IF(ROWS($1:6)&gt;COUNT(Dong4),"",OFFSET(TH!E$1,SMALL(Dong4,ROWS($1:6)),))</f>
        <v>42508</v>
      </c>
      <c r="D22" s="388" t="str">
        <f ca="1">IF(ROWS($1:6)&gt;COUNT(Dong4),"",OFFSET(TH!F$1,SMALL(Dong4,ROWS($1:6)),))</f>
        <v>Trả tiền vay LC</v>
      </c>
      <c r="E22" s="239" t="str">
        <f ca="1">IF(ROWS($1:6)&gt;COUNT(Dong4),"",IF(LEFT(OFFSET(TH!O$1,SMALL(Dong4,ROWS($1:6)),),3)="341",OFFSET(TH!N$1,SMALL(Dong4,ROWS($1:6)),),OFFSET(TH!O$1,SMALL(Dong4,ROWS($1:6)),)))</f>
        <v>1121</v>
      </c>
      <c r="F22" s="389"/>
      <c r="G22" s="390">
        <f ca="1">IF(ROWS($1:6)&gt;COUNT(Dong4),"",IF(LEFT(OFFSET(TH!N$1,SMALL(Dong4,ROWS($1:6)),),3)="341",OFFSET(TH!K$1,SMALL(Dong4,ROWS($1:6)),),0))</f>
        <v>0</v>
      </c>
      <c r="H22" s="389">
        <f ca="1">IF(ROWS($1:6)&gt;COUNT(Dong4),"",IF(LEFT(OFFSET(TH!N$1,SMALL(Dong4,ROWS($1:6)),),3)="341",OFFSET(TH!M$1,SMALL(Dong4,ROWS($1:6)),),0))</f>
        <v>1418407200</v>
      </c>
      <c r="I22" s="390">
        <f ca="1">IF(ROWS($1:6)&gt;COUNT(Dong4),"",IF(LEFT(OFFSET(TH!O$1,SMALL(Dong4,ROWS($1:6)),),3)="341",OFFSET(TH!K$1,SMALL(Dong4,ROWS($1:6)),),0))</f>
        <v>0</v>
      </c>
      <c r="J22" s="389">
        <f ca="1">IF(ROWS($1:6)&gt;COUNT(Dong4),"",IF(LEFT(OFFSET(TH!O$1,SMALL(Dong4,ROWS($1:6)),),3)="341",OFFSET(TH!M$1,SMALL(Dong4,ROWS($1:6)),),0))</f>
        <v>0</v>
      </c>
      <c r="K22" s="230">
        <f t="shared" ca="1" si="0"/>
        <v>0</v>
      </c>
      <c r="L22" s="8">
        <f t="shared" ca="1" si="1"/>
        <v>0</v>
      </c>
      <c r="M22" s="230">
        <f t="shared" ca="1" si="2"/>
        <v>0</v>
      </c>
      <c r="N22" s="8">
        <f t="shared" ca="1" si="3"/>
        <v>0</v>
      </c>
    </row>
    <row r="23" spans="1:14" s="391" customFormat="1" ht="19.5" customHeight="1">
      <c r="A23" s="329" t="str">
        <f ca="1">IF(ROWS($1:7)&gt;COUNT(Dong4),"",OFFSET(TH!C$1,SMALL(Dong4,ROWS($1:7)),))</f>
        <v/>
      </c>
      <c r="B23" s="239" t="str">
        <f ca="1">IF(ROWS($1:7)&gt;COUNT(Dong4),"",OFFSET(TH!D$1,SMALL(Dong4,ROWS($1:7)),))</f>
        <v/>
      </c>
      <c r="C23" s="239" t="str">
        <f ca="1">IF(ROWS($1:7)&gt;COUNT(Dong4),"",OFFSET(TH!E$1,SMALL(Dong4,ROWS($1:7)),))</f>
        <v/>
      </c>
      <c r="D23" s="388" t="str">
        <f ca="1">IF(ROWS($1:7)&gt;COUNT(Dong4),"",OFFSET(TH!F$1,SMALL(Dong4,ROWS($1:7)),))</f>
        <v/>
      </c>
      <c r="E23" s="239" t="str">
        <f ca="1">IF(ROWS($1:7)&gt;COUNT(Dong4),"",IF(LEFT(OFFSET(TH!O$1,SMALL(Dong4,ROWS($1:7)),),3)="341",OFFSET(TH!N$1,SMALL(Dong4,ROWS($1:7)),),OFFSET(TH!O$1,SMALL(Dong4,ROWS($1:7)),)))</f>
        <v/>
      </c>
      <c r="F23" s="389"/>
      <c r="G23" s="390" t="str">
        <f ca="1">IF(ROWS($1:7)&gt;COUNT(Dong4),"",IF(LEFT(OFFSET(TH!N$1,SMALL(Dong4,ROWS($1:7)),),3)="341",OFFSET(TH!K$1,SMALL(Dong4,ROWS($1:7)),),0))</f>
        <v/>
      </c>
      <c r="H23" s="389" t="str">
        <f ca="1">IF(ROWS($1:7)&gt;COUNT(Dong4),"",IF(LEFT(OFFSET(TH!N$1,SMALL(Dong4,ROWS($1:7)),),3)="341",OFFSET(TH!M$1,SMALL(Dong4,ROWS($1:7)),),0))</f>
        <v/>
      </c>
      <c r="I23" s="390" t="str">
        <f ca="1">IF(ROWS($1:7)&gt;COUNT(Dong4),"",IF(LEFT(OFFSET(TH!O$1,SMALL(Dong4,ROWS($1:7)),),3)="341",OFFSET(TH!K$1,SMALL(Dong4,ROWS($1:7)),),0))</f>
        <v/>
      </c>
      <c r="J23" s="389" t="str">
        <f ca="1">IF(ROWS($1:7)&gt;COUNT(Dong4),"",IF(LEFT(OFFSET(TH!O$1,SMALL(Dong4,ROWS($1:7)),),3)="341",OFFSET(TH!M$1,SMALL(Dong4,ROWS($1:7)),),0))</f>
        <v/>
      </c>
      <c r="K23" s="230">
        <f t="shared" ca="1" si="0"/>
        <v>0</v>
      </c>
      <c r="L23" s="8">
        <f t="shared" ca="1" si="1"/>
        <v>0</v>
      </c>
      <c r="M23" s="230">
        <f t="shared" ca="1" si="2"/>
        <v>0</v>
      </c>
      <c r="N23" s="8">
        <f t="shared" ca="1" si="3"/>
        <v>0</v>
      </c>
    </row>
    <row r="24" spans="1:14" s="391" customFormat="1" ht="19.5" customHeight="1">
      <c r="A24" s="329" t="str">
        <f ca="1">IF(ROWS($1:8)&gt;COUNT(Dong4),"",OFFSET(TH!C$1,SMALL(Dong4,ROWS($1:8)),))</f>
        <v/>
      </c>
      <c r="B24" s="239" t="str">
        <f ca="1">IF(ROWS($1:8)&gt;COUNT(Dong4),"",OFFSET(TH!D$1,SMALL(Dong4,ROWS($1:8)),))</f>
        <v/>
      </c>
      <c r="C24" s="239" t="str">
        <f ca="1">IF(ROWS($1:8)&gt;COUNT(Dong4),"",OFFSET(TH!E$1,SMALL(Dong4,ROWS($1:8)),))</f>
        <v/>
      </c>
      <c r="D24" s="388" t="str">
        <f ca="1">IF(ROWS($1:8)&gt;COUNT(Dong4),"",OFFSET(TH!F$1,SMALL(Dong4,ROWS($1:8)),))</f>
        <v/>
      </c>
      <c r="E24" s="239" t="str">
        <f ca="1">IF(ROWS($1:8)&gt;COUNT(Dong4),"",IF(LEFT(OFFSET(TH!O$1,SMALL(Dong4,ROWS($1:8)),),3)="341",OFFSET(TH!N$1,SMALL(Dong4,ROWS($1:8)),),OFFSET(TH!O$1,SMALL(Dong4,ROWS($1:8)),)))</f>
        <v/>
      </c>
      <c r="F24" s="389"/>
      <c r="G24" s="390" t="str">
        <f ca="1">IF(ROWS($1:8)&gt;COUNT(Dong4),"",IF(LEFT(OFFSET(TH!N$1,SMALL(Dong4,ROWS($1:8)),),3)="341",OFFSET(TH!K$1,SMALL(Dong4,ROWS($1:8)),),0))</f>
        <v/>
      </c>
      <c r="H24" s="389" t="str">
        <f ca="1">IF(ROWS($1:8)&gt;COUNT(Dong4),"",IF(LEFT(OFFSET(TH!N$1,SMALL(Dong4,ROWS($1:8)),),3)="341",OFFSET(TH!M$1,SMALL(Dong4,ROWS($1:8)),),0))</f>
        <v/>
      </c>
      <c r="I24" s="390" t="str">
        <f ca="1">IF(ROWS($1:8)&gt;COUNT(Dong4),"",IF(LEFT(OFFSET(TH!O$1,SMALL(Dong4,ROWS($1:8)),),3)="341",OFFSET(TH!K$1,SMALL(Dong4,ROWS($1:8)),),0))</f>
        <v/>
      </c>
      <c r="J24" s="389" t="str">
        <f ca="1">IF(ROWS($1:8)&gt;COUNT(Dong4),"",IF(LEFT(OFFSET(TH!O$1,SMALL(Dong4,ROWS($1:8)),),3)="341",OFFSET(TH!M$1,SMALL(Dong4,ROWS($1:8)),),0))</f>
        <v/>
      </c>
      <c r="K24" s="230">
        <f t="shared" ca="1" si="0"/>
        <v>0</v>
      </c>
      <c r="L24" s="8">
        <f t="shared" ca="1" si="1"/>
        <v>0</v>
      </c>
      <c r="M24" s="230">
        <f t="shared" ca="1" si="2"/>
        <v>0</v>
      </c>
      <c r="N24" s="8">
        <f t="shared" ca="1" si="3"/>
        <v>0</v>
      </c>
    </row>
    <row r="25" spans="1:14" s="391" customFormat="1" ht="19.5" customHeight="1">
      <c r="A25" s="329" t="str">
        <f ca="1">IF(ROWS($1:9)&gt;COUNT(Dong4),"",OFFSET(TH!C$1,SMALL(Dong4,ROWS($1:9)),))</f>
        <v/>
      </c>
      <c r="B25" s="239" t="str">
        <f ca="1">IF(ROWS($1:9)&gt;COUNT(Dong4),"",OFFSET(TH!D$1,SMALL(Dong4,ROWS($1:9)),))</f>
        <v/>
      </c>
      <c r="C25" s="239" t="str">
        <f ca="1">IF(ROWS($1:9)&gt;COUNT(Dong4),"",OFFSET(TH!E$1,SMALL(Dong4,ROWS($1:9)),))</f>
        <v/>
      </c>
      <c r="D25" s="388" t="str">
        <f ca="1">IF(ROWS($1:9)&gt;COUNT(Dong4),"",OFFSET(TH!F$1,SMALL(Dong4,ROWS($1:9)),))</f>
        <v/>
      </c>
      <c r="E25" s="239" t="str">
        <f ca="1">IF(ROWS($1:9)&gt;COUNT(Dong4),"",IF(LEFT(OFFSET(TH!O$1,SMALL(Dong4,ROWS($1:9)),),3)="341",OFFSET(TH!N$1,SMALL(Dong4,ROWS($1:9)),),OFFSET(TH!O$1,SMALL(Dong4,ROWS($1:9)),)))</f>
        <v/>
      </c>
      <c r="F25" s="389"/>
      <c r="G25" s="390" t="str">
        <f ca="1">IF(ROWS($1:9)&gt;COUNT(Dong4),"",IF(LEFT(OFFSET(TH!N$1,SMALL(Dong4,ROWS($1:9)),),3)="341",OFFSET(TH!K$1,SMALL(Dong4,ROWS($1:9)),),0))</f>
        <v/>
      </c>
      <c r="H25" s="389" t="str">
        <f ca="1">IF(ROWS($1:9)&gt;COUNT(Dong4),"",IF(LEFT(OFFSET(TH!N$1,SMALL(Dong4,ROWS($1:9)),),3)="341",OFFSET(TH!M$1,SMALL(Dong4,ROWS($1:9)),),0))</f>
        <v/>
      </c>
      <c r="I25" s="390" t="str">
        <f ca="1">IF(ROWS($1:9)&gt;COUNT(Dong4),"",IF(LEFT(OFFSET(TH!O$1,SMALL(Dong4,ROWS($1:9)),),3)="341",OFFSET(TH!K$1,SMALL(Dong4,ROWS($1:9)),),0))</f>
        <v/>
      </c>
      <c r="J25" s="389" t="str">
        <f ca="1">IF(ROWS($1:9)&gt;COUNT(Dong4),"",IF(LEFT(OFFSET(TH!O$1,SMALL(Dong4,ROWS($1:9)),),3)="341",OFFSET(TH!M$1,SMALL(Dong4,ROWS($1:9)),),0))</f>
        <v/>
      </c>
      <c r="K25" s="230">
        <f t="shared" ca="1" si="0"/>
        <v>0</v>
      </c>
      <c r="L25" s="8">
        <f t="shared" ca="1" si="1"/>
        <v>0</v>
      </c>
      <c r="M25" s="230">
        <f t="shared" ca="1" si="2"/>
        <v>0</v>
      </c>
      <c r="N25" s="8">
        <f t="shared" ca="1" si="3"/>
        <v>0</v>
      </c>
    </row>
    <row r="26" spans="1:14" s="391" customFormat="1" ht="19.5" customHeight="1">
      <c r="A26" s="392"/>
      <c r="B26" s="392"/>
      <c r="C26" s="392"/>
      <c r="D26" s="393"/>
      <c r="E26" s="394"/>
      <c r="F26" s="395"/>
      <c r="G26" s="396"/>
      <c r="H26" s="396"/>
      <c r="I26" s="396"/>
      <c r="J26" s="397"/>
      <c r="K26" s="230"/>
      <c r="L26" s="8"/>
      <c r="M26" s="230"/>
      <c r="N26" s="8"/>
    </row>
    <row r="27" spans="1:14" s="18" customFormat="1" ht="19.5" customHeight="1">
      <c r="A27" s="239"/>
      <c r="B27" s="239"/>
      <c r="C27" s="239"/>
      <c r="D27" s="398" t="s">
        <v>35</v>
      </c>
      <c r="E27" s="330" t="s">
        <v>21</v>
      </c>
      <c r="F27" s="330" t="s">
        <v>21</v>
      </c>
      <c r="G27" s="399">
        <f ca="1">SUM(G17:G26)</f>
        <v>0</v>
      </c>
      <c r="H27" s="1087">
        <f ca="1">SUM(H17:H26)</f>
        <v>1418407200</v>
      </c>
      <c r="I27" s="399">
        <f ca="1">SUM(I17:I26)</f>
        <v>0</v>
      </c>
      <c r="J27" s="1087">
        <f ca="1">SUM(J17:J26)</f>
        <v>1418407200</v>
      </c>
      <c r="K27" s="400" t="s">
        <v>21</v>
      </c>
      <c r="L27" s="400" t="s">
        <v>21</v>
      </c>
      <c r="M27" s="400" t="s">
        <v>21</v>
      </c>
      <c r="N27" s="400" t="s">
        <v>21</v>
      </c>
    </row>
    <row r="28" spans="1:14" s="18" customFormat="1" ht="19.5" customHeight="1">
      <c r="A28" s="401"/>
      <c r="B28" s="401"/>
      <c r="C28" s="401"/>
      <c r="D28" s="402" t="s">
        <v>10</v>
      </c>
      <c r="E28" s="403" t="s">
        <v>21</v>
      </c>
      <c r="F28" s="403" t="s">
        <v>21</v>
      </c>
      <c r="G28" s="403" t="s">
        <v>21</v>
      </c>
      <c r="H28" s="403" t="s">
        <v>21</v>
      </c>
      <c r="I28" s="403" t="s">
        <v>21</v>
      </c>
      <c r="J28" s="403" t="s">
        <v>21</v>
      </c>
      <c r="K28" s="404">
        <f ca="1">MAX(K16+G27-M16-I27,0)</f>
        <v>0</v>
      </c>
      <c r="L28" s="405">
        <f ca="1">MAX(L16+H27-N16-J27,0)</f>
        <v>0</v>
      </c>
      <c r="M28" s="404">
        <f ca="1">MAX(M16+I27-K16-G27,0)</f>
        <v>0</v>
      </c>
      <c r="N28" s="405">
        <f ca="1">MAX(N16+J27-L16-H27,0)</f>
        <v>0</v>
      </c>
    </row>
    <row r="29" spans="1:14" s="18" customFormat="1">
      <c r="E29" s="354"/>
      <c r="F29" s="354"/>
    </row>
    <row r="30" spans="1:14" s="18" customFormat="1">
      <c r="A30" s="240" t="s">
        <v>248</v>
      </c>
      <c r="E30" s="354"/>
      <c r="F30" s="354"/>
    </row>
    <row r="31" spans="1:14" s="18" customFormat="1">
      <c r="A31" s="240" t="str">
        <f>"- Ngày mở sổ: "&amp; TEXT(VLOOKUP($H$9,'341'!$B$5:$P$51,2,0),"dd/MM/yy")</f>
        <v>- Ngày mở sổ: 11/05/16</v>
      </c>
      <c r="E31" s="354"/>
      <c r="F31" s="354"/>
    </row>
    <row r="32" spans="1:14" s="18" customFormat="1">
      <c r="E32" s="354"/>
      <c r="F32" s="354"/>
      <c r="L32" s="354" t="s">
        <v>249</v>
      </c>
    </row>
    <row r="33" spans="2:12" s="18" customFormat="1">
      <c r="C33" s="354" t="s">
        <v>11</v>
      </c>
      <c r="E33" s="354"/>
      <c r="F33" s="354"/>
      <c r="L33" s="354" t="s">
        <v>12</v>
      </c>
    </row>
    <row r="34" spans="2:12" s="18" customFormat="1">
      <c r="C34" s="354" t="s">
        <v>13</v>
      </c>
      <c r="E34" s="354"/>
      <c r="F34" s="354"/>
      <c r="L34" s="354" t="s">
        <v>13</v>
      </c>
    </row>
    <row r="35" spans="2:12" s="18" customFormat="1">
      <c r="E35" s="354"/>
      <c r="F35" s="354"/>
    </row>
    <row r="36" spans="2:12" s="18" customFormat="1">
      <c r="E36" s="354"/>
      <c r="F36" s="354"/>
    </row>
    <row r="37" spans="2:12" s="241" customFormat="1"/>
    <row r="38" spans="2:12" s="241" customFormat="1"/>
    <row r="39" spans="2:12" s="241" customFormat="1"/>
    <row r="40" spans="2:12" s="241" customFormat="1"/>
    <row r="41" spans="2:12" s="241" customFormat="1" ht="15">
      <c r="B41" s="406"/>
      <c r="C41" s="407" t="s">
        <v>250</v>
      </c>
      <c r="D41" s="406"/>
    </row>
    <row r="42" spans="2:12" s="241" customFormat="1"/>
    <row r="43" spans="2:12" s="241" customFormat="1"/>
    <row r="44" spans="2:12" s="241" customFormat="1"/>
    <row r="45" spans="2:12" s="241" customFormat="1"/>
    <row r="46" spans="2:12" s="241" customFormat="1"/>
    <row r="47" spans="2:12" s="241" customFormat="1"/>
    <row r="48" spans="2:12" s="241" customFormat="1"/>
    <row r="49" s="241"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25" activePane="bottomLeft" state="frozen"/>
      <selection activeCell="A7" sqref="A7"/>
      <selection pane="bottomLeft" activeCell="E21" sqref="E21"/>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4.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43">
        <f t="array" ref="E10">SUM(IF(A10=KHN,TH))</f>
        <v>73518800000</v>
      </c>
      <c r="F10" s="43">
        <f t="array" ref="F10">SUM(IF(A10=KHC,TH))</f>
        <v>59796775009.400002</v>
      </c>
      <c r="G10" s="44">
        <f>MAX(C10+E10-D10-F10,0)</f>
        <v>17427064085.599998</v>
      </c>
      <c r="H10" s="44">
        <f>MAX(D10+F10-E10-C10,0)</f>
        <v>0</v>
      </c>
      <c r="K10" s="45"/>
      <c r="L10" s="45"/>
    </row>
    <row r="11" spans="1:12" s="32" customFormat="1">
      <c r="A11" s="46" t="s">
        <v>18</v>
      </c>
      <c r="B11" s="47" t="s">
        <v>65</v>
      </c>
      <c r="C11" s="48">
        <v>3705039095</v>
      </c>
      <c r="D11" s="48">
        <v>0</v>
      </c>
      <c r="E11" s="48">
        <f>E10</f>
        <v>73518800000</v>
      </c>
      <c r="F11" s="48">
        <f>F10</f>
        <v>59796775009.400002</v>
      </c>
      <c r="G11" s="48">
        <f>G10</f>
        <v>17427064085.599998</v>
      </c>
      <c r="H11" s="48">
        <f>H10</f>
        <v>0</v>
      </c>
    </row>
    <row r="12" spans="1:12" s="32" customFormat="1">
      <c r="A12" s="49" t="s">
        <v>26</v>
      </c>
      <c r="B12" s="42" t="s">
        <v>66</v>
      </c>
      <c r="C12" s="43">
        <v>19829295</v>
      </c>
      <c r="D12" s="43">
        <v>0</v>
      </c>
      <c r="E12" s="43">
        <f t="array" ref="E12">SUM(IF(A12=KHN,TH))</f>
        <v>102665699930</v>
      </c>
      <c r="F12" s="43">
        <f t="array" ref="F12">SUM(IF(A12=KHC,TH))</f>
        <v>113679763297</v>
      </c>
      <c r="G12" s="44">
        <f>MAX(C12+E12-D12-F12,0)</f>
        <v>0</v>
      </c>
      <c r="H12" s="44">
        <f>MAX(D12+F12-E12-C12,0)</f>
        <v>10994234072</v>
      </c>
      <c r="K12" s="45"/>
      <c r="L12" s="45"/>
    </row>
    <row r="13" spans="1:12" s="32" customFormat="1">
      <c r="A13" s="49" t="s">
        <v>266</v>
      </c>
      <c r="B13" s="42" t="s">
        <v>267</v>
      </c>
      <c r="C13" s="43">
        <v>2236796790</v>
      </c>
      <c r="D13" s="43">
        <v>0</v>
      </c>
      <c r="E13" s="43">
        <f t="array" ref="E13">SUM(IF(A13=KHN,TH))</f>
        <v>103170049853.39999</v>
      </c>
      <c r="F13" s="43">
        <f t="array" ref="F13">SUM(IF(A13=KHC,TH))</f>
        <v>105394642601</v>
      </c>
      <c r="G13" s="44">
        <f>MAX(C13+E13-D13-F13,0)</f>
        <v>12204042.399993896</v>
      </c>
      <c r="H13" s="44">
        <f>MAX(D13+F13-E13-C13,0)</f>
        <v>0</v>
      </c>
      <c r="K13" s="45"/>
      <c r="L13" s="45"/>
    </row>
    <row r="14" spans="1:12" s="32" customFormat="1">
      <c r="A14" s="46" t="s">
        <v>67</v>
      </c>
      <c r="B14" s="47" t="s">
        <v>68</v>
      </c>
      <c r="C14" s="48">
        <v>2256626085</v>
      </c>
      <c r="D14" s="48">
        <v>0</v>
      </c>
      <c r="E14" s="48">
        <f>E12+E13</f>
        <v>205835749783.39999</v>
      </c>
      <c r="F14" s="48">
        <f>F12+F13</f>
        <v>219074405898</v>
      </c>
      <c r="G14" s="48">
        <f>G12+G13</f>
        <v>12204042.399993896</v>
      </c>
      <c r="H14" s="48">
        <f>H12+H13</f>
        <v>10994234072</v>
      </c>
    </row>
    <row r="15" spans="1:12" s="32" customFormat="1">
      <c r="A15" s="46" t="s">
        <v>585</v>
      </c>
      <c r="B15" s="47" t="s">
        <v>863</v>
      </c>
      <c r="C15" s="48">
        <v>3343381600</v>
      </c>
      <c r="D15" s="48">
        <v>0</v>
      </c>
      <c r="E15" s="84">
        <f t="array" ref="E15">SUM(IF(A15=KHN,TH))</f>
        <v>83007384030</v>
      </c>
      <c r="F15" s="84">
        <f t="array" ref="F15">SUM(IF(A15=KHC,TH))</f>
        <v>41089363992</v>
      </c>
      <c r="G15" s="48">
        <f>MAX(C15+E15-D15-F15,0)</f>
        <v>45261401638</v>
      </c>
      <c r="H15" s="48">
        <f>MAX(D15+F15-E15-C15,0)</f>
        <v>0</v>
      </c>
    </row>
    <row r="16" spans="1:12" s="32" customFormat="1">
      <c r="A16" s="49" t="s">
        <v>9</v>
      </c>
      <c r="B16" s="42" t="s">
        <v>69</v>
      </c>
      <c r="C16" s="43">
        <v>162420936</v>
      </c>
      <c r="D16" s="43">
        <v>0</v>
      </c>
      <c r="E16" s="43">
        <f t="array" ref="E16">SUM(IF(A16=KHN,TH))</f>
        <v>462746047</v>
      </c>
      <c r="F16" s="43">
        <f t="array" ref="F16">SUM(IF(A16=KHC,TH))</f>
        <v>371123847</v>
      </c>
      <c r="G16" s="44">
        <f>MAX(C16+E16-D16-F16,0)</f>
        <v>254043136</v>
      </c>
      <c r="H16" s="44">
        <f>MAX(D16+F16-E16-C16,0)</f>
        <v>0</v>
      </c>
    </row>
    <row r="17" spans="1:8" s="32" customFormat="1">
      <c r="A17" s="46" t="s">
        <v>70</v>
      </c>
      <c r="B17" s="47" t="s">
        <v>71</v>
      </c>
      <c r="C17" s="48">
        <v>162420936</v>
      </c>
      <c r="D17" s="48">
        <v>0</v>
      </c>
      <c r="E17" s="48">
        <f>E16</f>
        <v>462746047</v>
      </c>
      <c r="F17" s="48">
        <f>F16</f>
        <v>371123847</v>
      </c>
      <c r="G17" s="48">
        <f>G16</f>
        <v>254043136</v>
      </c>
      <c r="H17" s="48">
        <f>H16</f>
        <v>0</v>
      </c>
    </row>
    <row r="18" spans="1:8" s="32" customFormat="1">
      <c r="A18" s="49" t="s">
        <v>72</v>
      </c>
      <c r="B18" s="42" t="s">
        <v>73</v>
      </c>
      <c r="C18" s="43">
        <v>1500000000</v>
      </c>
      <c r="D18" s="43">
        <v>0</v>
      </c>
      <c r="E18" s="43">
        <f t="array" ref="E18">SUM(IF(A18=KHN,TH))</f>
        <v>1042088412</v>
      </c>
      <c r="F18" s="43">
        <f t="array" ref="F18">SUM(IF(A18=KHC,TH))</f>
        <v>2542088412</v>
      </c>
      <c r="G18" s="44">
        <f t="shared" ref="G18:G44" si="0">MAX(C18+E18-D18-F18,0)</f>
        <v>0</v>
      </c>
      <c r="H18" s="44">
        <f t="shared" ref="H18:H44" si="1">MAX(D18+F18-E18-C18,0)</f>
        <v>0</v>
      </c>
    </row>
    <row r="19" spans="1:8" s="32" customFormat="1">
      <c r="A19" s="46" t="s">
        <v>74</v>
      </c>
      <c r="B19" s="47" t="s">
        <v>75</v>
      </c>
      <c r="C19" s="48">
        <v>1500000000</v>
      </c>
      <c r="D19" s="48">
        <v>0</v>
      </c>
      <c r="E19" s="48">
        <f>E18</f>
        <v>1042088412</v>
      </c>
      <c r="F19" s="48">
        <f>F18</f>
        <v>2542088412</v>
      </c>
      <c r="G19" s="48">
        <f t="shared" si="0"/>
        <v>0</v>
      </c>
      <c r="H19" s="48">
        <f t="shared" si="1"/>
        <v>0</v>
      </c>
    </row>
    <row r="20" spans="1:8" s="32" customFormat="1">
      <c r="A20" s="46" t="s">
        <v>272</v>
      </c>
      <c r="B20" s="47" t="s">
        <v>273</v>
      </c>
      <c r="C20" s="48"/>
      <c r="D20" s="48">
        <v>0</v>
      </c>
      <c r="E20" s="84">
        <f t="array" ref="E20">SUM(IF(A20=KHN,TH))</f>
        <v>39075896500</v>
      </c>
      <c r="F20" s="84">
        <f t="array" ref="F20">SUM(IF(A20=KHC,TH))</f>
        <v>39081031500</v>
      </c>
      <c r="G20" s="48">
        <f t="shared" si="0"/>
        <v>0</v>
      </c>
      <c r="H20" s="48">
        <f t="shared" si="1"/>
        <v>5135000</v>
      </c>
    </row>
    <row r="21" spans="1:8" s="32" customFormat="1">
      <c r="A21" s="49" t="s">
        <v>274</v>
      </c>
      <c r="B21" s="42" t="s">
        <v>275</v>
      </c>
      <c r="C21" s="43">
        <v>2772400000</v>
      </c>
      <c r="D21" s="43">
        <v>0</v>
      </c>
      <c r="E21" s="43">
        <f t="array" ref="E21">SUM(IF(A21=KHN,TH))</f>
        <v>39346758500</v>
      </c>
      <c r="F21" s="43">
        <f t="array" ref="F21">SUM(IF(A21=KHC,TH))</f>
        <v>42119158500</v>
      </c>
      <c r="G21" s="44">
        <f t="shared" si="0"/>
        <v>0</v>
      </c>
      <c r="H21" s="44">
        <f t="shared" si="1"/>
        <v>0</v>
      </c>
    </row>
    <row r="22" spans="1:8" s="32" customFormat="1">
      <c r="A22" s="49" t="s">
        <v>276</v>
      </c>
      <c r="B22" s="42" t="s">
        <v>277</v>
      </c>
      <c r="C22" s="43">
        <v>526519887</v>
      </c>
      <c r="D22" s="43">
        <v>0</v>
      </c>
      <c r="E22" s="43">
        <f t="array" ref="E22">SUM(IF(A22=KHN,TH))</f>
        <v>1039718354</v>
      </c>
      <c r="F22" s="43">
        <f t="array" ref="F22">SUM(IF(A22=KHC,TH))</f>
        <v>1295673242</v>
      </c>
      <c r="G22" s="43">
        <f t="shared" si="0"/>
        <v>270564999</v>
      </c>
      <c r="H22" s="43">
        <f t="shared" si="1"/>
        <v>0</v>
      </c>
    </row>
    <row r="23" spans="1:8" s="32" customFormat="1">
      <c r="A23" s="46" t="s">
        <v>278</v>
      </c>
      <c r="B23" s="47" t="s">
        <v>279</v>
      </c>
      <c r="C23" s="48">
        <f>C21+C22</f>
        <v>3298919887</v>
      </c>
      <c r="D23" s="48">
        <f>D21+D22</f>
        <v>0</v>
      </c>
      <c r="E23" s="48">
        <f>E21+E22</f>
        <v>40386476854</v>
      </c>
      <c r="F23" s="48">
        <f>F21+F22</f>
        <v>43414831742</v>
      </c>
      <c r="G23" s="48">
        <f t="shared" si="0"/>
        <v>270564999</v>
      </c>
      <c r="H23" s="48">
        <f t="shared" si="1"/>
        <v>0</v>
      </c>
    </row>
    <row r="24" spans="1:8" s="32" customFormat="1">
      <c r="A24" s="46" t="s">
        <v>280</v>
      </c>
      <c r="B24" s="47" t="s">
        <v>281</v>
      </c>
      <c r="C24" s="48"/>
      <c r="D24" s="48">
        <v>0</v>
      </c>
      <c r="E24" s="84">
        <f t="array" ref="E24">SUM(IF(A24=KHN,TH))</f>
        <v>0</v>
      </c>
      <c r="F24" s="84">
        <f t="array" ref="F24">SUM(IF(A24=KHC,TH))</f>
        <v>0</v>
      </c>
      <c r="G24" s="48">
        <f t="shared" si="0"/>
        <v>0</v>
      </c>
      <c r="H24" s="48">
        <f t="shared" si="1"/>
        <v>0</v>
      </c>
    </row>
    <row r="25" spans="1:8" s="32" customFormat="1">
      <c r="A25" s="46" t="s">
        <v>282</v>
      </c>
      <c r="B25" s="47" t="s">
        <v>283</v>
      </c>
      <c r="C25" s="48"/>
      <c r="D25" s="48">
        <v>0</v>
      </c>
      <c r="E25" s="84">
        <f t="array" ref="E25">SUM(IF(A25=KHN,TH))</f>
        <v>50460306566.400002</v>
      </c>
      <c r="F25" s="84">
        <f t="array" ref="F25">SUM(IF(A25=KHC,TH))</f>
        <v>48588306565</v>
      </c>
      <c r="G25" s="48">
        <f>MAX(C25+E25-D25-F25,0)</f>
        <v>1872000001.4000015</v>
      </c>
      <c r="H25" s="48">
        <f t="shared" si="1"/>
        <v>0</v>
      </c>
    </row>
    <row r="26" spans="1:8" s="32" customFormat="1">
      <c r="A26" s="46" t="s">
        <v>284</v>
      </c>
      <c r="B26" s="47" t="s">
        <v>285</v>
      </c>
      <c r="C26" s="48">
        <v>9386323824</v>
      </c>
      <c r="D26" s="48">
        <v>0</v>
      </c>
      <c r="E26" s="84">
        <f t="array" ref="E26">SUM(IF(A26=KHN,TH))</f>
        <v>61651473565</v>
      </c>
      <c r="F26" s="84">
        <f t="array" ref="F26">SUM(IF(A26=KHC,TH))</f>
        <v>48455787487</v>
      </c>
      <c r="G26" s="48">
        <f t="shared" si="0"/>
        <v>22582009902</v>
      </c>
      <c r="H26" s="48">
        <f t="shared" si="1"/>
        <v>0</v>
      </c>
    </row>
    <row r="27" spans="1:8" s="32" customFormat="1">
      <c r="A27" s="449" t="s">
        <v>286</v>
      </c>
      <c r="B27" s="450" t="s">
        <v>287</v>
      </c>
      <c r="C27" s="451">
        <v>7490743648</v>
      </c>
      <c r="D27" s="451">
        <v>0</v>
      </c>
      <c r="E27" s="43">
        <f t="array" ref="E27">SUM(IF(A27=KHN,TH))</f>
        <v>279617893</v>
      </c>
      <c r="F27" s="43">
        <f t="array" ref="F27">SUM(IF(A27=KHC,TH))</f>
        <v>0</v>
      </c>
      <c r="G27" s="451">
        <f t="shared" si="0"/>
        <v>7770361541</v>
      </c>
      <c r="H27" s="451">
        <f t="shared" si="1"/>
        <v>0</v>
      </c>
    </row>
    <row r="28" spans="1:8" s="32" customFormat="1">
      <c r="A28" s="452" t="s">
        <v>288</v>
      </c>
      <c r="B28" s="453" t="s">
        <v>289</v>
      </c>
      <c r="C28" s="454">
        <v>3807898863</v>
      </c>
      <c r="D28" s="454">
        <v>0</v>
      </c>
      <c r="E28" s="43">
        <f t="array" ref="E28">SUM(IF(A28=KHN,TH))</f>
        <v>0</v>
      </c>
      <c r="F28" s="43">
        <f t="array" ref="F28">SUM(IF(A28=KHC,TH))</f>
        <v>0</v>
      </c>
      <c r="G28" s="454">
        <f t="shared" si="0"/>
        <v>3807898863</v>
      </c>
      <c r="H28" s="454">
        <f t="shared" si="1"/>
        <v>0</v>
      </c>
    </row>
    <row r="29" spans="1:8" s="32" customFormat="1">
      <c r="A29" s="452" t="s">
        <v>290</v>
      </c>
      <c r="B29" s="453" t="s">
        <v>291</v>
      </c>
      <c r="C29" s="454">
        <v>3790918485</v>
      </c>
      <c r="D29" s="454">
        <v>0</v>
      </c>
      <c r="E29" s="43">
        <f t="array" ref="E29">SUM(IF(A29=KHN,TH))</f>
        <v>0</v>
      </c>
      <c r="F29" s="43">
        <f t="array" ref="F29">SUM(IF(A29=KHC,TH))</f>
        <v>0</v>
      </c>
      <c r="G29" s="454">
        <f t="shared" si="0"/>
        <v>3790918485</v>
      </c>
      <c r="H29" s="454">
        <f t="shared" si="1"/>
        <v>0</v>
      </c>
    </row>
    <row r="30" spans="1:8" s="32" customFormat="1">
      <c r="A30" s="46" t="s">
        <v>292</v>
      </c>
      <c r="B30" s="47" t="s">
        <v>293</v>
      </c>
      <c r="C30" s="48">
        <v>15089560996</v>
      </c>
      <c r="D30" s="48">
        <v>0</v>
      </c>
      <c r="E30" s="48">
        <f>SUM(E27:E29)</f>
        <v>279617893</v>
      </c>
      <c r="F30" s="48">
        <f>SUM(F27:F29)</f>
        <v>0</v>
      </c>
      <c r="G30" s="48">
        <f>SUM(G27:G29)</f>
        <v>15369178889</v>
      </c>
      <c r="H30" s="48">
        <f>SUM(H27:H29)</f>
        <v>0</v>
      </c>
    </row>
    <row r="31" spans="1:8" s="32" customFormat="1">
      <c r="A31" s="452" t="s">
        <v>855</v>
      </c>
      <c r="B31" s="453" t="s">
        <v>856</v>
      </c>
      <c r="C31" s="454">
        <v>5405781300</v>
      </c>
      <c r="D31" s="454">
        <v>0</v>
      </c>
      <c r="E31" s="43">
        <f t="array" ref="E31">SUM(IF(A31=KHN,TH))</f>
        <v>0</v>
      </c>
      <c r="F31" s="43">
        <f t="array" ref="F31">SUM(IF(A31=KHC,TH))</f>
        <v>0</v>
      </c>
      <c r="G31" s="454">
        <f>MAX(C31+E31-D31-F31,0)</f>
        <v>5405781300</v>
      </c>
      <c r="H31" s="454">
        <f>MAX(D31+F31-E31-C31,0)</f>
        <v>0</v>
      </c>
    </row>
    <row r="32" spans="1:8" s="32" customFormat="1">
      <c r="A32" s="50" t="s">
        <v>857</v>
      </c>
      <c r="B32" s="47" t="s">
        <v>858</v>
      </c>
      <c r="C32" s="48">
        <f t="shared" ref="C32:H32" si="2">C31</f>
        <v>5405781300</v>
      </c>
      <c r="D32" s="48">
        <f t="shared" si="2"/>
        <v>0</v>
      </c>
      <c r="E32" s="48">
        <f t="shared" si="2"/>
        <v>0</v>
      </c>
      <c r="F32" s="48">
        <f t="shared" si="2"/>
        <v>0</v>
      </c>
      <c r="G32" s="48">
        <f t="shared" si="2"/>
        <v>5405781300</v>
      </c>
      <c r="H32" s="48">
        <f t="shared" si="2"/>
        <v>0</v>
      </c>
    </row>
    <row r="33" spans="1:8" s="32" customFormat="1">
      <c r="A33" s="49" t="s">
        <v>587</v>
      </c>
      <c r="B33" s="42" t="s">
        <v>859</v>
      </c>
      <c r="C33" s="43">
        <v>0</v>
      </c>
      <c r="D33" s="43">
        <v>9132359256</v>
      </c>
      <c r="E33" s="43">
        <f t="array" ref="E33">SUM(IF(A33=KHN,TH))</f>
        <v>0</v>
      </c>
      <c r="F33" s="43">
        <f t="array" ref="F33">SUM(IF(A33=KHC,TH))</f>
        <v>507993030</v>
      </c>
      <c r="G33" s="43">
        <f>MAX(C33+E33-D33-F33,0)</f>
        <v>0</v>
      </c>
      <c r="H33" s="43">
        <f>MAX(D33+F33-E33-C33,0)</f>
        <v>9640352286</v>
      </c>
    </row>
    <row r="34" spans="1:8" s="32" customFormat="1">
      <c r="A34" s="41" t="s">
        <v>586</v>
      </c>
      <c r="B34" s="42" t="s">
        <v>860</v>
      </c>
      <c r="C34" s="43">
        <v>0</v>
      </c>
      <c r="D34" s="43">
        <v>600642360</v>
      </c>
      <c r="E34" s="43">
        <f t="array" ref="E34">SUM(IF(A34=KHN,TH))</f>
        <v>0</v>
      </c>
      <c r="F34" s="43">
        <f t="array" ref="F34">SUM(IF(A34=KHC,TH))</f>
        <v>100107060</v>
      </c>
      <c r="G34" s="43">
        <f>MAX(C34+E34-D34-F34,0)</f>
        <v>0</v>
      </c>
      <c r="H34" s="43">
        <f>MAX(D34+F34-E34-C34,0)</f>
        <v>700749420</v>
      </c>
    </row>
    <row r="35" spans="1:8" s="32" customFormat="1" ht="12.75" customHeight="1">
      <c r="A35" s="46" t="s">
        <v>861</v>
      </c>
      <c r="B35" s="47" t="s">
        <v>862</v>
      </c>
      <c r="C35" s="48">
        <f t="shared" ref="C35:H35" si="3">C33+C34</f>
        <v>0</v>
      </c>
      <c r="D35" s="48">
        <f t="shared" si="3"/>
        <v>9733001616</v>
      </c>
      <c r="E35" s="48">
        <f t="shared" si="3"/>
        <v>0</v>
      </c>
      <c r="F35" s="48">
        <f t="shared" si="3"/>
        <v>608100090</v>
      </c>
      <c r="G35" s="48">
        <f t="shared" si="3"/>
        <v>0</v>
      </c>
      <c r="H35" s="48">
        <f t="shared" si="3"/>
        <v>10341101706</v>
      </c>
    </row>
    <row r="36" spans="1:8" s="32" customFormat="1">
      <c r="A36" s="41" t="s">
        <v>162</v>
      </c>
      <c r="B36" s="42" t="s">
        <v>163</v>
      </c>
      <c r="C36" s="43"/>
      <c r="D36" s="43">
        <v>0</v>
      </c>
      <c r="E36" s="43">
        <f t="array" ref="E36">SUM(IF(A36=KHN,TH))</f>
        <v>279617893</v>
      </c>
      <c r="F36" s="43">
        <f t="array" ref="F36">SUM(IF(A36=KHC,TH))</f>
        <v>279617893</v>
      </c>
      <c r="G36" s="44">
        <f t="shared" si="0"/>
        <v>0</v>
      </c>
      <c r="H36" s="44">
        <f t="shared" si="1"/>
        <v>0</v>
      </c>
    </row>
    <row r="37" spans="1:8" s="32" customFormat="1">
      <c r="A37" s="50" t="s">
        <v>226</v>
      </c>
      <c r="B37" s="47" t="s">
        <v>164</v>
      </c>
      <c r="C37" s="48"/>
      <c r="D37" s="48">
        <v>0</v>
      </c>
      <c r="E37" s="48">
        <f>E36</f>
        <v>279617893</v>
      </c>
      <c r="F37" s="48">
        <f>F36</f>
        <v>279617893</v>
      </c>
      <c r="G37" s="48">
        <f t="shared" si="0"/>
        <v>0</v>
      </c>
      <c r="H37" s="48">
        <f t="shared" si="1"/>
        <v>0</v>
      </c>
    </row>
    <row r="38" spans="1:8" s="32" customFormat="1">
      <c r="A38" s="46" t="s">
        <v>8</v>
      </c>
      <c r="B38" s="47" t="s">
        <v>76</v>
      </c>
      <c r="C38" s="48">
        <v>0</v>
      </c>
      <c r="D38" s="48">
        <v>476953252</v>
      </c>
      <c r="E38" s="84">
        <f t="array" ref="E38">SUM(IF(A38=KHN,TH))</f>
        <v>43954361312</v>
      </c>
      <c r="F38" s="84">
        <f t="array" ref="F38">SUM(IF(A38=KHC,TH))</f>
        <v>56921584142</v>
      </c>
      <c r="G38" s="48">
        <f t="shared" si="0"/>
        <v>0</v>
      </c>
      <c r="H38" s="48">
        <f t="shared" si="1"/>
        <v>13444176082</v>
      </c>
    </row>
    <row r="39" spans="1:8" s="32" customFormat="1">
      <c r="A39" s="455" t="s">
        <v>928</v>
      </c>
      <c r="B39" s="456" t="s">
        <v>1971</v>
      </c>
      <c r="C39" s="457"/>
      <c r="D39" s="457"/>
      <c r="E39" s="458">
        <f t="array" ref="E39">SUM(IF(A39=KHN,TH))</f>
        <v>57227381</v>
      </c>
      <c r="F39" s="458">
        <f t="array" ref="F39">SUM(IF(A39=KHC,TH))</f>
        <v>57227381</v>
      </c>
      <c r="G39" s="451">
        <f t="shared" si="0"/>
        <v>0</v>
      </c>
      <c r="H39" s="451">
        <f t="shared" si="1"/>
        <v>0</v>
      </c>
    </row>
    <row r="40" spans="1:8" s="32" customFormat="1">
      <c r="A40" s="455" t="s">
        <v>1583</v>
      </c>
      <c r="B40" s="456" t="s">
        <v>1972</v>
      </c>
      <c r="C40" s="457"/>
      <c r="D40" s="457"/>
      <c r="E40" s="458">
        <f t="array" ref="E40">SUM(IF(A40=KHN,TH))</f>
        <v>4898300</v>
      </c>
      <c r="F40" s="458">
        <f t="array" ref="F40">SUM(IF(A40=KHC,TH))</f>
        <v>4898300</v>
      </c>
      <c r="G40" s="51">
        <f t="shared" si="0"/>
        <v>0</v>
      </c>
      <c r="H40" s="51">
        <f t="shared" si="1"/>
        <v>0</v>
      </c>
    </row>
    <row r="41" spans="1:8" s="32" customFormat="1">
      <c r="A41" s="49" t="s">
        <v>1973</v>
      </c>
      <c r="B41" s="42" t="s">
        <v>1974</v>
      </c>
      <c r="C41" s="43">
        <f t="shared" ref="C41:H41" si="4">C39+C40</f>
        <v>0</v>
      </c>
      <c r="D41" s="43">
        <f t="shared" si="4"/>
        <v>0</v>
      </c>
      <c r="E41" s="43">
        <f t="shared" si="4"/>
        <v>62125681</v>
      </c>
      <c r="F41" s="43">
        <f t="shared" si="4"/>
        <v>62125681</v>
      </c>
      <c r="G41" s="43">
        <f t="shared" si="4"/>
        <v>0</v>
      </c>
      <c r="H41" s="43">
        <f t="shared" si="4"/>
        <v>0</v>
      </c>
    </row>
    <row r="42" spans="1:8" s="32" customFormat="1">
      <c r="A42" s="49" t="s">
        <v>77</v>
      </c>
      <c r="B42" s="42" t="s">
        <v>78</v>
      </c>
      <c r="C42" s="43">
        <v>0</v>
      </c>
      <c r="D42" s="43">
        <v>3313435</v>
      </c>
      <c r="E42" s="43">
        <f t="array" ref="E42">SUM(IF(A42=KHN,TH))</f>
        <v>13069999</v>
      </c>
      <c r="F42" s="43">
        <f t="array" ref="F42">SUM(IF(A42=KHC,TH))</f>
        <v>0</v>
      </c>
      <c r="G42" s="43">
        <f t="shared" si="0"/>
        <v>9756564</v>
      </c>
      <c r="H42" s="43">
        <f t="shared" si="1"/>
        <v>0</v>
      </c>
    </row>
    <row r="43" spans="1:8" s="32" customFormat="1">
      <c r="A43" s="49" t="s">
        <v>852</v>
      </c>
      <c r="B43" s="42" t="s">
        <v>853</v>
      </c>
      <c r="C43" s="43">
        <v>3389804</v>
      </c>
      <c r="D43" s="43">
        <v>0</v>
      </c>
      <c r="E43" s="43">
        <f t="array" ref="E43">SUM(IF(A43=KHN,TH))</f>
        <v>0</v>
      </c>
      <c r="F43" s="43">
        <f t="array" ref="F43">SUM(IF(A43=KHC,TH))</f>
        <v>0</v>
      </c>
      <c r="G43" s="43">
        <f t="shared" si="0"/>
        <v>3389804</v>
      </c>
      <c r="H43" s="43">
        <f t="shared" si="1"/>
        <v>0</v>
      </c>
    </row>
    <row r="44" spans="1:8" s="32" customFormat="1">
      <c r="A44" s="52" t="s">
        <v>79</v>
      </c>
      <c r="B44" s="53" t="s">
        <v>80</v>
      </c>
      <c r="C44" s="51">
        <v>0</v>
      </c>
      <c r="D44" s="51">
        <v>0</v>
      </c>
      <c r="E44" s="51">
        <f t="array" ref="E44">SUM(IF(A44=KHN,TH))</f>
        <v>2000000</v>
      </c>
      <c r="F44" s="51">
        <f t="array" ref="F44">SUM(IF(A44=KHC,TH))</f>
        <v>2000000</v>
      </c>
      <c r="G44" s="51">
        <f t="shared" si="0"/>
        <v>0</v>
      </c>
      <c r="H44" s="51">
        <f t="shared" si="1"/>
        <v>0</v>
      </c>
    </row>
    <row r="45" spans="1:8" s="32" customFormat="1">
      <c r="A45" s="49" t="s">
        <v>20</v>
      </c>
      <c r="B45" s="42" t="s">
        <v>81</v>
      </c>
      <c r="C45" s="43">
        <v>0</v>
      </c>
      <c r="D45" s="43">
        <v>0</v>
      </c>
      <c r="E45" s="43">
        <f>E44</f>
        <v>2000000</v>
      </c>
      <c r="F45" s="43">
        <f>F44</f>
        <v>2000000</v>
      </c>
      <c r="G45" s="43">
        <f>G44</f>
        <v>0</v>
      </c>
      <c r="H45" s="43">
        <f>H44</f>
        <v>0</v>
      </c>
    </row>
    <row r="46" spans="1:8" s="32" customFormat="1">
      <c r="A46" s="46" t="s">
        <v>82</v>
      </c>
      <c r="B46" s="47" t="s">
        <v>83</v>
      </c>
      <c r="C46" s="48">
        <f>C41+C42+C43+C45</f>
        <v>3389804</v>
      </c>
      <c r="D46" s="48">
        <f t="shared" ref="D46:H46" si="5">D41+D42+D43+D45</f>
        <v>3313435</v>
      </c>
      <c r="E46" s="48">
        <f t="shared" si="5"/>
        <v>77195680</v>
      </c>
      <c r="F46" s="48">
        <f t="shared" si="5"/>
        <v>64125681</v>
      </c>
      <c r="G46" s="48">
        <f t="shared" si="5"/>
        <v>13146368</v>
      </c>
      <c r="H46" s="48">
        <f t="shared" si="5"/>
        <v>0</v>
      </c>
    </row>
    <row r="47" spans="1:8" s="32" customFormat="1">
      <c r="A47" s="49" t="s">
        <v>589</v>
      </c>
      <c r="B47" s="42" t="s">
        <v>849</v>
      </c>
      <c r="C47" s="43">
        <v>0</v>
      </c>
      <c r="D47" s="43">
        <v>0</v>
      </c>
      <c r="E47" s="43">
        <f t="array" ref="E47">SUM(IF(A47=KHN,TH))</f>
        <v>1245608172</v>
      </c>
      <c r="F47" s="43">
        <f t="array" ref="F47">SUM(IF(A47=KHC,TH))</f>
        <v>1531513988</v>
      </c>
      <c r="G47" s="43">
        <f t="shared" ref="G47:G52" si="6">MAX(C47+E47-D47-F47,0)</f>
        <v>0</v>
      </c>
      <c r="H47" s="43">
        <f t="shared" ref="H47:H52" si="7">MAX(D47+F47-E47-C47,0)</f>
        <v>285905816</v>
      </c>
    </row>
    <row r="48" spans="1:8" s="32" customFormat="1">
      <c r="A48" s="46" t="s">
        <v>850</v>
      </c>
      <c r="B48" s="47" t="s">
        <v>851</v>
      </c>
      <c r="C48" s="48">
        <v>0</v>
      </c>
      <c r="D48" s="48">
        <v>0</v>
      </c>
      <c r="E48" s="48">
        <f>E47</f>
        <v>1245608172</v>
      </c>
      <c r="F48" s="48">
        <f>F47</f>
        <v>1531513988</v>
      </c>
      <c r="G48" s="48">
        <f t="shared" si="6"/>
        <v>0</v>
      </c>
      <c r="H48" s="48">
        <f t="shared" si="7"/>
        <v>285905816</v>
      </c>
    </row>
    <row r="49" spans="1:9" s="32" customFormat="1" ht="12.75" customHeight="1">
      <c r="A49" s="41" t="s">
        <v>590</v>
      </c>
      <c r="B49" s="42" t="s">
        <v>846</v>
      </c>
      <c r="C49" s="43">
        <v>0</v>
      </c>
      <c r="D49" s="43">
        <v>40272309</v>
      </c>
      <c r="E49" s="43">
        <f t="array" ref="E49">SUM(IF(A49=KHN,TH))</f>
        <v>242666115</v>
      </c>
      <c r="F49" s="43">
        <f t="array" ref="F49">SUM(IF(A49=KHC,TH))</f>
        <v>380293780</v>
      </c>
      <c r="G49" s="43">
        <f t="shared" si="6"/>
        <v>0</v>
      </c>
      <c r="H49" s="43">
        <f t="shared" si="7"/>
        <v>177899974</v>
      </c>
    </row>
    <row r="50" spans="1:9" s="32" customFormat="1">
      <c r="A50" s="49" t="s">
        <v>591</v>
      </c>
      <c r="B50" s="42" t="s">
        <v>847</v>
      </c>
      <c r="C50" s="43">
        <v>0</v>
      </c>
      <c r="D50" s="43">
        <v>6403142</v>
      </c>
      <c r="E50" s="43">
        <f t="array" ref="E50">SUM(IF(A50=KHN,TH))</f>
        <v>19101465</v>
      </c>
      <c r="F50" s="43">
        <f t="array" ref="F50">SUM(IF(A50=KHC,TH))</f>
        <v>58587885</v>
      </c>
      <c r="G50" s="43">
        <f t="shared" si="6"/>
        <v>0</v>
      </c>
      <c r="H50" s="43">
        <f t="shared" si="7"/>
        <v>45889562</v>
      </c>
    </row>
    <row r="51" spans="1:9" s="32" customFormat="1">
      <c r="A51" s="41" t="s">
        <v>592</v>
      </c>
      <c r="B51" s="42" t="s">
        <v>848</v>
      </c>
      <c r="C51" s="43">
        <v>0</v>
      </c>
      <c r="D51" s="43">
        <v>2761373</v>
      </c>
      <c r="E51" s="43">
        <f t="array" ref="E51">SUM(IF(A51=KHN,TH))</f>
        <v>8232420</v>
      </c>
      <c r="F51" s="43">
        <f t="array" ref="F51">SUM(IF(A51=KHC,TH))</f>
        <v>26039060</v>
      </c>
      <c r="G51" s="43">
        <f t="shared" si="6"/>
        <v>0</v>
      </c>
      <c r="H51" s="43">
        <f t="shared" si="7"/>
        <v>20568013</v>
      </c>
    </row>
    <row r="52" spans="1:9" s="32" customFormat="1">
      <c r="A52" s="49" t="s">
        <v>19</v>
      </c>
      <c r="B52" s="42" t="s">
        <v>84</v>
      </c>
      <c r="C52" s="43">
        <v>0</v>
      </c>
      <c r="D52" s="43">
        <v>0</v>
      </c>
      <c r="E52" s="43">
        <f t="array" ref="E52">SUM(IF(A52=KHN,TH))</f>
        <v>110629476</v>
      </c>
      <c r="F52" s="43">
        <f t="array" ref="F52">SUM(IF(A52=KHC,TH))</f>
        <v>110629476</v>
      </c>
      <c r="G52" s="43">
        <f t="shared" si="6"/>
        <v>0</v>
      </c>
      <c r="H52" s="43">
        <f t="shared" si="7"/>
        <v>0</v>
      </c>
    </row>
    <row r="53" spans="1:9" s="32" customFormat="1">
      <c r="A53" s="46" t="s">
        <v>85</v>
      </c>
      <c r="B53" s="47" t="s">
        <v>86</v>
      </c>
      <c r="C53" s="48">
        <f t="shared" ref="C53:H53" si="8">SUM(C49:C52)</f>
        <v>0</v>
      </c>
      <c r="D53" s="48">
        <f t="shared" si="8"/>
        <v>49436824</v>
      </c>
      <c r="E53" s="48">
        <f t="shared" si="8"/>
        <v>380629476</v>
      </c>
      <c r="F53" s="48">
        <f t="shared" si="8"/>
        <v>575550201</v>
      </c>
      <c r="G53" s="48">
        <f t="shared" si="8"/>
        <v>0</v>
      </c>
      <c r="H53" s="48">
        <f t="shared" si="8"/>
        <v>244357549</v>
      </c>
    </row>
    <row r="54" spans="1:9" s="32" customFormat="1">
      <c r="A54" s="41" t="s">
        <v>87</v>
      </c>
      <c r="B54" s="42" t="s">
        <v>261</v>
      </c>
      <c r="C54" s="44">
        <v>0</v>
      </c>
      <c r="D54" s="44">
        <v>2169121879</v>
      </c>
      <c r="E54" s="43">
        <f t="array" ref="E54">SUM(IF(A54=KHN,TH))</f>
        <v>2169121879</v>
      </c>
      <c r="F54" s="43">
        <f t="array" ref="F54">SUM(IF(A54=KHC,TH))</f>
        <v>0</v>
      </c>
      <c r="G54" s="44">
        <f>MAX(C54+E54-D54-F54,0)</f>
        <v>0</v>
      </c>
      <c r="H54" s="44">
        <f>MAX(D54+F54-E54-C54,0)</f>
        <v>0</v>
      </c>
    </row>
    <row r="55" spans="1:9" s="32" customFormat="1">
      <c r="A55" s="41" t="s">
        <v>260</v>
      </c>
      <c r="B55" s="42" t="s">
        <v>262</v>
      </c>
      <c r="C55" s="43">
        <v>0</v>
      </c>
      <c r="D55" s="43">
        <v>21202920500</v>
      </c>
      <c r="E55" s="43">
        <f t="array" ref="E55">SUM(IF(A55=KHN,TH))</f>
        <v>49851253840</v>
      </c>
      <c r="F55" s="43">
        <f t="array" ref="F55">SUM(IF(A55=KHC,TH))</f>
        <v>56963242140</v>
      </c>
      <c r="G55" s="43">
        <f>MAX(C55+E55-D55-F55,0)</f>
        <v>0</v>
      </c>
      <c r="H55" s="43">
        <f>MAX(D55+F55-E55-C55,0)</f>
        <v>28314908800</v>
      </c>
    </row>
    <row r="56" spans="1:9" s="32" customFormat="1">
      <c r="A56" s="50" t="s">
        <v>42</v>
      </c>
      <c r="B56" s="47" t="s">
        <v>88</v>
      </c>
      <c r="C56" s="48">
        <f t="shared" ref="C56:H56" si="9">SUM(C54:C55)</f>
        <v>0</v>
      </c>
      <c r="D56" s="48">
        <f t="shared" si="9"/>
        <v>23372042379</v>
      </c>
      <c r="E56" s="48">
        <f t="shared" si="9"/>
        <v>52020375719</v>
      </c>
      <c r="F56" s="48">
        <f t="shared" si="9"/>
        <v>56963242140</v>
      </c>
      <c r="G56" s="48">
        <f t="shared" si="9"/>
        <v>0</v>
      </c>
      <c r="H56" s="48">
        <f t="shared" si="9"/>
        <v>28314908800</v>
      </c>
    </row>
    <row r="57" spans="1:9" s="32" customFormat="1">
      <c r="A57" s="49" t="s">
        <v>27</v>
      </c>
      <c r="B57" s="42" t="s">
        <v>89</v>
      </c>
      <c r="C57" s="43">
        <v>0</v>
      </c>
      <c r="D57" s="43">
        <v>10000000000</v>
      </c>
      <c r="E57" s="43">
        <f t="array" ref="E57">SUM(IF(A57=KHN,TH))</f>
        <v>0</v>
      </c>
      <c r="F57" s="43">
        <f t="array" ref="F57">SUM(IF(A57=KHC,TH))</f>
        <v>0</v>
      </c>
      <c r="G57" s="44">
        <f>MAX(C57+E57-D57-F57,0)</f>
        <v>0</v>
      </c>
      <c r="H57" s="44">
        <f>MAX(D57+F57-E57-C57,0)</f>
        <v>10000000000</v>
      </c>
    </row>
    <row r="58" spans="1:9" s="32" customFormat="1">
      <c r="A58" s="46" t="s">
        <v>90</v>
      </c>
      <c r="B58" s="47" t="s">
        <v>91</v>
      </c>
      <c r="C58" s="48">
        <v>0</v>
      </c>
      <c r="D58" s="48">
        <f>D57</f>
        <v>10000000000</v>
      </c>
      <c r="E58" s="48">
        <f>E57</f>
        <v>0</v>
      </c>
      <c r="F58" s="48">
        <f>F57</f>
        <v>0</v>
      </c>
      <c r="G58" s="48">
        <f>MAX(C58+E58-D58-F58,0)</f>
        <v>0</v>
      </c>
      <c r="H58" s="48">
        <f>MAX(D58+F58-E58-C58,0)</f>
        <v>10000000000</v>
      </c>
    </row>
    <row r="59" spans="1:9" s="32" customFormat="1">
      <c r="A59" s="41" t="s">
        <v>92</v>
      </c>
      <c r="B59" s="42" t="s">
        <v>93</v>
      </c>
      <c r="C59" s="43"/>
      <c r="D59" s="43">
        <v>486535137</v>
      </c>
      <c r="E59" s="43">
        <f t="array" ref="E59">SUM(IF(A59=KHN,TH))</f>
        <v>2520000</v>
      </c>
      <c r="F59" s="43">
        <f t="array" ref="F59">SUM(IF(A59=KHC,TH))</f>
        <v>43230883.000000477</v>
      </c>
      <c r="G59" s="44">
        <f>MAX(C59+E59-D59-F59,0)</f>
        <v>0</v>
      </c>
      <c r="H59" s="44">
        <f>MAX(D59+F59-E59-C59,0)</f>
        <v>527246020.00000048</v>
      </c>
    </row>
    <row r="60" spans="1:9" s="32" customFormat="1">
      <c r="A60" s="49" t="s">
        <v>94</v>
      </c>
      <c r="B60" s="42" t="s">
        <v>95</v>
      </c>
      <c r="C60" s="43"/>
      <c r="D60" s="43">
        <v>30160884.000000477</v>
      </c>
      <c r="E60" s="43">
        <f t="array" ref="E60">SUM(IF(A60=TH!$N$10:$N$2473,TH!$M$10:$M$2473))</f>
        <v>30160884.000000477</v>
      </c>
      <c r="F60" s="43">
        <f t="array" ref="F60">SUM(IF(A60=TH!$O$10:$O$2473,TH!$M$10:$M$2473))</f>
        <v>0</v>
      </c>
      <c r="G60" s="43">
        <f>MAX(C60+E60-D60-F60,0)</f>
        <v>0</v>
      </c>
      <c r="H60" s="43">
        <f>MAX(D60+F60-E60-C60,0)</f>
        <v>0</v>
      </c>
    </row>
    <row r="61" spans="1:9" s="32" customFormat="1">
      <c r="A61" s="46" t="s">
        <v>96</v>
      </c>
      <c r="B61" s="47" t="s">
        <v>97</v>
      </c>
      <c r="C61" s="48"/>
      <c r="D61" s="48">
        <v>516696021.00000048</v>
      </c>
      <c r="E61" s="48">
        <f>E60+E59</f>
        <v>32680884.000000477</v>
      </c>
      <c r="F61" s="48">
        <f>F60+F59</f>
        <v>43230883.000000477</v>
      </c>
      <c r="G61" s="48">
        <f>G60+G59</f>
        <v>0</v>
      </c>
      <c r="H61" s="48">
        <f>H60+H59</f>
        <v>527246020.00000048</v>
      </c>
    </row>
    <row r="62" spans="1:9" s="32" customFormat="1" ht="12.75" customHeight="1">
      <c r="A62" s="455" t="s">
        <v>296</v>
      </c>
      <c r="B62" s="456" t="s">
        <v>297</v>
      </c>
      <c r="C62" s="457"/>
      <c r="D62" s="457"/>
      <c r="E62" s="458">
        <f t="array" ref="E62">SUM(IF(A62=KHN,TH))</f>
        <v>572273810</v>
      </c>
      <c r="F62" s="458">
        <f t="array" ref="F62">SUM(IF(A62=KHC,TH))</f>
        <v>572273810</v>
      </c>
      <c r="G62" s="457"/>
      <c r="H62" s="457"/>
      <c r="I62" s="32">
        <f>E62-F62</f>
        <v>0</v>
      </c>
    </row>
    <row r="63" spans="1:9" s="32" customFormat="1">
      <c r="A63" s="455" t="s">
        <v>298</v>
      </c>
      <c r="B63" s="456" t="s">
        <v>299</v>
      </c>
      <c r="C63" s="457"/>
      <c r="D63" s="457"/>
      <c r="E63" s="458">
        <f t="array" ref="E63">SUM(IF(A63=KHN,TH))</f>
        <v>82282206735</v>
      </c>
      <c r="F63" s="458">
        <f t="array" ref="F63">SUM(IF(A63=KHC,TH))</f>
        <v>82282206735</v>
      </c>
      <c r="G63" s="457"/>
      <c r="H63" s="457"/>
      <c r="I63" s="32">
        <f>E63-F63</f>
        <v>0</v>
      </c>
    </row>
    <row r="64" spans="1:9" s="32" customFormat="1">
      <c r="A64" s="41" t="s">
        <v>300</v>
      </c>
      <c r="B64" s="42" t="s">
        <v>301</v>
      </c>
      <c r="C64" s="43"/>
      <c r="D64" s="43"/>
      <c r="E64" s="43">
        <f>E62+E63</f>
        <v>82854480545</v>
      </c>
      <c r="F64" s="43">
        <f>F62+F63</f>
        <v>82854480545</v>
      </c>
      <c r="G64" s="43"/>
      <c r="H64" s="43"/>
      <c r="I64" s="32">
        <f>E64-F64</f>
        <v>0</v>
      </c>
    </row>
    <row r="65" spans="1:9" s="32" customFormat="1">
      <c r="A65" s="46" t="s">
        <v>302</v>
      </c>
      <c r="B65" s="47" t="s">
        <v>303</v>
      </c>
      <c r="C65" s="48"/>
      <c r="D65" s="48"/>
      <c r="E65" s="48">
        <f>E64</f>
        <v>82854480545</v>
      </c>
      <c r="F65" s="48">
        <f>F64</f>
        <v>82854480545</v>
      </c>
      <c r="G65" s="48"/>
      <c r="H65" s="48"/>
      <c r="I65" s="32">
        <f>E65-F65</f>
        <v>0</v>
      </c>
    </row>
    <row r="66" spans="1:9" s="32" customFormat="1">
      <c r="A66" s="46" t="s">
        <v>43</v>
      </c>
      <c r="B66" s="47" t="s">
        <v>98</v>
      </c>
      <c r="C66" s="48"/>
      <c r="D66" s="48"/>
      <c r="E66" s="84">
        <f t="array" ref="E66">SUM(IF(A66=KHN,TH))</f>
        <v>208011093.40000087</v>
      </c>
      <c r="F66" s="84">
        <f t="array" ref="F66">SUM(IF(A66=KHC,TH))</f>
        <v>208011093.40000087</v>
      </c>
      <c r="G66" s="48"/>
      <c r="H66" s="48"/>
      <c r="I66" s="32">
        <f t="shared" ref="I66:I74" si="10">E66-F66</f>
        <v>0</v>
      </c>
    </row>
    <row r="67" spans="1:9" s="32" customFormat="1" ht="12.75" customHeight="1">
      <c r="A67" s="46" t="s">
        <v>294</v>
      </c>
      <c r="B67" s="47" t="s">
        <v>295</v>
      </c>
      <c r="C67" s="48"/>
      <c r="D67" s="48"/>
      <c r="E67" s="84">
        <f t="array" ref="E67">SUM(IF(A67=KHN,TH))</f>
        <v>45095234749</v>
      </c>
      <c r="F67" s="84">
        <f t="array" ref="F67">SUM(IF(A67=KHC,TH))</f>
        <v>45095234749</v>
      </c>
      <c r="G67" s="48"/>
      <c r="H67" s="48"/>
      <c r="I67" s="32">
        <f t="shared" si="10"/>
        <v>0</v>
      </c>
    </row>
    <row r="68" spans="1:9" s="32" customFormat="1" ht="12.75" customHeight="1">
      <c r="A68" s="46" t="s">
        <v>99</v>
      </c>
      <c r="B68" s="47" t="s">
        <v>100</v>
      </c>
      <c r="C68" s="48"/>
      <c r="D68" s="48"/>
      <c r="E68" s="84">
        <f t="array" ref="E68">SUM(IF(A68=KHN,TH))</f>
        <v>967206707</v>
      </c>
      <c r="F68" s="84">
        <f t="array" ref="F68">SUM(IF(A68=KHC,TH))</f>
        <v>967206707</v>
      </c>
      <c r="G68" s="48"/>
      <c r="H68" s="48"/>
      <c r="I68" s="32">
        <f t="shared" si="10"/>
        <v>0</v>
      </c>
    </row>
    <row r="69" spans="1:9" s="32" customFormat="1" ht="12.75" customHeight="1">
      <c r="A69" s="50" t="s">
        <v>588</v>
      </c>
      <c r="B69" s="47" t="s">
        <v>1350</v>
      </c>
      <c r="C69" s="48"/>
      <c r="D69" s="48"/>
      <c r="E69" s="84">
        <f t="array" ref="E69">SUM(IF(A69=KHN,TH))</f>
        <v>1732888907</v>
      </c>
      <c r="F69" s="84">
        <f t="array" ref="F69">SUM(IF(A69=KHC,TH))</f>
        <v>1732888907</v>
      </c>
      <c r="G69" s="48"/>
      <c r="H69" s="48"/>
      <c r="I69" s="32">
        <f>E69-F69</f>
        <v>0</v>
      </c>
    </row>
    <row r="70" spans="1:9" s="32" customFormat="1" ht="12.75" customHeight="1">
      <c r="A70" s="46" t="s">
        <v>101</v>
      </c>
      <c r="B70" s="47" t="s">
        <v>102</v>
      </c>
      <c r="C70" s="48"/>
      <c r="D70" s="48"/>
      <c r="E70" s="84">
        <f t="array" ref="E70">SUM(IF(A70=KHN,TH))</f>
        <v>964220769</v>
      </c>
      <c r="F70" s="84">
        <f t="array" ref="F70">SUM(IF(A70=KHC,TH))</f>
        <v>964220769</v>
      </c>
      <c r="G70" s="48"/>
      <c r="H70" s="48"/>
      <c r="I70" s="32">
        <f t="shared" si="10"/>
        <v>0</v>
      </c>
    </row>
    <row r="71" spans="1:9" s="32" customFormat="1" ht="12.75" customHeight="1">
      <c r="A71" s="50" t="s">
        <v>103</v>
      </c>
      <c r="B71" s="47" t="s">
        <v>104</v>
      </c>
      <c r="C71" s="48"/>
      <c r="D71" s="48"/>
      <c r="E71" s="84">
        <f t="array" ref="E71">SUM(IF(A71=KHN,TH))</f>
        <v>7906164</v>
      </c>
      <c r="F71" s="84">
        <f t="array" ref="F71">SUM(IF(A71=KHC,TH))</f>
        <v>7906164</v>
      </c>
      <c r="G71" s="48"/>
      <c r="H71" s="48"/>
      <c r="I71" s="32">
        <f t="shared" si="10"/>
        <v>0</v>
      </c>
    </row>
    <row r="72" spans="1:9" s="32" customFormat="1" ht="12.75" customHeight="1">
      <c r="A72" s="46" t="s">
        <v>105</v>
      </c>
      <c r="B72" s="47" t="s">
        <v>106</v>
      </c>
      <c r="C72" s="48"/>
      <c r="D72" s="48"/>
      <c r="E72" s="84">
        <f t="array" ref="E72">SUM(IF(A72=KHN,TH))</f>
        <v>517354</v>
      </c>
      <c r="F72" s="84">
        <f t="array" ref="F72">SUM(IF(A72=KHC,TH))</f>
        <v>517354</v>
      </c>
      <c r="G72" s="48"/>
      <c r="H72" s="48"/>
      <c r="I72" s="32">
        <f t="shared" si="10"/>
        <v>0</v>
      </c>
    </row>
    <row r="73" spans="1:9" s="32" customFormat="1" ht="12.75" customHeight="1">
      <c r="A73" s="50" t="s">
        <v>107</v>
      </c>
      <c r="B73" s="47" t="s">
        <v>108</v>
      </c>
      <c r="C73" s="48"/>
      <c r="D73" s="48"/>
      <c r="E73" s="84">
        <f t="array" ref="E73">SUM(IF(A73=KHN,TH))</f>
        <v>0</v>
      </c>
      <c r="F73" s="84">
        <f t="array" ref="F73">SUM(IF(A73=KHC,TH))</f>
        <v>0</v>
      </c>
      <c r="G73" s="48"/>
      <c r="H73" s="48"/>
      <c r="I73" s="32">
        <f t="shared" si="10"/>
        <v>0</v>
      </c>
    </row>
    <row r="74" spans="1:9" s="32" customFormat="1">
      <c r="A74" s="46" t="s">
        <v>109</v>
      </c>
      <c r="B74" s="47" t="s">
        <v>110</v>
      </c>
      <c r="C74" s="48"/>
      <c r="D74" s="48"/>
      <c r="E74" s="85">
        <f t="array" ref="E74">SUM(IF(A74=KHN,TH))</f>
        <v>48760068486</v>
      </c>
      <c r="F74" s="85">
        <f t="array" ref="F74">SUM(IF(A74=TH!$O$10:$O$2473,TH!$M$10:$M$2473))</f>
        <v>83070397802.399994</v>
      </c>
      <c r="G74" s="48"/>
      <c r="H74" s="48"/>
      <c r="I74" s="32">
        <f t="shared" si="10"/>
        <v>-34310329316.399994</v>
      </c>
    </row>
    <row r="75" spans="1:9" s="32" customFormat="1">
      <c r="A75" s="54" t="s">
        <v>111</v>
      </c>
      <c r="B75" s="54"/>
      <c r="C75" s="54">
        <f t="shared" ref="C75:H75" si="11">C11+C14+C15+C17+C19+C20+C23+C24+C25+C26+C30+C32+C35+C37+C38+C46+C48+C53+C56+C58+C61+C65+C66+C67+C68+C70+C71+C72+C73+C74+C69</f>
        <v>44151443527</v>
      </c>
      <c r="D75" s="54">
        <f t="shared" si="11"/>
        <v>44151443527</v>
      </c>
      <c r="E75" s="54">
        <f t="shared" si="11"/>
        <v>834301543561.20007</v>
      </c>
      <c r="F75" s="54">
        <f t="shared" si="11"/>
        <v>834301543561.20007</v>
      </c>
      <c r="G75" s="54">
        <f t="shared" si="11"/>
        <v>108467394361.39999</v>
      </c>
      <c r="H75" s="54">
        <f t="shared" si="11"/>
        <v>74157065045</v>
      </c>
    </row>
    <row r="76" spans="1:9">
      <c r="E76" s="55"/>
      <c r="F76" s="56"/>
    </row>
    <row r="77" spans="1:9">
      <c r="C77" s="32">
        <f>[1]CDPS!$G$69</f>
        <v>44151443527</v>
      </c>
      <c r="D77" s="32">
        <f>[1]CDPS!$G$69</f>
        <v>44151443527</v>
      </c>
      <c r="E77" s="56"/>
      <c r="F77" s="56">
        <f>E75-F75</f>
        <v>0</v>
      </c>
      <c r="H77" s="56">
        <f>G75-H75</f>
        <v>34310329316.399994</v>
      </c>
    </row>
    <row r="78" spans="1:9">
      <c r="C78" s="32">
        <f>C75-C77</f>
        <v>0</v>
      </c>
      <c r="D78" s="32">
        <f>D75-D77</f>
        <v>0</v>
      </c>
      <c r="E78" s="57"/>
      <c r="F78" s="57"/>
    </row>
    <row r="79" spans="1:9">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3.xml><?xml version="1.0" encoding="utf-8"?>
<worksheet xmlns="http://schemas.openxmlformats.org/spreadsheetml/2006/main" xmlns:r="http://schemas.openxmlformats.org/officeDocument/2006/relationships">
  <sheetPr>
    <tabColor theme="9" tint="-0.249977111117893"/>
  </sheetPr>
  <dimension ref="A1:AF3400"/>
  <sheetViews>
    <sheetView tabSelected="1" topLeftCell="C7" workbookViewId="0">
      <pane ySplit="3" topLeftCell="A3050" activePane="bottomLeft" state="frozen"/>
      <selection activeCell="A7" sqref="A7"/>
      <selection pane="bottomLeft" activeCell="C3063" sqref="C3063"/>
    </sheetView>
  </sheetViews>
  <sheetFormatPr defaultRowHeight="12.75"/>
  <cols>
    <col min="1" max="1" width="4.5703125" style="335" customWidth="1"/>
    <col min="2" max="2" width="4.85546875" style="328" customWidth="1"/>
    <col min="3" max="3" width="9.140625" style="328" customWidth="1"/>
    <col min="4" max="4" width="6.85546875" style="328" customWidth="1"/>
    <col min="5" max="5" width="9.140625" style="328" customWidth="1"/>
    <col min="6" max="6" width="32.7109375" style="349" customWidth="1"/>
    <col min="7" max="7" width="14.85546875" style="977" customWidth="1"/>
    <col min="8" max="8" width="32.5703125" style="350" customWidth="1"/>
    <col min="9" max="10" width="7.7109375" style="350" customWidth="1"/>
    <col min="11" max="11" width="10" style="350" customWidth="1"/>
    <col min="12" max="12" width="7.28515625" style="350" customWidth="1"/>
    <col min="13" max="13" width="15.7109375" style="328" customWidth="1"/>
    <col min="14" max="14" width="12.85546875" style="328" bestFit="1" customWidth="1"/>
    <col min="15" max="15" width="7" style="328" customWidth="1"/>
    <col min="16" max="16" width="4.42578125" style="328" hidden="1" customWidth="1"/>
    <col min="17" max="19" width="2.7109375" style="328" hidden="1" customWidth="1"/>
    <col min="20" max="22" width="2.5703125" style="328" hidden="1" customWidth="1"/>
    <col min="23" max="25" width="4.42578125" style="328" hidden="1" customWidth="1"/>
    <col min="26" max="26" width="4.140625" style="328" hidden="1" customWidth="1"/>
    <col min="27" max="30" width="2.7109375" style="328" hidden="1" customWidth="1"/>
    <col min="31" max="31" width="9.140625" style="328" customWidth="1"/>
    <col min="32" max="32" width="11.28515625" style="328" bestFit="1" customWidth="1"/>
    <col min="33" max="16384" width="9.140625" style="328"/>
  </cols>
  <sheetData>
    <row r="1" spans="1:30">
      <c r="B1" s="58"/>
      <c r="C1" s="58" t="s">
        <v>121</v>
      </c>
      <c r="D1" s="59"/>
      <c r="E1" s="59"/>
      <c r="F1" s="60"/>
      <c r="G1" s="968"/>
      <c r="H1" s="89"/>
      <c r="I1" s="89"/>
      <c r="J1" s="89"/>
      <c r="K1" s="89"/>
      <c r="L1" s="89"/>
      <c r="M1" s="69"/>
      <c r="N1" s="61"/>
      <c r="O1" s="61"/>
      <c r="P1" s="61"/>
      <c r="Q1" s="61"/>
      <c r="R1" s="61"/>
      <c r="S1" s="61"/>
      <c r="T1" s="61"/>
      <c r="U1" s="61"/>
      <c r="V1" s="61"/>
      <c r="W1" s="61"/>
      <c r="X1" s="61"/>
      <c r="Y1" s="61"/>
      <c r="AA1" s="61"/>
      <c r="AB1" s="61"/>
      <c r="AC1" s="61"/>
      <c r="AD1" s="61"/>
    </row>
    <row r="2" spans="1:30">
      <c r="B2" s="58"/>
      <c r="C2" s="58" t="s">
        <v>122</v>
      </c>
      <c r="D2" s="59"/>
      <c r="E2" s="59"/>
      <c r="F2" s="59"/>
      <c r="G2" s="968"/>
      <c r="H2" s="90"/>
      <c r="I2" s="90"/>
      <c r="J2" s="90"/>
      <c r="K2" s="90"/>
      <c r="L2" s="90"/>
      <c r="M2" s="69"/>
      <c r="N2" s="61"/>
      <c r="O2" s="61"/>
      <c r="P2" s="61"/>
      <c r="Q2" s="61"/>
      <c r="R2" s="61"/>
      <c r="S2" s="61"/>
      <c r="T2" s="61"/>
      <c r="U2" s="61"/>
      <c r="V2" s="61"/>
      <c r="W2" s="61"/>
      <c r="X2" s="61"/>
      <c r="Y2" s="61"/>
      <c r="AA2" s="61"/>
      <c r="AB2" s="61"/>
      <c r="AC2" s="61"/>
      <c r="AD2" s="61"/>
    </row>
    <row r="3" spans="1:30">
      <c r="B3" s="59"/>
      <c r="C3" s="59"/>
      <c r="D3" s="59"/>
      <c r="E3" s="59"/>
      <c r="F3" s="59"/>
      <c r="G3" s="968"/>
      <c r="H3" s="90"/>
      <c r="I3" s="90"/>
      <c r="J3" s="90"/>
      <c r="K3" s="90"/>
      <c r="L3" s="90"/>
      <c r="M3" s="68"/>
      <c r="N3" s="62"/>
      <c r="O3" s="62"/>
      <c r="P3" s="62"/>
      <c r="Q3" s="62"/>
      <c r="R3" s="62"/>
      <c r="S3" s="62"/>
      <c r="T3" s="62"/>
      <c r="U3" s="62"/>
      <c r="V3" s="62"/>
      <c r="W3" s="62"/>
      <c r="X3" s="62"/>
      <c r="Y3" s="62"/>
      <c r="AA3" s="62"/>
      <c r="AB3" s="62"/>
      <c r="AC3" s="62"/>
      <c r="AD3" s="62"/>
    </row>
    <row r="4" spans="1:30" ht="22.5">
      <c r="B4" s="69"/>
      <c r="C4" s="1287" t="s">
        <v>112</v>
      </c>
      <c r="D4" s="1287"/>
      <c r="E4" s="1287"/>
      <c r="F4" s="1287"/>
      <c r="G4" s="1287"/>
      <c r="H4" s="1287"/>
      <c r="I4" s="1287"/>
      <c r="J4" s="1287"/>
      <c r="K4" s="1287"/>
      <c r="L4" s="1287"/>
      <c r="M4" s="1287"/>
      <c r="N4" s="1287"/>
      <c r="O4" s="1287"/>
    </row>
    <row r="5" spans="1:30" ht="14.25">
      <c r="B5" s="69"/>
      <c r="C5" s="1288"/>
      <c r="D5" s="1288"/>
      <c r="E5" s="1288"/>
      <c r="F5" s="1288"/>
      <c r="G5" s="1288"/>
      <c r="H5" s="1288"/>
      <c r="I5" s="1288"/>
      <c r="J5" s="1288"/>
      <c r="K5" s="1288"/>
      <c r="L5" s="1288"/>
      <c r="M5" s="1288"/>
      <c r="N5" s="1288"/>
      <c r="O5" s="1288"/>
    </row>
    <row r="6" spans="1:30">
      <c r="B6" s="69"/>
      <c r="C6" s="69"/>
      <c r="D6" s="69"/>
      <c r="E6" s="69"/>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297" t="s">
        <v>141</v>
      </c>
      <c r="B7" s="1299" t="s">
        <v>123</v>
      </c>
      <c r="C7" s="1289" t="s">
        <v>22</v>
      </c>
      <c r="D7" s="1290" t="s">
        <v>1</v>
      </c>
      <c r="E7" s="1291"/>
      <c r="F7" s="1289" t="s">
        <v>0</v>
      </c>
      <c r="G7" s="1293" t="s">
        <v>140</v>
      </c>
      <c r="H7" s="1301" t="s">
        <v>47</v>
      </c>
      <c r="I7" s="1306" t="s">
        <v>576</v>
      </c>
      <c r="J7" s="1307"/>
      <c r="K7" s="1289" t="s">
        <v>265</v>
      </c>
      <c r="L7" s="1289"/>
      <c r="M7" s="1289" t="s">
        <v>264</v>
      </c>
      <c r="N7" s="1292" t="s">
        <v>114</v>
      </c>
      <c r="O7" s="1292"/>
      <c r="P7" s="1304" t="s">
        <v>8</v>
      </c>
      <c r="Q7" s="1281" t="s">
        <v>63</v>
      </c>
      <c r="R7" s="1282"/>
      <c r="S7" s="1283"/>
      <c r="T7" s="1281" t="s">
        <v>67</v>
      </c>
      <c r="U7" s="1282"/>
      <c r="V7" s="1283"/>
      <c r="W7" s="1304" t="s">
        <v>42</v>
      </c>
      <c r="X7" s="1295" t="str">
        <f>CTTK!$E$7</f>
        <v>1331</v>
      </c>
      <c r="Y7" s="1295" t="s">
        <v>585</v>
      </c>
      <c r="Z7" s="1302" t="s">
        <v>225</v>
      </c>
      <c r="AA7" s="1281" t="s">
        <v>278</v>
      </c>
      <c r="AB7" s="1282"/>
      <c r="AC7" s="1282"/>
      <c r="AD7" s="1283"/>
    </row>
    <row r="8" spans="1:30" ht="24.75" customHeight="1">
      <c r="A8" s="1298"/>
      <c r="B8" s="1300"/>
      <c r="C8" s="1289"/>
      <c r="D8" s="1168" t="s">
        <v>17</v>
      </c>
      <c r="E8" s="1167" t="s">
        <v>34</v>
      </c>
      <c r="F8" s="1289"/>
      <c r="G8" s="1294"/>
      <c r="H8" s="1301"/>
      <c r="I8" s="1166" t="s">
        <v>467</v>
      </c>
      <c r="J8" s="1166" t="s">
        <v>468</v>
      </c>
      <c r="K8" s="1167" t="s">
        <v>271</v>
      </c>
      <c r="L8" s="1167" t="s">
        <v>269</v>
      </c>
      <c r="M8" s="1289"/>
      <c r="N8" s="1169" t="s">
        <v>24</v>
      </c>
      <c r="O8" s="1169" t="s">
        <v>25</v>
      </c>
      <c r="P8" s="1305"/>
      <c r="Q8" s="1284"/>
      <c r="R8" s="1285"/>
      <c r="S8" s="1286"/>
      <c r="T8" s="1284"/>
      <c r="U8" s="1285"/>
      <c r="V8" s="1286"/>
      <c r="W8" s="1305"/>
      <c r="X8" s="1296"/>
      <c r="Y8" s="1296"/>
      <c r="Z8" s="1303"/>
      <c r="AA8" s="1284"/>
      <c r="AB8" s="1285"/>
      <c r="AC8" s="1285"/>
      <c r="AD8" s="1286"/>
    </row>
    <row r="9" spans="1:30">
      <c r="A9" s="336">
        <v>1</v>
      </c>
      <c r="B9" s="337">
        <v>2</v>
      </c>
      <c r="C9" s="337">
        <v>3</v>
      </c>
      <c r="D9" s="337">
        <v>4</v>
      </c>
      <c r="E9" s="337">
        <v>5</v>
      </c>
      <c r="F9" s="337">
        <v>6</v>
      </c>
      <c r="G9" s="969">
        <v>7</v>
      </c>
      <c r="H9" s="337">
        <v>8</v>
      </c>
      <c r="I9" s="338">
        <v>9</v>
      </c>
      <c r="J9" s="337">
        <v>10</v>
      </c>
      <c r="K9" s="338">
        <v>11</v>
      </c>
      <c r="L9" s="337">
        <v>12</v>
      </c>
      <c r="M9" s="338">
        <v>13</v>
      </c>
      <c r="N9" s="337">
        <v>14</v>
      </c>
      <c r="O9" s="338">
        <v>15</v>
      </c>
      <c r="P9" s="337">
        <v>16</v>
      </c>
      <c r="Q9" s="338">
        <v>17</v>
      </c>
      <c r="R9" s="337">
        <v>18</v>
      </c>
      <c r="S9" s="338">
        <v>19</v>
      </c>
      <c r="T9" s="337">
        <v>20</v>
      </c>
      <c r="U9" s="337"/>
      <c r="V9" s="337"/>
      <c r="W9" s="337">
        <v>26</v>
      </c>
      <c r="X9" s="338">
        <v>27</v>
      </c>
      <c r="Y9" s="338"/>
      <c r="Z9" s="337">
        <v>24</v>
      </c>
      <c r="AA9" s="337">
        <v>19</v>
      </c>
      <c r="AB9" s="337">
        <v>20</v>
      </c>
      <c r="AC9" s="337"/>
      <c r="AD9" s="337">
        <v>21</v>
      </c>
    </row>
    <row r="10" spans="1:30" s="339" customFormat="1" ht="15.75" customHeight="1">
      <c r="A10" s="334" t="str">
        <f>IF(B10&lt;&gt;"",IF(AND(B10='IN-TC'!$S$4,OR(TH!N10="1111",TH!O10="1111")),TH!D10,""),"")</f>
        <v/>
      </c>
      <c r="B10" s="63">
        <f t="shared" ref="B10:B79" si="0">IF(C10&lt;&gt;"",MONTH(C10),"")</f>
        <v>1</v>
      </c>
      <c r="C10" s="78">
        <f>E10</f>
        <v>42400</v>
      </c>
      <c r="D10" s="78" t="s">
        <v>115</v>
      </c>
      <c r="E10" s="78">
        <v>42400</v>
      </c>
      <c r="F10" s="67" t="s">
        <v>213</v>
      </c>
      <c r="G10" s="79"/>
      <c r="H10" s="80"/>
      <c r="I10" s="435"/>
      <c r="J10" s="435"/>
      <c r="K10" s="426"/>
      <c r="L10" s="435"/>
      <c r="M10" s="81">
        <f>CDPS!D60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s="339" customFormat="1" ht="15.75" customHeight="1">
      <c r="A11" s="334" t="str">
        <f>IF(B11&lt;&gt;"",IF(AND(B11='IN-TC'!$S$4,OR(TH!N11="1111",TH!O11="1111")),TH!D11,""),"")</f>
        <v/>
      </c>
      <c r="B11" s="63">
        <f t="shared" si="0"/>
        <v>7</v>
      </c>
      <c r="C11" s="78">
        <v>42582</v>
      </c>
      <c r="D11" s="78" t="s">
        <v>115</v>
      </c>
      <c r="E11" s="78">
        <v>42400</v>
      </c>
      <c r="F11" s="67" t="s">
        <v>923</v>
      </c>
      <c r="G11" s="79"/>
      <c r="H11" s="80"/>
      <c r="I11" s="435"/>
      <c r="J11" s="435"/>
      <c r="K11" s="426"/>
      <c r="L11" s="435"/>
      <c r="M11" s="81">
        <v>49965435</v>
      </c>
      <c r="N11" s="86" t="s">
        <v>928</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x</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s="339" customFormat="1" ht="15.75" customHeight="1">
      <c r="A12" s="334" t="str">
        <f>IF(B12&lt;&gt;"",IF(AND(B12='IN-TC'!$S$4,OR(TH!N12="1111",TH!O12="1111")),TH!D12,""),"")</f>
        <v/>
      </c>
      <c r="B12" s="63">
        <f t="shared" si="0"/>
        <v>1</v>
      </c>
      <c r="C12" s="78">
        <f t="shared" ref="C12:C23" si="1">E12</f>
        <v>42400</v>
      </c>
      <c r="D12" s="78" t="s">
        <v>115</v>
      </c>
      <c r="E12" s="78">
        <v>42400</v>
      </c>
      <c r="F12" s="67" t="s">
        <v>924</v>
      </c>
      <c r="G12" s="79"/>
      <c r="H12" s="80"/>
      <c r="I12" s="435"/>
      <c r="J12" s="435"/>
      <c r="K12" s="426"/>
      <c r="L12" s="435"/>
      <c r="M12" s="81">
        <f>SUMIF(KHN,O12,TH)</f>
        <v>45095234749</v>
      </c>
      <c r="N12" s="86" t="s">
        <v>109</v>
      </c>
      <c r="O12" s="82" t="s">
        <v>294</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s="339" customFormat="1" ht="15.75" customHeight="1">
      <c r="A13" s="334" t="str">
        <f>IF(B13&lt;&gt;"",IF(AND(B13='IN-TC'!$S$4,OR(TH!N13="1111",TH!O13="1111")),TH!D13,""),"")</f>
        <v/>
      </c>
      <c r="B13" s="63">
        <f t="shared" si="0"/>
        <v>1</v>
      </c>
      <c r="C13" s="78">
        <f t="shared" si="1"/>
        <v>42400</v>
      </c>
      <c r="D13" s="78" t="s">
        <v>115</v>
      </c>
      <c r="E13" s="78">
        <v>42400</v>
      </c>
      <c r="F13" s="67" t="s">
        <v>116</v>
      </c>
      <c r="G13" s="79"/>
      <c r="H13" s="87"/>
      <c r="I13" s="436"/>
      <c r="J13" s="436"/>
      <c r="K13" s="427"/>
      <c r="L13" s="436"/>
      <c r="M13" s="81">
        <f>SUMIF(KHN,O13,TH)</f>
        <v>967206707</v>
      </c>
      <c r="N13" s="82" t="s">
        <v>109</v>
      </c>
      <c r="O13" s="82" t="s">
        <v>99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s="339" customFormat="1" ht="15.75" customHeight="1">
      <c r="A14" s="334" t="str">
        <f>IF(B14&lt;&gt;"",IF(AND(B14='IN-TC'!$S$4,OR(TH!N14="1111",TH!O14="1111")),TH!D14,""),"")</f>
        <v/>
      </c>
      <c r="B14" s="63">
        <f t="shared" si="0"/>
        <v>1</v>
      </c>
      <c r="C14" s="78">
        <f t="shared" si="1"/>
        <v>42400</v>
      </c>
      <c r="D14" s="78" t="s">
        <v>115</v>
      </c>
      <c r="E14" s="78">
        <v>42400</v>
      </c>
      <c r="F14" s="67" t="s">
        <v>925</v>
      </c>
      <c r="G14" s="79"/>
      <c r="H14" s="80"/>
      <c r="I14" s="435"/>
      <c r="J14" s="435"/>
      <c r="K14" s="426"/>
      <c r="L14" s="435"/>
      <c r="M14" s="81">
        <f>SUMIF(KHN,O14,TH)</f>
        <v>1732888907</v>
      </c>
      <c r="N14" s="82" t="s">
        <v>109</v>
      </c>
      <c r="O14" s="82" t="s">
        <v>588</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s="339" customFormat="1" ht="15.75" customHeight="1">
      <c r="A15" s="334" t="str">
        <f>IF(B15&lt;&gt;"",IF(AND(B15='IN-TC'!$S$4,OR(TH!N15="1111",TH!O15="1111")),TH!D15,""),"")</f>
        <v/>
      </c>
      <c r="B15" s="63">
        <f t="shared" si="0"/>
        <v>1</v>
      </c>
      <c r="C15" s="78">
        <f t="shared" si="1"/>
        <v>42400</v>
      </c>
      <c r="D15" s="78" t="s">
        <v>115</v>
      </c>
      <c r="E15" s="78">
        <v>42400</v>
      </c>
      <c r="F15" s="67" t="s">
        <v>117</v>
      </c>
      <c r="G15" s="79"/>
      <c r="H15" s="80"/>
      <c r="I15" s="435"/>
      <c r="J15" s="435"/>
      <c r="K15" s="426"/>
      <c r="L15" s="435"/>
      <c r="M15" s="81">
        <f>SUMIF(KHN,O15,TH)</f>
        <v>964220769</v>
      </c>
      <c r="N15" s="82" t="s">
        <v>109</v>
      </c>
      <c r="O15" s="82" t="s">
        <v>101</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s="339" customFormat="1" ht="15.75" customHeight="1">
      <c r="A16" s="334" t="str">
        <f>IF(B16&lt;&gt;"",IF(AND(B16='IN-TC'!$S$4,OR(TH!N16="1111",TH!O16="1111")),TH!D16,""),"")</f>
        <v/>
      </c>
      <c r="B16" s="63">
        <f t="shared" si="0"/>
        <v>1</v>
      </c>
      <c r="C16" s="78">
        <f t="shared" si="1"/>
        <v>42400</v>
      </c>
      <c r="D16" s="78" t="s">
        <v>115</v>
      </c>
      <c r="E16" s="78">
        <v>42400</v>
      </c>
      <c r="F16" s="67" t="s">
        <v>118</v>
      </c>
      <c r="G16" s="79"/>
      <c r="H16" s="80"/>
      <c r="I16" s="435"/>
      <c r="J16" s="435"/>
      <c r="K16" s="426"/>
      <c r="L16" s="435"/>
      <c r="M16" s="81">
        <f>SUMIF(KHC,N16,TH)</f>
        <v>208011093.40000087</v>
      </c>
      <c r="N16" s="86" t="s">
        <v>43</v>
      </c>
      <c r="O16" s="82" t="s">
        <v>109</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s="339" customFormat="1" ht="15.75" customHeight="1">
      <c r="A17" s="334" t="str">
        <f>IF(B17&lt;&gt;"",IF(AND(B17='IN-TC'!$S$4,OR(TH!N17="1111",TH!O17="1111")),TH!D17,""),"")</f>
        <v/>
      </c>
      <c r="B17" s="63">
        <f t="shared" si="0"/>
        <v>1</v>
      </c>
      <c r="C17" s="78">
        <f t="shared" si="1"/>
        <v>42400</v>
      </c>
      <c r="D17" s="78" t="s">
        <v>115</v>
      </c>
      <c r="E17" s="78">
        <v>42400</v>
      </c>
      <c r="F17" s="67" t="s">
        <v>926</v>
      </c>
      <c r="G17" s="79"/>
      <c r="H17" s="87"/>
      <c r="I17" s="436"/>
      <c r="J17" s="436"/>
      <c r="K17" s="427"/>
      <c r="L17" s="436"/>
      <c r="M17" s="81">
        <f>SUMIF(KHC,N17,TH)</f>
        <v>572273810</v>
      </c>
      <c r="N17" s="82" t="s">
        <v>296</v>
      </c>
      <c r="O17" s="82" t="s">
        <v>109</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s="339" customFormat="1" ht="15.75" customHeight="1">
      <c r="A18" s="334" t="str">
        <f>IF(B18&lt;&gt;"",IF(AND(B18='IN-TC'!$S$4,OR(TH!N18="1111",TH!O18="1111")),TH!D18,""),"")</f>
        <v/>
      </c>
      <c r="B18" s="63">
        <f t="shared" si="0"/>
        <v>1</v>
      </c>
      <c r="C18" s="78">
        <f t="shared" si="1"/>
        <v>42400</v>
      </c>
      <c r="D18" s="78" t="s">
        <v>115</v>
      </c>
      <c r="E18" s="78">
        <v>42400</v>
      </c>
      <c r="F18" s="67" t="s">
        <v>927</v>
      </c>
      <c r="G18" s="79"/>
      <c r="H18" s="80"/>
      <c r="I18" s="435"/>
      <c r="J18" s="435"/>
      <c r="K18" s="426"/>
      <c r="L18" s="435"/>
      <c r="M18" s="81">
        <f>SUMIF(KHC,N18,TH)</f>
        <v>82282206735</v>
      </c>
      <c r="N18" s="82" t="s">
        <v>298</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s="339" customFormat="1" ht="15.75" customHeight="1">
      <c r="A19" s="334" t="str">
        <f>IF(B19&lt;&gt;"",IF(AND(B19='IN-TC'!$S$4,OR(TH!N19="1111",TH!O19="1111")),TH!D19,""),"")</f>
        <v/>
      </c>
      <c r="B19" s="63">
        <f t="shared" si="0"/>
        <v>1</v>
      </c>
      <c r="C19" s="78">
        <f t="shared" si="1"/>
        <v>42400</v>
      </c>
      <c r="D19" s="78" t="s">
        <v>115</v>
      </c>
      <c r="E19" s="78">
        <v>42400</v>
      </c>
      <c r="F19" s="67" t="s">
        <v>119</v>
      </c>
      <c r="G19" s="79"/>
      <c r="H19" s="80"/>
      <c r="I19" s="435"/>
      <c r="J19" s="435"/>
      <c r="K19" s="426"/>
      <c r="L19" s="435"/>
      <c r="M19" s="81">
        <f>SUMIF(KHC,N19,TH)</f>
        <v>7906164</v>
      </c>
      <c r="N19" s="82" t="s">
        <v>103</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s="339" customFormat="1" ht="15.75" customHeight="1">
      <c r="A20" s="334" t="str">
        <f>IF(B20&lt;&gt;"",IF(AND(B20='IN-TC'!$S$4,OR(TH!N20="1111",TH!O20="1111")),TH!D20,""),"")</f>
        <v/>
      </c>
      <c r="B20" s="63">
        <f t="shared" si="0"/>
        <v>1</v>
      </c>
      <c r="C20" s="78">
        <f t="shared" si="1"/>
        <v>42400</v>
      </c>
      <c r="D20" s="78" t="s">
        <v>115</v>
      </c>
      <c r="E20" s="78">
        <v>42400</v>
      </c>
      <c r="F20" s="67" t="s">
        <v>120</v>
      </c>
      <c r="G20" s="79"/>
      <c r="H20" s="80"/>
      <c r="I20" s="435"/>
      <c r="J20" s="435"/>
      <c r="K20" s="426"/>
      <c r="L20" s="435"/>
      <c r="M20" s="81">
        <f>SUMIF(KHN,O20,TH)</f>
        <v>517354</v>
      </c>
      <c r="N20" s="86" t="s">
        <v>109</v>
      </c>
      <c r="O20" s="82" t="s">
        <v>105</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s="339" customFormat="1" ht="15.75" customHeight="1">
      <c r="A21" s="334" t="str">
        <f>IF(B21&lt;&gt;"",IF(AND(B21='IN-TC'!$S$4,OR(TH!N21="1111",TH!O21="1111")),TH!D21,""),"")</f>
        <v/>
      </c>
      <c r="B21" s="63">
        <f t="shared" si="0"/>
        <v>1</v>
      </c>
      <c r="C21" s="78">
        <f t="shared" si="1"/>
        <v>42400</v>
      </c>
      <c r="D21" s="78" t="s">
        <v>115</v>
      </c>
      <c r="E21" s="78">
        <v>42400</v>
      </c>
      <c r="F21" s="67" t="s">
        <v>1361</v>
      </c>
      <c r="G21" s="79"/>
      <c r="H21" s="80"/>
      <c r="I21" s="435"/>
      <c r="J21" s="435"/>
      <c r="K21" s="426"/>
      <c r="L21" s="435"/>
      <c r="M21" s="81"/>
      <c r="N21" s="86" t="s">
        <v>109</v>
      </c>
      <c r="O21" s="82" t="s">
        <v>94</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s="339" customFormat="1" ht="15.75" customHeight="1">
      <c r="A22" s="334" t="str">
        <f>IF(B22&lt;&gt;"",IF(AND(B22='IN-TC'!$S$4,OR(TH!N22="1111",TH!O22="1111")),TH!D22,""),"")</f>
        <v/>
      </c>
      <c r="B22" s="63">
        <f t="shared" si="0"/>
        <v>1</v>
      </c>
      <c r="C22" s="78">
        <f t="shared" si="1"/>
        <v>42400</v>
      </c>
      <c r="D22" s="78" t="s">
        <v>115</v>
      </c>
      <c r="E22" s="78">
        <v>42400</v>
      </c>
      <c r="F22" s="67" t="s">
        <v>1980</v>
      </c>
      <c r="G22" s="79"/>
      <c r="H22" s="80"/>
      <c r="I22" s="435"/>
      <c r="J22" s="435"/>
      <c r="K22" s="426"/>
      <c r="L22" s="435"/>
      <c r="M22" s="81"/>
      <c r="N22" s="86" t="s">
        <v>107</v>
      </c>
      <c r="O22" s="82" t="s">
        <v>77</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s="339" customFormat="1" ht="15.75" customHeight="1">
      <c r="A23" s="334" t="str">
        <f>IF(B23&lt;&gt;"",IF(AND(B23='IN-TC'!$S$4,OR(TH!N23="1111",TH!O23="1111")),TH!D23,""),"")</f>
        <v/>
      </c>
      <c r="B23" s="63">
        <f t="shared" si="0"/>
        <v>1</v>
      </c>
      <c r="C23" s="78">
        <f t="shared" si="1"/>
        <v>42400</v>
      </c>
      <c r="D23" s="78" t="s">
        <v>115</v>
      </c>
      <c r="E23" s="78">
        <v>42400</v>
      </c>
      <c r="F23" s="67" t="s">
        <v>1981</v>
      </c>
      <c r="G23" s="79"/>
      <c r="H23" s="80"/>
      <c r="I23" s="435"/>
      <c r="J23" s="435"/>
      <c r="K23" s="426"/>
      <c r="L23" s="435"/>
      <c r="M23" s="81"/>
      <c r="N23" s="86" t="s">
        <v>109</v>
      </c>
      <c r="O23" s="82" t="s">
        <v>107</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s="1193" customFormat="1" ht="15.75" customHeight="1">
      <c r="A24" s="334" t="str">
        <f>IF(B24&lt;&gt;"",IF(AND(B24='IN-TC'!$S$4,OR(TH!N24="1111",TH!O24="1111")),TH!D24,""),"")</f>
        <v/>
      </c>
      <c r="B24" s="1184">
        <f t="shared" si="0"/>
        <v>6</v>
      </c>
      <c r="C24" s="1185">
        <v>42551</v>
      </c>
      <c r="D24" s="1185" t="s">
        <v>115</v>
      </c>
      <c r="E24" s="1185">
        <v>42551</v>
      </c>
      <c r="F24" s="1212" t="s">
        <v>1976</v>
      </c>
      <c r="G24" s="1186"/>
      <c r="H24" s="1187"/>
      <c r="I24" s="1188"/>
      <c r="J24" s="1188"/>
      <c r="K24" s="1191"/>
      <c r="L24" s="1188"/>
      <c r="M24" s="1189">
        <v>279617893</v>
      </c>
      <c r="N24" s="1192" t="s">
        <v>286</v>
      </c>
      <c r="O24" s="1190" t="s">
        <v>162</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s="339" customFormat="1" ht="15.75" customHeight="1">
      <c r="A25" s="334" t="str">
        <f>IF(B25&lt;&gt;"",IF(AND(B25='IN-TC'!$S$4,OR(TH!N25="1111",TH!O25="1111")),TH!D25,""),"")</f>
        <v/>
      </c>
      <c r="B25" s="63">
        <f t="shared" si="0"/>
        <v>1</v>
      </c>
      <c r="C25" s="863">
        <v>42400</v>
      </c>
      <c r="D25" s="863" t="s">
        <v>579</v>
      </c>
      <c r="E25" s="863">
        <f t="shared" ref="E25:E62" si="2">C25</f>
        <v>42400</v>
      </c>
      <c r="F25" s="274" t="s">
        <v>1308</v>
      </c>
      <c r="G25" s="864"/>
      <c r="H25" s="72"/>
      <c r="I25" s="437"/>
      <c r="J25" s="437"/>
      <c r="K25" s="428"/>
      <c r="L25" s="437"/>
      <c r="M25" s="865">
        <v>10010706</v>
      </c>
      <c r="N25" s="867" t="s">
        <v>282</v>
      </c>
      <c r="O25" s="868" t="s">
        <v>586</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s="339" customFormat="1" ht="15.75" customHeight="1">
      <c r="A26" s="334" t="str">
        <f>IF(B26&lt;&gt;"",IF(AND(B26='IN-TC'!$S$4,OR(TH!N26="1111",TH!O26="1111")),TH!D26,""),"")</f>
        <v/>
      </c>
      <c r="B26" s="63">
        <f t="shared" si="0"/>
        <v>1</v>
      </c>
      <c r="C26" s="863">
        <v>42400</v>
      </c>
      <c r="D26" s="863" t="s">
        <v>579</v>
      </c>
      <c r="E26" s="863">
        <f t="shared" si="2"/>
        <v>42400</v>
      </c>
      <c r="F26" s="274" t="s">
        <v>1309</v>
      </c>
      <c r="G26" s="971"/>
      <c r="H26" s="71"/>
      <c r="I26" s="438"/>
      <c r="J26" s="438"/>
      <c r="K26" s="429"/>
      <c r="L26" s="438"/>
      <c r="M26" s="865">
        <v>3671167</v>
      </c>
      <c r="N26" s="869" t="s">
        <v>101</v>
      </c>
      <c r="O26" s="869" t="s">
        <v>587</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s="339" customFormat="1" ht="15.75" customHeight="1">
      <c r="A27" s="334" t="str">
        <f>IF(B27&lt;&gt;"",IF(AND(B27='IN-TC'!$S$4,OR(TH!N27="1111",TH!O27="1111")),TH!D27,""),"")</f>
        <v/>
      </c>
      <c r="B27" s="63">
        <f t="shared" si="0"/>
        <v>1</v>
      </c>
      <c r="C27" s="863">
        <v>42400</v>
      </c>
      <c r="D27" s="863" t="s">
        <v>579</v>
      </c>
      <c r="E27" s="863">
        <f t="shared" si="2"/>
        <v>42400</v>
      </c>
      <c r="F27" s="274" t="s">
        <v>1309</v>
      </c>
      <c r="G27" s="864"/>
      <c r="H27" s="71"/>
      <c r="I27" s="438"/>
      <c r="J27" s="438"/>
      <c r="K27" s="429"/>
      <c r="L27" s="438"/>
      <c r="M27" s="865">
        <v>47128136</v>
      </c>
      <c r="N27" s="869" t="s">
        <v>282</v>
      </c>
      <c r="O27" s="869" t="s">
        <v>587</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s="339" customFormat="1" ht="15.75" customHeight="1">
      <c r="A28" s="334" t="str">
        <f>IF(B28&lt;&gt;"",IF(AND(B28='IN-TC'!$S$4,OR(TH!N28="1111",TH!O28="1111")),TH!D28,""),"")</f>
        <v/>
      </c>
      <c r="B28" s="63">
        <f t="shared" si="0"/>
        <v>2</v>
      </c>
      <c r="C28" s="863">
        <v>42429</v>
      </c>
      <c r="D28" s="863" t="s">
        <v>579</v>
      </c>
      <c r="E28" s="863">
        <f t="shared" si="2"/>
        <v>42429</v>
      </c>
      <c r="F28" s="274" t="s">
        <v>1308</v>
      </c>
      <c r="G28" s="864"/>
      <c r="H28" s="72"/>
      <c r="I28" s="437"/>
      <c r="J28" s="437"/>
      <c r="K28" s="428"/>
      <c r="L28" s="437"/>
      <c r="M28" s="865">
        <v>10010706</v>
      </c>
      <c r="N28" s="867" t="s">
        <v>282</v>
      </c>
      <c r="O28" s="868" t="s">
        <v>586</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s="339" customFormat="1" ht="15.75" customHeight="1">
      <c r="A29" s="334" t="str">
        <f>IF(B29&lt;&gt;"",IF(AND(B29='IN-TC'!$S$4,OR(TH!N29="1111",TH!O29="1111")),TH!D29,""),"")</f>
        <v/>
      </c>
      <c r="B29" s="63">
        <f t="shared" si="0"/>
        <v>2</v>
      </c>
      <c r="C29" s="863">
        <v>42429</v>
      </c>
      <c r="D29" s="863" t="s">
        <v>579</v>
      </c>
      <c r="E29" s="863">
        <f t="shared" si="2"/>
        <v>42429</v>
      </c>
      <c r="F29" s="274" t="s">
        <v>1309</v>
      </c>
      <c r="G29" s="971"/>
      <c r="H29" s="71"/>
      <c r="I29" s="438"/>
      <c r="J29" s="438"/>
      <c r="K29" s="429"/>
      <c r="L29" s="438"/>
      <c r="M29" s="865">
        <v>3671167</v>
      </c>
      <c r="N29" s="869" t="s">
        <v>101</v>
      </c>
      <c r="O29" s="869" t="s">
        <v>587</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s="339" customFormat="1" ht="15.75" customHeight="1">
      <c r="A30" s="334" t="str">
        <f>IF(B30&lt;&gt;"",IF(AND(B30='IN-TC'!$S$4,OR(TH!N30="1111",TH!O30="1111")),TH!D30,""),"")</f>
        <v/>
      </c>
      <c r="B30" s="63">
        <f t="shared" si="0"/>
        <v>2</v>
      </c>
      <c r="C30" s="863">
        <v>42429</v>
      </c>
      <c r="D30" s="863" t="s">
        <v>579</v>
      </c>
      <c r="E30" s="863">
        <f t="shared" si="2"/>
        <v>42429</v>
      </c>
      <c r="F30" s="274" t="s">
        <v>1309</v>
      </c>
      <c r="G30" s="864"/>
      <c r="H30" s="71"/>
      <c r="I30" s="438"/>
      <c r="J30" s="438"/>
      <c r="K30" s="429"/>
      <c r="L30" s="438"/>
      <c r="M30" s="865">
        <v>47128136</v>
      </c>
      <c r="N30" s="869" t="s">
        <v>282</v>
      </c>
      <c r="O30" s="869" t="s">
        <v>587</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s="339" customFormat="1" ht="15.75" customHeight="1">
      <c r="A31" s="334" t="str">
        <f>IF(B31&lt;&gt;"",IF(AND(B31='IN-TC'!$S$4,OR(TH!N31="1111",TH!O31="1111")),TH!D31,""),"")</f>
        <v/>
      </c>
      <c r="B31" s="63">
        <f t="shared" si="0"/>
        <v>3</v>
      </c>
      <c r="C31" s="863">
        <v>42460</v>
      </c>
      <c r="D31" s="863" t="s">
        <v>579</v>
      </c>
      <c r="E31" s="863">
        <f t="shared" si="2"/>
        <v>42460</v>
      </c>
      <c r="F31" s="274" t="s">
        <v>1308</v>
      </c>
      <c r="G31" s="864"/>
      <c r="H31" s="72"/>
      <c r="I31" s="437"/>
      <c r="J31" s="437"/>
      <c r="K31" s="428"/>
      <c r="L31" s="437"/>
      <c r="M31" s="865">
        <v>10010706</v>
      </c>
      <c r="N31" s="867" t="s">
        <v>282</v>
      </c>
      <c r="O31" s="868" t="s">
        <v>586</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s="339" customFormat="1" ht="15.75" customHeight="1">
      <c r="A32" s="334" t="str">
        <f>IF(B32&lt;&gt;"",IF(AND(B32='IN-TC'!$S$4,OR(TH!N32="1111",TH!O32="1111")),TH!D32,""),"")</f>
        <v/>
      </c>
      <c r="B32" s="63">
        <f t="shared" si="0"/>
        <v>3</v>
      </c>
      <c r="C32" s="863">
        <v>42460</v>
      </c>
      <c r="D32" s="863" t="s">
        <v>579</v>
      </c>
      <c r="E32" s="863">
        <f t="shared" si="2"/>
        <v>42460</v>
      </c>
      <c r="F32" s="274" t="s">
        <v>1309</v>
      </c>
      <c r="G32" s="971"/>
      <c r="H32" s="71"/>
      <c r="I32" s="438"/>
      <c r="J32" s="438"/>
      <c r="K32" s="429"/>
      <c r="L32" s="438"/>
      <c r="M32" s="865">
        <v>3671167</v>
      </c>
      <c r="N32" s="869" t="s">
        <v>101</v>
      </c>
      <c r="O32" s="869" t="s">
        <v>587</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s="339" customFormat="1" ht="15.75" customHeight="1">
      <c r="A33" s="334" t="str">
        <f>IF(B33&lt;&gt;"",IF(AND(B33='IN-TC'!$S$4,OR(TH!N33="1111",TH!O33="1111")),TH!D33,""),"")</f>
        <v/>
      </c>
      <c r="B33" s="63">
        <f t="shared" si="0"/>
        <v>3</v>
      </c>
      <c r="C33" s="863">
        <v>42460</v>
      </c>
      <c r="D33" s="863" t="s">
        <v>579</v>
      </c>
      <c r="E33" s="863">
        <f t="shared" si="2"/>
        <v>42460</v>
      </c>
      <c r="F33" s="274" t="s">
        <v>1309</v>
      </c>
      <c r="G33" s="864"/>
      <c r="H33" s="71"/>
      <c r="I33" s="438"/>
      <c r="J33" s="438"/>
      <c r="K33" s="429"/>
      <c r="L33" s="438"/>
      <c r="M33" s="865">
        <v>47128136</v>
      </c>
      <c r="N33" s="869" t="s">
        <v>282</v>
      </c>
      <c r="O33" s="869" t="s">
        <v>587</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s="339" customFormat="1" ht="15.75" customHeight="1">
      <c r="A34" s="334" t="str">
        <f>IF(B34&lt;&gt;"",IF(AND(B34='IN-TC'!$S$4,OR(TH!N34="1111",TH!O34="1111")),TH!D34,""),"")</f>
        <v/>
      </c>
      <c r="B34" s="63">
        <f t="shared" si="0"/>
        <v>4</v>
      </c>
      <c r="C34" s="863">
        <v>42490</v>
      </c>
      <c r="D34" s="863" t="s">
        <v>579</v>
      </c>
      <c r="E34" s="863">
        <f t="shared" si="2"/>
        <v>42490</v>
      </c>
      <c r="F34" s="274" t="s">
        <v>1308</v>
      </c>
      <c r="G34" s="864"/>
      <c r="H34" s="72"/>
      <c r="I34" s="437"/>
      <c r="J34" s="437"/>
      <c r="K34" s="428"/>
      <c r="L34" s="437"/>
      <c r="M34" s="865">
        <v>10010706</v>
      </c>
      <c r="N34" s="867" t="s">
        <v>282</v>
      </c>
      <c r="O34" s="868" t="s">
        <v>586</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s="339" customFormat="1" ht="15.75" customHeight="1">
      <c r="A35" s="334" t="str">
        <f>IF(B35&lt;&gt;"",IF(AND(B35='IN-TC'!$S$4,OR(TH!N35="1111",TH!O35="1111")),TH!D35,""),"")</f>
        <v/>
      </c>
      <c r="B35" s="63">
        <f t="shared" si="0"/>
        <v>4</v>
      </c>
      <c r="C35" s="863">
        <v>42490</v>
      </c>
      <c r="D35" s="863" t="s">
        <v>579</v>
      </c>
      <c r="E35" s="863">
        <f t="shared" si="2"/>
        <v>42490</v>
      </c>
      <c r="F35" s="274" t="s">
        <v>1309</v>
      </c>
      <c r="G35" s="971"/>
      <c r="H35" s="71"/>
      <c r="I35" s="438"/>
      <c r="J35" s="438"/>
      <c r="K35" s="429"/>
      <c r="L35" s="438"/>
      <c r="M35" s="865">
        <v>3671167</v>
      </c>
      <c r="N35" s="869" t="s">
        <v>101</v>
      </c>
      <c r="O35" s="869" t="s">
        <v>587</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s="339" customFormat="1" ht="15.75" customHeight="1">
      <c r="A36" s="334" t="str">
        <f>IF(B36&lt;&gt;"",IF(AND(B36='IN-TC'!$S$4,OR(TH!N36="1111",TH!O36="1111")),TH!D36,""),"")</f>
        <v/>
      </c>
      <c r="B36" s="63">
        <f t="shared" si="0"/>
        <v>4</v>
      </c>
      <c r="C36" s="863">
        <v>42490</v>
      </c>
      <c r="D36" s="863" t="s">
        <v>579</v>
      </c>
      <c r="E36" s="863">
        <f t="shared" si="2"/>
        <v>42490</v>
      </c>
      <c r="F36" s="274" t="s">
        <v>1309</v>
      </c>
      <c r="G36" s="864"/>
      <c r="H36" s="71"/>
      <c r="I36" s="438"/>
      <c r="J36" s="438"/>
      <c r="K36" s="429"/>
      <c r="L36" s="438"/>
      <c r="M36" s="865">
        <v>47128136</v>
      </c>
      <c r="N36" s="869" t="s">
        <v>282</v>
      </c>
      <c r="O36" s="869" t="s">
        <v>587</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s="339" customFormat="1" ht="15.75" customHeight="1">
      <c r="A37" s="334" t="str">
        <f>IF(B37&lt;&gt;"",IF(AND(B37='IN-TC'!$S$4,OR(TH!N37="1111",TH!O37="1111")),TH!D37,""),"")</f>
        <v/>
      </c>
      <c r="B37" s="63">
        <f t="shared" si="0"/>
        <v>5</v>
      </c>
      <c r="C37" s="863">
        <v>42521</v>
      </c>
      <c r="D37" s="863" t="s">
        <v>579</v>
      </c>
      <c r="E37" s="863">
        <f t="shared" si="2"/>
        <v>42521</v>
      </c>
      <c r="F37" s="274" t="s">
        <v>1308</v>
      </c>
      <c r="G37" s="864"/>
      <c r="H37" s="72"/>
      <c r="I37" s="437"/>
      <c r="J37" s="437"/>
      <c r="K37" s="428"/>
      <c r="L37" s="437"/>
      <c r="M37" s="865">
        <v>10010706</v>
      </c>
      <c r="N37" s="867" t="s">
        <v>282</v>
      </c>
      <c r="O37" s="868" t="s">
        <v>586</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s="339" customFormat="1" ht="15.75" customHeight="1">
      <c r="A38" s="334" t="str">
        <f>IF(B38&lt;&gt;"",IF(AND(B38='IN-TC'!$S$4,OR(TH!N38="1111",TH!O38="1111")),TH!D38,""),"")</f>
        <v/>
      </c>
      <c r="B38" s="63">
        <f t="shared" si="0"/>
        <v>5</v>
      </c>
      <c r="C38" s="863">
        <v>42521</v>
      </c>
      <c r="D38" s="863" t="s">
        <v>579</v>
      </c>
      <c r="E38" s="863">
        <f t="shared" si="2"/>
        <v>42521</v>
      </c>
      <c r="F38" s="274" t="s">
        <v>1309</v>
      </c>
      <c r="G38" s="971"/>
      <c r="H38" s="71"/>
      <c r="I38" s="438"/>
      <c r="J38" s="438"/>
      <c r="K38" s="429"/>
      <c r="L38" s="438"/>
      <c r="M38" s="865">
        <v>3671167</v>
      </c>
      <c r="N38" s="869" t="s">
        <v>101</v>
      </c>
      <c r="O38" s="869" t="s">
        <v>587</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s="339" customFormat="1" ht="15.75" customHeight="1">
      <c r="A39" s="334" t="str">
        <f>IF(B39&lt;&gt;"",IF(AND(B39='IN-TC'!$S$4,OR(TH!N39="1111",TH!O39="1111")),TH!D39,""),"")</f>
        <v/>
      </c>
      <c r="B39" s="63">
        <f t="shared" si="0"/>
        <v>5</v>
      </c>
      <c r="C39" s="863">
        <v>42521</v>
      </c>
      <c r="D39" s="863" t="s">
        <v>579</v>
      </c>
      <c r="E39" s="863">
        <f t="shared" si="2"/>
        <v>42521</v>
      </c>
      <c r="F39" s="274" t="s">
        <v>1309</v>
      </c>
      <c r="G39" s="864"/>
      <c r="H39" s="71"/>
      <c r="I39" s="438"/>
      <c r="J39" s="438"/>
      <c r="K39" s="429"/>
      <c r="L39" s="438"/>
      <c r="M39" s="865">
        <v>47128136</v>
      </c>
      <c r="N39" s="869" t="s">
        <v>282</v>
      </c>
      <c r="O39" s="869" t="s">
        <v>587</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s="339" customFormat="1" ht="15.75" customHeight="1">
      <c r="A40" s="334" t="str">
        <f>IF(B40&lt;&gt;"",IF(AND(B40='IN-TC'!$S$4,OR(TH!N40="1111",TH!O40="1111")),TH!D40,""),"")</f>
        <v/>
      </c>
      <c r="B40" s="63">
        <f t="shared" si="0"/>
        <v>6</v>
      </c>
      <c r="C40" s="863">
        <v>42551</v>
      </c>
      <c r="D40" s="863" t="s">
        <v>579</v>
      </c>
      <c r="E40" s="863">
        <f t="shared" si="2"/>
        <v>42551</v>
      </c>
      <c r="F40" s="274" t="s">
        <v>1308</v>
      </c>
      <c r="G40" s="864"/>
      <c r="H40" s="72"/>
      <c r="I40" s="437"/>
      <c r="J40" s="437"/>
      <c r="K40" s="428"/>
      <c r="L40" s="437"/>
      <c r="M40" s="865">
        <v>10010706</v>
      </c>
      <c r="N40" s="867" t="s">
        <v>282</v>
      </c>
      <c r="O40" s="868" t="s">
        <v>586</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s="339" customFormat="1" ht="15.75" customHeight="1">
      <c r="A41" s="334" t="str">
        <f>IF(B41&lt;&gt;"",IF(AND(B41='IN-TC'!$S$4,OR(TH!N41="1111",TH!O41="1111")),TH!D41,""),"")</f>
        <v/>
      </c>
      <c r="B41" s="63">
        <f t="shared" si="0"/>
        <v>6</v>
      </c>
      <c r="C41" s="863">
        <v>42551</v>
      </c>
      <c r="D41" s="863" t="s">
        <v>579</v>
      </c>
      <c r="E41" s="863">
        <f t="shared" si="2"/>
        <v>42551</v>
      </c>
      <c r="F41" s="274" t="s">
        <v>1309</v>
      </c>
      <c r="G41" s="971"/>
      <c r="H41" s="71"/>
      <c r="I41" s="438"/>
      <c r="J41" s="438"/>
      <c r="K41" s="429"/>
      <c r="L41" s="438"/>
      <c r="M41" s="865">
        <v>3671167</v>
      </c>
      <c r="N41" s="869" t="s">
        <v>101</v>
      </c>
      <c r="O41" s="869" t="s">
        <v>587</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s="339" customFormat="1" ht="15.75" customHeight="1">
      <c r="A42" s="334" t="str">
        <f>IF(B42&lt;&gt;"",IF(AND(B42='IN-TC'!$S$4,OR(TH!N42="1111",TH!O42="1111")),TH!D42,""),"")</f>
        <v/>
      </c>
      <c r="B42" s="63">
        <f t="shared" si="0"/>
        <v>6</v>
      </c>
      <c r="C42" s="863">
        <v>42551</v>
      </c>
      <c r="D42" s="863" t="s">
        <v>579</v>
      </c>
      <c r="E42" s="863">
        <f t="shared" si="2"/>
        <v>42551</v>
      </c>
      <c r="F42" s="274" t="s">
        <v>1309</v>
      </c>
      <c r="G42" s="864"/>
      <c r="H42" s="71"/>
      <c r="I42" s="438"/>
      <c r="J42" s="438"/>
      <c r="K42" s="429"/>
      <c r="L42" s="438"/>
      <c r="M42" s="865">
        <v>47128136</v>
      </c>
      <c r="N42" s="869" t="s">
        <v>282</v>
      </c>
      <c r="O42" s="869" t="s">
        <v>587</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s="339" customFormat="1" ht="15.75" customHeight="1">
      <c r="A43" s="334" t="str">
        <f>IF(B43&lt;&gt;"",IF(AND(B43='IN-TC'!$S$4,OR(TH!N43="1111",TH!O43="1111")),TH!D43,""),"")</f>
        <v/>
      </c>
      <c r="B43" s="63">
        <f t="shared" si="0"/>
        <v>7</v>
      </c>
      <c r="C43" s="863">
        <v>42582</v>
      </c>
      <c r="D43" s="863" t="s">
        <v>579</v>
      </c>
      <c r="E43" s="863">
        <f t="shared" si="2"/>
        <v>42582</v>
      </c>
      <c r="F43" s="274" t="s">
        <v>1308</v>
      </c>
      <c r="G43" s="864"/>
      <c r="H43" s="72"/>
      <c r="I43" s="437"/>
      <c r="J43" s="437"/>
      <c r="K43" s="428"/>
      <c r="L43" s="437"/>
      <c r="M43" s="865">
        <v>10010706</v>
      </c>
      <c r="N43" s="867" t="s">
        <v>282</v>
      </c>
      <c r="O43" s="868" t="s">
        <v>586</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s="339" customFormat="1" ht="15.75" customHeight="1">
      <c r="A44" s="334" t="str">
        <f>IF(B44&lt;&gt;"",IF(AND(B44='IN-TC'!$S$4,OR(TH!N44="1111",TH!O44="1111")),TH!D44,""),"")</f>
        <v/>
      </c>
      <c r="B44" s="63">
        <f t="shared" si="0"/>
        <v>7</v>
      </c>
      <c r="C44" s="863">
        <v>42582</v>
      </c>
      <c r="D44" s="863" t="s">
        <v>579</v>
      </c>
      <c r="E44" s="863">
        <f t="shared" si="2"/>
        <v>42582</v>
      </c>
      <c r="F44" s="274" t="s">
        <v>1309</v>
      </c>
      <c r="G44" s="971"/>
      <c r="H44" s="71"/>
      <c r="I44" s="438"/>
      <c r="J44" s="438"/>
      <c r="K44" s="429"/>
      <c r="L44" s="438"/>
      <c r="M44" s="865">
        <v>3671167</v>
      </c>
      <c r="N44" s="869" t="s">
        <v>101</v>
      </c>
      <c r="O44" s="869" t="s">
        <v>587</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s="339" customFormat="1" ht="15.75" customHeight="1">
      <c r="A45" s="334" t="str">
        <f>IF(B45&lt;&gt;"",IF(AND(B45='IN-TC'!$S$4,OR(TH!N45="1111",TH!O45="1111")),TH!D45,""),"")</f>
        <v/>
      </c>
      <c r="B45" s="63">
        <f t="shared" si="0"/>
        <v>7</v>
      </c>
      <c r="C45" s="863">
        <v>42582</v>
      </c>
      <c r="D45" s="863" t="s">
        <v>579</v>
      </c>
      <c r="E45" s="863">
        <f t="shared" si="2"/>
        <v>42582</v>
      </c>
      <c r="F45" s="274" t="s">
        <v>1309</v>
      </c>
      <c r="G45" s="864"/>
      <c r="H45" s="71"/>
      <c r="I45" s="438"/>
      <c r="J45" s="438"/>
      <c r="K45" s="429"/>
      <c r="L45" s="438"/>
      <c r="M45" s="865">
        <v>47128136</v>
      </c>
      <c r="N45" s="869" t="s">
        <v>282</v>
      </c>
      <c r="O45" s="869" t="s">
        <v>587</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s="339" customFormat="1" ht="15.75" customHeight="1">
      <c r="A46" s="334" t="str">
        <f>IF(B46&lt;&gt;"",IF(AND(B46='IN-TC'!$S$4,OR(TH!N46="1111",TH!O46="1111")),TH!D46,""),"")</f>
        <v/>
      </c>
      <c r="B46" s="63">
        <f t="shared" si="0"/>
        <v>8</v>
      </c>
      <c r="C46" s="863">
        <v>42613</v>
      </c>
      <c r="D46" s="863" t="s">
        <v>579</v>
      </c>
      <c r="E46" s="863">
        <f t="shared" si="2"/>
        <v>42613</v>
      </c>
      <c r="F46" s="274" t="s">
        <v>1308</v>
      </c>
      <c r="G46" s="864"/>
      <c r="H46" s="72"/>
      <c r="I46" s="437"/>
      <c r="J46" s="437"/>
      <c r="K46" s="428"/>
      <c r="L46" s="437"/>
      <c r="M46" s="865">
        <v>10010706</v>
      </c>
      <c r="N46" s="867" t="s">
        <v>282</v>
      </c>
      <c r="O46" s="868" t="s">
        <v>586</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s="339" customFormat="1" ht="15.75" customHeight="1">
      <c r="A47" s="334" t="str">
        <f>IF(B47&lt;&gt;"",IF(AND(B47='IN-TC'!$S$4,OR(TH!N47="1111",TH!O47="1111")),TH!D47,""),"")</f>
        <v/>
      </c>
      <c r="B47" s="63">
        <f t="shared" si="0"/>
        <v>8</v>
      </c>
      <c r="C47" s="863">
        <v>42613</v>
      </c>
      <c r="D47" s="863" t="s">
        <v>579</v>
      </c>
      <c r="E47" s="863">
        <f t="shared" si="2"/>
        <v>42613</v>
      </c>
      <c r="F47" s="274" t="s">
        <v>1309</v>
      </c>
      <c r="G47" s="971"/>
      <c r="H47" s="71"/>
      <c r="I47" s="438"/>
      <c r="J47" s="438"/>
      <c r="K47" s="429"/>
      <c r="L47" s="438"/>
      <c r="M47" s="865">
        <v>3671167</v>
      </c>
      <c r="N47" s="869" t="s">
        <v>101</v>
      </c>
      <c r="O47" s="869" t="s">
        <v>587</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s="339" customFormat="1" ht="15.75" customHeight="1">
      <c r="A48" s="334" t="str">
        <f>IF(B48&lt;&gt;"",IF(AND(B48='IN-TC'!$S$4,OR(TH!N48="1111",TH!O48="1111")),TH!D48,""),"")</f>
        <v/>
      </c>
      <c r="B48" s="63">
        <f t="shared" si="0"/>
        <v>8</v>
      </c>
      <c r="C48" s="863">
        <v>42613</v>
      </c>
      <c r="D48" s="863" t="s">
        <v>579</v>
      </c>
      <c r="E48" s="863">
        <f t="shared" si="2"/>
        <v>42613</v>
      </c>
      <c r="F48" s="274" t="s">
        <v>1309</v>
      </c>
      <c r="G48" s="864"/>
      <c r="H48" s="71"/>
      <c r="I48" s="438"/>
      <c r="J48" s="438"/>
      <c r="K48" s="429"/>
      <c r="L48" s="438"/>
      <c r="M48" s="865">
        <v>47128136</v>
      </c>
      <c r="N48" s="869" t="s">
        <v>282</v>
      </c>
      <c r="O48" s="869" t="s">
        <v>587</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s="339" customFormat="1" ht="15.75" customHeight="1">
      <c r="A49" s="334" t="str">
        <f>IF(B49&lt;&gt;"",IF(AND(B49='IN-TC'!$S$4,OR(TH!N49="1111",TH!O49="1111")),TH!D49,""),"")</f>
        <v/>
      </c>
      <c r="B49" s="63">
        <v>9</v>
      </c>
      <c r="C49" s="863">
        <v>42643</v>
      </c>
      <c r="D49" s="863" t="s">
        <v>579</v>
      </c>
      <c r="E49" s="863">
        <f t="shared" ref="E49:E51" si="3">C49</f>
        <v>42643</v>
      </c>
      <c r="F49" s="274" t="s">
        <v>1308</v>
      </c>
      <c r="G49" s="864"/>
      <c r="H49" s="72"/>
      <c r="I49" s="437"/>
      <c r="J49" s="437"/>
      <c r="K49" s="428"/>
      <c r="L49" s="437"/>
      <c r="M49" s="865">
        <v>10010706</v>
      </c>
      <c r="N49" s="867" t="s">
        <v>282</v>
      </c>
      <c r="O49" s="868" t="s">
        <v>586</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s="339" customFormat="1" ht="15.75" customHeight="1">
      <c r="A50" s="334" t="str">
        <f>IF(B50&lt;&gt;"",IF(AND(B50='IN-TC'!$S$4,OR(TH!N50="1111",TH!O50="1111")),TH!D50,""),"")</f>
        <v/>
      </c>
      <c r="B50" s="63">
        <v>9</v>
      </c>
      <c r="C50" s="863">
        <v>42643</v>
      </c>
      <c r="D50" s="863" t="s">
        <v>579</v>
      </c>
      <c r="E50" s="863">
        <f t="shared" si="3"/>
        <v>42643</v>
      </c>
      <c r="F50" s="274" t="s">
        <v>1309</v>
      </c>
      <c r="G50" s="971"/>
      <c r="H50" s="71"/>
      <c r="I50" s="438"/>
      <c r="J50" s="438"/>
      <c r="K50" s="429"/>
      <c r="L50" s="438"/>
      <c r="M50" s="865">
        <v>3671167</v>
      </c>
      <c r="N50" s="869" t="s">
        <v>101</v>
      </c>
      <c r="O50" s="869" t="s">
        <v>587</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s="339" customFormat="1" ht="15.75" customHeight="1">
      <c r="A51" s="334" t="str">
        <f>IF(B51&lt;&gt;"",IF(AND(B51='IN-TC'!$S$4,OR(TH!N51="1111",TH!O51="1111")),TH!D51,""),"")</f>
        <v/>
      </c>
      <c r="B51" s="63">
        <v>9</v>
      </c>
      <c r="C51" s="863">
        <v>42643</v>
      </c>
      <c r="D51" s="863" t="s">
        <v>579</v>
      </c>
      <c r="E51" s="863">
        <f t="shared" si="3"/>
        <v>42643</v>
      </c>
      <c r="F51" s="274" t="s">
        <v>1309</v>
      </c>
      <c r="G51" s="864"/>
      <c r="H51" s="71"/>
      <c r="I51" s="438"/>
      <c r="J51" s="438"/>
      <c r="K51" s="429"/>
      <c r="L51" s="438"/>
      <c r="M51" s="865">
        <v>47128136</v>
      </c>
      <c r="N51" s="869" t="s">
        <v>282</v>
      </c>
      <c r="O51" s="869" t="s">
        <v>587</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s="339" customFormat="1" ht="15.75" customHeight="1">
      <c r="A52" s="334" t="str">
        <f>IF(B52&lt;&gt;"",IF(AND(B52='IN-TC'!$S$4,OR(TH!N52="1111",TH!O52="1111")),TH!D52,""),"")</f>
        <v/>
      </c>
      <c r="B52" s="63">
        <v>10</v>
      </c>
      <c r="C52" s="863">
        <v>42674</v>
      </c>
      <c r="D52" s="863" t="s">
        <v>579</v>
      </c>
      <c r="E52" s="863">
        <f t="shared" ref="E52:E54" si="4">C52</f>
        <v>42674</v>
      </c>
      <c r="F52" s="274" t="s">
        <v>1308</v>
      </c>
      <c r="G52" s="864"/>
      <c r="H52" s="72"/>
      <c r="I52" s="437"/>
      <c r="J52" s="437"/>
      <c r="K52" s="428"/>
      <c r="L52" s="437"/>
      <c r="M52" s="865">
        <v>10010706</v>
      </c>
      <c r="N52" s="867" t="s">
        <v>282</v>
      </c>
      <c r="O52" s="868" t="s">
        <v>586</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s="339" customFormat="1" ht="15.75" customHeight="1">
      <c r="A53" s="334" t="str">
        <f>IF(B53&lt;&gt;"",IF(AND(B53='IN-TC'!$S$4,OR(TH!N53="1111",TH!O53="1111")),TH!D53,""),"")</f>
        <v/>
      </c>
      <c r="B53" s="63">
        <v>10</v>
      </c>
      <c r="C53" s="863">
        <v>42674</v>
      </c>
      <c r="D53" s="863" t="s">
        <v>579</v>
      </c>
      <c r="E53" s="863">
        <f t="shared" si="4"/>
        <v>42674</v>
      </c>
      <c r="F53" s="274" t="s">
        <v>1309</v>
      </c>
      <c r="G53" s="971"/>
      <c r="H53" s="71"/>
      <c r="I53" s="438"/>
      <c r="J53" s="438"/>
      <c r="K53" s="429"/>
      <c r="L53" s="438"/>
      <c r="M53" s="865">
        <v>3671167</v>
      </c>
      <c r="N53" s="869" t="s">
        <v>101</v>
      </c>
      <c r="O53" s="869" t="s">
        <v>587</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s="339" customFormat="1" ht="15.75" customHeight="1">
      <c r="A54" s="334" t="str">
        <f>IF(B54&lt;&gt;"",IF(AND(B54='IN-TC'!$S$4,OR(TH!N54="1111",TH!O54="1111")),TH!D54,""),"")</f>
        <v/>
      </c>
      <c r="B54" s="63">
        <v>10</v>
      </c>
      <c r="C54" s="863">
        <v>42674</v>
      </c>
      <c r="D54" s="863" t="s">
        <v>579</v>
      </c>
      <c r="E54" s="863">
        <f t="shared" si="4"/>
        <v>42674</v>
      </c>
      <c r="F54" s="274" t="s">
        <v>1309</v>
      </c>
      <c r="G54" s="864"/>
      <c r="H54" s="71"/>
      <c r="I54" s="438"/>
      <c r="J54" s="438"/>
      <c r="K54" s="429"/>
      <c r="L54" s="438"/>
      <c r="M54" s="865">
        <v>47128136</v>
      </c>
      <c r="N54" s="869" t="s">
        <v>282</v>
      </c>
      <c r="O54" s="869" t="s">
        <v>587</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s="339" customFormat="1" ht="15.75" customHeight="1">
      <c r="A55" s="334" t="str">
        <f>IF(B55&lt;&gt;"",IF(AND(B55='IN-TC'!$S$4,OR(TH!N55="1111",TH!O55="1111")),TH!D55,""),"")</f>
        <v/>
      </c>
      <c r="B55" s="63">
        <f t="shared" si="0"/>
        <v>1</v>
      </c>
      <c r="C55" s="866">
        <v>42400</v>
      </c>
      <c r="D55" s="866" t="s">
        <v>579</v>
      </c>
      <c r="E55" s="866">
        <f t="shared" si="2"/>
        <v>42400</v>
      </c>
      <c r="F55" s="274" t="s">
        <v>1321</v>
      </c>
      <c r="G55" s="274">
        <v>37369000</v>
      </c>
      <c r="H55" s="318"/>
      <c r="I55" s="437"/>
      <c r="J55" s="437"/>
      <c r="K55" s="428"/>
      <c r="L55" s="437"/>
      <c r="M55" s="870">
        <v>36456640</v>
      </c>
      <c r="N55" s="871" t="s">
        <v>588</v>
      </c>
      <c r="O55" s="871" t="s">
        <v>589</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s="339" customFormat="1" ht="15.75" customHeight="1">
      <c r="A56" s="334" t="str">
        <f>IF(B56&lt;&gt;"",IF(AND(B56='IN-TC'!$S$4,OR(TH!N56="1111",TH!O56="1111")),TH!D56,""),"")</f>
        <v/>
      </c>
      <c r="B56" s="63">
        <f t="shared" si="0"/>
        <v>1</v>
      </c>
      <c r="C56" s="866">
        <v>42400</v>
      </c>
      <c r="D56" s="866" t="s">
        <v>579</v>
      </c>
      <c r="E56" s="866">
        <f t="shared" si="2"/>
        <v>42400</v>
      </c>
      <c r="F56" s="274" t="s">
        <v>1322</v>
      </c>
      <c r="G56" s="274">
        <v>111683000</v>
      </c>
      <c r="H56" s="318"/>
      <c r="I56" s="437"/>
      <c r="J56" s="437"/>
      <c r="K56" s="428"/>
      <c r="L56" s="437"/>
      <c r="M56" s="870">
        <v>119802600</v>
      </c>
      <c r="N56" s="871" t="s">
        <v>282</v>
      </c>
      <c r="O56" s="871" t="s">
        <v>589</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s="339" customFormat="1" ht="15.75" customHeight="1">
      <c r="A57" s="334" t="str">
        <f>IF(B57&lt;&gt;"",IF(AND(B57='IN-TC'!$S$4,OR(TH!N57="1111",TH!O57="1111")),TH!D57,""),"")</f>
        <v/>
      </c>
      <c r="B57" s="63">
        <f t="shared" si="0"/>
        <v>1</v>
      </c>
      <c r="C57" s="866">
        <v>42400</v>
      </c>
      <c r="D57" s="866" t="s">
        <v>579</v>
      </c>
      <c r="E57" s="866">
        <f t="shared" si="2"/>
        <v>42400</v>
      </c>
      <c r="F57" s="274" t="s">
        <v>1323</v>
      </c>
      <c r="G57" s="967" t="s">
        <v>580</v>
      </c>
      <c r="H57" s="318"/>
      <c r="I57" s="437"/>
      <c r="J57" s="437"/>
      <c r="K57" s="428"/>
      <c r="L57" s="437"/>
      <c r="M57" s="870">
        <f>G55*$G57</f>
        <v>2989520</v>
      </c>
      <c r="N57" s="871" t="s">
        <v>589</v>
      </c>
      <c r="O57" s="871" t="s">
        <v>590</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s="339" customFormat="1" ht="15.75" customHeight="1">
      <c r="A58" s="334" t="str">
        <f>IF(B58&lt;&gt;"",IF(AND(B58='IN-TC'!$S$4,OR(TH!N58="1111",TH!O58="1111")),TH!D58,""),"")</f>
        <v/>
      </c>
      <c r="B58" s="63">
        <f t="shared" si="0"/>
        <v>1</v>
      </c>
      <c r="C58" s="866">
        <v>42400</v>
      </c>
      <c r="D58" s="866" t="s">
        <v>579</v>
      </c>
      <c r="E58" s="866">
        <f t="shared" si="2"/>
        <v>42400</v>
      </c>
      <c r="F58" s="274" t="s">
        <v>1324</v>
      </c>
      <c r="G58" s="274"/>
      <c r="H58" s="318"/>
      <c r="I58" s="437"/>
      <c r="J58" s="437"/>
      <c r="K58" s="428"/>
      <c r="L58" s="437"/>
      <c r="M58" s="870">
        <f>G56*$G57</f>
        <v>8934640</v>
      </c>
      <c r="N58" s="872" t="s">
        <v>589</v>
      </c>
      <c r="O58" s="873" t="s">
        <v>590</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s="339" customFormat="1" ht="15.75" customHeight="1">
      <c r="A59" s="334" t="str">
        <f>IF(B59&lt;&gt;"",IF(AND(B59='IN-TC'!$S$4,OR(TH!N59="1111",TH!O59="1111")),TH!D59,""),"")</f>
        <v/>
      </c>
      <c r="B59" s="63">
        <f t="shared" si="0"/>
        <v>1</v>
      </c>
      <c r="C59" s="866">
        <v>42400</v>
      </c>
      <c r="D59" s="866" t="s">
        <v>579</v>
      </c>
      <c r="E59" s="866">
        <f t="shared" si="2"/>
        <v>42400</v>
      </c>
      <c r="F59" s="274" t="s">
        <v>1325</v>
      </c>
      <c r="G59" s="967" t="s">
        <v>581</v>
      </c>
      <c r="H59" s="318"/>
      <c r="I59" s="437"/>
      <c r="J59" s="437"/>
      <c r="K59" s="428"/>
      <c r="L59" s="437"/>
      <c r="M59" s="870">
        <f>G55*$G59</f>
        <v>6726420</v>
      </c>
      <c r="N59" s="871" t="s">
        <v>588</v>
      </c>
      <c r="O59" s="871" t="s">
        <v>590</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s="339" customFormat="1" ht="15.75" customHeight="1">
      <c r="A60" s="334" t="str">
        <f>IF(B60&lt;&gt;"",IF(AND(B60='IN-TC'!$S$4,OR(TH!N60="1111",TH!O60="1111")),TH!D60,""),"")</f>
        <v/>
      </c>
      <c r="B60" s="63">
        <f t="shared" si="0"/>
        <v>1</v>
      </c>
      <c r="C60" s="866">
        <v>42400</v>
      </c>
      <c r="D60" s="866" t="s">
        <v>579</v>
      </c>
      <c r="E60" s="866">
        <f t="shared" si="2"/>
        <v>42400</v>
      </c>
      <c r="F60" s="274" t="s">
        <v>1326</v>
      </c>
      <c r="G60" s="274"/>
      <c r="H60" s="318"/>
      <c r="I60" s="437"/>
      <c r="J60" s="437"/>
      <c r="K60" s="428"/>
      <c r="L60" s="437"/>
      <c r="M60" s="870">
        <f>G56*$G59</f>
        <v>20102940</v>
      </c>
      <c r="N60" s="871" t="s">
        <v>282</v>
      </c>
      <c r="O60" s="871" t="s">
        <v>590</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s="339" customFormat="1" ht="15.75" customHeight="1">
      <c r="A61" s="334" t="str">
        <f>IF(B61&lt;&gt;"",IF(AND(B61='IN-TC'!$S$4,OR(TH!N61="1111",TH!O61="1111")),TH!D61,""),"")</f>
        <v/>
      </c>
      <c r="B61" s="63">
        <f t="shared" si="0"/>
        <v>1</v>
      </c>
      <c r="C61" s="866">
        <v>42400</v>
      </c>
      <c r="D61" s="866" t="s">
        <v>579</v>
      </c>
      <c r="E61" s="866">
        <f t="shared" si="2"/>
        <v>42400</v>
      </c>
      <c r="F61" s="274" t="s">
        <v>1327</v>
      </c>
      <c r="G61" s="967" t="s">
        <v>582</v>
      </c>
      <c r="H61" s="320"/>
      <c r="I61" s="435"/>
      <c r="J61" s="435"/>
      <c r="K61" s="426"/>
      <c r="L61" s="435"/>
      <c r="M61" s="870">
        <f>G55*$G61</f>
        <v>560535</v>
      </c>
      <c r="N61" s="871" t="s">
        <v>589</v>
      </c>
      <c r="O61" s="871" t="s">
        <v>591</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s="339" customFormat="1" ht="15.75" customHeight="1">
      <c r="A62" s="334" t="str">
        <f>IF(B62&lt;&gt;"",IF(AND(B62='IN-TC'!$S$4,OR(TH!N62="1111",TH!O62="1111")),TH!D62,""),"")</f>
        <v/>
      </c>
      <c r="B62" s="63">
        <f t="shared" si="0"/>
        <v>1</v>
      </c>
      <c r="C62" s="866">
        <v>42400</v>
      </c>
      <c r="D62" s="866" t="s">
        <v>579</v>
      </c>
      <c r="E62" s="866">
        <f t="shared" si="2"/>
        <v>42400</v>
      </c>
      <c r="F62" s="274" t="s">
        <v>1328</v>
      </c>
      <c r="G62" s="274"/>
      <c r="H62" s="320"/>
      <c r="I62" s="435"/>
      <c r="J62" s="435"/>
      <c r="K62" s="426"/>
      <c r="L62" s="435"/>
      <c r="M62" s="870">
        <f>G56*$G61</f>
        <v>1675245</v>
      </c>
      <c r="N62" s="871" t="s">
        <v>589</v>
      </c>
      <c r="O62" s="871" t="s">
        <v>591</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s="339" customFormat="1" ht="15.75" customHeight="1">
      <c r="A63" s="334" t="str">
        <f>IF(B63&lt;&gt;"",IF(AND(B63='IN-TC'!$S$4,OR(TH!N63="1111",TH!O63="1111")),TH!D63,""),"")</f>
        <v/>
      </c>
      <c r="B63" s="63">
        <f t="shared" si="0"/>
        <v>1</v>
      </c>
      <c r="C63" s="866">
        <v>42400</v>
      </c>
      <c r="D63" s="866" t="s">
        <v>579</v>
      </c>
      <c r="E63" s="866">
        <f t="shared" ref="E63:E94" si="5">C63</f>
        <v>42400</v>
      </c>
      <c r="F63" s="274" t="s">
        <v>1329</v>
      </c>
      <c r="G63" s="967" t="s">
        <v>583</v>
      </c>
      <c r="H63" s="318"/>
      <c r="I63" s="437"/>
      <c r="J63" s="437"/>
      <c r="K63" s="428"/>
      <c r="L63" s="437"/>
      <c r="M63" s="870">
        <f>G55*$G63</f>
        <v>1121070</v>
      </c>
      <c r="N63" s="871" t="s">
        <v>588</v>
      </c>
      <c r="O63" s="871" t="s">
        <v>591</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s="339" customFormat="1" ht="15.75" customHeight="1">
      <c r="A64" s="334" t="str">
        <f>IF(B64&lt;&gt;"",IF(AND(B64='IN-TC'!$S$4,OR(TH!N64="1111",TH!O64="1111")),TH!D64,""),"")</f>
        <v/>
      </c>
      <c r="B64" s="63">
        <f t="shared" si="0"/>
        <v>1</v>
      </c>
      <c r="C64" s="866">
        <v>42400</v>
      </c>
      <c r="D64" s="866" t="s">
        <v>579</v>
      </c>
      <c r="E64" s="866">
        <f t="shared" si="5"/>
        <v>42400</v>
      </c>
      <c r="F64" s="274" t="s">
        <v>1330</v>
      </c>
      <c r="G64" s="274"/>
      <c r="H64" s="318"/>
      <c r="I64" s="437"/>
      <c r="J64" s="437"/>
      <c r="K64" s="428"/>
      <c r="L64" s="437"/>
      <c r="M64" s="870">
        <f>G56*$G63</f>
        <v>3350490</v>
      </c>
      <c r="N64" s="871" t="s">
        <v>282</v>
      </c>
      <c r="O64" s="871" t="s">
        <v>591</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s="339" customFormat="1" ht="15.75" customHeight="1">
      <c r="A65" s="334" t="str">
        <f>IF(B65&lt;&gt;"",IF(AND(B65='IN-TC'!$S$4,OR(TH!N65="1111",TH!O65="1111")),TH!D65,""),"")</f>
        <v/>
      </c>
      <c r="B65" s="63">
        <f t="shared" si="0"/>
        <v>1</v>
      </c>
      <c r="C65" s="866">
        <v>42400</v>
      </c>
      <c r="D65" s="866" t="s">
        <v>579</v>
      </c>
      <c r="E65" s="866">
        <f t="shared" si="5"/>
        <v>42400</v>
      </c>
      <c r="F65" s="274" t="s">
        <v>1331</v>
      </c>
      <c r="G65" s="967" t="s">
        <v>584</v>
      </c>
      <c r="H65" s="318"/>
      <c r="I65" s="437"/>
      <c r="J65" s="437"/>
      <c r="K65" s="428"/>
      <c r="L65" s="437"/>
      <c r="M65" s="870">
        <f>G55*$G65</f>
        <v>373690</v>
      </c>
      <c r="N65" s="871" t="s">
        <v>589</v>
      </c>
      <c r="O65" s="871" t="s">
        <v>592</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s="339" customFormat="1" ht="15.75" customHeight="1">
      <c r="A66" s="334" t="str">
        <f>IF(B66&lt;&gt;"",IF(AND(B66='IN-TC'!$S$4,OR(TH!N66="1111",TH!O66="1111")),TH!D66,""),"")</f>
        <v/>
      </c>
      <c r="B66" s="63">
        <f t="shared" si="0"/>
        <v>1</v>
      </c>
      <c r="C66" s="866">
        <v>42400</v>
      </c>
      <c r="D66" s="866" t="s">
        <v>579</v>
      </c>
      <c r="E66" s="866">
        <f t="shared" si="5"/>
        <v>42400</v>
      </c>
      <c r="F66" s="274" t="s">
        <v>1332</v>
      </c>
      <c r="G66" s="274"/>
      <c r="H66" s="318"/>
      <c r="I66" s="437"/>
      <c r="J66" s="437"/>
      <c r="K66" s="428"/>
      <c r="L66" s="437"/>
      <c r="M66" s="870">
        <f>G56*$G65</f>
        <v>1116830</v>
      </c>
      <c r="N66" s="871" t="s">
        <v>589</v>
      </c>
      <c r="O66" s="871" t="s">
        <v>592</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s="339" customFormat="1" ht="15.75" customHeight="1">
      <c r="A67" s="334" t="str">
        <f>IF(B67&lt;&gt;"",IF(AND(B67='IN-TC'!$S$4,OR(TH!N67="1111",TH!O67="1111")),TH!D67,""),"")</f>
        <v/>
      </c>
      <c r="B67" s="63">
        <f t="shared" si="0"/>
        <v>1</v>
      </c>
      <c r="C67" s="866">
        <v>42400</v>
      </c>
      <c r="D67" s="866" t="s">
        <v>579</v>
      </c>
      <c r="E67" s="866">
        <f t="shared" si="5"/>
        <v>42400</v>
      </c>
      <c r="F67" s="274" t="s">
        <v>1333</v>
      </c>
      <c r="G67" s="967" t="s">
        <v>584</v>
      </c>
      <c r="H67" s="1117"/>
      <c r="I67" s="438"/>
      <c r="J67" s="438"/>
      <c r="K67" s="429"/>
      <c r="L67" s="438"/>
      <c r="M67" s="870">
        <f>M65</f>
        <v>373690</v>
      </c>
      <c r="N67" s="871" t="s">
        <v>588</v>
      </c>
      <c r="O67" s="871" t="s">
        <v>592</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s="339" customFormat="1" ht="15.75" customHeight="1">
      <c r="A68" s="334" t="str">
        <f>IF(B68&lt;&gt;"",IF(AND(B68='IN-TC'!$S$4,OR(TH!N68="1111",TH!O68="1111")),TH!D68,""),"")</f>
        <v/>
      </c>
      <c r="B68" s="63">
        <f t="shared" si="0"/>
        <v>1</v>
      </c>
      <c r="C68" s="866">
        <v>42400</v>
      </c>
      <c r="D68" s="866" t="s">
        <v>579</v>
      </c>
      <c r="E68" s="866">
        <f t="shared" si="5"/>
        <v>42400</v>
      </c>
      <c r="F68" s="274" t="s">
        <v>1334</v>
      </c>
      <c r="G68" s="274"/>
      <c r="H68" s="318"/>
      <c r="I68" s="437"/>
      <c r="J68" s="437"/>
      <c r="K68" s="428"/>
      <c r="L68" s="437"/>
      <c r="M68" s="870">
        <f>M66</f>
        <v>1116830</v>
      </c>
      <c r="N68" s="871" t="s">
        <v>282</v>
      </c>
      <c r="O68" s="871" t="s">
        <v>592</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s="339" customFormat="1" ht="15.75" customHeight="1">
      <c r="A69" s="334" t="str">
        <f>IF(B69&lt;&gt;"",IF(AND(B69='IN-TC'!$S$4,OR(TH!N69="1111",TH!O69="1111")),TH!D69,""),"")</f>
        <v/>
      </c>
      <c r="B69" s="63">
        <f t="shared" si="0"/>
        <v>2</v>
      </c>
      <c r="C69" s="866">
        <v>42429</v>
      </c>
      <c r="D69" s="866" t="s">
        <v>579</v>
      </c>
      <c r="E69" s="866">
        <f t="shared" si="5"/>
        <v>42429</v>
      </c>
      <c r="F69" s="274" t="s">
        <v>1321</v>
      </c>
      <c r="G69" s="274">
        <v>37369000</v>
      </c>
      <c r="H69" s="318"/>
      <c r="I69" s="437"/>
      <c r="J69" s="437"/>
      <c r="K69" s="428"/>
      <c r="L69" s="437"/>
      <c r="M69" s="870">
        <v>31803952</v>
      </c>
      <c r="N69" s="871" t="s">
        <v>588</v>
      </c>
      <c r="O69" s="871" t="s">
        <v>589</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s="339" customFormat="1" ht="15.75" customHeight="1">
      <c r="A70" s="334" t="str">
        <f>IF(B70&lt;&gt;"",IF(AND(B70='IN-TC'!$S$4,OR(TH!N70="1111",TH!O70="1111")),TH!D70,""),"")</f>
        <v/>
      </c>
      <c r="B70" s="63">
        <f t="shared" si="0"/>
        <v>2</v>
      </c>
      <c r="C70" s="866">
        <v>42429</v>
      </c>
      <c r="D70" s="866" t="s">
        <v>579</v>
      </c>
      <c r="E70" s="866">
        <f t="shared" si="5"/>
        <v>42429</v>
      </c>
      <c r="F70" s="274" t="s">
        <v>1322</v>
      </c>
      <c r="G70" s="274">
        <v>108366000</v>
      </c>
      <c r="H70" s="318"/>
      <c r="I70" s="437"/>
      <c r="J70" s="437"/>
      <c r="K70" s="428"/>
      <c r="L70" s="437"/>
      <c r="M70" s="870">
        <v>97552760</v>
      </c>
      <c r="N70" s="871" t="s">
        <v>282</v>
      </c>
      <c r="O70" s="871" t="s">
        <v>589</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s="339" customFormat="1" ht="15.75" customHeight="1">
      <c r="A71" s="334" t="str">
        <f>IF(B71&lt;&gt;"",IF(AND(B71='IN-TC'!$S$4,OR(TH!N71="1111",TH!O71="1111")),TH!D71,""),"")</f>
        <v/>
      </c>
      <c r="B71" s="63">
        <f t="shared" si="0"/>
        <v>2</v>
      </c>
      <c r="C71" s="866">
        <v>42429</v>
      </c>
      <c r="D71" s="866" t="s">
        <v>579</v>
      </c>
      <c r="E71" s="866">
        <f t="shared" si="5"/>
        <v>42429</v>
      </c>
      <c r="F71" s="274" t="s">
        <v>1323</v>
      </c>
      <c r="G71" s="967" t="s">
        <v>580</v>
      </c>
      <c r="H71" s="318"/>
      <c r="I71" s="437"/>
      <c r="J71" s="437"/>
      <c r="K71" s="428"/>
      <c r="L71" s="437"/>
      <c r="M71" s="870">
        <f>G69*$G71</f>
        <v>2989520</v>
      </c>
      <c r="N71" s="871" t="s">
        <v>589</v>
      </c>
      <c r="O71" s="871" t="s">
        <v>590</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s="339" customFormat="1" ht="15.75" customHeight="1">
      <c r="A72" s="334" t="str">
        <f>IF(B72&lt;&gt;"",IF(AND(B72='IN-TC'!$S$4,OR(TH!N72="1111",TH!O72="1111")),TH!D72,""),"")</f>
        <v/>
      </c>
      <c r="B72" s="63">
        <f t="shared" si="0"/>
        <v>2</v>
      </c>
      <c r="C72" s="866">
        <v>42429</v>
      </c>
      <c r="D72" s="866" t="s">
        <v>579</v>
      </c>
      <c r="E72" s="866">
        <f t="shared" si="5"/>
        <v>42429</v>
      </c>
      <c r="F72" s="274" t="s">
        <v>1324</v>
      </c>
      <c r="G72" s="274"/>
      <c r="H72" s="318"/>
      <c r="I72" s="437"/>
      <c r="J72" s="437"/>
      <c r="K72" s="428"/>
      <c r="L72" s="437"/>
      <c r="M72" s="870">
        <f>G70*$G71</f>
        <v>8669280</v>
      </c>
      <c r="N72" s="872" t="s">
        <v>589</v>
      </c>
      <c r="O72" s="873" t="s">
        <v>590</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s="339" customFormat="1" ht="15.75" customHeight="1">
      <c r="A73" s="334" t="str">
        <f>IF(B73&lt;&gt;"",IF(AND(B73='IN-TC'!$S$4,OR(TH!N73="1111",TH!O73="1111")),TH!D73,""),"")</f>
        <v/>
      </c>
      <c r="B73" s="63">
        <f t="shared" si="0"/>
        <v>2</v>
      </c>
      <c r="C73" s="866">
        <v>42429</v>
      </c>
      <c r="D73" s="866" t="s">
        <v>579</v>
      </c>
      <c r="E73" s="866">
        <f t="shared" si="5"/>
        <v>42429</v>
      </c>
      <c r="F73" s="274" t="s">
        <v>1325</v>
      </c>
      <c r="G73" s="967" t="s">
        <v>581</v>
      </c>
      <c r="H73" s="318"/>
      <c r="I73" s="437"/>
      <c r="J73" s="437"/>
      <c r="K73" s="428"/>
      <c r="L73" s="437"/>
      <c r="M73" s="870">
        <f>G69*$G73</f>
        <v>6726420</v>
      </c>
      <c r="N73" s="871" t="s">
        <v>588</v>
      </c>
      <c r="O73" s="871" t="s">
        <v>590</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s="339" customFormat="1" ht="15.75" customHeight="1">
      <c r="A74" s="334" t="str">
        <f>IF(B74&lt;&gt;"",IF(AND(B74='IN-TC'!$S$4,OR(TH!N74="1111",TH!O74="1111")),TH!D74,""),"")</f>
        <v/>
      </c>
      <c r="B74" s="63">
        <f t="shared" si="0"/>
        <v>2</v>
      </c>
      <c r="C74" s="866">
        <v>42429</v>
      </c>
      <c r="D74" s="866" t="s">
        <v>579</v>
      </c>
      <c r="E74" s="866">
        <f t="shared" si="5"/>
        <v>42429</v>
      </c>
      <c r="F74" s="274" t="s">
        <v>1326</v>
      </c>
      <c r="G74" s="274"/>
      <c r="H74" s="318"/>
      <c r="I74" s="437"/>
      <c r="J74" s="437"/>
      <c r="K74" s="428"/>
      <c r="L74" s="437"/>
      <c r="M74" s="870">
        <f>G70*$G73</f>
        <v>19505880</v>
      </c>
      <c r="N74" s="871" t="s">
        <v>282</v>
      </c>
      <c r="O74" s="871" t="s">
        <v>590</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s="339" customFormat="1" ht="15.75" customHeight="1">
      <c r="A75" s="334" t="str">
        <f>IF(B75&lt;&gt;"",IF(AND(B75='IN-TC'!$S$4,OR(TH!N75="1111",TH!O75="1111")),TH!D75,""),"")</f>
        <v/>
      </c>
      <c r="B75" s="63">
        <f t="shared" si="0"/>
        <v>2</v>
      </c>
      <c r="C75" s="866">
        <v>42429</v>
      </c>
      <c r="D75" s="866" t="s">
        <v>579</v>
      </c>
      <c r="E75" s="866">
        <f t="shared" si="5"/>
        <v>42429</v>
      </c>
      <c r="F75" s="274" t="s">
        <v>1327</v>
      </c>
      <c r="G75" s="967" t="s">
        <v>582</v>
      </c>
      <c r="H75" s="320"/>
      <c r="I75" s="435"/>
      <c r="J75" s="435"/>
      <c r="K75" s="426"/>
      <c r="L75" s="435"/>
      <c r="M75" s="870">
        <f>G69*$G75</f>
        <v>560535</v>
      </c>
      <c r="N75" s="871" t="s">
        <v>589</v>
      </c>
      <c r="O75" s="871" t="s">
        <v>591</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s="339" customFormat="1" ht="15.75" customHeight="1">
      <c r="A76" s="334" t="str">
        <f>IF(B76&lt;&gt;"",IF(AND(B76='IN-TC'!$S$4,OR(TH!N76="1111",TH!O76="1111")),TH!D76,""),"")</f>
        <v/>
      </c>
      <c r="B76" s="63">
        <f t="shared" si="0"/>
        <v>2</v>
      </c>
      <c r="C76" s="866">
        <v>42429</v>
      </c>
      <c r="D76" s="866" t="s">
        <v>579</v>
      </c>
      <c r="E76" s="866">
        <f t="shared" si="5"/>
        <v>42429</v>
      </c>
      <c r="F76" s="274" t="s">
        <v>1328</v>
      </c>
      <c r="G76" s="274"/>
      <c r="H76" s="320"/>
      <c r="I76" s="435"/>
      <c r="J76" s="435"/>
      <c r="K76" s="426"/>
      <c r="L76" s="435"/>
      <c r="M76" s="870">
        <f>G70*$G75</f>
        <v>1625490</v>
      </c>
      <c r="N76" s="871" t="s">
        <v>589</v>
      </c>
      <c r="O76" s="871" t="s">
        <v>591</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s="339" customFormat="1" ht="15.75" customHeight="1">
      <c r="A77" s="334" t="str">
        <f>IF(B77&lt;&gt;"",IF(AND(B77='IN-TC'!$S$4,OR(TH!N77="1111",TH!O77="1111")),TH!D77,""),"")</f>
        <v/>
      </c>
      <c r="B77" s="63">
        <f t="shared" si="0"/>
        <v>2</v>
      </c>
      <c r="C77" s="866">
        <v>42429</v>
      </c>
      <c r="D77" s="866" t="s">
        <v>579</v>
      </c>
      <c r="E77" s="866">
        <f t="shared" si="5"/>
        <v>42429</v>
      </c>
      <c r="F77" s="274" t="s">
        <v>1329</v>
      </c>
      <c r="G77" s="967" t="s">
        <v>583</v>
      </c>
      <c r="H77" s="318"/>
      <c r="I77" s="437"/>
      <c r="J77" s="437"/>
      <c r="K77" s="428"/>
      <c r="L77" s="437"/>
      <c r="M77" s="870">
        <f>G69*$G77</f>
        <v>1121070</v>
      </c>
      <c r="N77" s="871" t="s">
        <v>588</v>
      </c>
      <c r="O77" s="871" t="s">
        <v>591</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s="339" customFormat="1" ht="15.75" customHeight="1">
      <c r="A78" s="334" t="str">
        <f>IF(B78&lt;&gt;"",IF(AND(B78='IN-TC'!$S$4,OR(TH!N78="1111",TH!O78="1111")),TH!D78,""),"")</f>
        <v/>
      </c>
      <c r="B78" s="63">
        <f t="shared" si="0"/>
        <v>2</v>
      </c>
      <c r="C78" s="866">
        <v>42429</v>
      </c>
      <c r="D78" s="866" t="s">
        <v>579</v>
      </c>
      <c r="E78" s="866">
        <f t="shared" si="5"/>
        <v>42429</v>
      </c>
      <c r="F78" s="274" t="s">
        <v>1330</v>
      </c>
      <c r="G78" s="274"/>
      <c r="H78" s="318"/>
      <c r="I78" s="437"/>
      <c r="J78" s="437"/>
      <c r="K78" s="428"/>
      <c r="L78" s="437"/>
      <c r="M78" s="870">
        <f>G70*$G77</f>
        <v>3250980</v>
      </c>
      <c r="N78" s="871" t="s">
        <v>282</v>
      </c>
      <c r="O78" s="871" t="s">
        <v>591</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s="339" customFormat="1" ht="15.75" customHeight="1">
      <c r="A79" s="334" t="str">
        <f>IF(B79&lt;&gt;"",IF(AND(B79='IN-TC'!$S$4,OR(TH!N79="1111",TH!O79="1111")),TH!D79,""),"")</f>
        <v/>
      </c>
      <c r="B79" s="63">
        <f t="shared" si="0"/>
        <v>2</v>
      </c>
      <c r="C79" s="866">
        <v>42429</v>
      </c>
      <c r="D79" s="866" t="s">
        <v>579</v>
      </c>
      <c r="E79" s="866">
        <f t="shared" si="5"/>
        <v>42429</v>
      </c>
      <c r="F79" s="274" t="s">
        <v>1331</v>
      </c>
      <c r="G79" s="967" t="s">
        <v>584</v>
      </c>
      <c r="H79" s="318"/>
      <c r="I79" s="437"/>
      <c r="J79" s="437"/>
      <c r="K79" s="428"/>
      <c r="L79" s="437"/>
      <c r="M79" s="870">
        <f>G69*$G79</f>
        <v>373690</v>
      </c>
      <c r="N79" s="871" t="s">
        <v>589</v>
      </c>
      <c r="O79" s="871" t="s">
        <v>592</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s="339" customFormat="1" ht="15.75" customHeight="1">
      <c r="A80" s="334" t="str">
        <f>IF(B80&lt;&gt;"",IF(AND(B80='IN-TC'!$S$4,OR(TH!N80="1111",TH!O80="1111")),TH!D80,""),"")</f>
        <v/>
      </c>
      <c r="B80" s="63">
        <f t="shared" ref="B80:B143" si="6">IF(C80&lt;&gt;"",MONTH(C80),"")</f>
        <v>2</v>
      </c>
      <c r="C80" s="866">
        <v>42429</v>
      </c>
      <c r="D80" s="866" t="s">
        <v>579</v>
      </c>
      <c r="E80" s="866">
        <f t="shared" si="5"/>
        <v>42429</v>
      </c>
      <c r="F80" s="274" t="s">
        <v>1332</v>
      </c>
      <c r="G80" s="274"/>
      <c r="H80" s="318"/>
      <c r="I80" s="437"/>
      <c r="J80" s="437"/>
      <c r="K80" s="428"/>
      <c r="L80" s="437"/>
      <c r="M80" s="870">
        <f>G70*$G79</f>
        <v>1083660</v>
      </c>
      <c r="N80" s="871" t="s">
        <v>589</v>
      </c>
      <c r="O80" s="871" t="s">
        <v>592</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s="339" customFormat="1" ht="15.75" customHeight="1">
      <c r="A81" s="334" t="str">
        <f>IF(B81&lt;&gt;"",IF(AND(B81='IN-TC'!$S$4,OR(TH!N81="1111",TH!O81="1111")),TH!D81,""),"")</f>
        <v/>
      </c>
      <c r="B81" s="63">
        <f t="shared" si="6"/>
        <v>2</v>
      </c>
      <c r="C81" s="866">
        <v>42429</v>
      </c>
      <c r="D81" s="866" t="s">
        <v>579</v>
      </c>
      <c r="E81" s="866">
        <f t="shared" si="5"/>
        <v>42429</v>
      </c>
      <c r="F81" s="274" t="s">
        <v>1333</v>
      </c>
      <c r="G81" s="967" t="s">
        <v>584</v>
      </c>
      <c r="H81" s="1117"/>
      <c r="I81" s="438"/>
      <c r="J81" s="438"/>
      <c r="K81" s="429"/>
      <c r="L81" s="438"/>
      <c r="M81" s="870">
        <f>M79</f>
        <v>373690</v>
      </c>
      <c r="N81" s="871" t="s">
        <v>588</v>
      </c>
      <c r="O81" s="871" t="s">
        <v>592</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s="339" customFormat="1" ht="15.75" customHeight="1">
      <c r="A82" s="334" t="str">
        <f>IF(B82&lt;&gt;"",IF(AND(B82='IN-TC'!$S$4,OR(TH!N82="1111",TH!O82="1111")),TH!D82,""),"")</f>
        <v/>
      </c>
      <c r="B82" s="63">
        <f t="shared" si="6"/>
        <v>2</v>
      </c>
      <c r="C82" s="866">
        <v>42429</v>
      </c>
      <c r="D82" s="866" t="s">
        <v>579</v>
      </c>
      <c r="E82" s="866">
        <f t="shared" si="5"/>
        <v>42429</v>
      </c>
      <c r="F82" s="274" t="s">
        <v>1334</v>
      </c>
      <c r="G82" s="274"/>
      <c r="H82" s="318"/>
      <c r="I82" s="437"/>
      <c r="J82" s="437"/>
      <c r="K82" s="428"/>
      <c r="L82" s="437"/>
      <c r="M82" s="870">
        <f>M80</f>
        <v>1083660</v>
      </c>
      <c r="N82" s="871" t="s">
        <v>282</v>
      </c>
      <c r="O82" s="871" t="s">
        <v>592</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s="339" customFormat="1" ht="15.75" customHeight="1">
      <c r="A83" s="334" t="str">
        <f>IF(B83&lt;&gt;"",IF(AND(B83='IN-TC'!$S$4,OR(TH!N83="1111",TH!O83="1111")),TH!D83,""),"")</f>
        <v/>
      </c>
      <c r="B83" s="63">
        <f t="shared" si="6"/>
        <v>3</v>
      </c>
      <c r="C83" s="866">
        <v>42460</v>
      </c>
      <c r="D83" s="866" t="s">
        <v>579</v>
      </c>
      <c r="E83" s="866">
        <f t="shared" si="5"/>
        <v>42460</v>
      </c>
      <c r="F83" s="274" t="s">
        <v>1321</v>
      </c>
      <c r="G83" s="274">
        <v>37369000</v>
      </c>
      <c r="H83" s="318"/>
      <c r="I83" s="437"/>
      <c r="J83" s="437"/>
      <c r="K83" s="428"/>
      <c r="L83" s="437"/>
      <c r="M83" s="870">
        <v>37691667</v>
      </c>
      <c r="N83" s="871" t="s">
        <v>588</v>
      </c>
      <c r="O83" s="871" t="s">
        <v>589</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s="339" customFormat="1" ht="15.75" customHeight="1">
      <c r="A84" s="334" t="str">
        <f>IF(B84&lt;&gt;"",IF(AND(B84='IN-TC'!$S$4,OR(TH!N84="1111",TH!O84="1111")),TH!D84,""),"")</f>
        <v/>
      </c>
      <c r="B84" s="63">
        <f t="shared" si="6"/>
        <v>3</v>
      </c>
      <c r="C84" s="866">
        <v>42460</v>
      </c>
      <c r="D84" s="866" t="s">
        <v>579</v>
      </c>
      <c r="E84" s="866">
        <f t="shared" si="5"/>
        <v>42460</v>
      </c>
      <c r="F84" s="274" t="s">
        <v>1322</v>
      </c>
      <c r="G84" s="274">
        <v>108366000</v>
      </c>
      <c r="H84" s="318"/>
      <c r="I84" s="437"/>
      <c r="J84" s="437"/>
      <c r="K84" s="428"/>
      <c r="L84" s="437"/>
      <c r="M84" s="870">
        <v>118338627</v>
      </c>
      <c r="N84" s="871" t="s">
        <v>282</v>
      </c>
      <c r="O84" s="871" t="s">
        <v>589</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s="339" customFormat="1" ht="15.75" customHeight="1">
      <c r="A85" s="334" t="str">
        <f>IF(B85&lt;&gt;"",IF(AND(B85='IN-TC'!$S$4,OR(TH!N85="1111",TH!O85="1111")),TH!D85,""),"")</f>
        <v/>
      </c>
      <c r="B85" s="63">
        <f t="shared" si="6"/>
        <v>3</v>
      </c>
      <c r="C85" s="866">
        <v>42460</v>
      </c>
      <c r="D85" s="866" t="s">
        <v>579</v>
      </c>
      <c r="E85" s="866">
        <f t="shared" si="5"/>
        <v>42460</v>
      </c>
      <c r="F85" s="274" t="s">
        <v>1323</v>
      </c>
      <c r="G85" s="967" t="s">
        <v>580</v>
      </c>
      <c r="H85" s="318"/>
      <c r="I85" s="437"/>
      <c r="J85" s="437"/>
      <c r="K85" s="428"/>
      <c r="L85" s="437"/>
      <c r="M85" s="870">
        <f>G83*$G85</f>
        <v>2989520</v>
      </c>
      <c r="N85" s="871" t="s">
        <v>589</v>
      </c>
      <c r="O85" s="871" t="s">
        <v>590</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s="339" customFormat="1" ht="15.75" customHeight="1">
      <c r="A86" s="334" t="str">
        <f>IF(B86&lt;&gt;"",IF(AND(B86='IN-TC'!$S$4,OR(TH!N86="1111",TH!O86="1111")),TH!D86,""),"")</f>
        <v/>
      </c>
      <c r="B86" s="63">
        <f t="shared" si="6"/>
        <v>3</v>
      </c>
      <c r="C86" s="866">
        <v>42460</v>
      </c>
      <c r="D86" s="866" t="s">
        <v>579</v>
      </c>
      <c r="E86" s="866">
        <f t="shared" si="5"/>
        <v>42460</v>
      </c>
      <c r="F86" s="274" t="s">
        <v>1324</v>
      </c>
      <c r="G86" s="274"/>
      <c r="H86" s="318"/>
      <c r="I86" s="437"/>
      <c r="J86" s="437"/>
      <c r="K86" s="428"/>
      <c r="L86" s="437"/>
      <c r="M86" s="870">
        <f>G84*$G85</f>
        <v>8669280</v>
      </c>
      <c r="N86" s="872" t="s">
        <v>589</v>
      </c>
      <c r="O86" s="873" t="s">
        <v>590</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s="339" customFormat="1" ht="15.75" customHeight="1">
      <c r="A87" s="334" t="str">
        <f>IF(B87&lt;&gt;"",IF(AND(B87='IN-TC'!$S$4,OR(TH!N87="1111",TH!O87="1111")),TH!D87,""),"")</f>
        <v/>
      </c>
      <c r="B87" s="63">
        <f t="shared" si="6"/>
        <v>3</v>
      </c>
      <c r="C87" s="866">
        <v>42460</v>
      </c>
      <c r="D87" s="866" t="s">
        <v>579</v>
      </c>
      <c r="E87" s="866">
        <f t="shared" si="5"/>
        <v>42460</v>
      </c>
      <c r="F87" s="274" t="s">
        <v>1325</v>
      </c>
      <c r="G87" s="967" t="s">
        <v>581</v>
      </c>
      <c r="H87" s="318"/>
      <c r="I87" s="437"/>
      <c r="J87" s="437"/>
      <c r="K87" s="428"/>
      <c r="L87" s="437"/>
      <c r="M87" s="870">
        <f>G83*$G87</f>
        <v>6726420</v>
      </c>
      <c r="N87" s="871" t="s">
        <v>588</v>
      </c>
      <c r="O87" s="871" t="s">
        <v>590</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s="339" customFormat="1" ht="15.75" customHeight="1">
      <c r="A88" s="334" t="str">
        <f>IF(B88&lt;&gt;"",IF(AND(B88='IN-TC'!$S$4,OR(TH!N88="1111",TH!O88="1111")),TH!D88,""),"")</f>
        <v/>
      </c>
      <c r="B88" s="63">
        <f t="shared" si="6"/>
        <v>3</v>
      </c>
      <c r="C88" s="866">
        <v>42460</v>
      </c>
      <c r="D88" s="866" t="s">
        <v>579</v>
      </c>
      <c r="E88" s="866">
        <f t="shared" si="5"/>
        <v>42460</v>
      </c>
      <c r="F88" s="274" t="s">
        <v>1326</v>
      </c>
      <c r="G88" s="274"/>
      <c r="H88" s="318"/>
      <c r="I88" s="437"/>
      <c r="J88" s="437"/>
      <c r="K88" s="428"/>
      <c r="L88" s="437"/>
      <c r="M88" s="870">
        <f>G84*$G87</f>
        <v>19505880</v>
      </c>
      <c r="N88" s="871" t="s">
        <v>282</v>
      </c>
      <c r="O88" s="871" t="s">
        <v>590</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s="339" customFormat="1" ht="15.75" customHeight="1">
      <c r="A89" s="334" t="str">
        <f>IF(B89&lt;&gt;"",IF(AND(B89='IN-TC'!$S$4,OR(TH!N89="1111",TH!O89="1111")),TH!D89,""),"")</f>
        <v/>
      </c>
      <c r="B89" s="63">
        <f t="shared" si="6"/>
        <v>3</v>
      </c>
      <c r="C89" s="866">
        <v>42460</v>
      </c>
      <c r="D89" s="866" t="s">
        <v>579</v>
      </c>
      <c r="E89" s="866">
        <f t="shared" si="5"/>
        <v>42460</v>
      </c>
      <c r="F89" s="274" t="s">
        <v>1327</v>
      </c>
      <c r="G89" s="967" t="s">
        <v>582</v>
      </c>
      <c r="H89" s="320"/>
      <c r="I89" s="435"/>
      <c r="J89" s="435"/>
      <c r="K89" s="426"/>
      <c r="L89" s="435"/>
      <c r="M89" s="870">
        <f>G83*$G89</f>
        <v>560535</v>
      </c>
      <c r="N89" s="871" t="s">
        <v>589</v>
      </c>
      <c r="O89" s="871" t="s">
        <v>591</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s="339" customFormat="1" ht="15.75" customHeight="1">
      <c r="A90" s="334" t="str">
        <f>IF(B90&lt;&gt;"",IF(AND(B90='IN-TC'!$S$4,OR(TH!N90="1111",TH!O90="1111")),TH!D90,""),"")</f>
        <v/>
      </c>
      <c r="B90" s="63">
        <f t="shared" si="6"/>
        <v>3</v>
      </c>
      <c r="C90" s="866">
        <v>42460</v>
      </c>
      <c r="D90" s="866" t="s">
        <v>579</v>
      </c>
      <c r="E90" s="866">
        <f t="shared" si="5"/>
        <v>42460</v>
      </c>
      <c r="F90" s="274" t="s">
        <v>1328</v>
      </c>
      <c r="G90" s="274"/>
      <c r="H90" s="320"/>
      <c r="I90" s="435"/>
      <c r="J90" s="435"/>
      <c r="K90" s="426"/>
      <c r="L90" s="435"/>
      <c r="M90" s="870">
        <f>G84*$G89</f>
        <v>1625490</v>
      </c>
      <c r="N90" s="871" t="s">
        <v>589</v>
      </c>
      <c r="O90" s="871" t="s">
        <v>591</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s="339" customFormat="1" ht="15.75" customHeight="1">
      <c r="A91" s="334" t="str">
        <f>IF(B91&lt;&gt;"",IF(AND(B91='IN-TC'!$S$4,OR(TH!N91="1111",TH!O91="1111")),TH!D91,""),"")</f>
        <v/>
      </c>
      <c r="B91" s="63">
        <f t="shared" si="6"/>
        <v>3</v>
      </c>
      <c r="C91" s="866">
        <v>42460</v>
      </c>
      <c r="D91" s="866" t="s">
        <v>579</v>
      </c>
      <c r="E91" s="866">
        <f t="shared" si="5"/>
        <v>42460</v>
      </c>
      <c r="F91" s="274" t="s">
        <v>1329</v>
      </c>
      <c r="G91" s="967" t="s">
        <v>583</v>
      </c>
      <c r="H91" s="318"/>
      <c r="I91" s="437"/>
      <c r="J91" s="437"/>
      <c r="K91" s="428"/>
      <c r="L91" s="437"/>
      <c r="M91" s="870">
        <f>G83*$G91</f>
        <v>1121070</v>
      </c>
      <c r="N91" s="871" t="s">
        <v>588</v>
      </c>
      <c r="O91" s="871" t="s">
        <v>591</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s="339" customFormat="1" ht="15.75" customHeight="1">
      <c r="A92" s="334" t="str">
        <f>IF(B92&lt;&gt;"",IF(AND(B92='IN-TC'!$S$4,OR(TH!N92="1111",TH!O92="1111")),TH!D92,""),"")</f>
        <v/>
      </c>
      <c r="B92" s="63">
        <f t="shared" si="6"/>
        <v>3</v>
      </c>
      <c r="C92" s="866">
        <v>42460</v>
      </c>
      <c r="D92" s="866" t="s">
        <v>579</v>
      </c>
      <c r="E92" s="866">
        <f t="shared" si="5"/>
        <v>42460</v>
      </c>
      <c r="F92" s="274" t="s">
        <v>1330</v>
      </c>
      <c r="G92" s="274"/>
      <c r="H92" s="318"/>
      <c r="I92" s="437"/>
      <c r="J92" s="437"/>
      <c r="K92" s="428"/>
      <c r="L92" s="437"/>
      <c r="M92" s="870">
        <f>G84*$G91</f>
        <v>3250980</v>
      </c>
      <c r="N92" s="871" t="s">
        <v>282</v>
      </c>
      <c r="O92" s="871" t="s">
        <v>591</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s="339" customFormat="1" ht="15.75" customHeight="1">
      <c r="A93" s="334" t="str">
        <f>IF(B93&lt;&gt;"",IF(AND(B93='IN-TC'!$S$4,OR(TH!N93="1111",TH!O93="1111")),TH!D93,""),"")</f>
        <v/>
      </c>
      <c r="B93" s="63">
        <f t="shared" si="6"/>
        <v>3</v>
      </c>
      <c r="C93" s="866">
        <v>42460</v>
      </c>
      <c r="D93" s="866" t="s">
        <v>579</v>
      </c>
      <c r="E93" s="866">
        <f t="shared" si="5"/>
        <v>42460</v>
      </c>
      <c r="F93" s="274" t="s">
        <v>1331</v>
      </c>
      <c r="G93" s="967" t="s">
        <v>584</v>
      </c>
      <c r="H93" s="318"/>
      <c r="I93" s="437"/>
      <c r="J93" s="437"/>
      <c r="K93" s="428"/>
      <c r="L93" s="437"/>
      <c r="M93" s="870">
        <f>G83*$G93</f>
        <v>373690</v>
      </c>
      <c r="N93" s="871" t="s">
        <v>589</v>
      </c>
      <c r="O93" s="871" t="s">
        <v>592</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s="339" customFormat="1" ht="15.75" customHeight="1">
      <c r="A94" s="334" t="str">
        <f>IF(B94&lt;&gt;"",IF(AND(B94='IN-TC'!$S$4,OR(TH!N94="1111",TH!O94="1111")),TH!D94,""),"")</f>
        <v/>
      </c>
      <c r="B94" s="63">
        <f t="shared" si="6"/>
        <v>3</v>
      </c>
      <c r="C94" s="866">
        <v>42460</v>
      </c>
      <c r="D94" s="866" t="s">
        <v>579</v>
      </c>
      <c r="E94" s="866">
        <f t="shared" si="5"/>
        <v>42460</v>
      </c>
      <c r="F94" s="274" t="s">
        <v>1332</v>
      </c>
      <c r="G94" s="274"/>
      <c r="H94" s="318"/>
      <c r="I94" s="437"/>
      <c r="J94" s="437"/>
      <c r="K94" s="428"/>
      <c r="L94" s="437"/>
      <c r="M94" s="870">
        <f>G84*$G93</f>
        <v>1083660</v>
      </c>
      <c r="N94" s="871" t="s">
        <v>589</v>
      </c>
      <c r="O94" s="871" t="s">
        <v>592</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s="339" customFormat="1" ht="15.75" customHeight="1">
      <c r="A95" s="334" t="str">
        <f>IF(B95&lt;&gt;"",IF(AND(B95='IN-TC'!$S$4,OR(TH!N95="1111",TH!O95="1111")),TH!D95,""),"")</f>
        <v/>
      </c>
      <c r="B95" s="63">
        <f t="shared" si="6"/>
        <v>3</v>
      </c>
      <c r="C95" s="866">
        <v>42460</v>
      </c>
      <c r="D95" s="866" t="s">
        <v>579</v>
      </c>
      <c r="E95" s="866">
        <f t="shared" ref="E95:E126" si="7">C95</f>
        <v>42460</v>
      </c>
      <c r="F95" s="274" t="s">
        <v>1333</v>
      </c>
      <c r="G95" s="967" t="s">
        <v>584</v>
      </c>
      <c r="H95" s="1117"/>
      <c r="I95" s="438"/>
      <c r="J95" s="438"/>
      <c r="K95" s="429"/>
      <c r="L95" s="438"/>
      <c r="M95" s="870">
        <f>M93</f>
        <v>373690</v>
      </c>
      <c r="N95" s="871" t="s">
        <v>588</v>
      </c>
      <c r="O95" s="871" t="s">
        <v>592</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s="339" customFormat="1" ht="15.75" customHeight="1">
      <c r="A96" s="334" t="str">
        <f>IF(B96&lt;&gt;"",IF(AND(B96='IN-TC'!$S$4,OR(TH!N96="1111",TH!O96="1111")),TH!D96,""),"")</f>
        <v/>
      </c>
      <c r="B96" s="63">
        <f t="shared" si="6"/>
        <v>3</v>
      </c>
      <c r="C96" s="866">
        <v>42460</v>
      </c>
      <c r="D96" s="866" t="s">
        <v>579</v>
      </c>
      <c r="E96" s="866">
        <f t="shared" si="7"/>
        <v>42460</v>
      </c>
      <c r="F96" s="274" t="s">
        <v>1334</v>
      </c>
      <c r="G96" s="274"/>
      <c r="H96" s="318"/>
      <c r="I96" s="437"/>
      <c r="J96" s="437"/>
      <c r="K96" s="428"/>
      <c r="L96" s="437"/>
      <c r="M96" s="870">
        <f>M94</f>
        <v>1083660</v>
      </c>
      <c r="N96" s="871" t="s">
        <v>282</v>
      </c>
      <c r="O96" s="871" t="s">
        <v>592</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s="339" customFormat="1" ht="15.75" customHeight="1">
      <c r="A97" s="334" t="str">
        <f>IF(B97&lt;&gt;"",IF(AND(B97='IN-TC'!$S$4,OR(TH!N97="1111",TH!O97="1111")),TH!D97,""),"")</f>
        <v/>
      </c>
      <c r="B97" s="63">
        <f t="shared" si="6"/>
        <v>4</v>
      </c>
      <c r="C97" s="866">
        <v>42489</v>
      </c>
      <c r="D97" s="866" t="s">
        <v>579</v>
      </c>
      <c r="E97" s="866">
        <f t="shared" si="7"/>
        <v>42489</v>
      </c>
      <c r="F97" s="72" t="s">
        <v>1321</v>
      </c>
      <c r="G97" s="274">
        <v>37369000</v>
      </c>
      <c r="H97" s="318"/>
      <c r="I97" s="437"/>
      <c r="J97" s="437"/>
      <c r="K97" s="428"/>
      <c r="L97" s="437"/>
      <c r="M97" s="870">
        <v>37292708</v>
      </c>
      <c r="N97" s="871" t="s">
        <v>588</v>
      </c>
      <c r="O97" s="871" t="s">
        <v>589</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s="339" customFormat="1" ht="15.75" customHeight="1">
      <c r="A98" s="334" t="str">
        <f>IF(B98&lt;&gt;"",IF(AND(B98='IN-TC'!$S$4,OR(TH!N98="1111",TH!O98="1111")),TH!D98,""),"")</f>
        <v/>
      </c>
      <c r="B98" s="63">
        <f t="shared" si="6"/>
        <v>4</v>
      </c>
      <c r="C98" s="866">
        <v>42489</v>
      </c>
      <c r="D98" s="866" t="s">
        <v>579</v>
      </c>
      <c r="E98" s="866">
        <f t="shared" si="7"/>
        <v>42489</v>
      </c>
      <c r="F98" s="72" t="s">
        <v>1322</v>
      </c>
      <c r="G98" s="274">
        <v>105049000</v>
      </c>
      <c r="H98" s="318"/>
      <c r="I98" s="437"/>
      <c r="J98" s="437"/>
      <c r="K98" s="428"/>
      <c r="L98" s="437"/>
      <c r="M98" s="870">
        <v>111366967</v>
      </c>
      <c r="N98" s="871" t="s">
        <v>282</v>
      </c>
      <c r="O98" s="871" t="s">
        <v>589</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s="339" customFormat="1" ht="15.75" customHeight="1">
      <c r="A99" s="334" t="str">
        <f>IF(B99&lt;&gt;"",IF(AND(B99='IN-TC'!$S$4,OR(TH!N99="1111",TH!O99="1111")),TH!D99,""),"")</f>
        <v/>
      </c>
      <c r="B99" s="63">
        <f t="shared" si="6"/>
        <v>4</v>
      </c>
      <c r="C99" s="866">
        <v>42489</v>
      </c>
      <c r="D99" s="866" t="s">
        <v>579</v>
      </c>
      <c r="E99" s="866">
        <f t="shared" si="7"/>
        <v>42489</v>
      </c>
      <c r="F99" s="72" t="s">
        <v>1323</v>
      </c>
      <c r="G99" s="967" t="s">
        <v>580</v>
      </c>
      <c r="H99" s="318"/>
      <c r="I99" s="437"/>
      <c r="J99" s="437"/>
      <c r="K99" s="428"/>
      <c r="L99" s="437"/>
      <c r="M99" s="870">
        <f>G97*$G99</f>
        <v>2989520</v>
      </c>
      <c r="N99" s="871" t="s">
        <v>589</v>
      </c>
      <c r="O99" s="871" t="s">
        <v>590</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s="339" customFormat="1" ht="15.75" customHeight="1">
      <c r="A100" s="334" t="str">
        <f>IF(B100&lt;&gt;"",IF(AND(B100='IN-TC'!$S$4,OR(TH!N100="1111",TH!O100="1111")),TH!D100,""),"")</f>
        <v/>
      </c>
      <c r="B100" s="63">
        <f t="shared" si="6"/>
        <v>4</v>
      </c>
      <c r="C100" s="866">
        <v>42489</v>
      </c>
      <c r="D100" s="866" t="s">
        <v>579</v>
      </c>
      <c r="E100" s="866">
        <f t="shared" si="7"/>
        <v>42489</v>
      </c>
      <c r="F100" s="72" t="s">
        <v>1324</v>
      </c>
      <c r="G100" s="274"/>
      <c r="H100" s="318"/>
      <c r="I100" s="437"/>
      <c r="J100" s="437"/>
      <c r="K100" s="428"/>
      <c r="L100" s="437"/>
      <c r="M100" s="870">
        <f>G98*$G99</f>
        <v>8403920</v>
      </c>
      <c r="N100" s="872" t="s">
        <v>589</v>
      </c>
      <c r="O100" s="873" t="s">
        <v>590</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s="339" customFormat="1" ht="15.75" customHeight="1">
      <c r="A101" s="334" t="str">
        <f>IF(B101&lt;&gt;"",IF(AND(B101='IN-TC'!$S$4,OR(TH!N101="1111",TH!O101="1111")),TH!D101,""),"")</f>
        <v/>
      </c>
      <c r="B101" s="63">
        <f t="shared" si="6"/>
        <v>4</v>
      </c>
      <c r="C101" s="866">
        <v>42489</v>
      </c>
      <c r="D101" s="866" t="s">
        <v>579</v>
      </c>
      <c r="E101" s="866">
        <f t="shared" si="7"/>
        <v>42489</v>
      </c>
      <c r="F101" s="72" t="s">
        <v>1325</v>
      </c>
      <c r="G101" s="967" t="s">
        <v>581</v>
      </c>
      <c r="H101" s="318"/>
      <c r="I101" s="437"/>
      <c r="J101" s="437"/>
      <c r="K101" s="428"/>
      <c r="L101" s="437"/>
      <c r="M101" s="870">
        <f>G97*$G101</f>
        <v>6726420</v>
      </c>
      <c r="N101" s="871" t="s">
        <v>588</v>
      </c>
      <c r="O101" s="871" t="s">
        <v>590</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s="339" customFormat="1" ht="15.75" customHeight="1">
      <c r="A102" s="334" t="str">
        <f>IF(B102&lt;&gt;"",IF(AND(B102='IN-TC'!$S$4,OR(TH!N102="1111",TH!O102="1111")),TH!D102,""),"")</f>
        <v/>
      </c>
      <c r="B102" s="63">
        <f t="shared" si="6"/>
        <v>4</v>
      </c>
      <c r="C102" s="866">
        <v>42489</v>
      </c>
      <c r="D102" s="866" t="s">
        <v>579</v>
      </c>
      <c r="E102" s="866">
        <f t="shared" si="7"/>
        <v>42489</v>
      </c>
      <c r="F102" s="72" t="s">
        <v>1326</v>
      </c>
      <c r="G102" s="274"/>
      <c r="H102" s="318"/>
      <c r="I102" s="437"/>
      <c r="J102" s="437"/>
      <c r="K102" s="428"/>
      <c r="L102" s="437"/>
      <c r="M102" s="870">
        <f>G98*$G101</f>
        <v>18908820</v>
      </c>
      <c r="N102" s="871" t="s">
        <v>282</v>
      </c>
      <c r="O102" s="871" t="s">
        <v>590</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s="339" customFormat="1" ht="15.75" customHeight="1">
      <c r="A103" s="334" t="str">
        <f>IF(B103&lt;&gt;"",IF(AND(B103='IN-TC'!$S$4,OR(TH!N103="1111",TH!O103="1111")),TH!D103,""),"")</f>
        <v/>
      </c>
      <c r="B103" s="63">
        <f t="shared" si="6"/>
        <v>4</v>
      </c>
      <c r="C103" s="866">
        <v>42489</v>
      </c>
      <c r="D103" s="866" t="s">
        <v>579</v>
      </c>
      <c r="E103" s="866">
        <f t="shared" si="7"/>
        <v>42489</v>
      </c>
      <c r="F103" s="72" t="s">
        <v>1327</v>
      </c>
      <c r="G103" s="967" t="s">
        <v>582</v>
      </c>
      <c r="H103" s="320"/>
      <c r="I103" s="435"/>
      <c r="J103" s="435"/>
      <c r="K103" s="426"/>
      <c r="L103" s="435"/>
      <c r="M103" s="870">
        <f>G97*$G103</f>
        <v>560535</v>
      </c>
      <c r="N103" s="871" t="s">
        <v>589</v>
      </c>
      <c r="O103" s="871" t="s">
        <v>591</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s="339" customFormat="1" ht="15.75" customHeight="1">
      <c r="A104" s="334" t="str">
        <f>IF(B104&lt;&gt;"",IF(AND(B104='IN-TC'!$S$4,OR(TH!N104="1111",TH!O104="1111")),TH!D104,""),"")</f>
        <v/>
      </c>
      <c r="B104" s="63">
        <f t="shared" si="6"/>
        <v>4</v>
      </c>
      <c r="C104" s="866">
        <v>42489</v>
      </c>
      <c r="D104" s="866" t="s">
        <v>579</v>
      </c>
      <c r="E104" s="866">
        <f t="shared" si="7"/>
        <v>42489</v>
      </c>
      <c r="F104" s="72" t="s">
        <v>1328</v>
      </c>
      <c r="G104" s="274"/>
      <c r="H104" s="320"/>
      <c r="I104" s="435"/>
      <c r="J104" s="435"/>
      <c r="K104" s="426"/>
      <c r="L104" s="435"/>
      <c r="M104" s="870">
        <f>G98*$G103</f>
        <v>1575735</v>
      </c>
      <c r="N104" s="871" t="s">
        <v>589</v>
      </c>
      <c r="O104" s="871" t="s">
        <v>591</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s="339" customFormat="1" ht="15.75" customHeight="1">
      <c r="A105" s="334" t="str">
        <f>IF(B105&lt;&gt;"",IF(AND(B105='IN-TC'!$S$4,OR(TH!N105="1111",TH!O105="1111")),TH!D105,""),"")</f>
        <v/>
      </c>
      <c r="B105" s="63">
        <f t="shared" si="6"/>
        <v>4</v>
      </c>
      <c r="C105" s="866">
        <v>42489</v>
      </c>
      <c r="D105" s="866" t="s">
        <v>579</v>
      </c>
      <c r="E105" s="866">
        <f t="shared" si="7"/>
        <v>42489</v>
      </c>
      <c r="F105" s="72" t="s">
        <v>1329</v>
      </c>
      <c r="G105" s="967" t="s">
        <v>583</v>
      </c>
      <c r="H105" s="318"/>
      <c r="I105" s="437"/>
      <c r="J105" s="437"/>
      <c r="K105" s="428"/>
      <c r="L105" s="437"/>
      <c r="M105" s="870">
        <f>G97*$G105</f>
        <v>1121070</v>
      </c>
      <c r="N105" s="871" t="s">
        <v>588</v>
      </c>
      <c r="O105" s="871" t="s">
        <v>591</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s="339" customFormat="1" ht="15.75" customHeight="1">
      <c r="A106" s="334" t="str">
        <f>IF(B106&lt;&gt;"",IF(AND(B106='IN-TC'!$S$4,OR(TH!N106="1111",TH!O106="1111")),TH!D106,""),"")</f>
        <v/>
      </c>
      <c r="B106" s="63">
        <f t="shared" si="6"/>
        <v>4</v>
      </c>
      <c r="C106" s="866">
        <v>42489</v>
      </c>
      <c r="D106" s="866" t="s">
        <v>579</v>
      </c>
      <c r="E106" s="866">
        <f t="shared" si="7"/>
        <v>42489</v>
      </c>
      <c r="F106" s="72" t="s">
        <v>1330</v>
      </c>
      <c r="G106" s="274"/>
      <c r="H106" s="318"/>
      <c r="I106" s="437"/>
      <c r="J106" s="437"/>
      <c r="K106" s="428"/>
      <c r="L106" s="437"/>
      <c r="M106" s="870">
        <f>G98*$G105</f>
        <v>3151470</v>
      </c>
      <c r="N106" s="871" t="s">
        <v>282</v>
      </c>
      <c r="O106" s="871" t="s">
        <v>591</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s="339" customFormat="1" ht="15.75" customHeight="1">
      <c r="A107" s="334" t="str">
        <f>IF(B107&lt;&gt;"",IF(AND(B107='IN-TC'!$S$4,OR(TH!N107="1111",TH!O107="1111")),TH!D107,""),"")</f>
        <v/>
      </c>
      <c r="B107" s="63">
        <f t="shared" si="6"/>
        <v>4</v>
      </c>
      <c r="C107" s="866">
        <v>42489</v>
      </c>
      <c r="D107" s="866" t="s">
        <v>579</v>
      </c>
      <c r="E107" s="866">
        <f t="shared" si="7"/>
        <v>42489</v>
      </c>
      <c r="F107" s="72" t="s">
        <v>1331</v>
      </c>
      <c r="G107" s="967" t="s">
        <v>584</v>
      </c>
      <c r="H107" s="318"/>
      <c r="I107" s="437"/>
      <c r="J107" s="437"/>
      <c r="K107" s="428"/>
      <c r="L107" s="437"/>
      <c r="M107" s="870">
        <f>G97*$G107</f>
        <v>373690</v>
      </c>
      <c r="N107" s="871" t="s">
        <v>589</v>
      </c>
      <c r="O107" s="871" t="s">
        <v>592</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s="339" customFormat="1" ht="15.75" customHeight="1">
      <c r="A108" s="334" t="str">
        <f>IF(B108&lt;&gt;"",IF(AND(B108='IN-TC'!$S$4,OR(TH!N108="1111",TH!O108="1111")),TH!D108,""),"")</f>
        <v/>
      </c>
      <c r="B108" s="63">
        <f t="shared" si="6"/>
        <v>4</v>
      </c>
      <c r="C108" s="866">
        <v>42489</v>
      </c>
      <c r="D108" s="866" t="s">
        <v>579</v>
      </c>
      <c r="E108" s="866">
        <f t="shared" si="7"/>
        <v>42489</v>
      </c>
      <c r="F108" s="72" t="s">
        <v>1332</v>
      </c>
      <c r="G108" s="274"/>
      <c r="H108" s="318"/>
      <c r="I108" s="437"/>
      <c r="J108" s="437"/>
      <c r="K108" s="428"/>
      <c r="L108" s="437"/>
      <c r="M108" s="870">
        <f>G98*$G107</f>
        <v>1050490</v>
      </c>
      <c r="N108" s="871" t="s">
        <v>589</v>
      </c>
      <c r="O108" s="871" t="s">
        <v>592</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s="339" customFormat="1" ht="15.75" customHeight="1">
      <c r="A109" s="334" t="str">
        <f>IF(B109&lt;&gt;"",IF(AND(B109='IN-TC'!$S$4,OR(TH!N109="1111",TH!O109="1111")),TH!D109,""),"")</f>
        <v/>
      </c>
      <c r="B109" s="63">
        <f t="shared" si="6"/>
        <v>4</v>
      </c>
      <c r="C109" s="866">
        <v>42489</v>
      </c>
      <c r="D109" s="866" t="s">
        <v>579</v>
      </c>
      <c r="E109" s="866">
        <f t="shared" si="7"/>
        <v>42489</v>
      </c>
      <c r="F109" s="72" t="s">
        <v>1333</v>
      </c>
      <c r="G109" s="967" t="s">
        <v>584</v>
      </c>
      <c r="H109" s="1117"/>
      <c r="I109" s="438"/>
      <c r="J109" s="438"/>
      <c r="K109" s="429"/>
      <c r="L109" s="438"/>
      <c r="M109" s="870">
        <f>M107</f>
        <v>373690</v>
      </c>
      <c r="N109" s="871" t="s">
        <v>588</v>
      </c>
      <c r="O109" s="871" t="s">
        <v>592</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s="339" customFormat="1" ht="15.75" customHeight="1">
      <c r="A110" s="334" t="str">
        <f>IF(B110&lt;&gt;"",IF(AND(B110='IN-TC'!$S$4,OR(TH!N110="1111",TH!O110="1111")),TH!D110,""),"")</f>
        <v/>
      </c>
      <c r="B110" s="63">
        <f t="shared" si="6"/>
        <v>4</v>
      </c>
      <c r="C110" s="866">
        <v>42489</v>
      </c>
      <c r="D110" s="866" t="s">
        <v>579</v>
      </c>
      <c r="E110" s="866">
        <f t="shared" si="7"/>
        <v>42489</v>
      </c>
      <c r="F110" s="72" t="s">
        <v>1334</v>
      </c>
      <c r="G110" s="274"/>
      <c r="H110" s="318"/>
      <c r="I110" s="437"/>
      <c r="J110" s="437"/>
      <c r="K110" s="428"/>
      <c r="L110" s="437"/>
      <c r="M110" s="870">
        <f>M108</f>
        <v>1050490</v>
      </c>
      <c r="N110" s="871" t="s">
        <v>282</v>
      </c>
      <c r="O110" s="871" t="s">
        <v>592</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s="339" customFormat="1" ht="15.75" customHeight="1">
      <c r="A111" s="334" t="str">
        <f>IF(B111&lt;&gt;"",IF(AND(B111='IN-TC'!$S$4,OR(TH!N111="1111",TH!O111="1111")),TH!D111,""),"")</f>
        <v/>
      </c>
      <c r="B111" s="63">
        <f t="shared" si="6"/>
        <v>5</v>
      </c>
      <c r="C111" s="866">
        <v>42521</v>
      </c>
      <c r="D111" s="866" t="s">
        <v>579</v>
      </c>
      <c r="E111" s="866">
        <f t="shared" si="7"/>
        <v>42521</v>
      </c>
      <c r="F111" s="72" t="s">
        <v>1321</v>
      </c>
      <c r="G111" s="274">
        <v>40937000</v>
      </c>
      <c r="H111" s="318"/>
      <c r="I111" s="437"/>
      <c r="J111" s="437"/>
      <c r="K111" s="428"/>
      <c r="L111" s="437"/>
      <c r="M111" s="870">
        <v>45062826</v>
      </c>
      <c r="N111" s="871" t="s">
        <v>588</v>
      </c>
      <c r="O111" s="871" t="s">
        <v>589</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s="339" customFormat="1" ht="15.75" customHeight="1">
      <c r="A112" s="334" t="str">
        <f>IF(B112&lt;&gt;"",IF(AND(B112='IN-TC'!$S$4,OR(TH!N112="1111",TH!O112="1111")),TH!D112,""),"")</f>
        <v/>
      </c>
      <c r="B112" s="63">
        <f t="shared" si="6"/>
        <v>5</v>
      </c>
      <c r="C112" s="866">
        <v>42521</v>
      </c>
      <c r="D112" s="866" t="s">
        <v>579</v>
      </c>
      <c r="E112" s="866">
        <f t="shared" si="7"/>
        <v>42521</v>
      </c>
      <c r="F112" s="72" t="s">
        <v>1322</v>
      </c>
      <c r="G112" s="274">
        <f>98415000-3317000</f>
        <v>95098000</v>
      </c>
      <c r="H112" s="318"/>
      <c r="I112" s="437"/>
      <c r="J112" s="437"/>
      <c r="K112" s="428"/>
      <c r="L112" s="437"/>
      <c r="M112" s="870">
        <v>117847832</v>
      </c>
      <c r="N112" s="871" t="s">
        <v>282</v>
      </c>
      <c r="O112" s="871" t="s">
        <v>589</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s="339" customFormat="1" ht="15.75" customHeight="1">
      <c r="A113" s="334" t="str">
        <f>IF(B113&lt;&gt;"",IF(AND(B113='IN-TC'!$S$4,OR(TH!N113="1111",TH!O113="1111")),TH!D113,""),"")</f>
        <v/>
      </c>
      <c r="B113" s="63">
        <f t="shared" si="6"/>
        <v>5</v>
      </c>
      <c r="C113" s="866">
        <v>42521</v>
      </c>
      <c r="D113" s="866" t="s">
        <v>579</v>
      </c>
      <c r="E113" s="866">
        <f t="shared" si="7"/>
        <v>42521</v>
      </c>
      <c r="F113" s="72" t="s">
        <v>1323</v>
      </c>
      <c r="G113" s="967" t="s">
        <v>580</v>
      </c>
      <c r="H113" s="318"/>
      <c r="I113" s="437"/>
      <c r="J113" s="437"/>
      <c r="K113" s="428"/>
      <c r="L113" s="437"/>
      <c r="M113" s="870">
        <f>G111*$G113</f>
        <v>3274960</v>
      </c>
      <c r="N113" s="871" t="s">
        <v>589</v>
      </c>
      <c r="O113" s="871" t="s">
        <v>590</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s="339" customFormat="1" ht="15.75" customHeight="1">
      <c r="A114" s="334" t="str">
        <f>IF(B114&lt;&gt;"",IF(AND(B114='IN-TC'!$S$4,OR(TH!N114="1111",TH!O114="1111")),TH!D114,""),"")</f>
        <v/>
      </c>
      <c r="B114" s="63">
        <f t="shared" si="6"/>
        <v>5</v>
      </c>
      <c r="C114" s="866">
        <v>42521</v>
      </c>
      <c r="D114" s="866" t="s">
        <v>579</v>
      </c>
      <c r="E114" s="866">
        <f t="shared" si="7"/>
        <v>42521</v>
      </c>
      <c r="F114" s="72" t="s">
        <v>1324</v>
      </c>
      <c r="G114" s="274"/>
      <c r="H114" s="318"/>
      <c r="I114" s="437"/>
      <c r="J114" s="437"/>
      <c r="K114" s="428"/>
      <c r="L114" s="437"/>
      <c r="M114" s="870">
        <f>G112*$G113</f>
        <v>7607840</v>
      </c>
      <c r="N114" s="872" t="s">
        <v>589</v>
      </c>
      <c r="O114" s="873" t="s">
        <v>590</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s="339" customFormat="1" ht="15.75" customHeight="1">
      <c r="A115" s="334" t="str">
        <f>IF(B115&lt;&gt;"",IF(AND(B115='IN-TC'!$S$4,OR(TH!N115="1111",TH!O115="1111")),TH!D115,""),"")</f>
        <v/>
      </c>
      <c r="B115" s="63">
        <f t="shared" si="6"/>
        <v>5</v>
      </c>
      <c r="C115" s="866">
        <v>42521</v>
      </c>
      <c r="D115" s="866" t="s">
        <v>579</v>
      </c>
      <c r="E115" s="866">
        <f t="shared" si="7"/>
        <v>42521</v>
      </c>
      <c r="F115" s="72" t="s">
        <v>1325</v>
      </c>
      <c r="G115" s="967" t="s">
        <v>581</v>
      </c>
      <c r="H115" s="318"/>
      <c r="I115" s="437"/>
      <c r="J115" s="437"/>
      <c r="K115" s="428"/>
      <c r="L115" s="437"/>
      <c r="M115" s="870">
        <f>G111*$G115</f>
        <v>7368660</v>
      </c>
      <c r="N115" s="871" t="s">
        <v>588</v>
      </c>
      <c r="O115" s="871" t="s">
        <v>590</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s="339" customFormat="1" ht="15.75" customHeight="1">
      <c r="A116" s="334" t="str">
        <f>IF(B116&lt;&gt;"",IF(AND(B116='IN-TC'!$S$4,OR(TH!N116="1111",TH!O116="1111")),TH!D116,""),"")</f>
        <v/>
      </c>
      <c r="B116" s="63">
        <f t="shared" si="6"/>
        <v>5</v>
      </c>
      <c r="C116" s="866">
        <v>42521</v>
      </c>
      <c r="D116" s="866" t="s">
        <v>579</v>
      </c>
      <c r="E116" s="866">
        <f t="shared" si="7"/>
        <v>42521</v>
      </c>
      <c r="F116" s="72" t="s">
        <v>1326</v>
      </c>
      <c r="G116" s="274"/>
      <c r="H116" s="318"/>
      <c r="I116" s="437"/>
      <c r="J116" s="437"/>
      <c r="K116" s="428"/>
      <c r="L116" s="437"/>
      <c r="M116" s="870">
        <f>G112*$G115</f>
        <v>17117640</v>
      </c>
      <c r="N116" s="871" t="s">
        <v>282</v>
      </c>
      <c r="O116" s="871" t="s">
        <v>590</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s="339" customFormat="1" ht="15.75" customHeight="1">
      <c r="A117" s="334" t="str">
        <f>IF(B117&lt;&gt;"",IF(AND(B117='IN-TC'!$S$4,OR(TH!N117="1111",TH!O117="1111")),TH!D117,""),"")</f>
        <v/>
      </c>
      <c r="B117" s="63">
        <f t="shared" si="6"/>
        <v>5</v>
      </c>
      <c r="C117" s="866">
        <v>42521</v>
      </c>
      <c r="D117" s="866" t="s">
        <v>579</v>
      </c>
      <c r="E117" s="866">
        <f t="shared" si="7"/>
        <v>42521</v>
      </c>
      <c r="F117" s="72" t="s">
        <v>1327</v>
      </c>
      <c r="G117" s="967" t="s">
        <v>582</v>
      </c>
      <c r="H117" s="320"/>
      <c r="I117" s="435"/>
      <c r="J117" s="435"/>
      <c r="K117" s="426"/>
      <c r="L117" s="435"/>
      <c r="M117" s="870">
        <f>G111*$G117</f>
        <v>614055</v>
      </c>
      <c r="N117" s="871" t="s">
        <v>589</v>
      </c>
      <c r="O117" s="871" t="s">
        <v>591</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s="339" customFormat="1" ht="15.75" customHeight="1">
      <c r="A118" s="334" t="str">
        <f>IF(B118&lt;&gt;"",IF(AND(B118='IN-TC'!$S$4,OR(TH!N118="1111",TH!O118="1111")),TH!D118,""),"")</f>
        <v/>
      </c>
      <c r="B118" s="63">
        <f t="shared" si="6"/>
        <v>5</v>
      </c>
      <c r="C118" s="866">
        <v>42521</v>
      </c>
      <c r="D118" s="866" t="s">
        <v>579</v>
      </c>
      <c r="E118" s="866">
        <f t="shared" si="7"/>
        <v>42521</v>
      </c>
      <c r="F118" s="72" t="s">
        <v>1328</v>
      </c>
      <c r="G118" s="274"/>
      <c r="H118" s="320"/>
      <c r="I118" s="435"/>
      <c r="J118" s="435"/>
      <c r="K118" s="426"/>
      <c r="L118" s="435"/>
      <c r="M118" s="870">
        <f>G112*$G117</f>
        <v>1426470</v>
      </c>
      <c r="N118" s="871" t="s">
        <v>589</v>
      </c>
      <c r="O118" s="871" t="s">
        <v>591</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s="339" customFormat="1" ht="15.75" customHeight="1">
      <c r="A119" s="334" t="str">
        <f>IF(B119&lt;&gt;"",IF(AND(B119='IN-TC'!$S$4,OR(TH!N119="1111",TH!O119="1111")),TH!D119,""),"")</f>
        <v/>
      </c>
      <c r="B119" s="63">
        <f t="shared" si="6"/>
        <v>5</v>
      </c>
      <c r="C119" s="866">
        <v>42521</v>
      </c>
      <c r="D119" s="866" t="s">
        <v>579</v>
      </c>
      <c r="E119" s="866">
        <f t="shared" si="7"/>
        <v>42521</v>
      </c>
      <c r="F119" s="72" t="s">
        <v>1329</v>
      </c>
      <c r="G119" s="967" t="s">
        <v>583</v>
      </c>
      <c r="H119" s="318"/>
      <c r="I119" s="437"/>
      <c r="J119" s="437"/>
      <c r="K119" s="428"/>
      <c r="L119" s="437"/>
      <c r="M119" s="870">
        <f>G111*$G119</f>
        <v>1228110</v>
      </c>
      <c r="N119" s="871" t="s">
        <v>588</v>
      </c>
      <c r="O119" s="871" t="s">
        <v>591</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s="339" customFormat="1" ht="15.75" customHeight="1">
      <c r="A120" s="334" t="str">
        <f>IF(B120&lt;&gt;"",IF(AND(B120='IN-TC'!$S$4,OR(TH!N120="1111",TH!O120="1111")),TH!D120,""),"")</f>
        <v/>
      </c>
      <c r="B120" s="63">
        <f t="shared" si="6"/>
        <v>5</v>
      </c>
      <c r="C120" s="866">
        <v>42521</v>
      </c>
      <c r="D120" s="866" t="s">
        <v>579</v>
      </c>
      <c r="E120" s="866">
        <f t="shared" si="7"/>
        <v>42521</v>
      </c>
      <c r="F120" s="72" t="s">
        <v>1330</v>
      </c>
      <c r="G120" s="274"/>
      <c r="H120" s="318"/>
      <c r="I120" s="437"/>
      <c r="J120" s="437"/>
      <c r="K120" s="428"/>
      <c r="L120" s="437"/>
      <c r="M120" s="870">
        <f>G112*$G119</f>
        <v>2852940</v>
      </c>
      <c r="N120" s="871" t="s">
        <v>282</v>
      </c>
      <c r="O120" s="871" t="s">
        <v>591</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s="339" customFormat="1" ht="15.75" customHeight="1">
      <c r="A121" s="334" t="str">
        <f>IF(B121&lt;&gt;"",IF(AND(B121='IN-TC'!$S$4,OR(TH!N121="1111",TH!O121="1111")),TH!D121,""),"")</f>
        <v/>
      </c>
      <c r="B121" s="63">
        <f t="shared" si="6"/>
        <v>5</v>
      </c>
      <c r="C121" s="866">
        <v>42521</v>
      </c>
      <c r="D121" s="866" t="s">
        <v>579</v>
      </c>
      <c r="E121" s="866">
        <f t="shared" si="7"/>
        <v>42521</v>
      </c>
      <c r="F121" s="72" t="s">
        <v>1331</v>
      </c>
      <c r="G121" s="967" t="s">
        <v>584</v>
      </c>
      <c r="H121" s="318"/>
      <c r="I121" s="437"/>
      <c r="J121" s="437"/>
      <c r="K121" s="428"/>
      <c r="L121" s="437"/>
      <c r="M121" s="870">
        <f>G111*$G121</f>
        <v>409370</v>
      </c>
      <c r="N121" s="871" t="s">
        <v>589</v>
      </c>
      <c r="O121" s="871" t="s">
        <v>592</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s="339" customFormat="1" ht="15.75" customHeight="1">
      <c r="A122" s="334" t="str">
        <f>IF(B122&lt;&gt;"",IF(AND(B122='IN-TC'!$S$4,OR(TH!N122="1111",TH!O122="1111")),TH!D122,""),"")</f>
        <v/>
      </c>
      <c r="B122" s="63">
        <f t="shared" si="6"/>
        <v>5</v>
      </c>
      <c r="C122" s="866">
        <v>42521</v>
      </c>
      <c r="D122" s="866" t="s">
        <v>579</v>
      </c>
      <c r="E122" s="866">
        <f t="shared" si="7"/>
        <v>42521</v>
      </c>
      <c r="F122" s="72" t="s">
        <v>1332</v>
      </c>
      <c r="G122" s="274"/>
      <c r="H122" s="318"/>
      <c r="I122" s="437"/>
      <c r="J122" s="437"/>
      <c r="K122" s="428"/>
      <c r="L122" s="437"/>
      <c r="M122" s="870">
        <f>G112*$G121</f>
        <v>950980</v>
      </c>
      <c r="N122" s="871" t="s">
        <v>589</v>
      </c>
      <c r="O122" s="871" t="s">
        <v>592</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s="339" customFormat="1" ht="15.75" customHeight="1">
      <c r="A123" s="334" t="str">
        <f>IF(B123&lt;&gt;"",IF(AND(B123='IN-TC'!$S$4,OR(TH!N123="1111",TH!O123="1111")),TH!D123,""),"")</f>
        <v/>
      </c>
      <c r="B123" s="63">
        <f t="shared" si="6"/>
        <v>5</v>
      </c>
      <c r="C123" s="866">
        <v>42521</v>
      </c>
      <c r="D123" s="866" t="s">
        <v>579</v>
      </c>
      <c r="E123" s="866">
        <f t="shared" si="7"/>
        <v>42521</v>
      </c>
      <c r="F123" s="72" t="s">
        <v>1333</v>
      </c>
      <c r="G123" s="967" t="s">
        <v>584</v>
      </c>
      <c r="H123" s="1117"/>
      <c r="I123" s="438"/>
      <c r="J123" s="438"/>
      <c r="K123" s="429"/>
      <c r="L123" s="438"/>
      <c r="M123" s="870">
        <f>M121</f>
        <v>409370</v>
      </c>
      <c r="N123" s="871" t="s">
        <v>588</v>
      </c>
      <c r="O123" s="871" t="s">
        <v>592</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s="339" customFormat="1" ht="15.75" customHeight="1">
      <c r="A124" s="334" t="str">
        <f>IF(B124&lt;&gt;"",IF(AND(B124='IN-TC'!$S$4,OR(TH!N124="1111",TH!O124="1111")),TH!D124,""),"")</f>
        <v/>
      </c>
      <c r="B124" s="63">
        <f t="shared" si="6"/>
        <v>5</v>
      </c>
      <c r="C124" s="866">
        <v>42521</v>
      </c>
      <c r="D124" s="866" t="s">
        <v>579</v>
      </c>
      <c r="E124" s="866">
        <f t="shared" si="7"/>
        <v>42521</v>
      </c>
      <c r="F124" s="72" t="s">
        <v>1334</v>
      </c>
      <c r="G124" s="274"/>
      <c r="H124" s="318"/>
      <c r="I124" s="437"/>
      <c r="J124" s="437"/>
      <c r="K124" s="428"/>
      <c r="L124" s="437"/>
      <c r="M124" s="870">
        <f>M122</f>
        <v>950980</v>
      </c>
      <c r="N124" s="871" t="s">
        <v>282</v>
      </c>
      <c r="O124" s="871" t="s">
        <v>592</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s="339" customFormat="1" ht="15.75" customHeight="1">
      <c r="A125" s="334" t="str">
        <f>IF(B125&lt;&gt;"",IF(AND(B125='IN-TC'!$S$4,OR(TH!N125="1111",TH!O125="1111")),TH!D125,""),"")</f>
        <v/>
      </c>
      <c r="B125" s="63">
        <f t="shared" si="6"/>
        <v>6</v>
      </c>
      <c r="C125" s="866">
        <v>42551</v>
      </c>
      <c r="D125" s="866" t="s">
        <v>579</v>
      </c>
      <c r="E125" s="866">
        <f t="shared" si="7"/>
        <v>42551</v>
      </c>
      <c r="F125" s="72" t="s">
        <v>1321</v>
      </c>
      <c r="G125" s="274">
        <v>40937000</v>
      </c>
      <c r="H125" s="318"/>
      <c r="I125" s="437"/>
      <c r="J125" s="437"/>
      <c r="K125" s="428"/>
      <c r="L125" s="437"/>
      <c r="M125" s="870">
        <v>43898320</v>
      </c>
      <c r="N125" s="871" t="s">
        <v>588</v>
      </c>
      <c r="O125" s="871" t="s">
        <v>589</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s="339" customFormat="1" ht="15.75" customHeight="1">
      <c r="A126" s="334" t="str">
        <f>IF(B126&lt;&gt;"",IF(AND(B126='IN-TC'!$S$4,OR(TH!N126="1111",TH!O126="1111")),TH!D126,""),"")</f>
        <v/>
      </c>
      <c r="B126" s="63">
        <f t="shared" si="6"/>
        <v>6</v>
      </c>
      <c r="C126" s="866">
        <v>42551</v>
      </c>
      <c r="D126" s="866" t="s">
        <v>579</v>
      </c>
      <c r="E126" s="866">
        <f t="shared" si="7"/>
        <v>42551</v>
      </c>
      <c r="F126" s="72" t="s">
        <v>1322</v>
      </c>
      <c r="G126" s="274">
        <f>95098000-16585000</f>
        <v>78513000</v>
      </c>
      <c r="H126" s="318"/>
      <c r="I126" s="437"/>
      <c r="J126" s="437"/>
      <c r="K126" s="428"/>
      <c r="L126" s="437"/>
      <c r="M126" s="870">
        <v>109821920</v>
      </c>
      <c r="N126" s="871" t="s">
        <v>282</v>
      </c>
      <c r="O126" s="871" t="s">
        <v>589</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s="339" customFormat="1" ht="15.75" customHeight="1">
      <c r="A127" s="334" t="str">
        <f>IF(B127&lt;&gt;"",IF(AND(B127='IN-TC'!$S$4,OR(TH!N127="1111",TH!O127="1111")),TH!D127,""),"")</f>
        <v/>
      </c>
      <c r="B127" s="63">
        <f t="shared" si="6"/>
        <v>6</v>
      </c>
      <c r="C127" s="866">
        <v>42551</v>
      </c>
      <c r="D127" s="866" t="s">
        <v>579</v>
      </c>
      <c r="E127" s="866">
        <f t="shared" ref="E127:E158" si="8">C127</f>
        <v>42551</v>
      </c>
      <c r="F127" s="72" t="s">
        <v>1323</v>
      </c>
      <c r="G127" s="967" t="s">
        <v>580</v>
      </c>
      <c r="H127" s="318"/>
      <c r="I127" s="437"/>
      <c r="J127" s="437"/>
      <c r="K127" s="428"/>
      <c r="L127" s="437"/>
      <c r="M127" s="870">
        <f>G125*$G127</f>
        <v>3274960</v>
      </c>
      <c r="N127" s="871" t="s">
        <v>589</v>
      </c>
      <c r="O127" s="871" t="s">
        <v>590</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s="339" customFormat="1" ht="15.75" customHeight="1">
      <c r="A128" s="334" t="str">
        <f>IF(B128&lt;&gt;"",IF(AND(B128='IN-TC'!$S$4,OR(TH!N128="1111",TH!O128="1111")),TH!D128,""),"")</f>
        <v/>
      </c>
      <c r="B128" s="63">
        <f t="shared" si="6"/>
        <v>6</v>
      </c>
      <c r="C128" s="866">
        <v>42551</v>
      </c>
      <c r="D128" s="866" t="s">
        <v>579</v>
      </c>
      <c r="E128" s="866">
        <f t="shared" si="8"/>
        <v>42551</v>
      </c>
      <c r="F128" s="72" t="s">
        <v>1324</v>
      </c>
      <c r="G128" s="274"/>
      <c r="H128" s="318"/>
      <c r="I128" s="437"/>
      <c r="J128" s="437"/>
      <c r="K128" s="428"/>
      <c r="L128" s="437"/>
      <c r="M128" s="870">
        <f>G126*$G127</f>
        <v>6281040</v>
      </c>
      <c r="N128" s="872" t="s">
        <v>589</v>
      </c>
      <c r="O128" s="873" t="s">
        <v>590</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s="339" customFormat="1" ht="15.75" customHeight="1">
      <c r="A129" s="334" t="str">
        <f>IF(B129&lt;&gt;"",IF(AND(B129='IN-TC'!$S$4,OR(TH!N129="1111",TH!O129="1111")),TH!D129,""),"")</f>
        <v/>
      </c>
      <c r="B129" s="63">
        <f t="shared" si="6"/>
        <v>6</v>
      </c>
      <c r="C129" s="866">
        <v>42551</v>
      </c>
      <c r="D129" s="866" t="s">
        <v>579</v>
      </c>
      <c r="E129" s="866">
        <f t="shared" si="8"/>
        <v>42551</v>
      </c>
      <c r="F129" s="72" t="s">
        <v>1325</v>
      </c>
      <c r="G129" s="967" t="s">
        <v>581</v>
      </c>
      <c r="H129" s="318"/>
      <c r="I129" s="437"/>
      <c r="J129" s="437"/>
      <c r="K129" s="428"/>
      <c r="L129" s="437"/>
      <c r="M129" s="870">
        <f>G125*$G129</f>
        <v>7368660</v>
      </c>
      <c r="N129" s="871" t="s">
        <v>588</v>
      </c>
      <c r="O129" s="871" t="s">
        <v>590</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s="339" customFormat="1" ht="15.75" customHeight="1">
      <c r="A130" s="334" t="str">
        <f>IF(B130&lt;&gt;"",IF(AND(B130='IN-TC'!$S$4,OR(TH!N130="1111",TH!O130="1111")),TH!D130,""),"")</f>
        <v/>
      </c>
      <c r="B130" s="63">
        <f t="shared" si="6"/>
        <v>6</v>
      </c>
      <c r="C130" s="866">
        <v>42551</v>
      </c>
      <c r="D130" s="866" t="s">
        <v>579</v>
      </c>
      <c r="E130" s="866">
        <f t="shared" si="8"/>
        <v>42551</v>
      </c>
      <c r="F130" s="72" t="s">
        <v>1326</v>
      </c>
      <c r="G130" s="274"/>
      <c r="H130" s="318"/>
      <c r="I130" s="437"/>
      <c r="J130" s="437"/>
      <c r="K130" s="428"/>
      <c r="L130" s="437"/>
      <c r="M130" s="870">
        <f>G126*$G129</f>
        <v>14132340</v>
      </c>
      <c r="N130" s="871" t="s">
        <v>282</v>
      </c>
      <c r="O130" s="871" t="s">
        <v>590</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s="339" customFormat="1" ht="15.75" customHeight="1">
      <c r="A131" s="334" t="str">
        <f>IF(B131&lt;&gt;"",IF(AND(B131='IN-TC'!$S$4,OR(TH!N131="1111",TH!O131="1111")),TH!D131,""),"")</f>
        <v/>
      </c>
      <c r="B131" s="63">
        <f t="shared" si="6"/>
        <v>6</v>
      </c>
      <c r="C131" s="866">
        <v>42551</v>
      </c>
      <c r="D131" s="866" t="s">
        <v>579</v>
      </c>
      <c r="E131" s="866">
        <f t="shared" si="8"/>
        <v>42551</v>
      </c>
      <c r="F131" s="72" t="s">
        <v>1327</v>
      </c>
      <c r="G131" s="967" t="s">
        <v>582</v>
      </c>
      <c r="H131" s="320"/>
      <c r="I131" s="435"/>
      <c r="J131" s="435"/>
      <c r="K131" s="426"/>
      <c r="L131" s="435"/>
      <c r="M131" s="870">
        <f>G125*$G131</f>
        <v>614055</v>
      </c>
      <c r="N131" s="871" t="s">
        <v>589</v>
      </c>
      <c r="O131" s="871" t="s">
        <v>591</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s="339" customFormat="1" ht="15.75" customHeight="1">
      <c r="A132" s="334" t="str">
        <f>IF(B132&lt;&gt;"",IF(AND(B132='IN-TC'!$S$4,OR(TH!N132="1111",TH!O132="1111")),TH!D132,""),"")</f>
        <v/>
      </c>
      <c r="B132" s="63">
        <f t="shared" si="6"/>
        <v>6</v>
      </c>
      <c r="C132" s="866">
        <v>42551</v>
      </c>
      <c r="D132" s="866" t="s">
        <v>579</v>
      </c>
      <c r="E132" s="866">
        <f t="shared" si="8"/>
        <v>42551</v>
      </c>
      <c r="F132" s="72" t="s">
        <v>1328</v>
      </c>
      <c r="G132" s="274"/>
      <c r="H132" s="320"/>
      <c r="I132" s="435"/>
      <c r="J132" s="435"/>
      <c r="K132" s="426"/>
      <c r="L132" s="435"/>
      <c r="M132" s="870">
        <f>G126*$G131</f>
        <v>1177695</v>
      </c>
      <c r="N132" s="871" t="s">
        <v>589</v>
      </c>
      <c r="O132" s="871" t="s">
        <v>591</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s="339" customFormat="1" ht="15.75" customHeight="1">
      <c r="A133" s="334" t="str">
        <f>IF(B133&lt;&gt;"",IF(AND(B133='IN-TC'!$S$4,OR(TH!N133="1111",TH!O133="1111")),TH!D133,""),"")</f>
        <v/>
      </c>
      <c r="B133" s="63">
        <f t="shared" si="6"/>
        <v>6</v>
      </c>
      <c r="C133" s="866">
        <v>42551</v>
      </c>
      <c r="D133" s="866" t="s">
        <v>579</v>
      </c>
      <c r="E133" s="866">
        <f t="shared" si="8"/>
        <v>42551</v>
      </c>
      <c r="F133" s="72" t="s">
        <v>1329</v>
      </c>
      <c r="G133" s="967" t="s">
        <v>583</v>
      </c>
      <c r="H133" s="318"/>
      <c r="I133" s="437"/>
      <c r="J133" s="437"/>
      <c r="K133" s="428"/>
      <c r="L133" s="437"/>
      <c r="M133" s="870">
        <f>G125*$G133</f>
        <v>1228110</v>
      </c>
      <c r="N133" s="871" t="s">
        <v>588</v>
      </c>
      <c r="O133" s="871" t="s">
        <v>591</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s="339" customFormat="1" ht="15.75" customHeight="1">
      <c r="A134" s="334" t="str">
        <f>IF(B134&lt;&gt;"",IF(AND(B134='IN-TC'!$S$4,OR(TH!N134="1111",TH!O134="1111")),TH!D134,""),"")</f>
        <v/>
      </c>
      <c r="B134" s="63">
        <f t="shared" si="6"/>
        <v>6</v>
      </c>
      <c r="C134" s="866">
        <v>42551</v>
      </c>
      <c r="D134" s="866" t="s">
        <v>579</v>
      </c>
      <c r="E134" s="866">
        <f t="shared" si="8"/>
        <v>42551</v>
      </c>
      <c r="F134" s="72" t="s">
        <v>1330</v>
      </c>
      <c r="G134" s="274"/>
      <c r="H134" s="318"/>
      <c r="I134" s="437"/>
      <c r="J134" s="437"/>
      <c r="K134" s="428"/>
      <c r="L134" s="437"/>
      <c r="M134" s="870">
        <f>G126*$G133</f>
        <v>2355390</v>
      </c>
      <c r="N134" s="871" t="s">
        <v>282</v>
      </c>
      <c r="O134" s="871" t="s">
        <v>591</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s="339" customFormat="1" ht="15.75" customHeight="1">
      <c r="A135" s="334" t="str">
        <f>IF(B135&lt;&gt;"",IF(AND(B135='IN-TC'!$S$4,OR(TH!N135="1111",TH!O135="1111")),TH!D135,""),"")</f>
        <v/>
      </c>
      <c r="B135" s="63">
        <f t="shared" si="6"/>
        <v>6</v>
      </c>
      <c r="C135" s="866">
        <v>42551</v>
      </c>
      <c r="D135" s="866" t="s">
        <v>579</v>
      </c>
      <c r="E135" s="866">
        <f t="shared" si="8"/>
        <v>42551</v>
      </c>
      <c r="F135" s="72" t="s">
        <v>1331</v>
      </c>
      <c r="G135" s="967" t="s">
        <v>584</v>
      </c>
      <c r="H135" s="318"/>
      <c r="I135" s="437"/>
      <c r="J135" s="437"/>
      <c r="K135" s="428"/>
      <c r="L135" s="437"/>
      <c r="M135" s="870">
        <f>G125*$G135</f>
        <v>409370</v>
      </c>
      <c r="N135" s="871" t="s">
        <v>589</v>
      </c>
      <c r="O135" s="871" t="s">
        <v>592</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s="339" customFormat="1" ht="15.75" customHeight="1">
      <c r="A136" s="334" t="str">
        <f>IF(B136&lt;&gt;"",IF(AND(B136='IN-TC'!$S$4,OR(TH!N136="1111",TH!O136="1111")),TH!D136,""),"")</f>
        <v/>
      </c>
      <c r="B136" s="63">
        <f t="shared" si="6"/>
        <v>6</v>
      </c>
      <c r="C136" s="866">
        <v>42551</v>
      </c>
      <c r="D136" s="866" t="s">
        <v>579</v>
      </c>
      <c r="E136" s="866">
        <f t="shared" si="8"/>
        <v>42551</v>
      </c>
      <c r="F136" s="72" t="s">
        <v>1332</v>
      </c>
      <c r="G136" s="274"/>
      <c r="H136" s="318"/>
      <c r="I136" s="437"/>
      <c r="J136" s="437"/>
      <c r="K136" s="428"/>
      <c r="L136" s="437"/>
      <c r="M136" s="870">
        <f>G126*$G135</f>
        <v>785130</v>
      </c>
      <c r="N136" s="871" t="s">
        <v>589</v>
      </c>
      <c r="O136" s="871" t="s">
        <v>592</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s="339" customFormat="1" ht="15.75" customHeight="1">
      <c r="A137" s="334" t="str">
        <f>IF(B137&lt;&gt;"",IF(AND(B137='IN-TC'!$S$4,OR(TH!N137="1111",TH!O137="1111")),TH!D137,""),"")</f>
        <v/>
      </c>
      <c r="B137" s="63">
        <f t="shared" si="6"/>
        <v>6</v>
      </c>
      <c r="C137" s="866">
        <v>42551</v>
      </c>
      <c r="D137" s="866" t="s">
        <v>579</v>
      </c>
      <c r="E137" s="866">
        <f t="shared" si="8"/>
        <v>42551</v>
      </c>
      <c r="F137" s="72" t="s">
        <v>1333</v>
      </c>
      <c r="G137" s="967" t="s">
        <v>584</v>
      </c>
      <c r="H137" s="1117"/>
      <c r="I137" s="438"/>
      <c r="J137" s="438"/>
      <c r="K137" s="429"/>
      <c r="L137" s="438"/>
      <c r="M137" s="870">
        <f>M135</f>
        <v>409370</v>
      </c>
      <c r="N137" s="871" t="s">
        <v>588</v>
      </c>
      <c r="O137" s="871" t="s">
        <v>592</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s="339" customFormat="1" ht="15.75" customHeight="1">
      <c r="A138" s="334" t="str">
        <f>IF(B138&lt;&gt;"",IF(AND(B138='IN-TC'!$S$4,OR(TH!N138="1111",TH!O138="1111")),TH!D138,""),"")</f>
        <v/>
      </c>
      <c r="B138" s="63">
        <f t="shared" si="6"/>
        <v>6</v>
      </c>
      <c r="C138" s="866">
        <v>42551</v>
      </c>
      <c r="D138" s="866" t="s">
        <v>579</v>
      </c>
      <c r="E138" s="866">
        <f t="shared" si="8"/>
        <v>42551</v>
      </c>
      <c r="F138" s="72" t="s">
        <v>1334</v>
      </c>
      <c r="G138" s="274"/>
      <c r="H138" s="318"/>
      <c r="I138" s="437"/>
      <c r="J138" s="437"/>
      <c r="K138" s="428"/>
      <c r="L138" s="437"/>
      <c r="M138" s="870">
        <f>M136</f>
        <v>785130</v>
      </c>
      <c r="N138" s="871" t="s">
        <v>282</v>
      </c>
      <c r="O138" s="871" t="s">
        <v>592</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s="339" customFormat="1" ht="15.75" customHeight="1">
      <c r="A139" s="334" t="str">
        <f>IF(B139&lt;&gt;"",IF(AND(B139='IN-TC'!$S$4,OR(TH!N139="1111",TH!O139="1111")),TH!D139,""),"")</f>
        <v/>
      </c>
      <c r="B139" s="63">
        <f t="shared" si="6"/>
        <v>7</v>
      </c>
      <c r="C139" s="866">
        <v>42582</v>
      </c>
      <c r="D139" s="866" t="s">
        <v>579</v>
      </c>
      <c r="E139" s="866">
        <f t="shared" si="8"/>
        <v>42582</v>
      </c>
      <c r="F139" s="72" t="s">
        <v>1321</v>
      </c>
      <c r="G139" s="274">
        <v>37369000</v>
      </c>
      <c r="H139" s="318"/>
      <c r="I139" s="437"/>
      <c r="J139" s="437"/>
      <c r="K139" s="428"/>
      <c r="L139" s="437"/>
      <c r="M139" s="870">
        <v>38369615</v>
      </c>
      <c r="N139" s="871" t="s">
        <v>588</v>
      </c>
      <c r="O139" s="871" t="s">
        <v>589</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s="339" customFormat="1" ht="15.75" customHeight="1">
      <c r="A140" s="334" t="str">
        <f>IF(B140&lt;&gt;"",IF(AND(B140='IN-TC'!$S$4,OR(TH!N140="1111",TH!O140="1111")),TH!D140,""),"")</f>
        <v/>
      </c>
      <c r="B140" s="63">
        <f t="shared" si="6"/>
        <v>7</v>
      </c>
      <c r="C140" s="866">
        <v>42582</v>
      </c>
      <c r="D140" s="866" t="s">
        <v>579</v>
      </c>
      <c r="E140" s="866">
        <f t="shared" si="8"/>
        <v>42582</v>
      </c>
      <c r="F140" s="72" t="s">
        <v>1322</v>
      </c>
      <c r="G140" s="274">
        <f>108366000-29853000</f>
        <v>78513000</v>
      </c>
      <c r="H140" s="318"/>
      <c r="I140" s="437"/>
      <c r="J140" s="437"/>
      <c r="K140" s="428"/>
      <c r="L140" s="437"/>
      <c r="M140" s="870">
        <v>120846000</v>
      </c>
      <c r="N140" s="871" t="s">
        <v>282</v>
      </c>
      <c r="O140" s="871" t="s">
        <v>589</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s="339" customFormat="1" ht="15.75" customHeight="1">
      <c r="A141" s="334" t="str">
        <f>IF(B141&lt;&gt;"",IF(AND(B141='IN-TC'!$S$4,OR(TH!N141="1111",TH!O141="1111")),TH!D141,""),"")</f>
        <v/>
      </c>
      <c r="B141" s="63">
        <f t="shared" si="6"/>
        <v>7</v>
      </c>
      <c r="C141" s="866">
        <v>42582</v>
      </c>
      <c r="D141" s="866" t="s">
        <v>579</v>
      </c>
      <c r="E141" s="866">
        <f t="shared" si="8"/>
        <v>42582</v>
      </c>
      <c r="F141" s="72" t="s">
        <v>1323</v>
      </c>
      <c r="G141" s="967" t="s">
        <v>580</v>
      </c>
      <c r="H141" s="318"/>
      <c r="I141" s="437"/>
      <c r="J141" s="437"/>
      <c r="K141" s="428"/>
      <c r="L141" s="437"/>
      <c r="M141" s="870">
        <f>G139*$G141</f>
        <v>2989520</v>
      </c>
      <c r="N141" s="871" t="s">
        <v>589</v>
      </c>
      <c r="O141" s="871" t="s">
        <v>590</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s="339" customFormat="1" ht="15.75" customHeight="1">
      <c r="A142" s="334" t="str">
        <f>IF(B142&lt;&gt;"",IF(AND(B142='IN-TC'!$S$4,OR(TH!N142="1111",TH!O142="1111")),TH!D142,""),"")</f>
        <v/>
      </c>
      <c r="B142" s="63">
        <f t="shared" si="6"/>
        <v>7</v>
      </c>
      <c r="C142" s="866">
        <v>42582</v>
      </c>
      <c r="D142" s="866" t="s">
        <v>579</v>
      </c>
      <c r="E142" s="866">
        <f t="shared" si="8"/>
        <v>42582</v>
      </c>
      <c r="F142" s="72" t="s">
        <v>1324</v>
      </c>
      <c r="G142" s="274"/>
      <c r="H142" s="318"/>
      <c r="I142" s="437"/>
      <c r="J142" s="437"/>
      <c r="K142" s="428"/>
      <c r="L142" s="437"/>
      <c r="M142" s="870">
        <f>G140*$G141</f>
        <v>6281040</v>
      </c>
      <c r="N142" s="872" t="s">
        <v>589</v>
      </c>
      <c r="O142" s="873" t="s">
        <v>590</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s="339" customFormat="1" ht="15.75" customHeight="1">
      <c r="A143" s="334" t="str">
        <f>IF(B143&lt;&gt;"",IF(AND(B143='IN-TC'!$S$4,OR(TH!N143="1111",TH!O143="1111")),TH!D143,""),"")</f>
        <v/>
      </c>
      <c r="B143" s="63">
        <f t="shared" si="6"/>
        <v>7</v>
      </c>
      <c r="C143" s="866">
        <v>42582</v>
      </c>
      <c r="D143" s="866" t="s">
        <v>579</v>
      </c>
      <c r="E143" s="866">
        <f t="shared" si="8"/>
        <v>42582</v>
      </c>
      <c r="F143" s="72" t="s">
        <v>1325</v>
      </c>
      <c r="G143" s="967" t="s">
        <v>581</v>
      </c>
      <c r="H143" s="318"/>
      <c r="I143" s="437"/>
      <c r="J143" s="437"/>
      <c r="K143" s="428"/>
      <c r="L143" s="437"/>
      <c r="M143" s="870">
        <f>G139*$G143</f>
        <v>6726420</v>
      </c>
      <c r="N143" s="871" t="s">
        <v>588</v>
      </c>
      <c r="O143" s="871" t="s">
        <v>590</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s="339" customFormat="1" ht="15.75" customHeight="1">
      <c r="A144" s="334" t="str">
        <f>IF(B144&lt;&gt;"",IF(AND(B144='IN-TC'!$S$4,OR(TH!N144="1111",TH!O144="1111")),TH!D144,""),"")</f>
        <v/>
      </c>
      <c r="B144" s="63">
        <f t="shared" ref="B144:B235" si="9">IF(C144&lt;&gt;"",MONTH(C144),"")</f>
        <v>7</v>
      </c>
      <c r="C144" s="866">
        <v>42582</v>
      </c>
      <c r="D144" s="866" t="s">
        <v>579</v>
      </c>
      <c r="E144" s="866">
        <f t="shared" si="8"/>
        <v>42582</v>
      </c>
      <c r="F144" s="72" t="s">
        <v>1326</v>
      </c>
      <c r="G144" s="274"/>
      <c r="H144" s="318"/>
      <c r="I144" s="437"/>
      <c r="J144" s="437"/>
      <c r="K144" s="428"/>
      <c r="L144" s="437"/>
      <c r="M144" s="870">
        <f>G140*$G143</f>
        <v>14132340</v>
      </c>
      <c r="N144" s="871" t="s">
        <v>282</v>
      </c>
      <c r="O144" s="871" t="s">
        <v>590</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s="339" customFormat="1" ht="15.75" customHeight="1">
      <c r="A145" s="334" t="str">
        <f>IF(B145&lt;&gt;"",IF(AND(B145='IN-TC'!$S$4,OR(TH!N145="1111",TH!O145="1111")),TH!D145,""),"")</f>
        <v/>
      </c>
      <c r="B145" s="63">
        <f t="shared" si="9"/>
        <v>7</v>
      </c>
      <c r="C145" s="866">
        <v>42582</v>
      </c>
      <c r="D145" s="866" t="s">
        <v>579</v>
      </c>
      <c r="E145" s="866">
        <f t="shared" si="8"/>
        <v>42582</v>
      </c>
      <c r="F145" s="72" t="s">
        <v>1327</v>
      </c>
      <c r="G145" s="967" t="s">
        <v>582</v>
      </c>
      <c r="H145" s="320"/>
      <c r="I145" s="435"/>
      <c r="J145" s="435"/>
      <c r="K145" s="426"/>
      <c r="L145" s="435"/>
      <c r="M145" s="870">
        <f>G139*$G145</f>
        <v>560535</v>
      </c>
      <c r="N145" s="871" t="s">
        <v>589</v>
      </c>
      <c r="O145" s="871" t="s">
        <v>591</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s="339" customFormat="1" ht="15.75" customHeight="1">
      <c r="A146" s="334" t="str">
        <f>IF(B146&lt;&gt;"",IF(AND(B146='IN-TC'!$S$4,OR(TH!N146="1111",TH!O146="1111")),TH!D146,""),"")</f>
        <v/>
      </c>
      <c r="B146" s="63">
        <f t="shared" si="9"/>
        <v>7</v>
      </c>
      <c r="C146" s="866">
        <v>42582</v>
      </c>
      <c r="D146" s="866" t="s">
        <v>579</v>
      </c>
      <c r="E146" s="866">
        <f t="shared" si="8"/>
        <v>42582</v>
      </c>
      <c r="F146" s="72" t="s">
        <v>1328</v>
      </c>
      <c r="G146" s="274"/>
      <c r="H146" s="320"/>
      <c r="I146" s="435"/>
      <c r="J146" s="435"/>
      <c r="K146" s="426"/>
      <c r="L146" s="435"/>
      <c r="M146" s="870">
        <f>G140*$G145</f>
        <v>1177695</v>
      </c>
      <c r="N146" s="871" t="s">
        <v>589</v>
      </c>
      <c r="O146" s="871" t="s">
        <v>591</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s="339" customFormat="1" ht="15.75" customHeight="1">
      <c r="A147" s="334" t="str">
        <f>IF(B147&lt;&gt;"",IF(AND(B147='IN-TC'!$S$4,OR(TH!N147="1111",TH!O147="1111")),TH!D147,""),"")</f>
        <v/>
      </c>
      <c r="B147" s="63">
        <f t="shared" si="9"/>
        <v>7</v>
      </c>
      <c r="C147" s="866">
        <v>42582</v>
      </c>
      <c r="D147" s="866" t="s">
        <v>579</v>
      </c>
      <c r="E147" s="866">
        <f t="shared" si="8"/>
        <v>42582</v>
      </c>
      <c r="F147" s="72" t="s">
        <v>1329</v>
      </c>
      <c r="G147" s="967" t="s">
        <v>583</v>
      </c>
      <c r="H147" s="318"/>
      <c r="I147" s="437"/>
      <c r="J147" s="437"/>
      <c r="K147" s="428"/>
      <c r="L147" s="437"/>
      <c r="M147" s="870">
        <f>G139*$G147</f>
        <v>1121070</v>
      </c>
      <c r="N147" s="871" t="s">
        <v>588</v>
      </c>
      <c r="O147" s="871" t="s">
        <v>591</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s="339" customFormat="1" ht="15.75" customHeight="1">
      <c r="A148" s="334" t="str">
        <f>IF(B148&lt;&gt;"",IF(AND(B148='IN-TC'!$S$4,OR(TH!N148="1111",TH!O148="1111")),TH!D148,""),"")</f>
        <v/>
      </c>
      <c r="B148" s="63">
        <f t="shared" si="9"/>
        <v>7</v>
      </c>
      <c r="C148" s="866">
        <v>42582</v>
      </c>
      <c r="D148" s="866" t="s">
        <v>579</v>
      </c>
      <c r="E148" s="866">
        <f t="shared" si="8"/>
        <v>42582</v>
      </c>
      <c r="F148" s="72" t="s">
        <v>1330</v>
      </c>
      <c r="G148" s="274"/>
      <c r="H148" s="318"/>
      <c r="I148" s="437"/>
      <c r="J148" s="437"/>
      <c r="K148" s="428"/>
      <c r="L148" s="437"/>
      <c r="M148" s="870">
        <f>G140*$G147</f>
        <v>2355390</v>
      </c>
      <c r="N148" s="871" t="s">
        <v>282</v>
      </c>
      <c r="O148" s="871" t="s">
        <v>591</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s="339" customFormat="1" ht="15.75" customHeight="1">
      <c r="A149" s="334" t="str">
        <f>IF(B149&lt;&gt;"",IF(AND(B149='IN-TC'!$S$4,OR(TH!N149="1111",TH!O149="1111")),TH!D149,""),"")</f>
        <v/>
      </c>
      <c r="B149" s="63">
        <f t="shared" si="9"/>
        <v>7</v>
      </c>
      <c r="C149" s="866">
        <v>42582</v>
      </c>
      <c r="D149" s="866" t="s">
        <v>579</v>
      </c>
      <c r="E149" s="866">
        <f t="shared" si="8"/>
        <v>42582</v>
      </c>
      <c r="F149" s="72" t="s">
        <v>1331</v>
      </c>
      <c r="G149" s="967" t="s">
        <v>584</v>
      </c>
      <c r="H149" s="318"/>
      <c r="I149" s="437"/>
      <c r="J149" s="437"/>
      <c r="K149" s="428"/>
      <c r="L149" s="437"/>
      <c r="M149" s="870">
        <f>G139*$G149</f>
        <v>373690</v>
      </c>
      <c r="N149" s="871" t="s">
        <v>589</v>
      </c>
      <c r="O149" s="871" t="s">
        <v>592</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s="339" customFormat="1" ht="15.75" customHeight="1">
      <c r="A150" s="334" t="str">
        <f>IF(B150&lt;&gt;"",IF(AND(B150='IN-TC'!$S$4,OR(TH!N150="1111",TH!O150="1111")),TH!D150,""),"")</f>
        <v/>
      </c>
      <c r="B150" s="63">
        <f t="shared" si="9"/>
        <v>7</v>
      </c>
      <c r="C150" s="866">
        <v>42582</v>
      </c>
      <c r="D150" s="866" t="s">
        <v>579</v>
      </c>
      <c r="E150" s="866">
        <f t="shared" si="8"/>
        <v>42582</v>
      </c>
      <c r="F150" s="72" t="s">
        <v>1332</v>
      </c>
      <c r="G150" s="274"/>
      <c r="H150" s="318"/>
      <c r="I150" s="437"/>
      <c r="J150" s="437"/>
      <c r="K150" s="428"/>
      <c r="L150" s="437"/>
      <c r="M150" s="870">
        <f>G140*$G149</f>
        <v>785130</v>
      </c>
      <c r="N150" s="871" t="s">
        <v>589</v>
      </c>
      <c r="O150" s="871" t="s">
        <v>592</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s="339" customFormat="1" ht="15.75" customHeight="1">
      <c r="A151" s="334" t="str">
        <f>IF(B151&lt;&gt;"",IF(AND(B151='IN-TC'!$S$4,OR(TH!N151="1111",TH!O151="1111")),TH!D151,""),"")</f>
        <v/>
      </c>
      <c r="B151" s="63">
        <f t="shared" si="9"/>
        <v>7</v>
      </c>
      <c r="C151" s="866">
        <v>42582</v>
      </c>
      <c r="D151" s="866" t="s">
        <v>579</v>
      </c>
      <c r="E151" s="866">
        <f t="shared" si="8"/>
        <v>42582</v>
      </c>
      <c r="F151" s="72" t="s">
        <v>1333</v>
      </c>
      <c r="G151" s="967" t="s">
        <v>584</v>
      </c>
      <c r="H151" s="1117"/>
      <c r="I151" s="438"/>
      <c r="J151" s="438"/>
      <c r="K151" s="429"/>
      <c r="L151" s="438"/>
      <c r="M151" s="870">
        <f>M149</f>
        <v>373690</v>
      </c>
      <c r="N151" s="871" t="s">
        <v>588</v>
      </c>
      <c r="O151" s="871" t="s">
        <v>592</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s="339" customFormat="1" ht="15.75" customHeight="1">
      <c r="A152" s="334" t="str">
        <f>IF(B152&lt;&gt;"",IF(AND(B152='IN-TC'!$S$4,OR(TH!N152="1111",TH!O152="1111")),TH!D152,""),"")</f>
        <v/>
      </c>
      <c r="B152" s="63">
        <f t="shared" si="9"/>
        <v>7</v>
      </c>
      <c r="C152" s="866">
        <v>42582</v>
      </c>
      <c r="D152" s="866" t="s">
        <v>579</v>
      </c>
      <c r="E152" s="866">
        <f t="shared" si="8"/>
        <v>42582</v>
      </c>
      <c r="F152" s="72" t="s">
        <v>1334</v>
      </c>
      <c r="G152" s="274"/>
      <c r="H152" s="318"/>
      <c r="I152" s="437"/>
      <c r="J152" s="437"/>
      <c r="K152" s="428"/>
      <c r="L152" s="437"/>
      <c r="M152" s="870">
        <f>M150</f>
        <v>785130</v>
      </c>
      <c r="N152" s="871" t="s">
        <v>282</v>
      </c>
      <c r="O152" s="871" t="s">
        <v>592</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s="339" customFormat="1" ht="15.75" customHeight="1">
      <c r="A153" s="334" t="str">
        <f>IF(B153&lt;&gt;"",IF(AND(B153='IN-TC'!$S$4,OR(TH!N153="1111",TH!O153="1111")),TH!D153,""),"")</f>
        <v/>
      </c>
      <c r="B153" s="63">
        <f t="shared" si="9"/>
        <v>8</v>
      </c>
      <c r="C153" s="866">
        <v>42613</v>
      </c>
      <c r="D153" s="866" t="s">
        <v>579</v>
      </c>
      <c r="E153" s="866">
        <f t="shared" si="8"/>
        <v>42613</v>
      </c>
      <c r="F153" s="72" t="s">
        <v>1321</v>
      </c>
      <c r="G153" s="274">
        <v>37369000</v>
      </c>
      <c r="H153" s="318"/>
      <c r="I153" s="437"/>
      <c r="J153" s="437"/>
      <c r="K153" s="428"/>
      <c r="L153" s="437"/>
      <c r="M153" s="870">
        <v>37047409</v>
      </c>
      <c r="N153" s="871" t="s">
        <v>588</v>
      </c>
      <c r="O153" s="871" t="s">
        <v>589</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s="339" customFormat="1" ht="15.75" customHeight="1">
      <c r="A154" s="334" t="str">
        <f>IF(B154&lt;&gt;"",IF(AND(B154='IN-TC'!$S$4,OR(TH!N154="1111",TH!O154="1111")),TH!D154,""),"")</f>
        <v/>
      </c>
      <c r="B154" s="63">
        <f t="shared" si="9"/>
        <v>8</v>
      </c>
      <c r="C154" s="866">
        <v>42613</v>
      </c>
      <c r="D154" s="866" t="s">
        <v>579</v>
      </c>
      <c r="E154" s="866">
        <f t="shared" si="8"/>
        <v>42613</v>
      </c>
      <c r="F154" s="72" t="s">
        <v>1322</v>
      </c>
      <c r="G154" s="274">
        <f>108366000-29853000</f>
        <v>78513000</v>
      </c>
      <c r="H154" s="318"/>
      <c r="I154" s="437"/>
      <c r="J154" s="437"/>
      <c r="K154" s="428"/>
      <c r="L154" s="437"/>
      <c r="M154" s="870">
        <v>118073109</v>
      </c>
      <c r="N154" s="871" t="s">
        <v>282</v>
      </c>
      <c r="O154" s="871" t="s">
        <v>589</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s="339" customFormat="1" ht="15.75" customHeight="1">
      <c r="A155" s="334" t="str">
        <f>IF(B155&lt;&gt;"",IF(AND(B155='IN-TC'!$S$4,OR(TH!N155="1111",TH!O155="1111")),TH!D155,""),"")</f>
        <v/>
      </c>
      <c r="B155" s="63">
        <f t="shared" si="9"/>
        <v>8</v>
      </c>
      <c r="C155" s="866">
        <v>42613</v>
      </c>
      <c r="D155" s="866" t="s">
        <v>579</v>
      </c>
      <c r="E155" s="866">
        <f t="shared" si="8"/>
        <v>42613</v>
      </c>
      <c r="F155" s="72" t="s">
        <v>1323</v>
      </c>
      <c r="G155" s="967" t="s">
        <v>580</v>
      </c>
      <c r="H155" s="318"/>
      <c r="I155" s="437"/>
      <c r="J155" s="437"/>
      <c r="K155" s="428"/>
      <c r="L155" s="437"/>
      <c r="M155" s="870">
        <f>G153*$G155</f>
        <v>2989520</v>
      </c>
      <c r="N155" s="871" t="s">
        <v>589</v>
      </c>
      <c r="O155" s="871" t="s">
        <v>590</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s="339" customFormat="1" ht="15.75" customHeight="1">
      <c r="A156" s="334" t="str">
        <f>IF(B156&lt;&gt;"",IF(AND(B156='IN-TC'!$S$4,OR(TH!N156="1111",TH!O156="1111")),TH!D156,""),"")</f>
        <v/>
      </c>
      <c r="B156" s="63">
        <f t="shared" si="9"/>
        <v>8</v>
      </c>
      <c r="C156" s="866">
        <v>42613</v>
      </c>
      <c r="D156" s="866" t="s">
        <v>579</v>
      </c>
      <c r="E156" s="866">
        <f t="shared" si="8"/>
        <v>42613</v>
      </c>
      <c r="F156" s="72" t="s">
        <v>1324</v>
      </c>
      <c r="G156" s="274"/>
      <c r="H156" s="318"/>
      <c r="I156" s="437"/>
      <c r="J156" s="437"/>
      <c r="K156" s="428"/>
      <c r="L156" s="437"/>
      <c r="M156" s="870">
        <f>G154*$G155</f>
        <v>6281040</v>
      </c>
      <c r="N156" s="872" t="s">
        <v>589</v>
      </c>
      <c r="O156" s="873" t="s">
        <v>590</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s="339" customFormat="1" ht="15.75" customHeight="1">
      <c r="A157" s="334" t="str">
        <f>IF(B157&lt;&gt;"",IF(AND(B157='IN-TC'!$S$4,OR(TH!N157="1111",TH!O157="1111")),TH!D157,""),"")</f>
        <v/>
      </c>
      <c r="B157" s="63">
        <f t="shared" si="9"/>
        <v>8</v>
      </c>
      <c r="C157" s="866">
        <v>42613</v>
      </c>
      <c r="D157" s="866" t="s">
        <v>579</v>
      </c>
      <c r="E157" s="866">
        <f t="shared" si="8"/>
        <v>42613</v>
      </c>
      <c r="F157" s="72" t="s">
        <v>1325</v>
      </c>
      <c r="G157" s="967" t="s">
        <v>581</v>
      </c>
      <c r="H157" s="318"/>
      <c r="I157" s="437"/>
      <c r="J157" s="437"/>
      <c r="K157" s="428"/>
      <c r="L157" s="437"/>
      <c r="M157" s="870">
        <f>G153*$G157</f>
        <v>6726420</v>
      </c>
      <c r="N157" s="871" t="s">
        <v>588</v>
      </c>
      <c r="O157" s="871" t="s">
        <v>590</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s="339" customFormat="1" ht="15.75" customHeight="1">
      <c r="A158" s="334" t="str">
        <f>IF(B158&lt;&gt;"",IF(AND(B158='IN-TC'!$S$4,OR(TH!N158="1111",TH!O158="1111")),TH!D158,""),"")</f>
        <v/>
      </c>
      <c r="B158" s="63">
        <f t="shared" si="9"/>
        <v>8</v>
      </c>
      <c r="C158" s="866">
        <v>42613</v>
      </c>
      <c r="D158" s="866" t="s">
        <v>579</v>
      </c>
      <c r="E158" s="866">
        <f t="shared" si="8"/>
        <v>42613</v>
      </c>
      <c r="F158" s="72" t="s">
        <v>1326</v>
      </c>
      <c r="G158" s="274"/>
      <c r="H158" s="318"/>
      <c r="I158" s="437"/>
      <c r="J158" s="437"/>
      <c r="K158" s="428"/>
      <c r="L158" s="437"/>
      <c r="M158" s="870">
        <f>G154*$G157</f>
        <v>14132340</v>
      </c>
      <c r="N158" s="871" t="s">
        <v>282</v>
      </c>
      <c r="O158" s="871" t="s">
        <v>590</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s="339" customFormat="1" ht="15.75" customHeight="1">
      <c r="A159" s="334" t="str">
        <f>IF(B159&lt;&gt;"",IF(AND(B159='IN-TC'!$S$4,OR(TH!N159="1111",TH!O159="1111")),TH!D159,""),"")</f>
        <v/>
      </c>
      <c r="B159" s="63">
        <f t="shared" si="9"/>
        <v>8</v>
      </c>
      <c r="C159" s="866">
        <v>42613</v>
      </c>
      <c r="D159" s="866" t="s">
        <v>579</v>
      </c>
      <c r="E159" s="866">
        <f t="shared" ref="E159:E199" si="10">C159</f>
        <v>42613</v>
      </c>
      <c r="F159" s="72" t="s">
        <v>1327</v>
      </c>
      <c r="G159" s="967" t="s">
        <v>582</v>
      </c>
      <c r="H159" s="320"/>
      <c r="I159" s="435"/>
      <c r="J159" s="435"/>
      <c r="K159" s="426"/>
      <c r="L159" s="435"/>
      <c r="M159" s="870">
        <f>G153*$G159</f>
        <v>560535</v>
      </c>
      <c r="N159" s="871" t="s">
        <v>589</v>
      </c>
      <c r="O159" s="871" t="s">
        <v>591</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s="339" customFormat="1" ht="15.75" customHeight="1">
      <c r="A160" s="334" t="str">
        <f>IF(B160&lt;&gt;"",IF(AND(B160='IN-TC'!$S$4,OR(TH!N160="1111",TH!O160="1111")),TH!D160,""),"")</f>
        <v/>
      </c>
      <c r="B160" s="63">
        <f t="shared" si="9"/>
        <v>8</v>
      </c>
      <c r="C160" s="866">
        <v>42613</v>
      </c>
      <c r="D160" s="866" t="s">
        <v>579</v>
      </c>
      <c r="E160" s="866">
        <f t="shared" si="10"/>
        <v>42613</v>
      </c>
      <c r="F160" s="72" t="s">
        <v>1328</v>
      </c>
      <c r="G160" s="274"/>
      <c r="H160" s="320"/>
      <c r="I160" s="435"/>
      <c r="J160" s="435"/>
      <c r="K160" s="426"/>
      <c r="L160" s="435"/>
      <c r="M160" s="870">
        <f>G154*$G159</f>
        <v>1177695</v>
      </c>
      <c r="N160" s="871" t="s">
        <v>589</v>
      </c>
      <c r="O160" s="871" t="s">
        <v>591</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s="339" customFormat="1" ht="15.75" customHeight="1">
      <c r="A161" s="334" t="str">
        <f>IF(B161&lt;&gt;"",IF(AND(B161='IN-TC'!$S$4,OR(TH!N161="1111",TH!O161="1111")),TH!D161,""),"")</f>
        <v/>
      </c>
      <c r="B161" s="63">
        <f t="shared" si="9"/>
        <v>8</v>
      </c>
      <c r="C161" s="866">
        <v>42613</v>
      </c>
      <c r="D161" s="866" t="s">
        <v>579</v>
      </c>
      <c r="E161" s="866">
        <f t="shared" si="10"/>
        <v>42613</v>
      </c>
      <c r="F161" s="72" t="s">
        <v>1329</v>
      </c>
      <c r="G161" s="967" t="s">
        <v>583</v>
      </c>
      <c r="H161" s="318"/>
      <c r="I161" s="437"/>
      <c r="J161" s="437"/>
      <c r="K161" s="428"/>
      <c r="L161" s="437"/>
      <c r="M161" s="870">
        <f>G153*$G161</f>
        <v>1121070</v>
      </c>
      <c r="N161" s="871" t="s">
        <v>588</v>
      </c>
      <c r="O161" s="871" t="s">
        <v>591</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s="339" customFormat="1" ht="15.75" customHeight="1">
      <c r="A162" s="334" t="str">
        <f>IF(B162&lt;&gt;"",IF(AND(B162='IN-TC'!$S$4,OR(TH!N162="1111",TH!O162="1111")),TH!D162,""),"")</f>
        <v/>
      </c>
      <c r="B162" s="63">
        <f t="shared" si="9"/>
        <v>8</v>
      </c>
      <c r="C162" s="866">
        <v>42613</v>
      </c>
      <c r="D162" s="866" t="s">
        <v>579</v>
      </c>
      <c r="E162" s="866">
        <f t="shared" si="10"/>
        <v>42613</v>
      </c>
      <c r="F162" s="72" t="s">
        <v>1330</v>
      </c>
      <c r="G162" s="274"/>
      <c r="H162" s="318"/>
      <c r="I162" s="437"/>
      <c r="J162" s="437"/>
      <c r="K162" s="428"/>
      <c r="L162" s="437"/>
      <c r="M162" s="870">
        <f>G154*$G161</f>
        <v>2355390</v>
      </c>
      <c r="N162" s="871" t="s">
        <v>282</v>
      </c>
      <c r="O162" s="871" t="s">
        <v>591</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s="339" customFormat="1" ht="15.75" customHeight="1">
      <c r="A163" s="334" t="str">
        <f>IF(B163&lt;&gt;"",IF(AND(B163='IN-TC'!$S$4,OR(TH!N163="1111",TH!O163="1111")),TH!D163,""),"")</f>
        <v/>
      </c>
      <c r="B163" s="63">
        <f t="shared" si="9"/>
        <v>8</v>
      </c>
      <c r="C163" s="866">
        <v>42613</v>
      </c>
      <c r="D163" s="866" t="s">
        <v>579</v>
      </c>
      <c r="E163" s="866">
        <f t="shared" si="10"/>
        <v>42613</v>
      </c>
      <c r="F163" s="72" t="s">
        <v>1331</v>
      </c>
      <c r="G163" s="967" t="s">
        <v>584</v>
      </c>
      <c r="H163" s="318"/>
      <c r="I163" s="437"/>
      <c r="J163" s="437"/>
      <c r="K163" s="428"/>
      <c r="L163" s="437"/>
      <c r="M163" s="870">
        <f>G153*$G163</f>
        <v>373690</v>
      </c>
      <c r="N163" s="871" t="s">
        <v>589</v>
      </c>
      <c r="O163" s="871" t="s">
        <v>592</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s="339" customFormat="1" ht="15.75" customHeight="1">
      <c r="A164" s="334" t="str">
        <f>IF(B164&lt;&gt;"",IF(AND(B164='IN-TC'!$S$4,OR(TH!N164="1111",TH!O164="1111")),TH!D164,""),"")</f>
        <v/>
      </c>
      <c r="B164" s="63">
        <f t="shared" si="9"/>
        <v>8</v>
      </c>
      <c r="C164" s="866">
        <v>42613</v>
      </c>
      <c r="D164" s="866" t="s">
        <v>579</v>
      </c>
      <c r="E164" s="866">
        <f t="shared" si="10"/>
        <v>42613</v>
      </c>
      <c r="F164" s="72" t="s">
        <v>1332</v>
      </c>
      <c r="G164" s="274"/>
      <c r="H164" s="318"/>
      <c r="I164" s="437"/>
      <c r="J164" s="437"/>
      <c r="K164" s="428"/>
      <c r="L164" s="437"/>
      <c r="M164" s="870">
        <f>G154*$G163</f>
        <v>785130</v>
      </c>
      <c r="N164" s="871" t="s">
        <v>589</v>
      </c>
      <c r="O164" s="871" t="s">
        <v>592</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s="339" customFormat="1" ht="15.75" customHeight="1">
      <c r="A165" s="334" t="str">
        <f>IF(B165&lt;&gt;"",IF(AND(B165='IN-TC'!$S$4,OR(TH!N165="1111",TH!O165="1111")),TH!D165,""),"")</f>
        <v/>
      </c>
      <c r="B165" s="63">
        <f t="shared" si="9"/>
        <v>8</v>
      </c>
      <c r="C165" s="866">
        <v>42613</v>
      </c>
      <c r="D165" s="866" t="s">
        <v>579</v>
      </c>
      <c r="E165" s="866">
        <f t="shared" si="10"/>
        <v>42613</v>
      </c>
      <c r="F165" s="72" t="s">
        <v>1333</v>
      </c>
      <c r="G165" s="967" t="s">
        <v>584</v>
      </c>
      <c r="H165" s="1117"/>
      <c r="I165" s="438"/>
      <c r="J165" s="438"/>
      <c r="K165" s="429"/>
      <c r="L165" s="438"/>
      <c r="M165" s="870">
        <f>M163</f>
        <v>373690</v>
      </c>
      <c r="N165" s="871" t="s">
        <v>588</v>
      </c>
      <c r="O165" s="871" t="s">
        <v>592</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s="339" customFormat="1" ht="15.75" customHeight="1">
      <c r="A166" s="334" t="str">
        <f>IF(B166&lt;&gt;"",IF(AND(B166='IN-TC'!$S$4,OR(TH!N166="1111",TH!O166="1111")),TH!D166,""),"")</f>
        <v/>
      </c>
      <c r="B166" s="63">
        <f t="shared" si="9"/>
        <v>8</v>
      </c>
      <c r="C166" s="866">
        <v>42613</v>
      </c>
      <c r="D166" s="866" t="s">
        <v>579</v>
      </c>
      <c r="E166" s="866">
        <f t="shared" si="10"/>
        <v>42613</v>
      </c>
      <c r="F166" s="72" t="s">
        <v>1334</v>
      </c>
      <c r="G166" s="274"/>
      <c r="H166" s="318"/>
      <c r="I166" s="437"/>
      <c r="J166" s="437"/>
      <c r="K166" s="428"/>
      <c r="L166" s="437"/>
      <c r="M166" s="870">
        <f>M164</f>
        <v>785130</v>
      </c>
      <c r="N166" s="871" t="s">
        <v>282</v>
      </c>
      <c r="O166" s="871" t="s">
        <v>592</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s="339" customFormat="1" ht="15.75" customHeight="1">
      <c r="A167" s="334" t="str">
        <f>IF(B167&lt;&gt;"",IF(AND(B167='IN-TC'!$S$4,OR(TH!N167="1111",TH!O167="1111")),TH!D167,""),"")</f>
        <v/>
      </c>
      <c r="B167" s="63">
        <v>9</v>
      </c>
      <c r="C167" s="866">
        <v>42643</v>
      </c>
      <c r="D167" s="866" t="s">
        <v>579</v>
      </c>
      <c r="E167" s="866">
        <f t="shared" si="10"/>
        <v>42643</v>
      </c>
      <c r="F167" s="1246" t="s">
        <v>1321</v>
      </c>
      <c r="G167" s="274">
        <v>37369000</v>
      </c>
      <c r="H167" s="318"/>
      <c r="I167" s="437"/>
      <c r="J167" s="437"/>
      <c r="K167" s="428"/>
      <c r="L167" s="437"/>
      <c r="M167" s="870">
        <v>37047409</v>
      </c>
      <c r="N167" s="871" t="s">
        <v>588</v>
      </c>
      <c r="O167" s="871"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s="339" customFormat="1" ht="15.75" customHeight="1">
      <c r="A168" s="334" t="str">
        <f>IF(B168&lt;&gt;"",IF(AND(B168='IN-TC'!$S$4,OR(TH!N168="1111",TH!O168="1111")),TH!D168,""),"")</f>
        <v/>
      </c>
      <c r="B168" s="63">
        <v>9</v>
      </c>
      <c r="C168" s="866">
        <v>42643</v>
      </c>
      <c r="D168" s="866" t="s">
        <v>579</v>
      </c>
      <c r="E168" s="866">
        <f t="shared" si="10"/>
        <v>42643</v>
      </c>
      <c r="F168" s="1246" t="s">
        <v>1322</v>
      </c>
      <c r="G168" s="274">
        <f>108366000-29853000</f>
        <v>78513000</v>
      </c>
      <c r="H168" s="318"/>
      <c r="I168" s="437"/>
      <c r="J168" s="437"/>
      <c r="K168" s="428"/>
      <c r="L168" s="437"/>
      <c r="M168" s="870">
        <v>118073109</v>
      </c>
      <c r="N168" s="871" t="s">
        <v>282</v>
      </c>
      <c r="O168" s="871" t="s">
        <v>589</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s="339" customFormat="1" ht="15.75" customHeight="1">
      <c r="A169" s="334" t="str">
        <f>IF(B169&lt;&gt;"",IF(AND(B169='IN-TC'!$S$4,OR(TH!N169="1111",TH!O169="1111")),TH!D169,""),"")</f>
        <v/>
      </c>
      <c r="B169" s="63">
        <v>9</v>
      </c>
      <c r="C169" s="866">
        <v>42643</v>
      </c>
      <c r="D169" s="866" t="s">
        <v>579</v>
      </c>
      <c r="E169" s="866">
        <f t="shared" si="10"/>
        <v>42643</v>
      </c>
      <c r="F169" s="1246" t="s">
        <v>1323</v>
      </c>
      <c r="G169" s="967" t="s">
        <v>580</v>
      </c>
      <c r="H169" s="318"/>
      <c r="I169" s="437"/>
      <c r="J169" s="437"/>
      <c r="K169" s="428"/>
      <c r="L169" s="437"/>
      <c r="M169" s="870">
        <f>G167*$G169</f>
        <v>2989520</v>
      </c>
      <c r="N169" s="871" t="s">
        <v>589</v>
      </c>
      <c r="O169" s="871" t="s">
        <v>590</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s="339" customFormat="1" ht="15.75" customHeight="1">
      <c r="A170" s="334" t="str">
        <f>IF(B170&lt;&gt;"",IF(AND(B170='IN-TC'!$S$4,OR(TH!N170="1111",TH!O170="1111")),TH!D170,""),"")</f>
        <v/>
      </c>
      <c r="B170" s="63">
        <v>9</v>
      </c>
      <c r="C170" s="866">
        <v>42643</v>
      </c>
      <c r="D170" s="866" t="s">
        <v>579</v>
      </c>
      <c r="E170" s="866">
        <f t="shared" si="10"/>
        <v>42643</v>
      </c>
      <c r="F170" s="1246" t="s">
        <v>1324</v>
      </c>
      <c r="G170" s="274"/>
      <c r="H170" s="318"/>
      <c r="I170" s="437"/>
      <c r="J170" s="437"/>
      <c r="K170" s="428"/>
      <c r="L170" s="437"/>
      <c r="M170" s="870">
        <f>G168*$G169</f>
        <v>6281040</v>
      </c>
      <c r="N170" s="872" t="s">
        <v>589</v>
      </c>
      <c r="O170" s="873" t="s">
        <v>590</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s="339" customFormat="1" ht="15.75" customHeight="1">
      <c r="A171" s="334" t="str">
        <f>IF(B171&lt;&gt;"",IF(AND(B171='IN-TC'!$S$4,OR(TH!N171="1111",TH!O171="1111")),TH!D171,""),"")</f>
        <v/>
      </c>
      <c r="B171" s="63">
        <v>9</v>
      </c>
      <c r="C171" s="866">
        <v>42643</v>
      </c>
      <c r="D171" s="866" t="s">
        <v>579</v>
      </c>
      <c r="E171" s="866">
        <f t="shared" si="10"/>
        <v>42643</v>
      </c>
      <c r="F171" s="1246" t="s">
        <v>1325</v>
      </c>
      <c r="G171" s="967" t="s">
        <v>581</v>
      </c>
      <c r="H171" s="318"/>
      <c r="I171" s="437"/>
      <c r="J171" s="437"/>
      <c r="K171" s="428"/>
      <c r="L171" s="437"/>
      <c r="M171" s="870">
        <f>G167*$G171</f>
        <v>6726420</v>
      </c>
      <c r="N171" s="871" t="s">
        <v>588</v>
      </c>
      <c r="O171" s="871" t="s">
        <v>590</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s="339" customFormat="1" ht="15.75" customHeight="1">
      <c r="A172" s="334" t="str">
        <f>IF(B172&lt;&gt;"",IF(AND(B172='IN-TC'!$S$4,OR(TH!N172="1111",TH!O172="1111")),TH!D172,""),"")</f>
        <v/>
      </c>
      <c r="B172" s="63">
        <v>9</v>
      </c>
      <c r="C172" s="866">
        <v>42643</v>
      </c>
      <c r="D172" s="866" t="s">
        <v>579</v>
      </c>
      <c r="E172" s="866">
        <f t="shared" si="10"/>
        <v>42643</v>
      </c>
      <c r="F172" s="1246" t="s">
        <v>1326</v>
      </c>
      <c r="G172" s="274"/>
      <c r="H172" s="318"/>
      <c r="I172" s="437"/>
      <c r="J172" s="437"/>
      <c r="K172" s="428"/>
      <c r="L172" s="437"/>
      <c r="M172" s="870">
        <f>G168*$G171</f>
        <v>14132340</v>
      </c>
      <c r="N172" s="871" t="s">
        <v>282</v>
      </c>
      <c r="O172" s="871" t="s">
        <v>590</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s="339" customFormat="1" ht="15.75" customHeight="1">
      <c r="A173" s="334" t="str">
        <f>IF(B173&lt;&gt;"",IF(AND(B173='IN-TC'!$S$4,OR(TH!N173="1111",TH!O173="1111")),TH!D173,""),"")</f>
        <v/>
      </c>
      <c r="B173" s="63">
        <v>9</v>
      </c>
      <c r="C173" s="866">
        <v>42643</v>
      </c>
      <c r="D173" s="866" t="s">
        <v>579</v>
      </c>
      <c r="E173" s="866">
        <f t="shared" ref="E173:E186" si="11">C173</f>
        <v>42643</v>
      </c>
      <c r="F173" s="1246" t="s">
        <v>1327</v>
      </c>
      <c r="G173" s="967" t="s">
        <v>582</v>
      </c>
      <c r="H173" s="320"/>
      <c r="I173" s="435"/>
      <c r="J173" s="435"/>
      <c r="K173" s="426"/>
      <c r="L173" s="435"/>
      <c r="M173" s="870">
        <f>G167*$G173</f>
        <v>560535</v>
      </c>
      <c r="N173" s="871" t="s">
        <v>589</v>
      </c>
      <c r="O173" s="871" t="s">
        <v>591</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s="339" customFormat="1" ht="15.75" customHeight="1">
      <c r="A174" s="334" t="str">
        <f>IF(B174&lt;&gt;"",IF(AND(B174='IN-TC'!$S$4,OR(TH!N174="1111",TH!O174="1111")),TH!D174,""),"")</f>
        <v/>
      </c>
      <c r="B174" s="63">
        <v>9</v>
      </c>
      <c r="C174" s="866">
        <v>42643</v>
      </c>
      <c r="D174" s="866" t="s">
        <v>579</v>
      </c>
      <c r="E174" s="866">
        <f t="shared" si="11"/>
        <v>42643</v>
      </c>
      <c r="F174" s="1246" t="s">
        <v>1328</v>
      </c>
      <c r="G174" s="274"/>
      <c r="H174" s="320"/>
      <c r="I174" s="435"/>
      <c r="J174" s="435"/>
      <c r="K174" s="426"/>
      <c r="L174" s="435"/>
      <c r="M174" s="870">
        <f>G168*$G173</f>
        <v>1177695</v>
      </c>
      <c r="N174" s="871" t="s">
        <v>589</v>
      </c>
      <c r="O174" s="871" t="s">
        <v>591</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s="339" customFormat="1" ht="15.75" customHeight="1">
      <c r="A175" s="334" t="str">
        <f>IF(B175&lt;&gt;"",IF(AND(B175='IN-TC'!$S$4,OR(TH!N175="1111",TH!O175="1111")),TH!D175,""),"")</f>
        <v/>
      </c>
      <c r="B175" s="63">
        <v>9</v>
      </c>
      <c r="C175" s="866">
        <v>42643</v>
      </c>
      <c r="D175" s="866" t="s">
        <v>579</v>
      </c>
      <c r="E175" s="866">
        <f t="shared" si="11"/>
        <v>42643</v>
      </c>
      <c r="F175" s="1246" t="s">
        <v>1329</v>
      </c>
      <c r="G175" s="967" t="s">
        <v>583</v>
      </c>
      <c r="H175" s="318"/>
      <c r="I175" s="437"/>
      <c r="J175" s="437"/>
      <c r="K175" s="428"/>
      <c r="L175" s="437"/>
      <c r="M175" s="870">
        <f>G167*$G175</f>
        <v>1121070</v>
      </c>
      <c r="N175" s="871" t="s">
        <v>588</v>
      </c>
      <c r="O175" s="871" t="s">
        <v>591</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s="339" customFormat="1" ht="15.75" customHeight="1">
      <c r="A176" s="334" t="str">
        <f>IF(B176&lt;&gt;"",IF(AND(B176='IN-TC'!$S$4,OR(TH!N176="1111",TH!O176="1111")),TH!D176,""),"")</f>
        <v/>
      </c>
      <c r="B176" s="63">
        <v>9</v>
      </c>
      <c r="C176" s="866">
        <v>42643</v>
      </c>
      <c r="D176" s="866" t="s">
        <v>579</v>
      </c>
      <c r="E176" s="866">
        <f t="shared" si="11"/>
        <v>42643</v>
      </c>
      <c r="F176" s="1246" t="s">
        <v>1330</v>
      </c>
      <c r="G176" s="274"/>
      <c r="H176" s="318"/>
      <c r="I176" s="437"/>
      <c r="J176" s="437"/>
      <c r="K176" s="428"/>
      <c r="L176" s="437"/>
      <c r="M176" s="870">
        <f>G168*$G175</f>
        <v>2355390</v>
      </c>
      <c r="N176" s="871" t="s">
        <v>282</v>
      </c>
      <c r="O176" s="871" t="s">
        <v>591</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s="339" customFormat="1" ht="15.75" customHeight="1">
      <c r="A177" s="334" t="str">
        <f>IF(B177&lt;&gt;"",IF(AND(B177='IN-TC'!$S$4,OR(TH!N177="1111",TH!O177="1111")),TH!D177,""),"")</f>
        <v/>
      </c>
      <c r="B177" s="63">
        <v>9</v>
      </c>
      <c r="C177" s="866">
        <v>42643</v>
      </c>
      <c r="D177" s="866" t="s">
        <v>579</v>
      </c>
      <c r="E177" s="866">
        <f t="shared" si="11"/>
        <v>42643</v>
      </c>
      <c r="F177" s="1246" t="s">
        <v>1331</v>
      </c>
      <c r="G177" s="967" t="s">
        <v>584</v>
      </c>
      <c r="H177" s="318"/>
      <c r="I177" s="437"/>
      <c r="J177" s="437"/>
      <c r="K177" s="428"/>
      <c r="L177" s="437"/>
      <c r="M177" s="870">
        <f>G167*$G177</f>
        <v>373690</v>
      </c>
      <c r="N177" s="871" t="s">
        <v>589</v>
      </c>
      <c r="O177" s="871" t="s">
        <v>592</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s="339" customFormat="1" ht="15.75" customHeight="1">
      <c r="A178" s="334" t="str">
        <f>IF(B178&lt;&gt;"",IF(AND(B178='IN-TC'!$S$4,OR(TH!N178="1111",TH!O178="1111")),TH!D178,""),"")</f>
        <v/>
      </c>
      <c r="B178" s="63">
        <v>9</v>
      </c>
      <c r="C178" s="866">
        <v>42643</v>
      </c>
      <c r="D178" s="866" t="s">
        <v>579</v>
      </c>
      <c r="E178" s="866">
        <f t="shared" si="11"/>
        <v>42643</v>
      </c>
      <c r="F178" s="1246" t="s">
        <v>1332</v>
      </c>
      <c r="G178" s="274"/>
      <c r="H178" s="318"/>
      <c r="I178" s="437"/>
      <c r="J178" s="437"/>
      <c r="K178" s="428"/>
      <c r="L178" s="437"/>
      <c r="M178" s="870">
        <f>G168*$G177</f>
        <v>785130</v>
      </c>
      <c r="N178" s="871" t="s">
        <v>589</v>
      </c>
      <c r="O178" s="871" t="s">
        <v>592</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s="339" customFormat="1" ht="15.75" customHeight="1">
      <c r="A179" s="334" t="str">
        <f>IF(B179&lt;&gt;"",IF(AND(B179='IN-TC'!$S$4,OR(TH!N179="1111",TH!O179="1111")),TH!D179,""),"")</f>
        <v/>
      </c>
      <c r="B179" s="63">
        <v>9</v>
      </c>
      <c r="C179" s="866">
        <v>42643</v>
      </c>
      <c r="D179" s="866" t="s">
        <v>579</v>
      </c>
      <c r="E179" s="866">
        <f t="shared" si="11"/>
        <v>42643</v>
      </c>
      <c r="F179" s="1246" t="s">
        <v>1333</v>
      </c>
      <c r="G179" s="967" t="s">
        <v>584</v>
      </c>
      <c r="H179" s="1117"/>
      <c r="I179" s="438"/>
      <c r="J179" s="438"/>
      <c r="K179" s="429"/>
      <c r="L179" s="438"/>
      <c r="M179" s="870">
        <f>M177</f>
        <v>373690</v>
      </c>
      <c r="N179" s="871" t="s">
        <v>588</v>
      </c>
      <c r="O179" s="871" t="s">
        <v>592</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s="339" customFormat="1" ht="15.75" customHeight="1">
      <c r="A180" s="334" t="str">
        <f>IF(B180&lt;&gt;"",IF(AND(B180='IN-TC'!$S$4,OR(TH!N180="1111",TH!O180="1111")),TH!D180,""),"")</f>
        <v/>
      </c>
      <c r="B180" s="63">
        <v>9</v>
      </c>
      <c r="C180" s="866">
        <v>42643</v>
      </c>
      <c r="D180" s="866" t="s">
        <v>579</v>
      </c>
      <c r="E180" s="866">
        <f t="shared" si="11"/>
        <v>42643</v>
      </c>
      <c r="F180" s="1246" t="s">
        <v>1334</v>
      </c>
      <c r="G180" s="274"/>
      <c r="H180" s="318"/>
      <c r="I180" s="437"/>
      <c r="J180" s="437"/>
      <c r="K180" s="428"/>
      <c r="L180" s="437"/>
      <c r="M180" s="870">
        <f>M178</f>
        <v>785130</v>
      </c>
      <c r="N180" s="871" t="s">
        <v>282</v>
      </c>
      <c r="O180" s="871" t="s">
        <v>592</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s="339" customFormat="1" ht="15.75" customHeight="1">
      <c r="A181" s="334" t="str">
        <f>IF(B181&lt;&gt;"",IF(AND(B181='IN-TC'!$S$4,OR(TH!N181="1111",TH!O181="1111")),TH!D181,""),"")</f>
        <v/>
      </c>
      <c r="B181" s="63">
        <v>10</v>
      </c>
      <c r="C181" s="866">
        <v>42653</v>
      </c>
      <c r="D181" s="866" t="s">
        <v>579</v>
      </c>
      <c r="E181" s="866">
        <f t="shared" si="11"/>
        <v>42653</v>
      </c>
      <c r="F181" s="1246" t="s">
        <v>1321</v>
      </c>
      <c r="G181" s="274">
        <v>37369000</v>
      </c>
      <c r="H181" s="318"/>
      <c r="I181" s="437"/>
      <c r="J181" s="437"/>
      <c r="K181" s="428"/>
      <c r="L181" s="437"/>
      <c r="M181" s="870">
        <v>37047409</v>
      </c>
      <c r="N181" s="871" t="s">
        <v>588</v>
      </c>
      <c r="O181" s="871"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s="339" customFormat="1" ht="15.75" customHeight="1">
      <c r="A182" s="334" t="str">
        <f>IF(B182&lt;&gt;"",IF(AND(B182='IN-TC'!$S$4,OR(TH!N182="1111",TH!O182="1111")),TH!D182,""),"")</f>
        <v/>
      </c>
      <c r="B182" s="63">
        <v>10</v>
      </c>
      <c r="C182" s="866">
        <v>42653</v>
      </c>
      <c r="D182" s="866" t="s">
        <v>579</v>
      </c>
      <c r="E182" s="866">
        <f t="shared" si="11"/>
        <v>42653</v>
      </c>
      <c r="F182" s="1246" t="s">
        <v>1322</v>
      </c>
      <c r="G182" s="274">
        <f>108366000-29853000</f>
        <v>78513000</v>
      </c>
      <c r="H182" s="318"/>
      <c r="I182" s="437"/>
      <c r="J182" s="437"/>
      <c r="K182" s="428"/>
      <c r="L182" s="437"/>
      <c r="M182" s="870">
        <v>118073109</v>
      </c>
      <c r="N182" s="871" t="s">
        <v>282</v>
      </c>
      <c r="O182" s="871"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s="339" customFormat="1" ht="15.75" customHeight="1">
      <c r="A183" s="334" t="str">
        <f>IF(B183&lt;&gt;"",IF(AND(B183='IN-TC'!$S$4,OR(TH!N183="1111",TH!O183="1111")),TH!D183,""),"")</f>
        <v/>
      </c>
      <c r="B183" s="63">
        <v>10</v>
      </c>
      <c r="C183" s="866">
        <v>42653</v>
      </c>
      <c r="D183" s="866" t="s">
        <v>579</v>
      </c>
      <c r="E183" s="866">
        <f t="shared" si="11"/>
        <v>42653</v>
      </c>
      <c r="F183" s="1246" t="s">
        <v>1323</v>
      </c>
      <c r="G183" s="967" t="s">
        <v>580</v>
      </c>
      <c r="H183" s="318"/>
      <c r="I183" s="437"/>
      <c r="J183" s="437"/>
      <c r="K183" s="428"/>
      <c r="L183" s="437"/>
      <c r="M183" s="870">
        <f>G181*$G183</f>
        <v>2989520</v>
      </c>
      <c r="N183" s="871" t="s">
        <v>589</v>
      </c>
      <c r="O183" s="871" t="s">
        <v>590</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s="339" customFormat="1" ht="15.75" customHeight="1">
      <c r="A184" s="334" t="str">
        <f>IF(B184&lt;&gt;"",IF(AND(B184='IN-TC'!$S$4,OR(TH!N184="1111",TH!O184="1111")),TH!D184,""),"")</f>
        <v/>
      </c>
      <c r="B184" s="63">
        <v>10</v>
      </c>
      <c r="C184" s="866">
        <v>42653</v>
      </c>
      <c r="D184" s="866" t="s">
        <v>579</v>
      </c>
      <c r="E184" s="866">
        <f t="shared" si="11"/>
        <v>42653</v>
      </c>
      <c r="F184" s="1246" t="s">
        <v>1324</v>
      </c>
      <c r="G184" s="274"/>
      <c r="H184" s="318"/>
      <c r="I184" s="437"/>
      <c r="J184" s="437"/>
      <c r="K184" s="428"/>
      <c r="L184" s="437"/>
      <c r="M184" s="870">
        <f>G182*$G183</f>
        <v>6281040</v>
      </c>
      <c r="N184" s="872" t="s">
        <v>589</v>
      </c>
      <c r="O184" s="873" t="s">
        <v>590</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s="339" customFormat="1" ht="15.75" customHeight="1">
      <c r="A185" s="334" t="str">
        <f>IF(B185&lt;&gt;"",IF(AND(B185='IN-TC'!$S$4,OR(TH!N185="1111",TH!O185="1111")),TH!D185,""),"")</f>
        <v/>
      </c>
      <c r="B185" s="63">
        <v>10</v>
      </c>
      <c r="C185" s="866">
        <v>42653</v>
      </c>
      <c r="D185" s="866" t="s">
        <v>579</v>
      </c>
      <c r="E185" s="866">
        <f t="shared" si="11"/>
        <v>42653</v>
      </c>
      <c r="F185" s="1246" t="s">
        <v>1325</v>
      </c>
      <c r="G185" s="967" t="s">
        <v>581</v>
      </c>
      <c r="H185" s="318"/>
      <c r="I185" s="437"/>
      <c r="J185" s="437"/>
      <c r="K185" s="428"/>
      <c r="L185" s="437"/>
      <c r="M185" s="870">
        <f>G181*$G185</f>
        <v>6726420</v>
      </c>
      <c r="N185" s="871" t="s">
        <v>588</v>
      </c>
      <c r="O185" s="871" t="s">
        <v>590</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s="339" customFormat="1" ht="15.75" customHeight="1">
      <c r="A186" s="334" t="str">
        <f>IF(B186&lt;&gt;"",IF(AND(B186='IN-TC'!$S$4,OR(TH!N186="1111",TH!O186="1111")),TH!D186,""),"")</f>
        <v/>
      </c>
      <c r="B186" s="63">
        <v>10</v>
      </c>
      <c r="C186" s="866">
        <v>42653</v>
      </c>
      <c r="D186" s="866" t="s">
        <v>579</v>
      </c>
      <c r="E186" s="866">
        <f t="shared" si="11"/>
        <v>42653</v>
      </c>
      <c r="F186" s="1246" t="s">
        <v>1326</v>
      </c>
      <c r="G186" s="274"/>
      <c r="H186" s="318"/>
      <c r="I186" s="437"/>
      <c r="J186" s="437"/>
      <c r="K186" s="428"/>
      <c r="L186" s="437"/>
      <c r="M186" s="870">
        <f>G182*$G185</f>
        <v>14132340</v>
      </c>
      <c r="N186" s="871" t="s">
        <v>282</v>
      </c>
      <c r="O186" s="871" t="s">
        <v>590</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s="339" customFormat="1" ht="15.75" customHeight="1">
      <c r="A187" s="334" t="str">
        <f>IF(B187&lt;&gt;"",IF(AND(B187='IN-TC'!$S$4,OR(TH!N187="1111",TH!O187="1111")),TH!D187,""),"")</f>
        <v/>
      </c>
      <c r="B187" s="63">
        <v>10</v>
      </c>
      <c r="C187" s="866">
        <v>42653</v>
      </c>
      <c r="D187" s="866" t="s">
        <v>579</v>
      </c>
      <c r="E187" s="866">
        <f t="shared" ref="E187:E194" si="12">C187</f>
        <v>42653</v>
      </c>
      <c r="F187" s="1246" t="s">
        <v>1327</v>
      </c>
      <c r="G187" s="967" t="s">
        <v>582</v>
      </c>
      <c r="H187" s="320"/>
      <c r="I187" s="435"/>
      <c r="J187" s="435"/>
      <c r="K187" s="426"/>
      <c r="L187" s="435"/>
      <c r="M187" s="870">
        <f>G181*$G187</f>
        <v>560535</v>
      </c>
      <c r="N187" s="871" t="s">
        <v>589</v>
      </c>
      <c r="O187" s="871" t="s">
        <v>591</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s="339" customFormat="1" ht="15.75" customHeight="1">
      <c r="A188" s="334" t="str">
        <f>IF(B188&lt;&gt;"",IF(AND(B188='IN-TC'!$S$4,OR(TH!N188="1111",TH!O188="1111")),TH!D188,""),"")</f>
        <v/>
      </c>
      <c r="B188" s="63">
        <v>10</v>
      </c>
      <c r="C188" s="866">
        <v>42653</v>
      </c>
      <c r="D188" s="866" t="s">
        <v>579</v>
      </c>
      <c r="E188" s="866">
        <f t="shared" si="12"/>
        <v>42653</v>
      </c>
      <c r="F188" s="1246" t="s">
        <v>1328</v>
      </c>
      <c r="G188" s="274"/>
      <c r="H188" s="320"/>
      <c r="I188" s="435"/>
      <c r="J188" s="435"/>
      <c r="K188" s="426"/>
      <c r="L188" s="435"/>
      <c r="M188" s="870">
        <f>G182*$G187</f>
        <v>1177695</v>
      </c>
      <c r="N188" s="871" t="s">
        <v>589</v>
      </c>
      <c r="O188" s="871" t="s">
        <v>591</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s="339" customFormat="1" ht="15.75" customHeight="1">
      <c r="A189" s="334" t="str">
        <f>IF(B189&lt;&gt;"",IF(AND(B189='IN-TC'!$S$4,OR(TH!N189="1111",TH!O189="1111")),TH!D189,""),"")</f>
        <v/>
      </c>
      <c r="B189" s="63">
        <v>10</v>
      </c>
      <c r="C189" s="866">
        <v>42653</v>
      </c>
      <c r="D189" s="866" t="s">
        <v>579</v>
      </c>
      <c r="E189" s="866">
        <f t="shared" si="12"/>
        <v>42653</v>
      </c>
      <c r="F189" s="1246" t="s">
        <v>1329</v>
      </c>
      <c r="G189" s="967" t="s">
        <v>583</v>
      </c>
      <c r="H189" s="318"/>
      <c r="I189" s="437"/>
      <c r="J189" s="437"/>
      <c r="K189" s="428"/>
      <c r="L189" s="437"/>
      <c r="M189" s="870">
        <f>G181*$G189</f>
        <v>1121070</v>
      </c>
      <c r="N189" s="871" t="s">
        <v>588</v>
      </c>
      <c r="O189" s="871" t="s">
        <v>591</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s="339" customFormat="1" ht="15.75" customHeight="1">
      <c r="A190" s="334" t="str">
        <f>IF(B190&lt;&gt;"",IF(AND(B190='IN-TC'!$S$4,OR(TH!N190="1111",TH!O190="1111")),TH!D190,""),"")</f>
        <v/>
      </c>
      <c r="B190" s="63">
        <v>10</v>
      </c>
      <c r="C190" s="866">
        <v>42653</v>
      </c>
      <c r="D190" s="866" t="s">
        <v>579</v>
      </c>
      <c r="E190" s="866">
        <f t="shared" si="12"/>
        <v>42653</v>
      </c>
      <c r="F190" s="1246" t="s">
        <v>1330</v>
      </c>
      <c r="G190" s="274"/>
      <c r="H190" s="318"/>
      <c r="I190" s="437"/>
      <c r="J190" s="437"/>
      <c r="K190" s="428"/>
      <c r="L190" s="437"/>
      <c r="M190" s="870">
        <f>G182*$G189</f>
        <v>2355390</v>
      </c>
      <c r="N190" s="871" t="s">
        <v>282</v>
      </c>
      <c r="O190" s="871" t="s">
        <v>591</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s="339" customFormat="1" ht="15.75" customHeight="1">
      <c r="A191" s="334" t="str">
        <f>IF(B191&lt;&gt;"",IF(AND(B191='IN-TC'!$S$4,OR(TH!N191="1111",TH!O191="1111")),TH!D191,""),"")</f>
        <v/>
      </c>
      <c r="B191" s="63">
        <v>10</v>
      </c>
      <c r="C191" s="866">
        <v>42653</v>
      </c>
      <c r="D191" s="866" t="s">
        <v>579</v>
      </c>
      <c r="E191" s="866">
        <f t="shared" si="12"/>
        <v>42653</v>
      </c>
      <c r="F191" s="1246" t="s">
        <v>1331</v>
      </c>
      <c r="G191" s="967" t="s">
        <v>584</v>
      </c>
      <c r="H191" s="318"/>
      <c r="I191" s="437"/>
      <c r="J191" s="437"/>
      <c r="K191" s="428"/>
      <c r="L191" s="437"/>
      <c r="M191" s="870">
        <f>G181*$G191</f>
        <v>373690</v>
      </c>
      <c r="N191" s="871" t="s">
        <v>589</v>
      </c>
      <c r="O191" s="871" t="s">
        <v>592</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s="339" customFormat="1" ht="15.75" customHeight="1">
      <c r="A192" s="334" t="str">
        <f>IF(B192&lt;&gt;"",IF(AND(B192='IN-TC'!$S$4,OR(TH!N192="1111",TH!O192="1111")),TH!D192,""),"")</f>
        <v/>
      </c>
      <c r="B192" s="63">
        <v>10</v>
      </c>
      <c r="C192" s="866">
        <v>42653</v>
      </c>
      <c r="D192" s="866" t="s">
        <v>579</v>
      </c>
      <c r="E192" s="866">
        <f t="shared" si="12"/>
        <v>42653</v>
      </c>
      <c r="F192" s="1246" t="s">
        <v>1332</v>
      </c>
      <c r="G192" s="274"/>
      <c r="H192" s="318"/>
      <c r="I192" s="437"/>
      <c r="J192" s="437"/>
      <c r="K192" s="428"/>
      <c r="L192" s="437"/>
      <c r="M192" s="870">
        <f>G182*$G191</f>
        <v>785130</v>
      </c>
      <c r="N192" s="871" t="s">
        <v>589</v>
      </c>
      <c r="O192" s="871" t="s">
        <v>592</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1" s="339" customFormat="1" ht="15.75" customHeight="1">
      <c r="A193" s="334" t="str">
        <f>IF(B193&lt;&gt;"",IF(AND(B193='IN-TC'!$S$4,OR(TH!N193="1111",TH!O193="1111")),TH!D193,""),"")</f>
        <v/>
      </c>
      <c r="B193" s="63">
        <v>10</v>
      </c>
      <c r="C193" s="866">
        <v>42653</v>
      </c>
      <c r="D193" s="866" t="s">
        <v>579</v>
      </c>
      <c r="E193" s="866">
        <f t="shared" si="12"/>
        <v>42653</v>
      </c>
      <c r="F193" s="1246" t="s">
        <v>1333</v>
      </c>
      <c r="G193" s="967" t="s">
        <v>584</v>
      </c>
      <c r="H193" s="1117"/>
      <c r="I193" s="438"/>
      <c r="J193" s="438"/>
      <c r="K193" s="429"/>
      <c r="L193" s="438"/>
      <c r="M193" s="870">
        <f>M191</f>
        <v>373690</v>
      </c>
      <c r="N193" s="871" t="s">
        <v>588</v>
      </c>
      <c r="O193" s="871" t="s">
        <v>592</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1" s="339" customFormat="1" ht="15.75" customHeight="1">
      <c r="A194" s="334" t="str">
        <f>IF(B194&lt;&gt;"",IF(AND(B194='IN-TC'!$S$4,OR(TH!N194="1111",TH!O194="1111")),TH!D194,""),"")</f>
        <v/>
      </c>
      <c r="B194" s="63">
        <v>10</v>
      </c>
      <c r="C194" s="866">
        <v>42653</v>
      </c>
      <c r="D194" s="866" t="s">
        <v>579</v>
      </c>
      <c r="E194" s="866">
        <f t="shared" si="12"/>
        <v>42653</v>
      </c>
      <c r="F194" s="1246" t="s">
        <v>1334</v>
      </c>
      <c r="G194" s="274"/>
      <c r="H194" s="318"/>
      <c r="I194" s="437"/>
      <c r="J194" s="437"/>
      <c r="K194" s="428"/>
      <c r="L194" s="437"/>
      <c r="M194" s="870">
        <f>M192</f>
        <v>785130</v>
      </c>
      <c r="N194" s="871" t="s">
        <v>282</v>
      </c>
      <c r="O194" s="871" t="s">
        <v>592</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1" s="1157" customFormat="1" ht="15.75" customHeight="1">
      <c r="A195" s="334" t="str">
        <f>IF(B195&lt;&gt;"",IF(AND(B195='IN-TC'!$S$4,OR(TH!N195="1111",TH!O195="1111")),TH!D195,""),"")</f>
        <v/>
      </c>
      <c r="B195" s="1134">
        <f t="shared" si="9"/>
        <v>1</v>
      </c>
      <c r="C195" s="1135">
        <v>42395</v>
      </c>
      <c r="D195" s="1135" t="s">
        <v>593</v>
      </c>
      <c r="E195" s="1135">
        <f t="shared" si="10"/>
        <v>42395</v>
      </c>
      <c r="F195" s="317" t="s">
        <v>448</v>
      </c>
      <c r="G195" s="1223" t="s">
        <v>614</v>
      </c>
      <c r="H195" s="94" t="s">
        <v>598</v>
      </c>
      <c r="I195" s="443">
        <v>7100</v>
      </c>
      <c r="J195" s="1224">
        <v>11.2</v>
      </c>
      <c r="K195" s="434">
        <v>79520</v>
      </c>
      <c r="L195" s="443">
        <v>22365</v>
      </c>
      <c r="M195" s="1225">
        <v>1778464800</v>
      </c>
      <c r="N195" s="1226" t="s">
        <v>585</v>
      </c>
      <c r="O195" s="1226" t="s">
        <v>298</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1" s="1157" customFormat="1" ht="15.75" customHeight="1">
      <c r="A196" s="334" t="str">
        <f>IF(B196&lt;&gt;"",IF(AND(B196='IN-TC'!$S$4,OR(TH!N196="1111",TH!O196="1111")),TH!D196,""),"")</f>
        <v/>
      </c>
      <c r="B196" s="1134">
        <f t="shared" si="9"/>
        <v>1</v>
      </c>
      <c r="C196" s="1135">
        <v>42395</v>
      </c>
      <c r="D196" s="1135" t="s">
        <v>594</v>
      </c>
      <c r="E196" s="1135">
        <f t="shared" si="10"/>
        <v>42395</v>
      </c>
      <c r="F196" s="317" t="s">
        <v>450</v>
      </c>
      <c r="G196" s="1223" t="s">
        <v>615</v>
      </c>
      <c r="H196" s="94" t="s">
        <v>595</v>
      </c>
      <c r="I196" s="443">
        <v>4800</v>
      </c>
      <c r="J196" s="1224">
        <v>8.6999999999999993</v>
      </c>
      <c r="K196" s="434">
        <v>41760</v>
      </c>
      <c r="L196" s="443">
        <v>22365</v>
      </c>
      <c r="M196" s="1225">
        <v>933962400</v>
      </c>
      <c r="N196" s="1226" t="s">
        <v>585</v>
      </c>
      <c r="O196" s="1226" t="s">
        <v>298</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1" s="348" customFormat="1" ht="15.75" customHeight="1">
      <c r="A197" s="334" t="str">
        <f>IF(B197&lt;&gt;"",IF(AND(B197='IN-TC'!$S$4,OR(TH!N197="1111",TH!O197="1111")),TH!D197,""),"")</f>
        <v/>
      </c>
      <c r="B197" s="1134">
        <f t="shared" si="9"/>
        <v>2</v>
      </c>
      <c r="C197" s="1135">
        <v>42402</v>
      </c>
      <c r="D197" s="1135" t="s">
        <v>593</v>
      </c>
      <c r="E197" s="1135">
        <f t="shared" si="10"/>
        <v>42402</v>
      </c>
      <c r="F197" s="317" t="s">
        <v>449</v>
      </c>
      <c r="G197" s="1223" t="s">
        <v>992</v>
      </c>
      <c r="H197" s="94" t="s">
        <v>596</v>
      </c>
      <c r="I197" s="443">
        <v>12000</v>
      </c>
      <c r="J197" s="1224">
        <v>8.58</v>
      </c>
      <c r="K197" s="434">
        <f t="shared" ref="K197:K220" si="13">I197*J197</f>
        <v>102960</v>
      </c>
      <c r="L197" s="443">
        <v>22215</v>
      </c>
      <c r="M197" s="1225">
        <f t="shared" ref="M197:M220" si="14">ROUND(K197*L197,0)</f>
        <v>2287256400</v>
      </c>
      <c r="N197" s="1226" t="s">
        <v>585</v>
      </c>
      <c r="O197" s="1226" t="s">
        <v>298</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c r="AE197" s="1157"/>
    </row>
    <row r="198" spans="1:31" s="348" customFormat="1" ht="15.75" customHeight="1">
      <c r="A198" s="334" t="str">
        <f>IF(B198&lt;&gt;"",IF(AND(B198='IN-TC'!$S$4,OR(TH!N198="1111",TH!O198="1111")),TH!D198,""),"")</f>
        <v/>
      </c>
      <c r="B198" s="1134">
        <f t="shared" si="9"/>
        <v>3</v>
      </c>
      <c r="C198" s="1135">
        <v>42443</v>
      </c>
      <c r="D198" s="1135" t="s">
        <v>593</v>
      </c>
      <c r="E198" s="1135">
        <f t="shared" si="10"/>
        <v>42443</v>
      </c>
      <c r="F198" s="317" t="s">
        <v>449</v>
      </c>
      <c r="G198" s="1223" t="s">
        <v>993</v>
      </c>
      <c r="H198" s="94" t="s">
        <v>596</v>
      </c>
      <c r="I198" s="443">
        <v>12500</v>
      </c>
      <c r="J198" s="1224">
        <v>8.43</v>
      </c>
      <c r="K198" s="434">
        <f t="shared" si="13"/>
        <v>105375</v>
      </c>
      <c r="L198" s="443">
        <v>22255</v>
      </c>
      <c r="M198" s="1225">
        <f t="shared" si="14"/>
        <v>2345120625</v>
      </c>
      <c r="N198" s="1226" t="s">
        <v>585</v>
      </c>
      <c r="O198" s="1226" t="s">
        <v>298</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c r="AE198" s="1157"/>
    </row>
    <row r="199" spans="1:31" s="1157" customFormat="1" ht="15.75" customHeight="1">
      <c r="A199" s="334" t="str">
        <f>IF(B199&lt;&gt;"",IF(AND(B199='IN-TC'!$S$4,OR(TH!N199="1111",TH!O199="1111")),TH!D199,""),"")</f>
        <v/>
      </c>
      <c r="B199" s="1134">
        <f t="shared" si="9"/>
        <v>4</v>
      </c>
      <c r="C199" s="1135">
        <v>42473</v>
      </c>
      <c r="D199" s="1135" t="s">
        <v>593</v>
      </c>
      <c r="E199" s="1135">
        <f t="shared" si="10"/>
        <v>42473</v>
      </c>
      <c r="F199" s="317" t="s">
        <v>450</v>
      </c>
      <c r="G199" s="1223" t="s">
        <v>1362</v>
      </c>
      <c r="H199" s="94" t="s">
        <v>1363</v>
      </c>
      <c r="I199" s="443">
        <v>8800</v>
      </c>
      <c r="J199" s="1224">
        <v>8.6999999999999993</v>
      </c>
      <c r="K199" s="434">
        <f t="shared" si="13"/>
        <v>76560</v>
      </c>
      <c r="L199" s="443">
        <v>22250</v>
      </c>
      <c r="M199" s="1225">
        <f t="shared" si="14"/>
        <v>1703460000</v>
      </c>
      <c r="N199" s="1226" t="s">
        <v>585</v>
      </c>
      <c r="O199" s="1226" t="s">
        <v>298</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1" s="1157" customFormat="1" ht="15.75" customHeight="1">
      <c r="A200" s="334" t="str">
        <f>IF(B200&lt;&gt;"",IF(AND(B200='IN-TC'!$S$4,OR(TH!N200="1111",TH!O200="1111")),TH!D200,""),"")</f>
        <v/>
      </c>
      <c r="B200" s="1134">
        <f t="shared" si="9"/>
        <v>5</v>
      </c>
      <c r="C200" s="1135">
        <f>E200</f>
        <v>42496</v>
      </c>
      <c r="D200" s="1135" t="s">
        <v>593</v>
      </c>
      <c r="E200" s="1135">
        <v>42496</v>
      </c>
      <c r="F200" s="317" t="s">
        <v>448</v>
      </c>
      <c r="G200" s="1223" t="s">
        <v>1514</v>
      </c>
      <c r="H200" s="94" t="s">
        <v>598</v>
      </c>
      <c r="I200" s="443">
        <v>4140</v>
      </c>
      <c r="J200" s="1224">
        <v>11.5</v>
      </c>
      <c r="K200" s="434">
        <f t="shared" si="13"/>
        <v>47610</v>
      </c>
      <c r="L200" s="443">
        <v>22255</v>
      </c>
      <c r="M200" s="1225">
        <f t="shared" si="14"/>
        <v>1059560550</v>
      </c>
      <c r="N200" s="1226" t="s">
        <v>585</v>
      </c>
      <c r="O200" s="1226" t="s">
        <v>298</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1" s="1157" customFormat="1" ht="15.75" customHeight="1">
      <c r="A201" s="334" t="str">
        <f>IF(B201&lt;&gt;"",IF(AND(B201='IN-TC'!$S$4,OR(TH!N201="1111",TH!O201="1111")),TH!D201,""),"")</f>
        <v/>
      </c>
      <c r="B201" s="1134">
        <f t="shared" si="9"/>
        <v>5</v>
      </c>
      <c r="C201" s="1135">
        <f>E201</f>
        <v>42496</v>
      </c>
      <c r="D201" s="1135" t="s">
        <v>593</v>
      </c>
      <c r="E201" s="1135">
        <v>42496</v>
      </c>
      <c r="F201" s="317" t="s">
        <v>1515</v>
      </c>
      <c r="G201" s="1223" t="s">
        <v>1514</v>
      </c>
      <c r="H201" s="94" t="s">
        <v>598</v>
      </c>
      <c r="I201" s="443">
        <v>880</v>
      </c>
      <c r="J201" s="1224">
        <v>8.4</v>
      </c>
      <c r="K201" s="434">
        <f t="shared" si="13"/>
        <v>7392</v>
      </c>
      <c r="L201" s="443">
        <v>22255</v>
      </c>
      <c r="M201" s="1225">
        <f t="shared" si="14"/>
        <v>164508960</v>
      </c>
      <c r="N201" s="1226" t="s">
        <v>585</v>
      </c>
      <c r="O201" s="1226" t="s">
        <v>298</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1" s="1157" customFormat="1" ht="15.75" customHeight="1">
      <c r="A202" s="334" t="str">
        <f>IF(B202&lt;&gt;"",IF(AND(B202='IN-TC'!$S$4,OR(TH!N202="1111",TH!O202="1111")),TH!D202,""),"")</f>
        <v/>
      </c>
      <c r="B202" s="1134">
        <f t="shared" si="9"/>
        <v>5</v>
      </c>
      <c r="C202" s="1135">
        <f>E202</f>
        <v>42496</v>
      </c>
      <c r="D202" s="1135" t="s">
        <v>593</v>
      </c>
      <c r="E202" s="1135">
        <v>42496</v>
      </c>
      <c r="F202" s="317" t="s">
        <v>1516</v>
      </c>
      <c r="G202" s="1223" t="s">
        <v>1514</v>
      </c>
      <c r="H202" s="94" t="s">
        <v>598</v>
      </c>
      <c r="I202" s="443">
        <v>600</v>
      </c>
      <c r="J202" s="1224">
        <v>12</v>
      </c>
      <c r="K202" s="434">
        <f t="shared" si="13"/>
        <v>7200</v>
      </c>
      <c r="L202" s="443">
        <v>22255</v>
      </c>
      <c r="M202" s="1225">
        <f t="shared" si="14"/>
        <v>160236000</v>
      </c>
      <c r="N202" s="1226" t="s">
        <v>585</v>
      </c>
      <c r="O202" s="1226" t="s">
        <v>298</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1" s="1157" customFormat="1" ht="15.75" customHeight="1">
      <c r="A203" s="334" t="str">
        <f>IF(B203&lt;&gt;"",IF(AND(B203='IN-TC'!$S$4,OR(TH!N203="1111",TH!O203="1111")),TH!D203,""),"")</f>
        <v/>
      </c>
      <c r="B203" s="1134">
        <f t="shared" si="9"/>
        <v>5</v>
      </c>
      <c r="C203" s="1135">
        <f>E203</f>
        <v>42496</v>
      </c>
      <c r="D203" s="1135" t="s">
        <v>593</v>
      </c>
      <c r="E203" s="1135">
        <v>42496</v>
      </c>
      <c r="F203" s="317" t="s">
        <v>1517</v>
      </c>
      <c r="G203" s="1223" t="s">
        <v>1514</v>
      </c>
      <c r="H203" s="94" t="s">
        <v>598</v>
      </c>
      <c r="I203" s="443">
        <v>1000</v>
      </c>
      <c r="J203" s="1224">
        <v>8.6</v>
      </c>
      <c r="K203" s="434">
        <f t="shared" si="13"/>
        <v>8600</v>
      </c>
      <c r="L203" s="443">
        <v>22255</v>
      </c>
      <c r="M203" s="1225">
        <f t="shared" si="14"/>
        <v>191393000</v>
      </c>
      <c r="N203" s="1226" t="s">
        <v>585</v>
      </c>
      <c r="O203" s="1226" t="s">
        <v>298</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1" s="1157" customFormat="1" ht="15.75" customHeight="1">
      <c r="A204" s="334" t="str">
        <f>IF(B204&lt;&gt;"",IF(AND(B204='IN-TC'!$S$4,OR(TH!N204="1111",TH!O204="1111")),TH!D204,""),"")</f>
        <v/>
      </c>
      <c r="B204" s="1134">
        <f t="shared" si="9"/>
        <v>5</v>
      </c>
      <c r="C204" s="1135">
        <f>E204</f>
        <v>42502</v>
      </c>
      <c r="D204" s="1135" t="s">
        <v>594</v>
      </c>
      <c r="E204" s="1135">
        <v>42502</v>
      </c>
      <c r="F204" s="317" t="s">
        <v>450</v>
      </c>
      <c r="G204" s="1223" t="s">
        <v>1518</v>
      </c>
      <c r="H204" s="94" t="s">
        <v>595</v>
      </c>
      <c r="I204" s="443">
        <v>4800</v>
      </c>
      <c r="J204" s="1224">
        <v>8.6999999999999993</v>
      </c>
      <c r="K204" s="434">
        <f t="shared" si="13"/>
        <v>41760</v>
      </c>
      <c r="L204" s="443">
        <v>22255</v>
      </c>
      <c r="M204" s="1225">
        <f t="shared" si="14"/>
        <v>929368800</v>
      </c>
      <c r="N204" s="1226" t="s">
        <v>585</v>
      </c>
      <c r="O204" s="1226" t="s">
        <v>298</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1" s="1157" customFormat="1" ht="15.75" customHeight="1">
      <c r="A205" s="334" t="str">
        <f>IF(B205&lt;&gt;"",IF(AND(B205='IN-TC'!$S$4,OR(TH!N205="1111",TH!O205="1111")),TH!D205,""),"")</f>
        <v/>
      </c>
      <c r="B205" s="1134">
        <f t="shared" si="9"/>
        <v>6</v>
      </c>
      <c r="C205" s="1135">
        <v>42527</v>
      </c>
      <c r="D205" s="1135" t="s">
        <v>593</v>
      </c>
      <c r="E205" s="1135">
        <f t="shared" ref="E205:E250" si="15">C205</f>
        <v>42527</v>
      </c>
      <c r="F205" s="317" t="s">
        <v>448</v>
      </c>
      <c r="G205" s="1223" t="s">
        <v>1551</v>
      </c>
      <c r="H205" s="94" t="s">
        <v>1552</v>
      </c>
      <c r="I205" s="443">
        <v>10000</v>
      </c>
      <c r="J205" s="1224">
        <v>8.4499999999999993</v>
      </c>
      <c r="K205" s="434">
        <f t="shared" si="13"/>
        <v>84500</v>
      </c>
      <c r="L205" s="443">
        <v>22405</v>
      </c>
      <c r="M205" s="1225">
        <f t="shared" si="14"/>
        <v>1893222500</v>
      </c>
      <c r="N205" s="1226" t="s">
        <v>585</v>
      </c>
      <c r="O205" s="1226" t="s">
        <v>298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1" s="1157" customFormat="1" ht="15.75" customHeight="1">
      <c r="A206" s="334" t="str">
        <f>IF(B206&lt;&gt;"",IF(AND(B206='IN-TC'!$S$4,OR(TH!N206="1111",TH!O206="1111")),TH!D206,""),"")</f>
        <v/>
      </c>
      <c r="B206" s="1134">
        <f t="shared" si="9"/>
        <v>6</v>
      </c>
      <c r="C206" s="1135">
        <v>42532</v>
      </c>
      <c r="D206" s="1135" t="s">
        <v>594</v>
      </c>
      <c r="E206" s="1135">
        <f t="shared" si="15"/>
        <v>42532</v>
      </c>
      <c r="F206" s="317" t="s">
        <v>448</v>
      </c>
      <c r="G206" s="1223" t="s">
        <v>1550</v>
      </c>
      <c r="H206" s="94" t="s">
        <v>598</v>
      </c>
      <c r="I206" s="443">
        <v>1000</v>
      </c>
      <c r="J206" s="1224">
        <v>11.5</v>
      </c>
      <c r="K206" s="434">
        <f t="shared" si="13"/>
        <v>11500</v>
      </c>
      <c r="L206" s="443">
        <v>22405</v>
      </c>
      <c r="M206" s="1225">
        <f t="shared" si="14"/>
        <v>257657500</v>
      </c>
      <c r="N206" s="1226" t="s">
        <v>585</v>
      </c>
      <c r="O206" s="1226" t="s">
        <v>298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1" s="1157" customFormat="1" ht="15.75" customHeight="1">
      <c r="A207" s="334" t="str">
        <f>IF(B207&lt;&gt;"",IF(AND(B207='IN-TC'!$S$4,OR(TH!N207="1111",TH!O207="1111")),TH!D207,""),"")</f>
        <v/>
      </c>
      <c r="B207" s="1134">
        <f t="shared" si="9"/>
        <v>6</v>
      </c>
      <c r="C207" s="1135">
        <v>42532</v>
      </c>
      <c r="D207" s="1135" t="s">
        <v>594</v>
      </c>
      <c r="E207" s="1135">
        <f t="shared" si="15"/>
        <v>42532</v>
      </c>
      <c r="F207" s="317" t="s">
        <v>1517</v>
      </c>
      <c r="G207" s="1223" t="s">
        <v>1550</v>
      </c>
      <c r="H207" s="94" t="s">
        <v>598</v>
      </c>
      <c r="I207" s="443">
        <v>2640</v>
      </c>
      <c r="J207" s="1224">
        <v>8.6</v>
      </c>
      <c r="K207" s="434">
        <f t="shared" si="13"/>
        <v>22704</v>
      </c>
      <c r="L207" s="443">
        <v>22405</v>
      </c>
      <c r="M207" s="1225">
        <f t="shared" si="14"/>
        <v>508683120</v>
      </c>
      <c r="N207" s="1226" t="s">
        <v>585</v>
      </c>
      <c r="O207" s="1226" t="s">
        <v>298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1" s="1157" customFormat="1" ht="15.75" customHeight="1">
      <c r="A208" s="334" t="str">
        <f>IF(B208&lt;&gt;"",IF(AND(B208='IN-TC'!$S$4,OR(TH!N208="1111",TH!O208="1111")),TH!D208,""),"")</f>
        <v/>
      </c>
      <c r="B208" s="1134">
        <f t="shared" si="9"/>
        <v>6</v>
      </c>
      <c r="C208" s="1135">
        <v>42535</v>
      </c>
      <c r="D208" s="1135" t="s">
        <v>1671</v>
      </c>
      <c r="E208" s="1135">
        <f t="shared" si="15"/>
        <v>42535</v>
      </c>
      <c r="F208" s="317" t="s">
        <v>1673</v>
      </c>
      <c r="G208" s="1223" t="s">
        <v>1675</v>
      </c>
      <c r="H208" s="94" t="s">
        <v>1539</v>
      </c>
      <c r="I208" s="443">
        <v>1750</v>
      </c>
      <c r="J208" s="1224">
        <v>1</v>
      </c>
      <c r="K208" s="434">
        <f t="shared" si="13"/>
        <v>1750</v>
      </c>
      <c r="L208" s="443">
        <v>22300</v>
      </c>
      <c r="M208" s="1225">
        <f t="shared" si="14"/>
        <v>39025000</v>
      </c>
      <c r="N208" s="1226" t="s">
        <v>585</v>
      </c>
      <c r="O208" s="1226" t="s">
        <v>298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s="1157" customFormat="1" ht="15.75" customHeight="1">
      <c r="A209" s="334" t="str">
        <f>IF(B209&lt;&gt;"",IF(AND(B209='IN-TC'!$S$4,OR(TH!N209="1111",TH!O209="1111")),TH!D209,""),"")</f>
        <v/>
      </c>
      <c r="B209" s="1134">
        <f t="shared" si="9"/>
        <v>6</v>
      </c>
      <c r="C209" s="1135">
        <v>42535</v>
      </c>
      <c r="D209" s="1135" t="s">
        <v>1671</v>
      </c>
      <c r="E209" s="1135">
        <f t="shared" si="15"/>
        <v>42535</v>
      </c>
      <c r="F209" s="317" t="s">
        <v>1674</v>
      </c>
      <c r="G209" s="1223" t="s">
        <v>1675</v>
      </c>
      <c r="H209" s="94" t="s">
        <v>1539</v>
      </c>
      <c r="I209" s="443">
        <v>5390</v>
      </c>
      <c r="J209" s="1224">
        <v>0.75</v>
      </c>
      <c r="K209" s="434">
        <f t="shared" si="13"/>
        <v>4042.5</v>
      </c>
      <c r="L209" s="443">
        <v>22300</v>
      </c>
      <c r="M209" s="1225">
        <f t="shared" si="14"/>
        <v>90147750</v>
      </c>
      <c r="N209" s="1226" t="s">
        <v>585</v>
      </c>
      <c r="O209" s="1226" t="s">
        <v>298</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s="1157" customFormat="1" ht="15.75" customHeight="1">
      <c r="A210" s="334" t="str">
        <f>IF(B210&lt;&gt;"",IF(AND(B210='IN-TC'!$S$4,OR(TH!N210="1111",TH!O210="1111")),TH!D210,""),"")</f>
        <v/>
      </c>
      <c r="B210" s="1134">
        <f t="shared" si="9"/>
        <v>6</v>
      </c>
      <c r="C210" s="1135">
        <v>42536</v>
      </c>
      <c r="D210" s="1135" t="s">
        <v>1672</v>
      </c>
      <c r="E210" s="1135">
        <f t="shared" si="15"/>
        <v>42536</v>
      </c>
      <c r="F210" s="317" t="s">
        <v>1676</v>
      </c>
      <c r="G210" s="1223" t="s">
        <v>1686</v>
      </c>
      <c r="H210" s="94" t="s">
        <v>1687</v>
      </c>
      <c r="I210" s="443">
        <v>690</v>
      </c>
      <c r="J210" s="1224">
        <v>29.1</v>
      </c>
      <c r="K210" s="434">
        <f t="shared" si="13"/>
        <v>20079</v>
      </c>
      <c r="L210" s="443">
        <v>22300</v>
      </c>
      <c r="M210" s="1225">
        <f t="shared" si="14"/>
        <v>447761700</v>
      </c>
      <c r="N210" s="1226" t="s">
        <v>585</v>
      </c>
      <c r="O210" s="1226" t="s">
        <v>298</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c r="AF210" s="1227">
        <f>J210*L210</f>
        <v>648930</v>
      </c>
    </row>
    <row r="211" spans="1:32" s="1157" customFormat="1" ht="15.75" customHeight="1">
      <c r="A211" s="334" t="str">
        <f>IF(B211&lt;&gt;"",IF(AND(B211='IN-TC'!$S$4,OR(TH!N211="1111",TH!O211="1111")),TH!D211,""),"")</f>
        <v/>
      </c>
      <c r="B211" s="1134">
        <f t="shared" si="9"/>
        <v>6</v>
      </c>
      <c r="C211" s="1135">
        <v>42536</v>
      </c>
      <c r="D211" s="1135" t="s">
        <v>1672</v>
      </c>
      <c r="E211" s="1135">
        <f t="shared" si="15"/>
        <v>42536</v>
      </c>
      <c r="F211" s="317" t="s">
        <v>1677</v>
      </c>
      <c r="G211" s="1223" t="s">
        <v>1686</v>
      </c>
      <c r="H211" s="94" t="s">
        <v>1687</v>
      </c>
      <c r="I211" s="443">
        <v>500</v>
      </c>
      <c r="J211" s="1224">
        <v>29.6</v>
      </c>
      <c r="K211" s="434">
        <f t="shared" si="13"/>
        <v>14800</v>
      </c>
      <c r="L211" s="443">
        <v>22300</v>
      </c>
      <c r="M211" s="1225">
        <f t="shared" si="14"/>
        <v>330040000</v>
      </c>
      <c r="N211" s="1226" t="s">
        <v>585</v>
      </c>
      <c r="O211" s="1226" t="s">
        <v>298</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c r="AF211" s="1227"/>
    </row>
    <row r="212" spans="1:32" s="1157" customFormat="1" ht="15.75" customHeight="1">
      <c r="A212" s="334" t="str">
        <f>IF(B212&lt;&gt;"",IF(AND(B212='IN-TC'!$S$4,OR(TH!N212="1111",TH!O212="1111")),TH!D212,""),"")</f>
        <v/>
      </c>
      <c r="B212" s="1134">
        <f t="shared" si="9"/>
        <v>6</v>
      </c>
      <c r="C212" s="1135">
        <v>42536</v>
      </c>
      <c r="D212" s="1135" t="s">
        <v>1672</v>
      </c>
      <c r="E212" s="1135">
        <f t="shared" si="15"/>
        <v>42536</v>
      </c>
      <c r="F212" s="317" t="s">
        <v>1678</v>
      </c>
      <c r="G212" s="1223" t="s">
        <v>1686</v>
      </c>
      <c r="H212" s="94" t="s">
        <v>1687</v>
      </c>
      <c r="I212" s="443">
        <v>560</v>
      </c>
      <c r="J212" s="1224">
        <v>29.6</v>
      </c>
      <c r="K212" s="434">
        <f t="shared" si="13"/>
        <v>16576</v>
      </c>
      <c r="L212" s="443">
        <v>22300</v>
      </c>
      <c r="M212" s="1225">
        <f t="shared" si="14"/>
        <v>369644800</v>
      </c>
      <c r="N212" s="1226" t="s">
        <v>585</v>
      </c>
      <c r="O212" s="1226" t="s">
        <v>298</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c r="AF212" s="1227"/>
    </row>
    <row r="213" spans="1:32" s="1157" customFormat="1" ht="15.75" customHeight="1">
      <c r="A213" s="334" t="str">
        <f>IF(B213&lt;&gt;"",IF(AND(B213='IN-TC'!$S$4,OR(TH!N213="1111",TH!O213="1111")),TH!D213,""),"")</f>
        <v/>
      </c>
      <c r="B213" s="1134">
        <f t="shared" si="9"/>
        <v>6</v>
      </c>
      <c r="C213" s="1135">
        <v>42536</v>
      </c>
      <c r="D213" s="1135" t="s">
        <v>1672</v>
      </c>
      <c r="E213" s="1135">
        <f t="shared" si="15"/>
        <v>42536</v>
      </c>
      <c r="F213" s="317" t="s">
        <v>1679</v>
      </c>
      <c r="G213" s="1223" t="s">
        <v>1686</v>
      </c>
      <c r="H213" s="94" t="s">
        <v>1687</v>
      </c>
      <c r="I213" s="443">
        <v>580</v>
      </c>
      <c r="J213" s="1224">
        <v>28.3</v>
      </c>
      <c r="K213" s="434">
        <f t="shared" si="13"/>
        <v>16414</v>
      </c>
      <c r="L213" s="443">
        <v>22300</v>
      </c>
      <c r="M213" s="1225">
        <f t="shared" si="14"/>
        <v>366032200</v>
      </c>
      <c r="N213" s="1226" t="s">
        <v>585</v>
      </c>
      <c r="O213" s="1226" t="s">
        <v>298</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c r="AF213" s="1227"/>
    </row>
    <row r="214" spans="1:32" s="1157" customFormat="1" ht="15.75" customHeight="1">
      <c r="A214" s="334" t="str">
        <f>IF(B214&lt;&gt;"",IF(AND(B214='IN-TC'!$S$4,OR(TH!N214="1111",TH!O214="1111")),TH!D214,""),"")</f>
        <v/>
      </c>
      <c r="B214" s="1134">
        <f t="shared" si="9"/>
        <v>6</v>
      </c>
      <c r="C214" s="1135">
        <v>42536</v>
      </c>
      <c r="D214" s="1135" t="s">
        <v>1672</v>
      </c>
      <c r="E214" s="1135">
        <f t="shared" si="15"/>
        <v>42536</v>
      </c>
      <c r="F214" s="317" t="s">
        <v>1680</v>
      </c>
      <c r="G214" s="1223" t="s">
        <v>1686</v>
      </c>
      <c r="H214" s="94" t="s">
        <v>1687</v>
      </c>
      <c r="I214" s="443">
        <v>870</v>
      </c>
      <c r="J214" s="1224">
        <v>24.7</v>
      </c>
      <c r="K214" s="434">
        <f t="shared" si="13"/>
        <v>21489</v>
      </c>
      <c r="L214" s="443">
        <v>22300</v>
      </c>
      <c r="M214" s="1225">
        <f t="shared" si="14"/>
        <v>479204700</v>
      </c>
      <c r="N214" s="1226" t="s">
        <v>585</v>
      </c>
      <c r="O214" s="1226" t="s">
        <v>298</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c r="AF214" s="1227"/>
    </row>
    <row r="215" spans="1:32" s="1157" customFormat="1" ht="15.75" customHeight="1">
      <c r="A215" s="334" t="str">
        <f>IF(B215&lt;&gt;"",IF(AND(B215='IN-TC'!$S$4,OR(TH!N215="1111",TH!O215="1111")),TH!D215,""),"")</f>
        <v/>
      </c>
      <c r="B215" s="1134">
        <f t="shared" si="9"/>
        <v>6</v>
      </c>
      <c r="C215" s="1135">
        <v>42536</v>
      </c>
      <c r="D215" s="1135" t="s">
        <v>1672</v>
      </c>
      <c r="E215" s="1135">
        <f t="shared" si="15"/>
        <v>42536</v>
      </c>
      <c r="F215" s="317" t="s">
        <v>1681</v>
      </c>
      <c r="G215" s="1223" t="s">
        <v>1686</v>
      </c>
      <c r="H215" s="94" t="s">
        <v>1687</v>
      </c>
      <c r="I215" s="443">
        <v>130</v>
      </c>
      <c r="J215" s="1224">
        <v>26.1</v>
      </c>
      <c r="K215" s="434">
        <f t="shared" si="13"/>
        <v>3393</v>
      </c>
      <c r="L215" s="443">
        <v>22300</v>
      </c>
      <c r="M215" s="1225">
        <f t="shared" si="14"/>
        <v>75663900</v>
      </c>
      <c r="N215" s="1226" t="s">
        <v>585</v>
      </c>
      <c r="O215" s="1226" t="s">
        <v>298</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227"/>
    </row>
    <row r="216" spans="1:32" s="1157" customFormat="1" ht="15.75" customHeight="1">
      <c r="A216" s="334" t="str">
        <f>IF(B216&lt;&gt;"",IF(AND(B216='IN-TC'!$S$4,OR(TH!N216="1111",TH!O216="1111")),TH!D216,""),"")</f>
        <v/>
      </c>
      <c r="B216" s="1134">
        <f t="shared" si="9"/>
        <v>6</v>
      </c>
      <c r="C216" s="1135">
        <v>42536</v>
      </c>
      <c r="D216" s="1135" t="s">
        <v>1672</v>
      </c>
      <c r="E216" s="1135">
        <f t="shared" si="15"/>
        <v>42536</v>
      </c>
      <c r="F216" s="317" t="s">
        <v>1682</v>
      </c>
      <c r="G216" s="1223" t="s">
        <v>1686</v>
      </c>
      <c r="H216" s="94" t="s">
        <v>1687</v>
      </c>
      <c r="I216" s="443">
        <v>250</v>
      </c>
      <c r="J216" s="1224">
        <v>26.7</v>
      </c>
      <c r="K216" s="434">
        <f t="shared" si="13"/>
        <v>6675</v>
      </c>
      <c r="L216" s="443">
        <v>22300</v>
      </c>
      <c r="M216" s="1225">
        <f t="shared" si="14"/>
        <v>148852500</v>
      </c>
      <c r="N216" s="1226" t="s">
        <v>585</v>
      </c>
      <c r="O216" s="1226" t="s">
        <v>298</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227"/>
    </row>
    <row r="217" spans="1:32" s="1157" customFormat="1" ht="15.75" customHeight="1">
      <c r="A217" s="334" t="str">
        <f>IF(B217&lt;&gt;"",IF(AND(B217='IN-TC'!$S$4,OR(TH!N217="1111",TH!O217="1111")),TH!D217,""),"")</f>
        <v/>
      </c>
      <c r="B217" s="1134">
        <f t="shared" si="9"/>
        <v>6</v>
      </c>
      <c r="C217" s="1135">
        <v>42536</v>
      </c>
      <c r="D217" s="1135" t="s">
        <v>1672</v>
      </c>
      <c r="E217" s="1135">
        <f t="shared" si="15"/>
        <v>42536</v>
      </c>
      <c r="F217" s="317" t="s">
        <v>1683</v>
      </c>
      <c r="G217" s="1223" t="s">
        <v>1686</v>
      </c>
      <c r="H217" s="94" t="s">
        <v>1687</v>
      </c>
      <c r="I217" s="443">
        <v>660</v>
      </c>
      <c r="J217" s="1224">
        <v>25.3</v>
      </c>
      <c r="K217" s="434">
        <f t="shared" si="13"/>
        <v>16698</v>
      </c>
      <c r="L217" s="443">
        <v>22300</v>
      </c>
      <c r="M217" s="1225">
        <f t="shared" si="14"/>
        <v>372365400</v>
      </c>
      <c r="N217" s="1226" t="s">
        <v>585</v>
      </c>
      <c r="O217" s="1226" t="s">
        <v>298</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c r="AF217" s="1227"/>
    </row>
    <row r="218" spans="1:32" s="1157" customFormat="1" ht="15.75" customHeight="1">
      <c r="A218" s="334" t="str">
        <f>IF(B218&lt;&gt;"",IF(AND(B218='IN-TC'!$S$4,OR(TH!N218="1111",TH!O218="1111")),TH!D218,""),"")</f>
        <v/>
      </c>
      <c r="B218" s="1134">
        <f t="shared" si="9"/>
        <v>6</v>
      </c>
      <c r="C218" s="1135">
        <v>42536</v>
      </c>
      <c r="D218" s="1135" t="s">
        <v>1672</v>
      </c>
      <c r="E218" s="1135">
        <f t="shared" si="15"/>
        <v>42536</v>
      </c>
      <c r="F218" s="317" t="s">
        <v>1684</v>
      </c>
      <c r="G218" s="1223" t="s">
        <v>1686</v>
      </c>
      <c r="H218" s="94" t="s">
        <v>1687</v>
      </c>
      <c r="I218" s="443">
        <v>320</v>
      </c>
      <c r="J218" s="1224">
        <v>21.8</v>
      </c>
      <c r="K218" s="434">
        <f t="shared" si="13"/>
        <v>6976</v>
      </c>
      <c r="L218" s="443">
        <v>22300</v>
      </c>
      <c r="M218" s="1225">
        <f t="shared" si="14"/>
        <v>155564800</v>
      </c>
      <c r="N218" s="1226" t="s">
        <v>585</v>
      </c>
      <c r="O218" s="1226" t="s">
        <v>298</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c r="AF218" s="1227"/>
    </row>
    <row r="219" spans="1:32" s="1157" customFormat="1" ht="15.75" customHeight="1">
      <c r="A219" s="334" t="str">
        <f>IF(B219&lt;&gt;"",IF(AND(B219='IN-TC'!$S$4,OR(TH!N219="1111",TH!O219="1111")),TH!D219,""),"")</f>
        <v/>
      </c>
      <c r="B219" s="1134">
        <f t="shared" si="9"/>
        <v>6</v>
      </c>
      <c r="C219" s="1135">
        <v>42536</v>
      </c>
      <c r="D219" s="1135" t="s">
        <v>1672</v>
      </c>
      <c r="E219" s="1135">
        <f t="shared" si="15"/>
        <v>42536</v>
      </c>
      <c r="F219" s="317" t="s">
        <v>1685</v>
      </c>
      <c r="G219" s="1223" t="s">
        <v>1686</v>
      </c>
      <c r="H219" s="94" t="s">
        <v>1687</v>
      </c>
      <c r="I219" s="443">
        <v>2000</v>
      </c>
      <c r="J219" s="1224">
        <v>25.9</v>
      </c>
      <c r="K219" s="434">
        <f t="shared" si="13"/>
        <v>51800</v>
      </c>
      <c r="L219" s="443">
        <v>22300</v>
      </c>
      <c r="M219" s="1225">
        <f t="shared" si="14"/>
        <v>1155140000</v>
      </c>
      <c r="N219" s="1226" t="s">
        <v>585</v>
      </c>
      <c r="O219" s="1226" t="s">
        <v>298</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c r="AF219" s="1227"/>
    </row>
    <row r="220" spans="1:32" s="348" customFormat="1" ht="15.75" customHeight="1">
      <c r="A220" s="334" t="str">
        <f>IF(B220&lt;&gt;"",IF(AND(B220='IN-TC'!$S$4,OR(TH!N220="1111",TH!O220="1111")),TH!D220,""),"")</f>
        <v/>
      </c>
      <c r="B220" s="1134">
        <f t="shared" si="9"/>
        <v>7</v>
      </c>
      <c r="C220" s="1135">
        <v>42557</v>
      </c>
      <c r="D220" s="1135" t="s">
        <v>593</v>
      </c>
      <c r="E220" s="1135">
        <f t="shared" si="15"/>
        <v>42557</v>
      </c>
      <c r="F220" s="317" t="s">
        <v>450</v>
      </c>
      <c r="G220" s="1223" t="s">
        <v>1787</v>
      </c>
      <c r="H220" s="94" t="s">
        <v>595</v>
      </c>
      <c r="I220" s="443">
        <v>4800</v>
      </c>
      <c r="J220" s="1224">
        <v>8.6999999999999993</v>
      </c>
      <c r="K220" s="434">
        <f t="shared" si="13"/>
        <v>41760</v>
      </c>
      <c r="L220" s="443">
        <v>22270</v>
      </c>
      <c r="M220" s="1225">
        <f t="shared" si="14"/>
        <v>929995200</v>
      </c>
      <c r="N220" s="1226" t="s">
        <v>585</v>
      </c>
      <c r="O220" s="1226" t="s">
        <v>298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c r="AE220" s="1157"/>
      <c r="AF220" s="1157"/>
    </row>
    <row r="221" spans="1:32" s="348" customFormat="1" ht="15.75" customHeight="1">
      <c r="A221" s="334" t="str">
        <f>IF(B221&lt;&gt;"",IF(AND(B221='IN-TC'!$S$4,OR(TH!N221="1111",TH!O221="1111")),TH!D221,""),"")</f>
        <v/>
      </c>
      <c r="B221" s="1134">
        <f t="shared" si="9"/>
        <v>7</v>
      </c>
      <c r="C221" s="1135">
        <v>42563</v>
      </c>
      <c r="D221" s="1135" t="s">
        <v>594</v>
      </c>
      <c r="E221" s="1135">
        <f t="shared" si="15"/>
        <v>42563</v>
      </c>
      <c r="F221" s="317" t="s">
        <v>1786</v>
      </c>
      <c r="G221" s="1223" t="s">
        <v>1788</v>
      </c>
      <c r="H221" s="94" t="s">
        <v>1766</v>
      </c>
      <c r="I221" s="443">
        <v>2270</v>
      </c>
      <c r="J221" s="443">
        <v>252103</v>
      </c>
      <c r="K221" s="434"/>
      <c r="L221" s="443"/>
      <c r="M221" s="1225">
        <f>ROUND(I221*J221,0)</f>
        <v>572273810</v>
      </c>
      <c r="N221" s="1226" t="s">
        <v>585</v>
      </c>
      <c r="O221" s="1226" t="s">
        <v>296</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c r="AE221" s="1157"/>
    </row>
    <row r="222" spans="1:32" s="348" customFormat="1" ht="15.75" customHeight="1">
      <c r="A222" s="334" t="str">
        <f>IF(B222&lt;&gt;"",IF(AND(B222='IN-TC'!$S$4,OR(TH!N222="1111",TH!O222="1111")),TH!D222,""),"")</f>
        <v/>
      </c>
      <c r="B222" s="1134">
        <f t="shared" si="9"/>
        <v>7</v>
      </c>
      <c r="C222" s="1135">
        <v>42563</v>
      </c>
      <c r="D222" s="1135" t="s">
        <v>594</v>
      </c>
      <c r="E222" s="1135">
        <f t="shared" si="15"/>
        <v>42563</v>
      </c>
      <c r="F222" s="317" t="s">
        <v>1790</v>
      </c>
      <c r="G222" s="1223" t="s">
        <v>1788</v>
      </c>
      <c r="H222" s="94" t="s">
        <v>1766</v>
      </c>
      <c r="I222" s="443"/>
      <c r="J222" s="1224"/>
      <c r="K222" s="434"/>
      <c r="L222" s="443"/>
      <c r="M222" s="1225">
        <v>57227381</v>
      </c>
      <c r="N222" s="1226" t="s">
        <v>585</v>
      </c>
      <c r="O222" s="1226" t="s">
        <v>928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c r="AE222" s="1157"/>
    </row>
    <row r="223" spans="1:32" s="348" customFormat="1" ht="15.75" customHeight="1">
      <c r="A223" s="334" t="str">
        <f>IF(B223&lt;&gt;"",IF(AND(B223='IN-TC'!$S$4,OR(TH!N223="1111",TH!O223="1111")),TH!D223,""),"")</f>
        <v/>
      </c>
      <c r="B223" s="1134">
        <f t="shared" si="9"/>
        <v>7</v>
      </c>
      <c r="C223" s="1135">
        <v>42577</v>
      </c>
      <c r="D223" s="1135" t="s">
        <v>1671</v>
      </c>
      <c r="E223" s="1135">
        <f t="shared" si="15"/>
        <v>42577</v>
      </c>
      <c r="F223" s="317" t="s">
        <v>1673</v>
      </c>
      <c r="G223" s="1223" t="s">
        <v>1789</v>
      </c>
      <c r="H223" s="94" t="s">
        <v>1539</v>
      </c>
      <c r="I223" s="443">
        <v>900</v>
      </c>
      <c r="J223" s="1224">
        <v>1</v>
      </c>
      <c r="K223" s="434">
        <f t="shared" ref="K223:K250" si="16">I223*J223</f>
        <v>900</v>
      </c>
      <c r="L223" s="443">
        <v>22265</v>
      </c>
      <c r="M223" s="1225">
        <f t="shared" ref="M223:M250" si="17">ROUND(K223*L223,0)</f>
        <v>20038500</v>
      </c>
      <c r="N223" s="1226" t="s">
        <v>585</v>
      </c>
      <c r="O223" s="1226" t="s">
        <v>298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c r="AE223" s="1157"/>
    </row>
    <row r="224" spans="1:32" s="348" customFormat="1" ht="15.75" customHeight="1">
      <c r="A224" s="334" t="str">
        <f>IF(B224&lt;&gt;"",IF(AND(B224='IN-TC'!$S$4,OR(TH!N224="1111",TH!O224="1111")),TH!D224,""),"")</f>
        <v/>
      </c>
      <c r="B224" s="1134">
        <f t="shared" si="9"/>
        <v>8</v>
      </c>
      <c r="C224" s="1135">
        <v>42583</v>
      </c>
      <c r="D224" s="1135" t="s">
        <v>593</v>
      </c>
      <c r="E224" s="1135">
        <f t="shared" si="15"/>
        <v>42583</v>
      </c>
      <c r="F224" s="317" t="s">
        <v>1896</v>
      </c>
      <c r="G224" s="1223" t="s">
        <v>1897</v>
      </c>
      <c r="H224" s="94" t="s">
        <v>598</v>
      </c>
      <c r="I224" s="443">
        <v>1760</v>
      </c>
      <c r="J224" s="1224">
        <v>8.6</v>
      </c>
      <c r="K224" s="434">
        <f t="shared" si="16"/>
        <v>15136</v>
      </c>
      <c r="L224" s="443">
        <v>22260</v>
      </c>
      <c r="M224" s="1225">
        <f t="shared" si="17"/>
        <v>336927360</v>
      </c>
      <c r="N224" s="1226" t="s">
        <v>585</v>
      </c>
      <c r="O224" s="1226" t="s">
        <v>298</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c r="AE224" s="1157"/>
    </row>
    <row r="225" spans="1:31" s="348" customFormat="1" ht="15.75" customHeight="1">
      <c r="A225" s="334" t="str">
        <f>IF(B225&lt;&gt;"",IF(AND(B225='IN-TC'!$S$4,OR(TH!N225="1111",TH!O225="1111")),TH!D225,""),"")</f>
        <v/>
      </c>
      <c r="B225" s="1134">
        <f t="shared" si="9"/>
        <v>8</v>
      </c>
      <c r="C225" s="1135">
        <v>42583</v>
      </c>
      <c r="D225" s="1135" t="s">
        <v>593</v>
      </c>
      <c r="E225" s="1135">
        <f t="shared" si="15"/>
        <v>42583</v>
      </c>
      <c r="F225" s="317" t="s">
        <v>1898</v>
      </c>
      <c r="G225" s="1223" t="s">
        <v>1897</v>
      </c>
      <c r="H225" s="94" t="s">
        <v>598</v>
      </c>
      <c r="I225" s="443">
        <v>1700</v>
      </c>
      <c r="J225" s="1224">
        <v>11.5</v>
      </c>
      <c r="K225" s="434">
        <f t="shared" si="16"/>
        <v>19550</v>
      </c>
      <c r="L225" s="443">
        <v>22260</v>
      </c>
      <c r="M225" s="1225">
        <f t="shared" si="17"/>
        <v>435183000</v>
      </c>
      <c r="N225" s="1226" t="s">
        <v>585</v>
      </c>
      <c r="O225" s="1226" t="s">
        <v>298</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c r="AE225" s="1157"/>
    </row>
    <row r="226" spans="1:31" s="348" customFormat="1" ht="15.75" customHeight="1">
      <c r="A226" s="334" t="str">
        <f>IF(B226&lt;&gt;"",IF(AND(B226='IN-TC'!$S$4,OR(TH!N226="1111",TH!O226="1111")),TH!D226,""),"")</f>
        <v/>
      </c>
      <c r="B226" s="1134">
        <f t="shared" si="9"/>
        <v>8</v>
      </c>
      <c r="C226" s="1135">
        <v>42583</v>
      </c>
      <c r="D226" s="1135" t="s">
        <v>593</v>
      </c>
      <c r="E226" s="1135">
        <f t="shared" si="15"/>
        <v>42583</v>
      </c>
      <c r="F226" s="317" t="s">
        <v>1899</v>
      </c>
      <c r="G226" s="1223" t="s">
        <v>1897</v>
      </c>
      <c r="H226" s="94" t="s">
        <v>598</v>
      </c>
      <c r="I226" s="443">
        <v>1090</v>
      </c>
      <c r="J226" s="1224">
        <v>8.4</v>
      </c>
      <c r="K226" s="434">
        <f t="shared" si="16"/>
        <v>9156</v>
      </c>
      <c r="L226" s="443">
        <v>22260</v>
      </c>
      <c r="M226" s="1225">
        <f t="shared" si="17"/>
        <v>203812560</v>
      </c>
      <c r="N226" s="1226" t="s">
        <v>585</v>
      </c>
      <c r="O226" s="1226" t="s">
        <v>298</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c r="AE226" s="1157"/>
    </row>
    <row r="227" spans="1:31" s="348" customFormat="1" ht="15.75" customHeight="1">
      <c r="A227" s="334" t="str">
        <f>IF(B227&lt;&gt;"",IF(AND(B227='IN-TC'!$S$4,OR(TH!N227="1111",TH!O227="1111")),TH!D227,""),"")</f>
        <v/>
      </c>
      <c r="B227" s="1134">
        <f t="shared" si="9"/>
        <v>8</v>
      </c>
      <c r="C227" s="1135">
        <v>42583</v>
      </c>
      <c r="D227" s="1135" t="s">
        <v>593</v>
      </c>
      <c r="E227" s="1135">
        <f t="shared" si="15"/>
        <v>42583</v>
      </c>
      <c r="F227" s="317" t="s">
        <v>1900</v>
      </c>
      <c r="G227" s="1223" t="s">
        <v>1897</v>
      </c>
      <c r="H227" s="94" t="s">
        <v>598</v>
      </c>
      <c r="I227" s="443">
        <v>390</v>
      </c>
      <c r="J227" s="1224">
        <v>9.5</v>
      </c>
      <c r="K227" s="434">
        <f t="shared" si="16"/>
        <v>3705</v>
      </c>
      <c r="L227" s="443">
        <v>22260</v>
      </c>
      <c r="M227" s="1225">
        <f t="shared" si="17"/>
        <v>82473300</v>
      </c>
      <c r="N227" s="1226" t="s">
        <v>585</v>
      </c>
      <c r="O227" s="1226" t="s">
        <v>298</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c r="AE227" s="1157"/>
    </row>
    <row r="228" spans="1:31" s="348" customFormat="1" ht="15.75" customHeight="1">
      <c r="A228" s="334" t="str">
        <f>IF(B228&lt;&gt;"",IF(AND(B228='IN-TC'!$S$4,OR(TH!N228="1111",TH!O228="1111")),TH!D228,""),"")</f>
        <v/>
      </c>
      <c r="B228" s="1134">
        <f t="shared" si="9"/>
        <v>8</v>
      </c>
      <c r="C228" s="1135">
        <v>42587</v>
      </c>
      <c r="D228" s="1135" t="s">
        <v>594</v>
      </c>
      <c r="E228" s="1135">
        <f t="shared" si="15"/>
        <v>42587</v>
      </c>
      <c r="F228" s="317" t="s">
        <v>438</v>
      </c>
      <c r="G228" s="1223" t="s">
        <v>1901</v>
      </c>
      <c r="H228" s="94" t="s">
        <v>1902</v>
      </c>
      <c r="I228" s="443">
        <v>52000</v>
      </c>
      <c r="J228" s="1224">
        <v>2.85</v>
      </c>
      <c r="K228" s="434">
        <f t="shared" si="16"/>
        <v>148200</v>
      </c>
      <c r="L228" s="443">
        <v>22260</v>
      </c>
      <c r="M228" s="1225">
        <f t="shared" si="17"/>
        <v>3298932000</v>
      </c>
      <c r="N228" s="1226" t="s">
        <v>585</v>
      </c>
      <c r="O228" s="1226" t="s">
        <v>298</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x</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c r="AE228" s="1157"/>
    </row>
    <row r="229" spans="1:31" s="348" customFormat="1" ht="15.75" customHeight="1">
      <c r="A229" s="334" t="str">
        <f>IF(B229&lt;&gt;"",IF(AND(B229='IN-TC'!$S$4,OR(TH!N229="1111",TH!O229="1111")),TH!D229,""),"")</f>
        <v/>
      </c>
      <c r="B229" s="1134">
        <f t="shared" si="9"/>
        <v>8</v>
      </c>
      <c r="C229" s="1135">
        <v>42594</v>
      </c>
      <c r="D229" s="1135" t="s">
        <v>1671</v>
      </c>
      <c r="E229" s="1135">
        <f t="shared" si="15"/>
        <v>42594</v>
      </c>
      <c r="F229" s="317" t="s">
        <v>438</v>
      </c>
      <c r="G229" s="1223" t="s">
        <v>1903</v>
      </c>
      <c r="H229" s="94" t="s">
        <v>1902</v>
      </c>
      <c r="I229" s="443">
        <v>52000</v>
      </c>
      <c r="J229" s="1224">
        <v>2.85</v>
      </c>
      <c r="K229" s="434">
        <f t="shared" si="16"/>
        <v>148200</v>
      </c>
      <c r="L229" s="443">
        <v>22260</v>
      </c>
      <c r="M229" s="1225">
        <f t="shared" si="17"/>
        <v>3298932000</v>
      </c>
      <c r="N229" s="1226" t="s">
        <v>585</v>
      </c>
      <c r="O229" s="1226" t="s">
        <v>298</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x</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c r="AE229" s="1157"/>
    </row>
    <row r="230" spans="1:31" s="348" customFormat="1" ht="15.75" customHeight="1">
      <c r="A230" s="334" t="str">
        <f>IF(B230&lt;&gt;"",IF(AND(B230='IN-TC'!$S$4,OR(TH!N230="1111",TH!O230="1111")),TH!D230,""),"")</f>
        <v/>
      </c>
      <c r="B230" s="1134">
        <f t="shared" si="9"/>
        <v>8</v>
      </c>
      <c r="C230" s="1135">
        <v>42599</v>
      </c>
      <c r="D230" s="1135" t="s">
        <v>1672</v>
      </c>
      <c r="E230" s="1135">
        <f t="shared" si="15"/>
        <v>42599</v>
      </c>
      <c r="F230" s="317" t="s">
        <v>1904</v>
      </c>
      <c r="G230" s="1223" t="s">
        <v>1905</v>
      </c>
      <c r="H230" s="94" t="s">
        <v>1552</v>
      </c>
      <c r="I230" s="443">
        <v>10000</v>
      </c>
      <c r="J230" s="1224">
        <v>7</v>
      </c>
      <c r="K230" s="434">
        <f t="shared" si="16"/>
        <v>70000</v>
      </c>
      <c r="L230" s="443">
        <v>22260</v>
      </c>
      <c r="M230" s="1225">
        <f t="shared" si="17"/>
        <v>1558200000</v>
      </c>
      <c r="N230" s="1226" t="s">
        <v>585</v>
      </c>
      <c r="O230" s="1226" t="s">
        <v>298</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c r="AE230" s="1157"/>
    </row>
    <row r="231" spans="1:31" s="348" customFormat="1" ht="15.75" customHeight="1">
      <c r="A231" s="334" t="str">
        <f>IF(B231&lt;&gt;"",IF(AND(B231='IN-TC'!$S$4,OR(TH!N231="1111",TH!O231="1111")),TH!D231,""),"")</f>
        <v/>
      </c>
      <c r="B231" s="1134">
        <f t="shared" si="9"/>
        <v>8</v>
      </c>
      <c r="C231" s="1135">
        <v>42606</v>
      </c>
      <c r="D231" s="1135" t="s">
        <v>1906</v>
      </c>
      <c r="E231" s="1135">
        <f t="shared" si="15"/>
        <v>42606</v>
      </c>
      <c r="F231" s="317" t="s">
        <v>1907</v>
      </c>
      <c r="G231" s="1223" t="s">
        <v>1909</v>
      </c>
      <c r="H231" s="94" t="s">
        <v>1539</v>
      </c>
      <c r="I231" s="443">
        <v>8100</v>
      </c>
      <c r="J231" s="1224">
        <v>1</v>
      </c>
      <c r="K231" s="434">
        <f t="shared" si="16"/>
        <v>8100</v>
      </c>
      <c r="L231" s="443">
        <v>22260</v>
      </c>
      <c r="M231" s="1225">
        <f t="shared" si="17"/>
        <v>180306000</v>
      </c>
      <c r="N231" s="1226" t="s">
        <v>585</v>
      </c>
      <c r="O231" s="1226" t="s">
        <v>298</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c r="AE231" s="1157"/>
    </row>
    <row r="232" spans="1:31" s="348" customFormat="1" ht="15.75" customHeight="1">
      <c r="A232" s="334" t="str">
        <f>IF(B232&lt;&gt;"",IF(AND(B232='IN-TC'!$S$4,OR(TH!N232="1111",TH!O232="1111")),TH!D232,""),"")</f>
        <v/>
      </c>
      <c r="B232" s="1134">
        <f t="shared" si="9"/>
        <v>8</v>
      </c>
      <c r="C232" s="1135">
        <v>42606</v>
      </c>
      <c r="D232" s="1135" t="s">
        <v>1906</v>
      </c>
      <c r="E232" s="1135">
        <f t="shared" si="15"/>
        <v>42606</v>
      </c>
      <c r="F232" s="317" t="s">
        <v>1908</v>
      </c>
      <c r="G232" s="1223" t="s">
        <v>1909</v>
      </c>
      <c r="H232" s="94" t="s">
        <v>1539</v>
      </c>
      <c r="I232" s="443">
        <v>3150</v>
      </c>
      <c r="J232" s="1224">
        <v>1</v>
      </c>
      <c r="K232" s="434">
        <f t="shared" si="16"/>
        <v>3150</v>
      </c>
      <c r="L232" s="443">
        <v>22260</v>
      </c>
      <c r="M232" s="1225">
        <f t="shared" si="17"/>
        <v>70119000</v>
      </c>
      <c r="N232" s="1226" t="s">
        <v>585</v>
      </c>
      <c r="O232" s="1226" t="s">
        <v>298</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c r="AE232" s="1157"/>
    </row>
    <row r="233" spans="1:31" s="348" customFormat="1" ht="15.75" customHeight="1">
      <c r="A233" s="334" t="str">
        <f>IF(B233&lt;&gt;"",IF(AND(B233='IN-TC'!$S$4,OR(TH!N233="1111",TH!O233="1111")),TH!D233,""),"")</f>
        <v/>
      </c>
      <c r="B233" s="1134">
        <f t="shared" si="9"/>
        <v>8</v>
      </c>
      <c r="C233" s="1135">
        <v>42608</v>
      </c>
      <c r="D233" s="1135" t="s">
        <v>1910</v>
      </c>
      <c r="E233" s="1135">
        <f t="shared" si="15"/>
        <v>42608</v>
      </c>
      <c r="F233" s="317" t="s">
        <v>1911</v>
      </c>
      <c r="G233" s="1223" t="s">
        <v>1912</v>
      </c>
      <c r="H233" s="94" t="s">
        <v>1877</v>
      </c>
      <c r="I233" s="443">
        <v>500</v>
      </c>
      <c r="J233" s="1224">
        <v>12</v>
      </c>
      <c r="K233" s="434">
        <f t="shared" si="16"/>
        <v>6000</v>
      </c>
      <c r="L233" s="443">
        <v>22260</v>
      </c>
      <c r="M233" s="1225">
        <f t="shared" si="17"/>
        <v>133560000</v>
      </c>
      <c r="N233" s="1226" t="s">
        <v>585</v>
      </c>
      <c r="O233" s="1226" t="s">
        <v>298</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c r="AE233" s="1157"/>
    </row>
    <row r="234" spans="1:31" s="348" customFormat="1" ht="15.75" customHeight="1">
      <c r="A234" s="334" t="str">
        <f>IF(B234&lt;&gt;"",IF(AND(B234='IN-TC'!$S$4,OR(TH!N234="1111",TH!O234="1111")),TH!D234,""),"")</f>
        <v/>
      </c>
      <c r="B234" s="1134">
        <f t="shared" si="9"/>
        <v>9</v>
      </c>
      <c r="C234" s="1135">
        <v>42635</v>
      </c>
      <c r="D234" s="1135" t="s">
        <v>593</v>
      </c>
      <c r="E234" s="1135">
        <f t="shared" si="15"/>
        <v>42635</v>
      </c>
      <c r="F234" s="317" t="s">
        <v>442</v>
      </c>
      <c r="G234" s="1223" t="s">
        <v>2030</v>
      </c>
      <c r="H234" s="94" t="s">
        <v>1890</v>
      </c>
      <c r="I234" s="443">
        <v>23500</v>
      </c>
      <c r="J234" s="1224">
        <v>7.25</v>
      </c>
      <c r="K234" s="434">
        <f t="shared" si="16"/>
        <v>170375</v>
      </c>
      <c r="L234" s="443">
        <v>22270</v>
      </c>
      <c r="M234" s="1225">
        <f t="shared" si="17"/>
        <v>3794251250</v>
      </c>
      <c r="N234" s="1226" t="s">
        <v>585</v>
      </c>
      <c r="O234" s="1226" t="s">
        <v>298</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c r="AE234" s="1157"/>
    </row>
    <row r="235" spans="1:31" s="348" customFormat="1" ht="15.75" customHeight="1">
      <c r="A235" s="334" t="str">
        <f>IF(B235&lt;&gt;"",IF(AND(B235='IN-TC'!$S$4,OR(TH!N235="1111",TH!O235="1111")),TH!D235,""),"")</f>
        <v/>
      </c>
      <c r="B235" s="1134">
        <f t="shared" si="9"/>
        <v>9</v>
      </c>
      <c r="C235" s="1135">
        <v>42636</v>
      </c>
      <c r="D235" s="1135" t="s">
        <v>594</v>
      </c>
      <c r="E235" s="1135">
        <f t="shared" si="15"/>
        <v>42636</v>
      </c>
      <c r="F235" s="317" t="s">
        <v>438</v>
      </c>
      <c r="G235" s="1223" t="s">
        <v>2029</v>
      </c>
      <c r="H235" s="94" t="s">
        <v>1890</v>
      </c>
      <c r="I235" s="443">
        <v>23400</v>
      </c>
      <c r="J235" s="1224">
        <v>4.5999999999999996</v>
      </c>
      <c r="K235" s="434">
        <f t="shared" si="16"/>
        <v>107639.99999999999</v>
      </c>
      <c r="L235" s="443">
        <v>22270</v>
      </c>
      <c r="M235" s="1225">
        <f t="shared" si="17"/>
        <v>2397142800</v>
      </c>
      <c r="N235" s="1226" t="s">
        <v>585</v>
      </c>
      <c r="O235" s="1226" t="s">
        <v>298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c r="AE235" s="1157"/>
    </row>
    <row r="236" spans="1:31" s="348" customFormat="1" ht="15.75" customHeight="1">
      <c r="A236" s="334" t="str">
        <f>IF(B236&lt;&gt;"",IF(AND(B236='IN-TC'!$S$4,OR(TH!N236="1111",TH!O236="1111")),TH!D236,""),"")</f>
        <v/>
      </c>
      <c r="B236" s="1134">
        <f t="shared" ref="B236:B303" si="18">IF(C236&lt;&gt;"",MONTH(C236),"")</f>
        <v>9</v>
      </c>
      <c r="C236" s="1135">
        <v>42641</v>
      </c>
      <c r="D236" s="1135" t="s">
        <v>1671</v>
      </c>
      <c r="E236" s="1135">
        <f t="shared" si="15"/>
        <v>42641</v>
      </c>
      <c r="F236" s="317" t="s">
        <v>1515</v>
      </c>
      <c r="G236" s="1223" t="s">
        <v>2031</v>
      </c>
      <c r="H236" s="94" t="s">
        <v>598</v>
      </c>
      <c r="I236" s="443">
        <v>1450</v>
      </c>
      <c r="J236" s="1224">
        <v>8.4</v>
      </c>
      <c r="K236" s="434">
        <f t="shared" si="16"/>
        <v>12180</v>
      </c>
      <c r="L236" s="443">
        <v>22270</v>
      </c>
      <c r="M236" s="1225">
        <f t="shared" si="17"/>
        <v>271248600</v>
      </c>
      <c r="N236" s="1226" t="s">
        <v>585</v>
      </c>
      <c r="O236" s="1226" t="s">
        <v>298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c r="AE236" s="1157"/>
    </row>
    <row r="237" spans="1:31" s="348" customFormat="1" ht="15.75" customHeight="1">
      <c r="A237" s="334" t="str">
        <f>IF(B237&lt;&gt;"",IF(AND(B237='IN-TC'!$S$4,OR(TH!N237="1111",TH!O237="1111")),TH!D237,""),"")</f>
        <v/>
      </c>
      <c r="B237" s="1134">
        <f t="shared" si="18"/>
        <v>9</v>
      </c>
      <c r="C237" s="1135">
        <v>42641</v>
      </c>
      <c r="D237" s="1135" t="s">
        <v>1671</v>
      </c>
      <c r="E237" s="1135">
        <f t="shared" si="15"/>
        <v>42641</v>
      </c>
      <c r="F237" s="317" t="s">
        <v>1517</v>
      </c>
      <c r="G237" s="1223" t="s">
        <v>2031</v>
      </c>
      <c r="H237" s="94" t="s">
        <v>598</v>
      </c>
      <c r="I237" s="443">
        <v>2000</v>
      </c>
      <c r="J237" s="1224">
        <v>8.6</v>
      </c>
      <c r="K237" s="434">
        <f t="shared" si="16"/>
        <v>17200</v>
      </c>
      <c r="L237" s="443">
        <v>22270</v>
      </c>
      <c r="M237" s="1225">
        <f t="shared" si="17"/>
        <v>383044000</v>
      </c>
      <c r="N237" s="1226" t="s">
        <v>585</v>
      </c>
      <c r="O237" s="1226" t="s">
        <v>298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c r="AE237" s="1157"/>
    </row>
    <row r="238" spans="1:31" s="348" customFormat="1" ht="15.75" customHeight="1">
      <c r="A238" s="334" t="str">
        <f>IF(B238&lt;&gt;"",IF(AND(B238='IN-TC'!$S$4,OR(TH!N238="1111",TH!O238="1111")),TH!D238,""),"")</f>
        <v/>
      </c>
      <c r="B238" s="1134">
        <f t="shared" si="18"/>
        <v>9</v>
      </c>
      <c r="C238" s="1135">
        <v>42641</v>
      </c>
      <c r="D238" s="1135" t="s">
        <v>1671</v>
      </c>
      <c r="E238" s="1135">
        <f t="shared" si="15"/>
        <v>42641</v>
      </c>
      <c r="F238" s="317" t="s">
        <v>448</v>
      </c>
      <c r="G238" s="1223" t="s">
        <v>2031</v>
      </c>
      <c r="H238" s="94" t="s">
        <v>598</v>
      </c>
      <c r="I238" s="443">
        <v>940</v>
      </c>
      <c r="J238" s="1224">
        <v>11.7</v>
      </c>
      <c r="K238" s="434">
        <f t="shared" si="16"/>
        <v>10998</v>
      </c>
      <c r="L238" s="443">
        <v>22270</v>
      </c>
      <c r="M238" s="1225">
        <f t="shared" si="17"/>
        <v>244925460</v>
      </c>
      <c r="N238" s="1226" t="s">
        <v>585</v>
      </c>
      <c r="O238" s="1226" t="s">
        <v>298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c r="AE238" s="1157"/>
    </row>
    <row r="239" spans="1:31" s="348" customFormat="1" ht="15.75" customHeight="1">
      <c r="A239" s="334" t="str">
        <f>IF(B239&lt;&gt;"",IF(AND(B239='IN-TC'!$S$4,OR(TH!N239="1111",TH!O239="1111")),TH!D239,""),"")</f>
        <v/>
      </c>
      <c r="B239" s="1134">
        <f t="shared" si="18"/>
        <v>9</v>
      </c>
      <c r="C239" s="1135">
        <v>42641</v>
      </c>
      <c r="D239" s="1135" t="s">
        <v>1671</v>
      </c>
      <c r="E239" s="1135">
        <f t="shared" si="15"/>
        <v>42641</v>
      </c>
      <c r="F239" s="317" t="s">
        <v>1945</v>
      </c>
      <c r="G239" s="1223" t="s">
        <v>2031</v>
      </c>
      <c r="H239" s="94" t="s">
        <v>598</v>
      </c>
      <c r="I239" s="443">
        <v>940</v>
      </c>
      <c r="J239" s="1224">
        <v>9.5</v>
      </c>
      <c r="K239" s="434">
        <f t="shared" si="16"/>
        <v>8930</v>
      </c>
      <c r="L239" s="443">
        <v>22270</v>
      </c>
      <c r="M239" s="1225">
        <f t="shared" si="17"/>
        <v>198871100</v>
      </c>
      <c r="N239" s="1226" t="s">
        <v>585</v>
      </c>
      <c r="O239" s="1226" t="s">
        <v>298</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c r="AE239" s="1157"/>
    </row>
    <row r="240" spans="1:31" s="348" customFormat="1" ht="15.75" customHeight="1">
      <c r="A240" s="334" t="str">
        <f>IF(B240&lt;&gt;"",IF(AND(B240='IN-TC'!$S$4,OR(TH!N240="1111",TH!O240="1111")),TH!D240,""),"")</f>
        <v/>
      </c>
      <c r="B240" s="1134">
        <f t="shared" si="18"/>
        <v>10</v>
      </c>
      <c r="C240" s="1135">
        <v>42656</v>
      </c>
      <c r="D240" s="1135" t="s">
        <v>593</v>
      </c>
      <c r="E240" s="1135">
        <f t="shared" si="15"/>
        <v>42656</v>
      </c>
      <c r="F240" s="317" t="s">
        <v>438</v>
      </c>
      <c r="G240" s="1223" t="s">
        <v>2136</v>
      </c>
      <c r="H240" s="94" t="s">
        <v>1890</v>
      </c>
      <c r="I240" s="443">
        <v>23400</v>
      </c>
      <c r="J240" s="1224">
        <v>4.5999999999999996</v>
      </c>
      <c r="K240" s="434">
        <f t="shared" si="16"/>
        <v>107639.99999999999</v>
      </c>
      <c r="L240" s="443">
        <v>22270</v>
      </c>
      <c r="M240" s="1225">
        <f t="shared" si="17"/>
        <v>2397142800</v>
      </c>
      <c r="N240" s="1226" t="s">
        <v>585</v>
      </c>
      <c r="O240" s="1226" t="s">
        <v>298</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c r="AE240" s="1157"/>
    </row>
    <row r="241" spans="1:31" s="348" customFormat="1" ht="15.75" customHeight="1">
      <c r="A241" s="334" t="str">
        <f>IF(B241&lt;&gt;"",IF(AND(B241='IN-TC'!$S$4,OR(TH!N241="1111",TH!O241="1111")),TH!D241,""),"")</f>
        <v/>
      </c>
      <c r="B241" s="1134">
        <f t="shared" si="18"/>
        <v>10</v>
      </c>
      <c r="C241" s="1135">
        <v>42656</v>
      </c>
      <c r="D241" s="1135" t="s">
        <v>594</v>
      </c>
      <c r="E241" s="1135">
        <f t="shared" si="15"/>
        <v>42656</v>
      </c>
      <c r="F241" s="317" t="s">
        <v>442</v>
      </c>
      <c r="G241" s="1223" t="s">
        <v>2137</v>
      </c>
      <c r="H241" s="94" t="s">
        <v>1890</v>
      </c>
      <c r="I241" s="443">
        <v>23400</v>
      </c>
      <c r="J241" s="1224">
        <v>6.9</v>
      </c>
      <c r="K241" s="434">
        <f t="shared" si="16"/>
        <v>161460</v>
      </c>
      <c r="L241" s="443">
        <v>22270</v>
      </c>
      <c r="M241" s="1225">
        <f t="shared" si="17"/>
        <v>3595714200</v>
      </c>
      <c r="N241" s="1226" t="s">
        <v>585</v>
      </c>
      <c r="O241" s="1226" t="s">
        <v>298</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c r="AE241" s="1157"/>
    </row>
    <row r="242" spans="1:31" s="348" customFormat="1" ht="15.75" customHeight="1">
      <c r="A242" s="334" t="str">
        <f>IF(B242&lt;&gt;"",IF(AND(B242='IN-TC'!$S$4,OR(TH!N242="1111",TH!O242="1111")),TH!D242,""),"")</f>
        <v/>
      </c>
      <c r="B242" s="1134">
        <f t="shared" si="18"/>
        <v>10</v>
      </c>
      <c r="C242" s="1135">
        <v>42661</v>
      </c>
      <c r="D242" s="1135" t="s">
        <v>1671</v>
      </c>
      <c r="E242" s="1135">
        <f t="shared" si="15"/>
        <v>42661</v>
      </c>
      <c r="F242" s="317" t="s">
        <v>438</v>
      </c>
      <c r="G242" s="1223" t="s">
        <v>2138</v>
      </c>
      <c r="H242" s="94" t="s">
        <v>1902</v>
      </c>
      <c r="I242" s="443">
        <v>52000</v>
      </c>
      <c r="J242" s="1224">
        <v>2.8</v>
      </c>
      <c r="K242" s="434">
        <f t="shared" si="16"/>
        <v>145600</v>
      </c>
      <c r="L242" s="443">
        <v>22270</v>
      </c>
      <c r="M242" s="1225">
        <f t="shared" si="17"/>
        <v>3242512000</v>
      </c>
      <c r="N242" s="1226" t="s">
        <v>585</v>
      </c>
      <c r="O242" s="1226" t="s">
        <v>298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x</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c r="AE242" s="1157"/>
    </row>
    <row r="243" spans="1:31" s="348" customFormat="1" ht="15.75" customHeight="1">
      <c r="A243" s="334" t="str">
        <f>IF(B243&lt;&gt;"",IF(AND(B243='IN-TC'!$S$4,OR(TH!N243="1111",TH!O243="1111")),TH!D243,""),"")</f>
        <v/>
      </c>
      <c r="B243" s="1134">
        <f t="shared" si="18"/>
        <v>10</v>
      </c>
      <c r="C243" s="1135">
        <v>42663</v>
      </c>
      <c r="D243" s="1135" t="s">
        <v>1672</v>
      </c>
      <c r="E243" s="1135">
        <f t="shared" si="15"/>
        <v>42663</v>
      </c>
      <c r="F243" s="317" t="s">
        <v>450</v>
      </c>
      <c r="G243" s="1223" t="s">
        <v>2139</v>
      </c>
      <c r="H243" s="94" t="s">
        <v>1363</v>
      </c>
      <c r="I243" s="443">
        <v>4800</v>
      </c>
      <c r="J243" s="1224">
        <v>8.6999999999999993</v>
      </c>
      <c r="K243" s="434">
        <f t="shared" si="16"/>
        <v>41760</v>
      </c>
      <c r="L243" s="443">
        <v>22270</v>
      </c>
      <c r="M243" s="1225">
        <f t="shared" si="17"/>
        <v>929995200</v>
      </c>
      <c r="N243" s="1226" t="s">
        <v>585</v>
      </c>
      <c r="O243" s="1226" t="s">
        <v>298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c r="AE243" s="1157"/>
    </row>
    <row r="244" spans="1:31" s="348" customFormat="1" ht="15.75" customHeight="1">
      <c r="A244" s="334" t="str">
        <f>IF(B244&lt;&gt;"",IF(AND(B244='IN-TC'!$S$4,OR(TH!N244="1111",TH!O244="1111")),TH!D244,""),"")</f>
        <v/>
      </c>
      <c r="B244" s="1134">
        <f t="shared" si="18"/>
        <v>10</v>
      </c>
      <c r="C244" s="1135">
        <v>42674</v>
      </c>
      <c r="D244" s="1135" t="s">
        <v>1906</v>
      </c>
      <c r="E244" s="1135">
        <f t="shared" si="15"/>
        <v>42674</v>
      </c>
      <c r="F244" s="317" t="s">
        <v>438</v>
      </c>
      <c r="G244" s="1223" t="s">
        <v>2140</v>
      </c>
      <c r="H244" s="94" t="s">
        <v>1902</v>
      </c>
      <c r="I244" s="443">
        <v>52000</v>
      </c>
      <c r="J244" s="1224">
        <v>2.8</v>
      </c>
      <c r="K244" s="434">
        <f t="shared" si="16"/>
        <v>145600</v>
      </c>
      <c r="L244" s="443">
        <v>22295</v>
      </c>
      <c r="M244" s="1225">
        <f t="shared" si="17"/>
        <v>3246152000</v>
      </c>
      <c r="N244" s="1226" t="s">
        <v>585</v>
      </c>
      <c r="O244" s="1226" t="s">
        <v>298</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x</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c r="AE244" s="1157"/>
    </row>
    <row r="245" spans="1:31" s="348" customFormat="1" ht="15.75" customHeight="1">
      <c r="A245" s="334" t="str">
        <f>IF(B245&lt;&gt;"",IF(AND(B245='IN-TC'!$S$4,OR(TH!N245="1111",TH!O245="1111")),TH!D245,""),"")</f>
        <v/>
      </c>
      <c r="B245" s="1134">
        <f t="shared" si="18"/>
        <v>11</v>
      </c>
      <c r="C245" s="1135">
        <v>42678</v>
      </c>
      <c r="D245" s="1135" t="s">
        <v>593</v>
      </c>
      <c r="E245" s="1135">
        <f t="shared" si="15"/>
        <v>42678</v>
      </c>
      <c r="F245" s="317" t="s">
        <v>438</v>
      </c>
      <c r="G245" s="1223" t="s">
        <v>2196</v>
      </c>
      <c r="H245" s="94" t="s">
        <v>1902</v>
      </c>
      <c r="I245" s="443">
        <v>52000</v>
      </c>
      <c r="J245" s="1224">
        <v>2.8</v>
      </c>
      <c r="K245" s="434">
        <f t="shared" si="16"/>
        <v>145600</v>
      </c>
      <c r="L245" s="443">
        <v>22295</v>
      </c>
      <c r="M245" s="1225">
        <f t="shared" si="17"/>
        <v>3246152000</v>
      </c>
      <c r="N245" s="1226" t="s">
        <v>585</v>
      </c>
      <c r="O245" s="1226" t="s">
        <v>298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x</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c r="AE245" s="1157"/>
    </row>
    <row r="246" spans="1:31" s="348" customFormat="1" ht="15.75" customHeight="1">
      <c r="A246" s="334" t="str">
        <f>IF(B246&lt;&gt;"",IF(AND(B246='IN-TC'!$S$4,OR(TH!N246="1111",TH!O246="1111")),TH!D246,""),"")</f>
        <v/>
      </c>
      <c r="B246" s="1134">
        <f t="shared" si="18"/>
        <v>11</v>
      </c>
      <c r="C246" s="1135">
        <v>42678</v>
      </c>
      <c r="D246" s="1135" t="s">
        <v>594</v>
      </c>
      <c r="E246" s="1135">
        <f t="shared" si="15"/>
        <v>42678</v>
      </c>
      <c r="F246" s="317" t="s">
        <v>438</v>
      </c>
      <c r="G246" s="1223" t="s">
        <v>2197</v>
      </c>
      <c r="H246" s="94" t="s">
        <v>1902</v>
      </c>
      <c r="I246" s="443">
        <v>52000</v>
      </c>
      <c r="J246" s="1224">
        <v>2.8</v>
      </c>
      <c r="K246" s="434">
        <f t="shared" si="16"/>
        <v>145600</v>
      </c>
      <c r="L246" s="443">
        <v>22295</v>
      </c>
      <c r="M246" s="1225">
        <f t="shared" si="17"/>
        <v>3246152000</v>
      </c>
      <c r="N246" s="1226" t="s">
        <v>585</v>
      </c>
      <c r="O246" s="1226" t="s">
        <v>298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x</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c r="AE246" s="1157"/>
    </row>
    <row r="247" spans="1:31" s="348" customFormat="1" ht="15.75" customHeight="1">
      <c r="A247" s="334" t="str">
        <f>IF(B247&lt;&gt;"",IF(AND(B247='IN-TC'!$S$4,OR(TH!N247="1111",TH!O247="1111")),TH!D247,""),"")</f>
        <v/>
      </c>
      <c r="B247" s="1134">
        <f t="shared" si="18"/>
        <v>11</v>
      </c>
      <c r="C247" s="1135">
        <v>42682</v>
      </c>
      <c r="D247" s="1135" t="s">
        <v>1671</v>
      </c>
      <c r="E247" s="1135">
        <f t="shared" si="15"/>
        <v>42682</v>
      </c>
      <c r="F247" s="317" t="s">
        <v>438</v>
      </c>
      <c r="G247" s="1223" t="s">
        <v>2198</v>
      </c>
      <c r="H247" s="94" t="s">
        <v>1902</v>
      </c>
      <c r="I247" s="443">
        <v>52000</v>
      </c>
      <c r="J247" s="1224">
        <v>2.8</v>
      </c>
      <c r="K247" s="434">
        <f t="shared" si="16"/>
        <v>145600</v>
      </c>
      <c r="L247" s="443">
        <v>22285</v>
      </c>
      <c r="M247" s="1225">
        <f t="shared" si="17"/>
        <v>3244696000</v>
      </c>
      <c r="N247" s="1226" t="s">
        <v>585</v>
      </c>
      <c r="O247" s="1226" t="s">
        <v>298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x</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c r="AE247" s="1157"/>
    </row>
    <row r="248" spans="1:31" s="348" customFormat="1" ht="15.75" customHeight="1">
      <c r="A248" s="334" t="str">
        <f>IF(B248&lt;&gt;"",IF(AND(B248='IN-TC'!$S$4,OR(TH!N248="1111",TH!O248="1111")),TH!D248,""),"")</f>
        <v/>
      </c>
      <c r="B248" s="1134">
        <f t="shared" si="18"/>
        <v>11</v>
      </c>
      <c r="C248" s="1135">
        <v>42684</v>
      </c>
      <c r="D248" s="1135" t="s">
        <v>1672</v>
      </c>
      <c r="E248" s="1135">
        <f t="shared" si="15"/>
        <v>42684</v>
      </c>
      <c r="F248" s="317" t="s">
        <v>1904</v>
      </c>
      <c r="G248" s="1223" t="s">
        <v>2199</v>
      </c>
      <c r="H248" s="94" t="s">
        <v>1552</v>
      </c>
      <c r="I248" s="443">
        <v>10000</v>
      </c>
      <c r="J248" s="1224">
        <v>7</v>
      </c>
      <c r="K248" s="434">
        <f t="shared" si="16"/>
        <v>70000</v>
      </c>
      <c r="L248" s="443">
        <v>22285</v>
      </c>
      <c r="M248" s="1225">
        <f t="shared" si="17"/>
        <v>1559950000</v>
      </c>
      <c r="N248" s="1226" t="s">
        <v>585</v>
      </c>
      <c r="O248" s="1226" t="s">
        <v>298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c r="AE248" s="1157"/>
    </row>
    <row r="249" spans="1:31" s="348" customFormat="1" ht="15.75" customHeight="1">
      <c r="A249" s="334" t="str">
        <f>IF(B249&lt;&gt;"",IF(AND(B249='IN-TC'!$S$4,OR(TH!N249="1111",TH!O249="1111")),TH!D249,""),"")</f>
        <v/>
      </c>
      <c r="B249" s="1134">
        <f t="shared" si="18"/>
        <v>11</v>
      </c>
      <c r="C249" s="1135">
        <v>42685</v>
      </c>
      <c r="D249" s="1135" t="s">
        <v>1906</v>
      </c>
      <c r="E249" s="1135">
        <f t="shared" si="15"/>
        <v>42685</v>
      </c>
      <c r="F249" s="317" t="s">
        <v>438</v>
      </c>
      <c r="G249" s="1223" t="s">
        <v>2200</v>
      </c>
      <c r="H249" s="94" t="s">
        <v>1902</v>
      </c>
      <c r="I249" s="443">
        <v>52000</v>
      </c>
      <c r="J249" s="1224">
        <v>2.8</v>
      </c>
      <c r="K249" s="434">
        <f t="shared" si="16"/>
        <v>145600</v>
      </c>
      <c r="L249" s="443">
        <v>22285</v>
      </c>
      <c r="M249" s="1225">
        <f t="shared" si="17"/>
        <v>3244696000</v>
      </c>
      <c r="N249" s="1226" t="s">
        <v>585</v>
      </c>
      <c r="O249" s="1226" t="s">
        <v>298</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x</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c r="AE249" s="1157"/>
    </row>
    <row r="250" spans="1:31" s="348" customFormat="1" ht="15.75" customHeight="1">
      <c r="A250" s="334" t="str">
        <f>IF(B250&lt;&gt;"",IF(AND(B250='IN-TC'!$S$4,OR(TH!N250="1111",TH!O250="1111")),TH!D250,""),"")</f>
        <v/>
      </c>
      <c r="B250" s="1134">
        <f t="shared" si="18"/>
        <v>11</v>
      </c>
      <c r="C250" s="1135">
        <v>42685</v>
      </c>
      <c r="D250" s="1135" t="s">
        <v>1910</v>
      </c>
      <c r="E250" s="1135">
        <f t="shared" si="15"/>
        <v>42685</v>
      </c>
      <c r="F250" s="317" t="s">
        <v>1898</v>
      </c>
      <c r="G250" s="1223" t="s">
        <v>2201</v>
      </c>
      <c r="H250" s="94" t="s">
        <v>2202</v>
      </c>
      <c r="I250" s="443">
        <v>10000</v>
      </c>
      <c r="J250" s="1224">
        <v>8.5</v>
      </c>
      <c r="K250" s="434">
        <f t="shared" si="16"/>
        <v>85000</v>
      </c>
      <c r="L250" s="443">
        <v>22285</v>
      </c>
      <c r="M250" s="1225">
        <f t="shared" si="17"/>
        <v>1894225000</v>
      </c>
      <c r="N250" s="1226" t="s">
        <v>585</v>
      </c>
      <c r="O250" s="1226" t="s">
        <v>298</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c r="AE250" s="1157"/>
    </row>
    <row r="251" spans="1:31" s="348" customFormat="1" ht="15.75" customHeight="1">
      <c r="A251" s="334" t="str">
        <f>IF(B251&lt;&gt;"",IF(AND(B251='IN-TC'!$S$4,OR(TH!N251="1111",TH!O251="1111")),TH!D251,""),"")</f>
        <v/>
      </c>
      <c r="B251" s="1134">
        <f t="shared" ref="B251:B252" si="19">IF(C251&lt;&gt;"",MONTH(C251),"")</f>
        <v>11</v>
      </c>
      <c r="C251" s="1135">
        <v>42690</v>
      </c>
      <c r="D251" s="1135" t="s">
        <v>2362</v>
      </c>
      <c r="E251" s="1135">
        <f t="shared" ref="E251:E252" si="20">C251</f>
        <v>42690</v>
      </c>
      <c r="F251" s="317" t="s">
        <v>438</v>
      </c>
      <c r="G251" s="1223" t="s">
        <v>2364</v>
      </c>
      <c r="H251" s="94" t="s">
        <v>1902</v>
      </c>
      <c r="I251" s="443">
        <v>52000</v>
      </c>
      <c r="J251" s="1224">
        <v>2.8</v>
      </c>
      <c r="K251" s="434">
        <f t="shared" ref="K251:K252" si="21">I251*J251</f>
        <v>145600</v>
      </c>
      <c r="L251" s="443">
        <v>22285</v>
      </c>
      <c r="M251" s="1225">
        <f t="shared" ref="M251:M252" si="22">ROUND(K251*L251,0)</f>
        <v>3244696000</v>
      </c>
      <c r="N251" s="1226" t="s">
        <v>585</v>
      </c>
      <c r="O251" s="1226" t="s">
        <v>298</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x</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c r="AE251" s="1157"/>
    </row>
    <row r="252" spans="1:31" s="348" customFormat="1" ht="15.75" customHeight="1">
      <c r="A252" s="334" t="str">
        <f>IF(B252&lt;&gt;"",IF(AND(B252='IN-TC'!$S$4,OR(TH!N252="1111",TH!O252="1111")),TH!D252,""),"")</f>
        <v/>
      </c>
      <c r="B252" s="1134">
        <f t="shared" si="19"/>
        <v>11</v>
      </c>
      <c r="C252" s="1135">
        <v>42691</v>
      </c>
      <c r="D252" s="1135" t="s">
        <v>2363</v>
      </c>
      <c r="E252" s="1135">
        <f t="shared" si="20"/>
        <v>42691</v>
      </c>
      <c r="F252" s="317" t="s">
        <v>438</v>
      </c>
      <c r="G252" s="1223" t="s">
        <v>2365</v>
      </c>
      <c r="H252" s="94" t="s">
        <v>1902</v>
      </c>
      <c r="I252" s="443">
        <v>52000</v>
      </c>
      <c r="J252" s="1224">
        <v>2.8</v>
      </c>
      <c r="K252" s="434">
        <f t="shared" si="21"/>
        <v>145600</v>
      </c>
      <c r="L252" s="443">
        <v>22285</v>
      </c>
      <c r="M252" s="1225">
        <f t="shared" si="22"/>
        <v>3244696000</v>
      </c>
      <c r="N252" s="1226" t="s">
        <v>585</v>
      </c>
      <c r="O252" s="1226" t="s">
        <v>298</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x</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c r="AE252" s="1157"/>
    </row>
    <row r="253" spans="1:31" s="348" customFormat="1" ht="15.75" customHeight="1">
      <c r="A253" s="334" t="str">
        <f>IF(B253&lt;&gt;"",IF(AND(B253='IN-TC'!$S$4,OR(TH!N253="1111",TH!O253="1111")),TH!D253,""),"")</f>
        <v/>
      </c>
      <c r="B253" s="1134">
        <f t="shared" ref="B253" si="23">IF(C253&lt;&gt;"",MONTH(C253),"")</f>
        <v>11</v>
      </c>
      <c r="C253" s="1135">
        <v>42699</v>
      </c>
      <c r="D253" s="1135" t="s">
        <v>2366</v>
      </c>
      <c r="E253" s="1135">
        <f t="shared" ref="E253" si="24">C253</f>
        <v>42699</v>
      </c>
      <c r="F253" s="317" t="s">
        <v>438</v>
      </c>
      <c r="G253" s="1223" t="s">
        <v>2367</v>
      </c>
      <c r="H253" s="94" t="s">
        <v>1902</v>
      </c>
      <c r="I253" s="443">
        <v>52000</v>
      </c>
      <c r="J253" s="1224">
        <v>2.8</v>
      </c>
      <c r="K253" s="434">
        <f t="shared" ref="K253" si="25">I253*J253</f>
        <v>145600</v>
      </c>
      <c r="L253" s="443">
        <v>22395</v>
      </c>
      <c r="M253" s="1225">
        <f t="shared" ref="M253" si="26">ROUND(K253*L253,0)</f>
        <v>3260712000</v>
      </c>
      <c r="N253" s="1226" t="s">
        <v>585</v>
      </c>
      <c r="O253" s="1226" t="s">
        <v>298</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x</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c r="AE253" s="1157"/>
    </row>
    <row r="254" spans="1:31" s="348" customFormat="1" ht="15.75" customHeight="1">
      <c r="A254" s="334" t="str">
        <f>IF(B254&lt;&gt;"",IF(AND(B254='IN-TC'!$S$4,OR(TH!N254="1111",TH!O254="1111")),TH!D254,""),"")</f>
        <v/>
      </c>
      <c r="B254" s="1134">
        <f t="shared" ref="B254" si="27">IF(C254&lt;&gt;"",MONTH(C254),"")</f>
        <v>11</v>
      </c>
      <c r="C254" s="1135">
        <v>42702</v>
      </c>
      <c r="D254" s="1135" t="s">
        <v>2377</v>
      </c>
      <c r="E254" s="1135">
        <f t="shared" ref="E254" si="28">C254</f>
        <v>42702</v>
      </c>
      <c r="F254" s="317" t="s">
        <v>438</v>
      </c>
      <c r="G254" s="1223" t="s">
        <v>2378</v>
      </c>
      <c r="H254" s="94" t="s">
        <v>1902</v>
      </c>
      <c r="I254" s="443">
        <v>104000</v>
      </c>
      <c r="J254" s="1224">
        <v>2.8</v>
      </c>
      <c r="K254" s="434">
        <f t="shared" ref="K254" si="29">I254*J254</f>
        <v>291200</v>
      </c>
      <c r="L254" s="443">
        <v>22680</v>
      </c>
      <c r="M254" s="1225">
        <f t="shared" ref="M254" si="30">ROUND(K254*L254,0)</f>
        <v>6604416000</v>
      </c>
      <c r="N254" s="1226" t="s">
        <v>585</v>
      </c>
      <c r="O254" s="1226" t="s">
        <v>298</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x</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c r="AE254" s="1157"/>
    </row>
    <row r="255" spans="1:31" s="339" customFormat="1" ht="15.75" customHeight="1">
      <c r="A255" s="334" t="str">
        <f>IF(B255&lt;&gt;"",IF(AND(B255='IN-TC'!$S$4,OR(TH!N255="1111",TH!O255="1111")),TH!D255,""),"")</f>
        <v/>
      </c>
      <c r="B255" s="63">
        <f t="shared" si="18"/>
        <v>1</v>
      </c>
      <c r="C255" s="78">
        <f t="shared" ref="C255:C265" si="31">E255</f>
        <v>42389</v>
      </c>
      <c r="D255" s="78" t="s">
        <v>696</v>
      </c>
      <c r="E255" s="78">
        <v>42389</v>
      </c>
      <c r="F255" s="67" t="s">
        <v>448</v>
      </c>
      <c r="G255" s="79"/>
      <c r="H255" s="80" t="s">
        <v>694</v>
      </c>
      <c r="I255" s="435">
        <v>7100</v>
      </c>
      <c r="J255" s="435">
        <v>225779.01269128281</v>
      </c>
      <c r="K255" s="426"/>
      <c r="L255" s="435"/>
      <c r="M255" s="81">
        <f t="shared" ref="M255:M286" si="32">ROUND(I255*J255,0)</f>
        <v>1603030990</v>
      </c>
      <c r="N255" s="82" t="s">
        <v>284</v>
      </c>
      <c r="O255" s="82" t="s">
        <v>282</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1" s="339" customFormat="1" ht="15.75" customHeight="1">
      <c r="A256" s="334" t="str">
        <f>IF(B256&lt;&gt;"",IF(AND(B256='IN-TC'!$S$4,OR(TH!N256="1111",TH!O256="1111")),TH!D256,""),"")</f>
        <v/>
      </c>
      <c r="B256" s="63">
        <f t="shared" si="18"/>
        <v>1</v>
      </c>
      <c r="C256" s="78">
        <f t="shared" si="31"/>
        <v>42393</v>
      </c>
      <c r="D256" s="78" t="s">
        <v>697</v>
      </c>
      <c r="E256" s="78">
        <v>42393</v>
      </c>
      <c r="F256" s="67" t="s">
        <v>450</v>
      </c>
      <c r="G256" s="79"/>
      <c r="H256" s="80" t="s">
        <v>694</v>
      </c>
      <c r="I256" s="435">
        <v>4800</v>
      </c>
      <c r="J256" s="435">
        <v>167628.62454891513</v>
      </c>
      <c r="K256" s="426"/>
      <c r="L256" s="435"/>
      <c r="M256" s="81">
        <f t="shared" si="32"/>
        <v>804617398</v>
      </c>
      <c r="N256" s="82" t="s">
        <v>284</v>
      </c>
      <c r="O256" s="82" t="s">
        <v>282</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s="339" customFormat="1" ht="15.75" customHeight="1">
      <c r="A257" s="334" t="str">
        <f>IF(B257&lt;&gt;"",IF(AND(B257='IN-TC'!$S$4,OR(TH!N257="1111",TH!O257="1111")),TH!D257,""),"")</f>
        <v/>
      </c>
      <c r="B257" s="63">
        <f t="shared" si="18"/>
        <v>1</v>
      </c>
      <c r="C257" s="78">
        <f t="shared" si="31"/>
        <v>42400</v>
      </c>
      <c r="D257" s="78" t="s">
        <v>698</v>
      </c>
      <c r="E257" s="78">
        <v>42400</v>
      </c>
      <c r="F257" s="67" t="s">
        <v>449</v>
      </c>
      <c r="G257" s="79"/>
      <c r="H257" s="80" t="s">
        <v>694</v>
      </c>
      <c r="I257" s="435">
        <v>12000</v>
      </c>
      <c r="J257" s="435">
        <v>174882.95250475829</v>
      </c>
      <c r="K257" s="426"/>
      <c r="L257" s="435"/>
      <c r="M257" s="81">
        <f t="shared" si="32"/>
        <v>2098595430</v>
      </c>
      <c r="N257" s="82" t="s">
        <v>284</v>
      </c>
      <c r="O257" s="82" t="s">
        <v>282</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s="339" customFormat="1" ht="15.75" customHeight="1">
      <c r="A258" s="334" t="str">
        <f>IF(B258&lt;&gt;"",IF(AND(B258='IN-TC'!$S$4,OR(TH!N258="1111",TH!O258="1111")),TH!D258,""),"")</f>
        <v/>
      </c>
      <c r="B258" s="63">
        <f t="shared" si="18"/>
        <v>1</v>
      </c>
      <c r="C258" s="92">
        <f t="shared" si="31"/>
        <v>42395</v>
      </c>
      <c r="D258" s="92" t="s">
        <v>593</v>
      </c>
      <c r="E258" s="92">
        <v>42395</v>
      </c>
      <c r="F258" s="67" t="s">
        <v>448</v>
      </c>
      <c r="G258" s="93"/>
      <c r="H258" s="94" t="s">
        <v>598</v>
      </c>
      <c r="I258" s="443">
        <v>7100</v>
      </c>
      <c r="J258" s="443">
        <v>225779.01269128281</v>
      </c>
      <c r="K258" s="434"/>
      <c r="L258" s="443"/>
      <c r="M258" s="95">
        <f t="shared" si="32"/>
        <v>1603030990</v>
      </c>
      <c r="N258" s="83" t="s">
        <v>294</v>
      </c>
      <c r="O258" s="83" t="s">
        <v>284</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s="339" customFormat="1" ht="15.75" customHeight="1">
      <c r="A259" s="334" t="str">
        <f>IF(B259&lt;&gt;"",IF(AND(B259='IN-TC'!$S$4,OR(TH!N259="1111",TH!O259="1111")),TH!D259,""),"")</f>
        <v/>
      </c>
      <c r="B259" s="63">
        <f t="shared" si="18"/>
        <v>1</v>
      </c>
      <c r="C259" s="92">
        <f t="shared" si="31"/>
        <v>42395</v>
      </c>
      <c r="D259" s="92" t="s">
        <v>594</v>
      </c>
      <c r="E259" s="92">
        <v>42395</v>
      </c>
      <c r="F259" s="67" t="s">
        <v>450</v>
      </c>
      <c r="G259" s="93"/>
      <c r="H259" s="94" t="s">
        <v>595</v>
      </c>
      <c r="I259" s="443">
        <v>4800</v>
      </c>
      <c r="J259" s="443">
        <v>167628.62454891513</v>
      </c>
      <c r="K259" s="434"/>
      <c r="L259" s="443"/>
      <c r="M259" s="95">
        <f t="shared" si="32"/>
        <v>804617398</v>
      </c>
      <c r="N259" s="83" t="s">
        <v>294</v>
      </c>
      <c r="O259" s="83" t="s">
        <v>284</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s="339" customFormat="1" ht="15.75" customHeight="1">
      <c r="A260" s="334" t="str">
        <f>IF(B260&lt;&gt;"",IF(AND(B260='IN-TC'!$S$4,OR(TH!N260="1111",TH!O260="1111")),TH!D260,""),"")</f>
        <v/>
      </c>
      <c r="B260" s="63">
        <f t="shared" si="18"/>
        <v>2</v>
      </c>
      <c r="C260" s="92">
        <f t="shared" si="31"/>
        <v>42402</v>
      </c>
      <c r="D260" s="92" t="s">
        <v>593</v>
      </c>
      <c r="E260" s="92">
        <v>42402</v>
      </c>
      <c r="F260" s="67" t="s">
        <v>449</v>
      </c>
      <c r="G260" s="93"/>
      <c r="H260" s="978" t="s">
        <v>596</v>
      </c>
      <c r="I260" s="443">
        <v>12000</v>
      </c>
      <c r="J260" s="443">
        <v>174882.95250475829</v>
      </c>
      <c r="K260" s="434"/>
      <c r="L260" s="443"/>
      <c r="M260" s="95">
        <f t="shared" si="32"/>
        <v>2098595430</v>
      </c>
      <c r="N260" s="83" t="s">
        <v>294</v>
      </c>
      <c r="O260" s="83" t="s">
        <v>284</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s="339" customFormat="1" ht="15.75" customHeight="1">
      <c r="A261" s="334" t="str">
        <f>IF(B261&lt;&gt;"",IF(AND(B261='IN-TC'!$S$4,OR(TH!N261="1111",TH!O261="1111")),TH!D261,""),"")</f>
        <v/>
      </c>
      <c r="B261" s="63">
        <f t="shared" si="18"/>
        <v>2</v>
      </c>
      <c r="C261" s="78">
        <f t="shared" si="31"/>
        <v>42429</v>
      </c>
      <c r="D261" s="78" t="s">
        <v>696</v>
      </c>
      <c r="E261" s="78">
        <v>42429</v>
      </c>
      <c r="F261" s="67" t="s">
        <v>449</v>
      </c>
      <c r="G261" s="79"/>
      <c r="H261" s="80" t="s">
        <v>695</v>
      </c>
      <c r="I261" s="435">
        <v>8000</v>
      </c>
      <c r="J261" s="435">
        <v>178449.67395933732</v>
      </c>
      <c r="K261" s="426"/>
      <c r="L261" s="435"/>
      <c r="M261" s="81">
        <f t="shared" si="32"/>
        <v>1427597392</v>
      </c>
      <c r="N261" s="86" t="s">
        <v>284</v>
      </c>
      <c r="O261" s="82" t="s">
        <v>282</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s="339" customFormat="1" ht="15.75" customHeight="1">
      <c r="A262" s="334" t="str">
        <f>IF(B262&lt;&gt;"",IF(AND(B262='IN-TC'!$S$4,OR(TH!N262="1111",TH!O262="1111")),TH!D262,""),"")</f>
        <v/>
      </c>
      <c r="B262" s="63">
        <f t="shared" si="18"/>
        <v>2</v>
      </c>
      <c r="C262" s="78">
        <f t="shared" si="31"/>
        <v>42429</v>
      </c>
      <c r="D262" s="78" t="s">
        <v>696</v>
      </c>
      <c r="E262" s="78">
        <v>42429</v>
      </c>
      <c r="F262" s="67" t="s">
        <v>463</v>
      </c>
      <c r="G262" s="79"/>
      <c r="H262" s="80" t="s">
        <v>694</v>
      </c>
      <c r="I262" s="435">
        <v>26000</v>
      </c>
      <c r="J262" s="435">
        <v>57254.235704819286</v>
      </c>
      <c r="K262" s="426"/>
      <c r="L262" s="435"/>
      <c r="M262" s="81">
        <f t="shared" si="32"/>
        <v>1488610128</v>
      </c>
      <c r="N262" s="86" t="s">
        <v>284</v>
      </c>
      <c r="O262" s="82" t="s">
        <v>282</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s="339" customFormat="1" ht="15.75" customHeight="1">
      <c r="A263" s="334" t="str">
        <f>IF(B263&lt;&gt;"",IF(AND(B263='IN-TC'!$S$4,OR(TH!N263="1111",TH!O263="1111")),TH!D263,""),"")</f>
        <v/>
      </c>
      <c r="B263" s="63">
        <f t="shared" si="18"/>
        <v>3</v>
      </c>
      <c r="C263" s="92">
        <f t="shared" si="31"/>
        <v>42430</v>
      </c>
      <c r="D263" s="92" t="s">
        <v>593</v>
      </c>
      <c r="E263" s="92">
        <v>42430</v>
      </c>
      <c r="F263" s="67" t="s">
        <v>449</v>
      </c>
      <c r="G263" s="93"/>
      <c r="H263" s="94" t="s">
        <v>694</v>
      </c>
      <c r="I263" s="443">
        <v>8000</v>
      </c>
      <c r="J263" s="443">
        <v>178449.67395933732</v>
      </c>
      <c r="K263" s="434"/>
      <c r="L263" s="443"/>
      <c r="M263" s="95">
        <f t="shared" si="32"/>
        <v>1427597392</v>
      </c>
      <c r="N263" s="1177" t="s">
        <v>282</v>
      </c>
      <c r="O263" s="83" t="s">
        <v>284</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s="339" customFormat="1" ht="15.75" customHeight="1">
      <c r="A264" s="334" t="str">
        <f>IF(B264&lt;&gt;"",IF(AND(B264='IN-TC'!$S$4,OR(TH!N264="1111",TH!O264="1111")),TH!D264,""),"")</f>
        <v/>
      </c>
      <c r="B264" s="63">
        <f t="shared" si="18"/>
        <v>3</v>
      </c>
      <c r="C264" s="78">
        <f t="shared" si="31"/>
        <v>42441</v>
      </c>
      <c r="D264" s="78" t="s">
        <v>696</v>
      </c>
      <c r="E264" s="78">
        <v>42441</v>
      </c>
      <c r="F264" s="67" t="s">
        <v>449</v>
      </c>
      <c r="G264" s="79"/>
      <c r="H264" s="80" t="s">
        <v>694</v>
      </c>
      <c r="I264" s="435">
        <v>8000</v>
      </c>
      <c r="J264" s="435">
        <v>179787.95380203397</v>
      </c>
      <c r="K264" s="426"/>
      <c r="L264" s="435"/>
      <c r="M264" s="81">
        <f t="shared" si="32"/>
        <v>1438303630</v>
      </c>
      <c r="N264" s="82" t="s">
        <v>284</v>
      </c>
      <c r="O264" s="82" t="s">
        <v>282</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s="339" customFormat="1" ht="15.75" customHeight="1">
      <c r="A265" s="334" t="str">
        <f>IF(B265&lt;&gt;"",IF(AND(B265='IN-TC'!$S$4,OR(TH!N265="1111",TH!O265="1111")),TH!D265,""),"")</f>
        <v/>
      </c>
      <c r="B265" s="63">
        <f t="shared" si="18"/>
        <v>3</v>
      </c>
      <c r="C265" s="78">
        <f t="shared" si="31"/>
        <v>42441</v>
      </c>
      <c r="D265" s="78" t="s">
        <v>696</v>
      </c>
      <c r="E265" s="78">
        <v>42441</v>
      </c>
      <c r="F265" s="67" t="s">
        <v>449</v>
      </c>
      <c r="G265" s="79"/>
      <c r="H265" s="80" t="s">
        <v>694</v>
      </c>
      <c r="I265" s="435">
        <v>4500</v>
      </c>
      <c r="J265" s="435">
        <v>178740.69200503104</v>
      </c>
      <c r="K265" s="426"/>
      <c r="L265" s="435"/>
      <c r="M265" s="81">
        <f t="shared" si="32"/>
        <v>804333114</v>
      </c>
      <c r="N265" s="82" t="s">
        <v>284</v>
      </c>
      <c r="O265" s="82" t="s">
        <v>282</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s="339" customFormat="1" ht="15.75" customHeight="1">
      <c r="A266" s="334" t="str">
        <f>IF(B266&lt;&gt;"",IF(AND(B266='IN-TC'!$S$4,OR(TH!N266="1111",TH!O266="1111")),TH!D266,""),"")</f>
        <v/>
      </c>
      <c r="B266" s="63">
        <f t="shared" si="18"/>
        <v>3</v>
      </c>
      <c r="C266" s="78">
        <v>42459</v>
      </c>
      <c r="D266" s="78" t="s">
        <v>697</v>
      </c>
      <c r="E266" s="78">
        <f>C266</f>
        <v>42459</v>
      </c>
      <c r="F266" s="67" t="s">
        <v>450</v>
      </c>
      <c r="G266" s="79"/>
      <c r="H266" s="80" t="s">
        <v>695</v>
      </c>
      <c r="I266" s="435">
        <v>5000</v>
      </c>
      <c r="J266" s="435">
        <v>165154.04818547709</v>
      </c>
      <c r="K266" s="426"/>
      <c r="L266" s="435"/>
      <c r="M266" s="81">
        <f t="shared" si="32"/>
        <v>825770241</v>
      </c>
      <c r="N266" s="82" t="s">
        <v>284</v>
      </c>
      <c r="O266" s="82" t="s">
        <v>282</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s="339" customFormat="1" ht="15.75" customHeight="1">
      <c r="A267" s="334" t="str">
        <f>IF(B267&lt;&gt;"",IF(AND(B267='IN-TC'!$S$4,OR(TH!N267="1111",TH!O267="1111")),TH!D267,""),"")</f>
        <v/>
      </c>
      <c r="B267" s="63">
        <f t="shared" si="18"/>
        <v>3</v>
      </c>
      <c r="C267" s="78">
        <v>42460</v>
      </c>
      <c r="D267" s="78" t="s">
        <v>698</v>
      </c>
      <c r="E267" s="78">
        <f>C267</f>
        <v>42460</v>
      </c>
      <c r="F267" s="67" t="s">
        <v>463</v>
      </c>
      <c r="G267" s="79"/>
      <c r="H267" s="80" t="s">
        <v>694</v>
      </c>
      <c r="I267" s="435">
        <v>26000</v>
      </c>
      <c r="J267" s="435">
        <v>58028.337819553919</v>
      </c>
      <c r="K267" s="426"/>
      <c r="L267" s="435"/>
      <c r="M267" s="81">
        <f t="shared" si="32"/>
        <v>1508736783</v>
      </c>
      <c r="N267" s="86" t="s">
        <v>284</v>
      </c>
      <c r="O267" s="82" t="s">
        <v>282</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s="339" customFormat="1" ht="15.75" customHeight="1">
      <c r="A268" s="334" t="str">
        <f>IF(B268&lt;&gt;"",IF(AND(B268='IN-TC'!$S$4,OR(TH!N268="1111",TH!O268="1111")),TH!D268,""),"")</f>
        <v/>
      </c>
      <c r="B268" s="63">
        <f t="shared" si="18"/>
        <v>3</v>
      </c>
      <c r="C268" s="92">
        <f>E268</f>
        <v>42443</v>
      </c>
      <c r="D268" s="92" t="s">
        <v>594</v>
      </c>
      <c r="E268" s="92">
        <v>42443</v>
      </c>
      <c r="F268" s="67" t="s">
        <v>449</v>
      </c>
      <c r="G268" s="93"/>
      <c r="H268" s="978" t="s">
        <v>596</v>
      </c>
      <c r="I268" s="443">
        <v>8000</v>
      </c>
      <c r="J268" s="443">
        <v>179787.95380203397</v>
      </c>
      <c r="K268" s="434"/>
      <c r="L268" s="443"/>
      <c r="M268" s="95">
        <f t="shared" si="32"/>
        <v>1438303630</v>
      </c>
      <c r="N268" s="83" t="s">
        <v>294</v>
      </c>
      <c r="O268" s="83" t="s">
        <v>284</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s="339" customFormat="1" ht="15.75" customHeight="1">
      <c r="A269" s="334" t="str">
        <f>IF(B269&lt;&gt;"",IF(AND(B269='IN-TC'!$S$4,OR(TH!N269="1111",TH!O269="1111")),TH!D269,""),"")</f>
        <v/>
      </c>
      <c r="B269" s="63">
        <f t="shared" si="18"/>
        <v>3</v>
      </c>
      <c r="C269" s="92">
        <f>E269</f>
        <v>42443</v>
      </c>
      <c r="D269" s="92" t="s">
        <v>594</v>
      </c>
      <c r="E269" s="92">
        <v>42443</v>
      </c>
      <c r="F269" s="67" t="s">
        <v>449</v>
      </c>
      <c r="G269" s="93"/>
      <c r="H269" s="978" t="s">
        <v>596</v>
      </c>
      <c r="I269" s="443">
        <v>4500</v>
      </c>
      <c r="J269" s="443">
        <v>178740.69200503104</v>
      </c>
      <c r="K269" s="434"/>
      <c r="L269" s="443"/>
      <c r="M269" s="95">
        <f t="shared" si="32"/>
        <v>804333114</v>
      </c>
      <c r="N269" s="83" t="s">
        <v>294</v>
      </c>
      <c r="O269" s="83" t="s">
        <v>284</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s="339" customFormat="1" ht="15.75" customHeight="1">
      <c r="A270" s="334" t="str">
        <f>IF(B270&lt;&gt;"",IF(AND(B270='IN-TC'!$S$4,OR(TH!N270="1111",TH!O270="1111")),TH!D270,""),"")</f>
        <v/>
      </c>
      <c r="B270" s="63">
        <f t="shared" si="18"/>
        <v>4</v>
      </c>
      <c r="C270" s="92">
        <v>42465</v>
      </c>
      <c r="D270" s="92" t="s">
        <v>593</v>
      </c>
      <c r="E270" s="92">
        <f>C270</f>
        <v>42465</v>
      </c>
      <c r="F270" s="67" t="s">
        <v>450</v>
      </c>
      <c r="G270" s="93"/>
      <c r="H270" s="94" t="s">
        <v>694</v>
      </c>
      <c r="I270" s="443">
        <v>5000</v>
      </c>
      <c r="J270" s="443">
        <v>165154.04818547709</v>
      </c>
      <c r="K270" s="434"/>
      <c r="L270" s="443"/>
      <c r="M270" s="95">
        <f t="shared" si="32"/>
        <v>825770241</v>
      </c>
      <c r="N270" s="1177" t="s">
        <v>282</v>
      </c>
      <c r="O270" s="83" t="s">
        <v>284</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s="339" customFormat="1" ht="15.75" customHeight="1">
      <c r="A271" s="334" t="str">
        <f>IF(B271&lt;&gt;"",IF(AND(B271='IN-TC'!$S$4,OR(TH!N271="1111",TH!O271="1111")),TH!D271,""),"")</f>
        <v/>
      </c>
      <c r="B271" s="63">
        <f t="shared" si="18"/>
        <v>4</v>
      </c>
      <c r="C271" s="78">
        <v>42473</v>
      </c>
      <c r="D271" s="78" t="s">
        <v>696</v>
      </c>
      <c r="E271" s="78">
        <f>C271</f>
        <v>42473</v>
      </c>
      <c r="F271" s="67" t="s">
        <v>450</v>
      </c>
      <c r="G271" s="79"/>
      <c r="H271" s="80" t="s">
        <v>694</v>
      </c>
      <c r="I271" s="435">
        <v>5000</v>
      </c>
      <c r="J271" s="435">
        <v>175567.41260000001</v>
      </c>
      <c r="K271" s="426"/>
      <c r="L271" s="435"/>
      <c r="M271" s="81">
        <f t="shared" si="32"/>
        <v>877837063</v>
      </c>
      <c r="N271" s="82" t="s">
        <v>284</v>
      </c>
      <c r="O271" s="82" t="s">
        <v>282</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s="339" customFormat="1" ht="15.75" customHeight="1">
      <c r="A272" s="334" t="str">
        <f>IF(B272&lt;&gt;"",IF(AND(B272='IN-TC'!$S$4,OR(TH!N272="1111",TH!O272="1111")),TH!D272,""),"")</f>
        <v/>
      </c>
      <c r="B272" s="63">
        <f t="shared" si="18"/>
        <v>4</v>
      </c>
      <c r="C272" s="78">
        <v>42473</v>
      </c>
      <c r="D272" s="78" t="s">
        <v>696</v>
      </c>
      <c r="E272" s="78">
        <f>C272</f>
        <v>42473</v>
      </c>
      <c r="F272" s="67" t="s">
        <v>450</v>
      </c>
      <c r="G272" s="79"/>
      <c r="H272" s="80" t="s">
        <v>694</v>
      </c>
      <c r="I272" s="435">
        <v>3800</v>
      </c>
      <c r="J272" s="435">
        <v>227064.56368421053</v>
      </c>
      <c r="K272" s="426"/>
      <c r="L272" s="435"/>
      <c r="M272" s="81">
        <f t="shared" si="32"/>
        <v>862845342</v>
      </c>
      <c r="N272" s="82" t="s">
        <v>284</v>
      </c>
      <c r="O272" s="82" t="s">
        <v>282</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s="1146" customFormat="1" ht="15.75" customHeight="1">
      <c r="A273" s="334" t="str">
        <f>IF(B273&lt;&gt;"",IF(AND(B273='IN-TC'!$S$4,OR(TH!N273="1111",TH!O273="1111")),TH!D273,""),"")</f>
        <v/>
      </c>
      <c r="B273" s="63">
        <f t="shared" si="18"/>
        <v>4</v>
      </c>
      <c r="C273" s="92">
        <v>42473</v>
      </c>
      <c r="D273" s="92" t="s">
        <v>594</v>
      </c>
      <c r="E273" s="92">
        <f>C273</f>
        <v>42473</v>
      </c>
      <c r="F273" s="67" t="s">
        <v>450</v>
      </c>
      <c r="G273" s="93" t="s">
        <v>1362</v>
      </c>
      <c r="H273" s="978" t="s">
        <v>1363</v>
      </c>
      <c r="I273" s="443">
        <v>5000</v>
      </c>
      <c r="J273" s="443">
        <v>175567.41260000001</v>
      </c>
      <c r="K273" s="434"/>
      <c r="L273" s="443"/>
      <c r="M273" s="95">
        <f t="shared" si="32"/>
        <v>877837063</v>
      </c>
      <c r="N273" s="83" t="s">
        <v>294</v>
      </c>
      <c r="O273" s="83" t="s">
        <v>284</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s="1146" customFormat="1" ht="15.75" customHeight="1">
      <c r="A274" s="334" t="str">
        <f>IF(B274&lt;&gt;"",IF(AND(B274='IN-TC'!$S$4,OR(TH!N274="1111",TH!O274="1111")),TH!D274,""),"")</f>
        <v/>
      </c>
      <c r="B274" s="63">
        <f t="shared" si="18"/>
        <v>4</v>
      </c>
      <c r="C274" s="92">
        <v>42473</v>
      </c>
      <c r="D274" s="92" t="s">
        <v>594</v>
      </c>
      <c r="E274" s="92">
        <f>C274</f>
        <v>42473</v>
      </c>
      <c r="F274" s="67" t="s">
        <v>450</v>
      </c>
      <c r="G274" s="93" t="s">
        <v>1362</v>
      </c>
      <c r="H274" s="978" t="s">
        <v>1363</v>
      </c>
      <c r="I274" s="443">
        <v>3800</v>
      </c>
      <c r="J274" s="443">
        <v>227064.56368421053</v>
      </c>
      <c r="K274" s="434"/>
      <c r="L274" s="443"/>
      <c r="M274" s="95">
        <f t="shared" si="32"/>
        <v>862845342</v>
      </c>
      <c r="N274" s="83" t="s">
        <v>294</v>
      </c>
      <c r="O274" s="83" t="s">
        <v>284</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s="1146" customFormat="1" ht="15.75" customHeight="1">
      <c r="A275" s="334" t="str">
        <f>IF(B275&lt;&gt;"",IF(AND(B275='IN-TC'!$S$4,OR(TH!N275="1111",TH!O275="1111")),TH!D275,""),"")</f>
        <v/>
      </c>
      <c r="B275" s="63">
        <f t="shared" si="18"/>
        <v>5</v>
      </c>
      <c r="C275" s="78">
        <f t="shared" ref="C275:C284" si="33">E275</f>
        <v>42496</v>
      </c>
      <c r="D275" s="78" t="s">
        <v>696</v>
      </c>
      <c r="E275" s="78">
        <v>42496</v>
      </c>
      <c r="F275" s="67" t="s">
        <v>448</v>
      </c>
      <c r="G275" s="79"/>
      <c r="H275" s="80" t="s">
        <v>694</v>
      </c>
      <c r="I275" s="435">
        <v>4140</v>
      </c>
      <c r="J275" s="435">
        <v>244628.66835748791</v>
      </c>
      <c r="K275" s="426"/>
      <c r="L275" s="435"/>
      <c r="M275" s="81">
        <f t="shared" si="32"/>
        <v>1012762687</v>
      </c>
      <c r="N275" s="86" t="s">
        <v>284</v>
      </c>
      <c r="O275" s="82" t="s">
        <v>282</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s="1146" customFormat="1" ht="15.75" customHeight="1">
      <c r="A276" s="334" t="str">
        <f>IF(B276&lt;&gt;"",IF(AND(B276='IN-TC'!$S$4,OR(TH!N276="1111",TH!O276="1111")),TH!D276,""),"")</f>
        <v/>
      </c>
      <c r="B276" s="63">
        <f t="shared" si="18"/>
        <v>5</v>
      </c>
      <c r="C276" s="78">
        <f t="shared" si="33"/>
        <v>42496</v>
      </c>
      <c r="D276" s="78" t="s">
        <v>696</v>
      </c>
      <c r="E276" s="78">
        <v>42496</v>
      </c>
      <c r="F276" s="67" t="s">
        <v>1515</v>
      </c>
      <c r="G276" s="79"/>
      <c r="H276" s="80" t="s">
        <v>694</v>
      </c>
      <c r="I276" s="435">
        <v>880</v>
      </c>
      <c r="J276" s="435">
        <v>165058.95113636364</v>
      </c>
      <c r="K276" s="426"/>
      <c r="L276" s="435"/>
      <c r="M276" s="81">
        <f t="shared" si="32"/>
        <v>145251877</v>
      </c>
      <c r="N276" s="86" t="s">
        <v>284</v>
      </c>
      <c r="O276" s="82" t="s">
        <v>282</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s="1146" customFormat="1" ht="15.75" customHeight="1">
      <c r="A277" s="334" t="str">
        <f>IF(B277&lt;&gt;"",IF(AND(B277='IN-TC'!$S$4,OR(TH!N277="1111",TH!O277="1111")),TH!D277,""),"")</f>
        <v/>
      </c>
      <c r="B277" s="63">
        <f t="shared" si="18"/>
        <v>5</v>
      </c>
      <c r="C277" s="78">
        <f t="shared" si="33"/>
        <v>42496</v>
      </c>
      <c r="D277" s="78" t="s">
        <v>696</v>
      </c>
      <c r="E277" s="78">
        <v>42496</v>
      </c>
      <c r="F277" s="67" t="s">
        <v>1516</v>
      </c>
      <c r="G277" s="79"/>
      <c r="H277" s="80" t="s">
        <v>694</v>
      </c>
      <c r="I277" s="435">
        <v>600</v>
      </c>
      <c r="J277" s="435">
        <v>160925.01166666666</v>
      </c>
      <c r="K277" s="426"/>
      <c r="L277" s="435"/>
      <c r="M277" s="81">
        <f t="shared" si="32"/>
        <v>96555007</v>
      </c>
      <c r="N277" s="86" t="s">
        <v>284</v>
      </c>
      <c r="O277" s="82" t="s">
        <v>282</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s="1146" customFormat="1" ht="15.75" customHeight="1">
      <c r="A278" s="334" t="str">
        <f>IF(B278&lt;&gt;"",IF(AND(B278='IN-TC'!$S$4,OR(TH!N278="1111",TH!O278="1111")),TH!D278,""),"")</f>
        <v/>
      </c>
      <c r="B278" s="63">
        <f t="shared" si="18"/>
        <v>5</v>
      </c>
      <c r="C278" s="78">
        <f t="shared" si="33"/>
        <v>42496</v>
      </c>
      <c r="D278" s="78" t="s">
        <v>696</v>
      </c>
      <c r="E278" s="78">
        <v>42496</v>
      </c>
      <c r="F278" s="67" t="s">
        <v>1517</v>
      </c>
      <c r="G278" s="79"/>
      <c r="H278" s="80" t="s">
        <v>694</v>
      </c>
      <c r="I278" s="435">
        <v>1000</v>
      </c>
      <c r="J278" s="435">
        <v>186268.853</v>
      </c>
      <c r="K278" s="426"/>
      <c r="L278" s="435"/>
      <c r="M278" s="81">
        <f t="shared" si="32"/>
        <v>186268853</v>
      </c>
      <c r="N278" s="86" t="s">
        <v>284</v>
      </c>
      <c r="O278" s="82" t="s">
        <v>282</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s="1146" customFormat="1" ht="15.75" customHeight="1">
      <c r="A279" s="334" t="str">
        <f>IF(B279&lt;&gt;"",IF(AND(B279='IN-TC'!$S$4,OR(TH!N279="1111",TH!O279="1111")),TH!D279,""),"")</f>
        <v/>
      </c>
      <c r="B279" s="63">
        <f t="shared" si="18"/>
        <v>5</v>
      </c>
      <c r="C279" s="78">
        <f t="shared" si="33"/>
        <v>42502</v>
      </c>
      <c r="D279" s="78" t="s">
        <v>697</v>
      </c>
      <c r="E279" s="78">
        <v>42502</v>
      </c>
      <c r="F279" s="67" t="s">
        <v>450</v>
      </c>
      <c r="G279" s="79"/>
      <c r="H279" s="80" t="s">
        <v>694</v>
      </c>
      <c r="I279" s="435">
        <v>4800</v>
      </c>
      <c r="J279" s="435">
        <v>182314.85229166667</v>
      </c>
      <c r="K279" s="426"/>
      <c r="L279" s="435"/>
      <c r="M279" s="81">
        <f t="shared" si="32"/>
        <v>875111291</v>
      </c>
      <c r="N279" s="86" t="s">
        <v>284</v>
      </c>
      <c r="O279" s="82" t="s">
        <v>282</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s="1146" customFormat="1" ht="15.75" customHeight="1">
      <c r="A280" s="334" t="str">
        <f>IF(B280&lt;&gt;"",IF(AND(B280='IN-TC'!$S$4,OR(TH!N280="1111",TH!O280="1111")),TH!D280,""),"")</f>
        <v/>
      </c>
      <c r="B280" s="63">
        <f t="shared" si="18"/>
        <v>5</v>
      </c>
      <c r="C280" s="92">
        <f t="shared" si="33"/>
        <v>42496</v>
      </c>
      <c r="D280" s="92" t="s">
        <v>593</v>
      </c>
      <c r="E280" s="92">
        <v>42496</v>
      </c>
      <c r="F280" s="67" t="s">
        <v>448</v>
      </c>
      <c r="G280" s="93" t="s">
        <v>1514</v>
      </c>
      <c r="H280" s="978" t="s">
        <v>598</v>
      </c>
      <c r="I280" s="443">
        <v>4140</v>
      </c>
      <c r="J280" s="443">
        <v>244628.66835748791</v>
      </c>
      <c r="K280" s="434"/>
      <c r="L280" s="443"/>
      <c r="M280" s="95">
        <f t="shared" si="32"/>
        <v>1012762687</v>
      </c>
      <c r="N280" s="83" t="s">
        <v>294</v>
      </c>
      <c r="O280" s="83" t="s">
        <v>284</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s="1146" customFormat="1" ht="15.75" customHeight="1">
      <c r="A281" s="334" t="str">
        <f>IF(B281&lt;&gt;"",IF(AND(B281='IN-TC'!$S$4,OR(TH!N281="1111",TH!O281="1111")),TH!D281,""),"")</f>
        <v/>
      </c>
      <c r="B281" s="63">
        <f t="shared" si="18"/>
        <v>5</v>
      </c>
      <c r="C281" s="92">
        <f t="shared" si="33"/>
        <v>42496</v>
      </c>
      <c r="D281" s="92" t="s">
        <v>593</v>
      </c>
      <c r="E281" s="92">
        <v>42496</v>
      </c>
      <c r="F281" s="67" t="s">
        <v>1515</v>
      </c>
      <c r="G281" s="93" t="s">
        <v>1514</v>
      </c>
      <c r="H281" s="978" t="s">
        <v>598</v>
      </c>
      <c r="I281" s="443">
        <v>880</v>
      </c>
      <c r="J281" s="443">
        <v>165058.95113636364</v>
      </c>
      <c r="K281" s="434"/>
      <c r="L281" s="443"/>
      <c r="M281" s="95">
        <f t="shared" si="32"/>
        <v>145251877</v>
      </c>
      <c r="N281" s="83" t="s">
        <v>294</v>
      </c>
      <c r="O281" s="83" t="s">
        <v>284</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s="1146" customFormat="1" ht="15.75" customHeight="1">
      <c r="A282" s="334" t="str">
        <f>IF(B282&lt;&gt;"",IF(AND(B282='IN-TC'!$S$4,OR(TH!N282="1111",TH!O282="1111")),TH!D282,""),"")</f>
        <v/>
      </c>
      <c r="B282" s="63">
        <f t="shared" si="18"/>
        <v>5</v>
      </c>
      <c r="C282" s="92">
        <f t="shared" si="33"/>
        <v>42496</v>
      </c>
      <c r="D282" s="92" t="s">
        <v>593</v>
      </c>
      <c r="E282" s="92">
        <v>42496</v>
      </c>
      <c r="F282" s="67" t="s">
        <v>1516</v>
      </c>
      <c r="G282" s="93" t="s">
        <v>1514</v>
      </c>
      <c r="H282" s="978" t="s">
        <v>598</v>
      </c>
      <c r="I282" s="443">
        <v>600</v>
      </c>
      <c r="J282" s="443">
        <v>160925.01166666666</v>
      </c>
      <c r="K282" s="434"/>
      <c r="L282" s="443"/>
      <c r="M282" s="95">
        <f t="shared" si="32"/>
        <v>96555007</v>
      </c>
      <c r="N282" s="83" t="s">
        <v>294</v>
      </c>
      <c r="O282" s="83" t="s">
        <v>284</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s="1146" customFormat="1" ht="15.75" customHeight="1">
      <c r="A283" s="334" t="str">
        <f>IF(B283&lt;&gt;"",IF(AND(B283='IN-TC'!$S$4,OR(TH!N283="1111",TH!O283="1111")),TH!D283,""),"")</f>
        <v/>
      </c>
      <c r="B283" s="63">
        <f t="shared" si="18"/>
        <v>5</v>
      </c>
      <c r="C283" s="92">
        <f t="shared" si="33"/>
        <v>42496</v>
      </c>
      <c r="D283" s="92" t="s">
        <v>593</v>
      </c>
      <c r="E283" s="92">
        <v>42496</v>
      </c>
      <c r="F283" s="67" t="s">
        <v>1517</v>
      </c>
      <c r="G283" s="93" t="s">
        <v>1514</v>
      </c>
      <c r="H283" s="978" t="s">
        <v>598</v>
      </c>
      <c r="I283" s="443">
        <v>1000</v>
      </c>
      <c r="J283" s="443">
        <v>186268.853</v>
      </c>
      <c r="K283" s="434"/>
      <c r="L283" s="443"/>
      <c r="M283" s="95">
        <f t="shared" si="32"/>
        <v>186268853</v>
      </c>
      <c r="N283" s="83" t="s">
        <v>294</v>
      </c>
      <c r="O283" s="83" t="s">
        <v>284</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s="1146" customFormat="1" ht="15.75" customHeight="1">
      <c r="A284" s="334" t="str">
        <f>IF(B284&lt;&gt;"",IF(AND(B284='IN-TC'!$S$4,OR(TH!N284="1111",TH!O284="1111")),TH!D284,""),"")</f>
        <v/>
      </c>
      <c r="B284" s="63">
        <f t="shared" si="18"/>
        <v>5</v>
      </c>
      <c r="C284" s="92">
        <f t="shared" si="33"/>
        <v>42502</v>
      </c>
      <c r="D284" s="92" t="s">
        <v>594</v>
      </c>
      <c r="E284" s="92">
        <v>42502</v>
      </c>
      <c r="F284" s="67" t="s">
        <v>450</v>
      </c>
      <c r="G284" s="93" t="s">
        <v>1518</v>
      </c>
      <c r="H284" s="978" t="s">
        <v>595</v>
      </c>
      <c r="I284" s="443">
        <v>4800</v>
      </c>
      <c r="J284" s="443">
        <v>182314.85229166667</v>
      </c>
      <c r="K284" s="434"/>
      <c r="L284" s="443"/>
      <c r="M284" s="95">
        <f t="shared" si="32"/>
        <v>875111291</v>
      </c>
      <c r="N284" s="83" t="s">
        <v>294</v>
      </c>
      <c r="O284" s="83" t="s">
        <v>284</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s="1146" customFormat="1" ht="15.75" customHeight="1">
      <c r="A285" s="334" t="str">
        <f>IF(B285&lt;&gt;"",IF(AND(B285='IN-TC'!$S$4,OR(TH!N285="1111",TH!O285="1111")),TH!D285,""),"")</f>
        <v/>
      </c>
      <c r="B285" s="63">
        <f t="shared" si="18"/>
        <v>6</v>
      </c>
      <c r="C285" s="78">
        <v>42527</v>
      </c>
      <c r="D285" s="78" t="s">
        <v>696</v>
      </c>
      <c r="E285" s="78">
        <f t="shared" ref="E285:E316" si="34">C285</f>
        <v>42527</v>
      </c>
      <c r="F285" s="67" t="s">
        <v>449</v>
      </c>
      <c r="G285" s="79"/>
      <c r="H285" s="80" t="s">
        <v>694</v>
      </c>
      <c r="I285" s="435">
        <v>10000</v>
      </c>
      <c r="J285" s="435">
        <v>179749.96479999999</v>
      </c>
      <c r="K285" s="426"/>
      <c r="L285" s="435"/>
      <c r="M285" s="81">
        <f t="shared" si="32"/>
        <v>1797499648</v>
      </c>
      <c r="N285" s="86" t="s">
        <v>284</v>
      </c>
      <c r="O285" s="82" t="s">
        <v>282</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s="1146" customFormat="1" ht="15.75" customHeight="1">
      <c r="A286" s="334" t="str">
        <f>IF(B286&lt;&gt;"",IF(AND(B286='IN-TC'!$S$4,OR(TH!N286="1111",TH!O286="1111")),TH!D286,""),"")</f>
        <v/>
      </c>
      <c r="B286" s="63">
        <f t="shared" si="18"/>
        <v>6</v>
      </c>
      <c r="C286" s="78">
        <v>42532</v>
      </c>
      <c r="D286" s="78" t="s">
        <v>697</v>
      </c>
      <c r="E286" s="78">
        <f t="shared" si="34"/>
        <v>42532</v>
      </c>
      <c r="F286" s="67" t="s">
        <v>448</v>
      </c>
      <c r="G286" s="79"/>
      <c r="H286" s="80" t="s">
        <v>694</v>
      </c>
      <c r="I286" s="435">
        <v>1000</v>
      </c>
      <c r="J286" s="435">
        <v>226856.484</v>
      </c>
      <c r="K286" s="426"/>
      <c r="L286" s="435"/>
      <c r="M286" s="81">
        <f t="shared" si="32"/>
        <v>226856484</v>
      </c>
      <c r="N286" s="86" t="s">
        <v>284</v>
      </c>
      <c r="O286" s="82" t="s">
        <v>282</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s="1146" customFormat="1" ht="15.75" customHeight="1">
      <c r="A287" s="334" t="str">
        <f>IF(B287&lt;&gt;"",IF(AND(B287='IN-TC'!$S$4,OR(TH!N287="1111",TH!O287="1111")),TH!D287,""),"")</f>
        <v/>
      </c>
      <c r="B287" s="63">
        <f t="shared" si="18"/>
        <v>6</v>
      </c>
      <c r="C287" s="78">
        <v>42532</v>
      </c>
      <c r="D287" s="78" t="s">
        <v>697</v>
      </c>
      <c r="E287" s="78">
        <f t="shared" si="34"/>
        <v>42532</v>
      </c>
      <c r="F287" s="67" t="s">
        <v>1517</v>
      </c>
      <c r="G287" s="79"/>
      <c r="H287" s="80" t="s">
        <v>694</v>
      </c>
      <c r="I287" s="435">
        <v>2640</v>
      </c>
      <c r="J287" s="435">
        <v>175551.8268939394</v>
      </c>
      <c r="K287" s="426"/>
      <c r="L287" s="435"/>
      <c r="M287" s="81">
        <f t="shared" ref="M287:M318" si="35">ROUND(I287*J287,0)</f>
        <v>463456823</v>
      </c>
      <c r="N287" s="86" t="s">
        <v>284</v>
      </c>
      <c r="O287" s="82" t="s">
        <v>282</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s="1146" customFormat="1" ht="15.75" customHeight="1">
      <c r="A288" s="334" t="str">
        <f>IF(B288&lt;&gt;"",IF(AND(B288='IN-TC'!$S$4,OR(TH!N288="1111",TH!O288="1111")),TH!D288,""),"")</f>
        <v/>
      </c>
      <c r="B288" s="63">
        <f t="shared" si="18"/>
        <v>6</v>
      </c>
      <c r="C288" s="78">
        <v>42535</v>
      </c>
      <c r="D288" s="78" t="s">
        <v>698</v>
      </c>
      <c r="E288" s="78">
        <f t="shared" si="34"/>
        <v>42535</v>
      </c>
      <c r="F288" s="67" t="s">
        <v>1673</v>
      </c>
      <c r="G288" s="79"/>
      <c r="H288" s="80" t="s">
        <v>694</v>
      </c>
      <c r="I288" s="435">
        <v>1750</v>
      </c>
      <c r="J288" s="435">
        <v>13390.883428571429</v>
      </c>
      <c r="K288" s="426"/>
      <c r="L288" s="435"/>
      <c r="M288" s="81">
        <f t="shared" si="35"/>
        <v>23434046</v>
      </c>
      <c r="N288" s="86" t="s">
        <v>284</v>
      </c>
      <c r="O288" s="82" t="s">
        <v>282</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0" s="1146" customFormat="1" ht="15.75" customHeight="1">
      <c r="A289" s="334" t="str">
        <f>IF(B289&lt;&gt;"",IF(AND(B289='IN-TC'!$S$4,OR(TH!N289="1111",TH!O289="1111")),TH!D289,""),"")</f>
        <v/>
      </c>
      <c r="B289" s="63">
        <f t="shared" si="18"/>
        <v>6</v>
      </c>
      <c r="C289" s="78">
        <v>42535</v>
      </c>
      <c r="D289" s="78" t="s">
        <v>698</v>
      </c>
      <c r="E289" s="78">
        <f t="shared" si="34"/>
        <v>42535</v>
      </c>
      <c r="F289" s="67" t="s">
        <v>1674</v>
      </c>
      <c r="G289" s="79"/>
      <c r="H289" s="80" t="s">
        <v>694</v>
      </c>
      <c r="I289" s="435">
        <v>5390</v>
      </c>
      <c r="J289" s="435">
        <v>13389.77012987013</v>
      </c>
      <c r="K289" s="426"/>
      <c r="L289" s="435"/>
      <c r="M289" s="81">
        <f t="shared" si="35"/>
        <v>72170861</v>
      </c>
      <c r="N289" s="86" t="s">
        <v>284</v>
      </c>
      <c r="O289" s="82" t="s">
        <v>282</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0" s="1146" customFormat="1" ht="15.75" customHeight="1">
      <c r="A290" s="334" t="str">
        <f>IF(B290&lt;&gt;"",IF(AND(B290='IN-TC'!$S$4,OR(TH!N290="1111",TH!O290="1111")),TH!D290,""),"")</f>
        <v/>
      </c>
      <c r="B290" s="63">
        <f t="shared" si="18"/>
        <v>6</v>
      </c>
      <c r="C290" s="92">
        <v>42527</v>
      </c>
      <c r="D290" s="92" t="s">
        <v>593</v>
      </c>
      <c r="E290" s="92">
        <f t="shared" si="34"/>
        <v>42527</v>
      </c>
      <c r="F290" s="67" t="s">
        <v>449</v>
      </c>
      <c r="G290" s="93" t="s">
        <v>1551</v>
      </c>
      <c r="H290" s="978" t="s">
        <v>1552</v>
      </c>
      <c r="I290" s="443">
        <v>10000</v>
      </c>
      <c r="J290" s="443">
        <v>179749.96479999999</v>
      </c>
      <c r="K290" s="434"/>
      <c r="L290" s="443"/>
      <c r="M290" s="95">
        <f t="shared" si="35"/>
        <v>1797499648</v>
      </c>
      <c r="N290" s="83" t="s">
        <v>294</v>
      </c>
      <c r="O290" s="83" t="s">
        <v>284</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row>
    <row r="291" spans="1:30" s="1146" customFormat="1" ht="15.75" customHeight="1">
      <c r="A291" s="334" t="str">
        <f>IF(B291&lt;&gt;"",IF(AND(B291='IN-TC'!$S$4,OR(TH!N291="1111",TH!O291="1111")),TH!D291,""),"")</f>
        <v/>
      </c>
      <c r="B291" s="63">
        <f t="shared" si="18"/>
        <v>6</v>
      </c>
      <c r="C291" s="92">
        <v>42532</v>
      </c>
      <c r="D291" s="92" t="s">
        <v>594</v>
      </c>
      <c r="E291" s="92">
        <f t="shared" si="34"/>
        <v>42532</v>
      </c>
      <c r="F291" s="67" t="s">
        <v>448</v>
      </c>
      <c r="G291" s="93" t="s">
        <v>1550</v>
      </c>
      <c r="H291" s="978" t="s">
        <v>598</v>
      </c>
      <c r="I291" s="443">
        <v>1000</v>
      </c>
      <c r="J291" s="443">
        <v>226856.484</v>
      </c>
      <c r="K291" s="434"/>
      <c r="L291" s="443"/>
      <c r="M291" s="95">
        <f t="shared" si="35"/>
        <v>226856484</v>
      </c>
      <c r="N291" s="83" t="s">
        <v>294</v>
      </c>
      <c r="O291" s="83" t="s">
        <v>284</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0" s="1146" customFormat="1" ht="15.75" customHeight="1">
      <c r="A292" s="334" t="str">
        <f>IF(B292&lt;&gt;"",IF(AND(B292='IN-TC'!$S$4,OR(TH!N292="1111",TH!O292="1111")),TH!D292,""),"")</f>
        <v/>
      </c>
      <c r="B292" s="63">
        <f t="shared" si="18"/>
        <v>6</v>
      </c>
      <c r="C292" s="92">
        <v>42532</v>
      </c>
      <c r="D292" s="92" t="s">
        <v>594</v>
      </c>
      <c r="E292" s="92">
        <f t="shared" si="34"/>
        <v>42532</v>
      </c>
      <c r="F292" s="67" t="s">
        <v>1517</v>
      </c>
      <c r="G292" s="93" t="s">
        <v>1550</v>
      </c>
      <c r="H292" s="978" t="s">
        <v>598</v>
      </c>
      <c r="I292" s="443">
        <v>2640</v>
      </c>
      <c r="J292" s="443">
        <v>175551.8268939394</v>
      </c>
      <c r="K292" s="434"/>
      <c r="L292" s="443"/>
      <c r="M292" s="95">
        <f t="shared" si="35"/>
        <v>463456823</v>
      </c>
      <c r="N292" s="83" t="s">
        <v>294</v>
      </c>
      <c r="O292" s="83" t="s">
        <v>284</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0" s="1146" customFormat="1" ht="15.75" customHeight="1">
      <c r="A293" s="334" t="str">
        <f>IF(B293&lt;&gt;"",IF(AND(B293='IN-TC'!$S$4,OR(TH!N293="1111",TH!O293="1111")),TH!D293,""),"")</f>
        <v/>
      </c>
      <c r="B293" s="63">
        <f t="shared" si="18"/>
        <v>6</v>
      </c>
      <c r="C293" s="92">
        <v>42535</v>
      </c>
      <c r="D293" s="92" t="s">
        <v>1672</v>
      </c>
      <c r="E293" s="92">
        <f t="shared" si="34"/>
        <v>42535</v>
      </c>
      <c r="F293" s="67" t="s">
        <v>1673</v>
      </c>
      <c r="G293" s="93" t="s">
        <v>1675</v>
      </c>
      <c r="H293" s="978" t="s">
        <v>1539</v>
      </c>
      <c r="I293" s="443">
        <v>1750</v>
      </c>
      <c r="J293" s="443">
        <v>13390.883428571429</v>
      </c>
      <c r="K293" s="434"/>
      <c r="L293" s="443"/>
      <c r="M293" s="95">
        <f t="shared" si="35"/>
        <v>23434046</v>
      </c>
      <c r="N293" s="83" t="s">
        <v>294</v>
      </c>
      <c r="O293" s="83" t="s">
        <v>284</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0" s="1146" customFormat="1" ht="15.75" customHeight="1">
      <c r="A294" s="334" t="str">
        <f>IF(B294&lt;&gt;"",IF(AND(B294='IN-TC'!$S$4,OR(TH!N294="1111",TH!O294="1111")),TH!D294,""),"")</f>
        <v/>
      </c>
      <c r="B294" s="63">
        <f t="shared" si="18"/>
        <v>6</v>
      </c>
      <c r="C294" s="92">
        <v>42535</v>
      </c>
      <c r="D294" s="92" t="s">
        <v>1672</v>
      </c>
      <c r="E294" s="92">
        <f t="shared" si="34"/>
        <v>42535</v>
      </c>
      <c r="F294" s="67" t="s">
        <v>1674</v>
      </c>
      <c r="G294" s="93" t="s">
        <v>1675</v>
      </c>
      <c r="H294" s="978" t="s">
        <v>1539</v>
      </c>
      <c r="I294" s="443">
        <v>5390</v>
      </c>
      <c r="J294" s="443">
        <v>13389.77012987013</v>
      </c>
      <c r="K294" s="434"/>
      <c r="L294" s="443"/>
      <c r="M294" s="95">
        <f t="shared" si="35"/>
        <v>72170861</v>
      </c>
      <c r="N294" s="83" t="s">
        <v>294</v>
      </c>
      <c r="O294" s="83" t="s">
        <v>284</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0" s="1146" customFormat="1" ht="15.75" customHeight="1">
      <c r="A295" s="334" t="str">
        <f>IF(B295&lt;&gt;"",IF(AND(B295='IN-TC'!$S$4,OR(TH!N295="1111",TH!O295="1111")),TH!D295,""),"")</f>
        <v/>
      </c>
      <c r="B295" s="63">
        <f t="shared" si="18"/>
        <v>6</v>
      </c>
      <c r="C295" s="92">
        <v>42531</v>
      </c>
      <c r="D295" s="92" t="s">
        <v>1671</v>
      </c>
      <c r="E295" s="92">
        <f t="shared" si="34"/>
        <v>42531</v>
      </c>
      <c r="F295" s="67" t="s">
        <v>447</v>
      </c>
      <c r="G295" s="93"/>
      <c r="H295" s="94" t="s">
        <v>694</v>
      </c>
      <c r="I295" s="443">
        <v>16075</v>
      </c>
      <c r="J295" s="443">
        <v>68876.211819595643</v>
      </c>
      <c r="K295" s="434"/>
      <c r="L295" s="443"/>
      <c r="M295" s="95">
        <f t="shared" si="35"/>
        <v>1107185105</v>
      </c>
      <c r="N295" s="1177" t="s">
        <v>282</v>
      </c>
      <c r="O295" s="83" t="s">
        <v>284</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0" s="1146" customFormat="1" ht="15.75" customHeight="1">
      <c r="A296" s="334" t="str">
        <f>IF(B296&lt;&gt;"",IF(AND(B296='IN-TC'!$S$4,OR(TH!N296="1111",TH!O296="1111")),TH!D296,""),"")</f>
        <v/>
      </c>
      <c r="B296" s="63">
        <f t="shared" si="18"/>
        <v>6</v>
      </c>
      <c r="C296" s="78">
        <v>42536</v>
      </c>
      <c r="D296" s="78" t="s">
        <v>1941</v>
      </c>
      <c r="E296" s="78">
        <f t="shared" si="34"/>
        <v>42536</v>
      </c>
      <c r="F296" s="67" t="s">
        <v>1676</v>
      </c>
      <c r="G296" s="79"/>
      <c r="H296" s="80" t="s">
        <v>694</v>
      </c>
      <c r="I296" s="435">
        <v>690</v>
      </c>
      <c r="J296" s="435">
        <v>589679.52753623191</v>
      </c>
      <c r="K296" s="426"/>
      <c r="L296" s="435"/>
      <c r="M296" s="81">
        <f t="shared" si="35"/>
        <v>406878874</v>
      </c>
      <c r="N296" s="86" t="s">
        <v>284</v>
      </c>
      <c r="O296" s="82" t="s">
        <v>282</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0" s="1146" customFormat="1" ht="15.75" customHeight="1">
      <c r="A297" s="334" t="str">
        <f>IF(B297&lt;&gt;"",IF(AND(B297='IN-TC'!$S$4,OR(TH!N297="1111",TH!O297="1111")),TH!D297,""),"")</f>
        <v/>
      </c>
      <c r="B297" s="63">
        <f t="shared" si="18"/>
        <v>6</v>
      </c>
      <c r="C297" s="78">
        <v>42536</v>
      </c>
      <c r="D297" s="78" t="s">
        <v>1941</v>
      </c>
      <c r="E297" s="78">
        <f t="shared" si="34"/>
        <v>42536</v>
      </c>
      <c r="F297" s="67" t="s">
        <v>1677</v>
      </c>
      <c r="G297" s="79"/>
      <c r="H297" s="80" t="s">
        <v>694</v>
      </c>
      <c r="I297" s="435">
        <v>500</v>
      </c>
      <c r="J297" s="435">
        <v>589679.52599999995</v>
      </c>
      <c r="K297" s="426"/>
      <c r="L297" s="435"/>
      <c r="M297" s="81">
        <f t="shared" si="35"/>
        <v>294839763</v>
      </c>
      <c r="N297" s="86" t="s">
        <v>284</v>
      </c>
      <c r="O297" s="82" t="s">
        <v>282</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0" s="1146" customFormat="1" ht="15.75" customHeight="1">
      <c r="A298" s="334" t="str">
        <f>IF(B298&lt;&gt;"",IF(AND(B298='IN-TC'!$S$4,OR(TH!N298="1111",TH!O298="1111")),TH!D298,""),"")</f>
        <v/>
      </c>
      <c r="B298" s="63">
        <f t="shared" si="18"/>
        <v>6</v>
      </c>
      <c r="C298" s="78">
        <v>42536</v>
      </c>
      <c r="D298" s="78" t="s">
        <v>1941</v>
      </c>
      <c r="E298" s="78">
        <f t="shared" si="34"/>
        <v>42536</v>
      </c>
      <c r="F298" s="67" t="s">
        <v>1678</v>
      </c>
      <c r="G298" s="79"/>
      <c r="H298" s="80" t="s">
        <v>694</v>
      </c>
      <c r="I298" s="435">
        <v>560</v>
      </c>
      <c r="J298" s="435">
        <v>589679.52678571432</v>
      </c>
      <c r="K298" s="426"/>
      <c r="L298" s="435"/>
      <c r="M298" s="81">
        <f t="shared" si="35"/>
        <v>330220535</v>
      </c>
      <c r="N298" s="86" t="s">
        <v>284</v>
      </c>
      <c r="O298" s="82" t="s">
        <v>282</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0" s="1146" customFormat="1" ht="15.75" customHeight="1">
      <c r="A299" s="334" t="str">
        <f>IF(B299&lt;&gt;"",IF(AND(B299='IN-TC'!$S$4,OR(TH!N299="1111",TH!O299="1111")),TH!D299,""),"")</f>
        <v/>
      </c>
      <c r="B299" s="63">
        <f t="shared" si="18"/>
        <v>6</v>
      </c>
      <c r="C299" s="78">
        <v>42536</v>
      </c>
      <c r="D299" s="78" t="s">
        <v>1941</v>
      </c>
      <c r="E299" s="78">
        <f t="shared" si="34"/>
        <v>42536</v>
      </c>
      <c r="F299" s="67" t="s">
        <v>1679</v>
      </c>
      <c r="G299" s="79"/>
      <c r="H299" s="80" t="s">
        <v>694</v>
      </c>
      <c r="I299" s="435">
        <v>580</v>
      </c>
      <c r="J299" s="435">
        <v>589679.52758620691</v>
      </c>
      <c r="K299" s="426"/>
      <c r="L299" s="435"/>
      <c r="M299" s="81">
        <f t="shared" si="35"/>
        <v>342014126</v>
      </c>
      <c r="N299" s="86" t="s">
        <v>284</v>
      </c>
      <c r="O299" s="82" t="s">
        <v>282</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0" s="1146" customFormat="1" ht="15.75" customHeight="1">
      <c r="A300" s="334" t="str">
        <f>IF(B300&lt;&gt;"",IF(AND(B300='IN-TC'!$S$4,OR(TH!N300="1111",TH!O300="1111")),TH!D300,""),"")</f>
        <v/>
      </c>
      <c r="B300" s="63">
        <f t="shared" si="18"/>
        <v>6</v>
      </c>
      <c r="C300" s="78">
        <v>42536</v>
      </c>
      <c r="D300" s="78" t="s">
        <v>1941</v>
      </c>
      <c r="E300" s="78">
        <f t="shared" si="34"/>
        <v>42536</v>
      </c>
      <c r="F300" s="67" t="s">
        <v>1680</v>
      </c>
      <c r="G300" s="79"/>
      <c r="H300" s="80" t="s">
        <v>694</v>
      </c>
      <c r="I300" s="435">
        <v>870</v>
      </c>
      <c r="J300" s="435">
        <v>589679.52643678163</v>
      </c>
      <c r="K300" s="426"/>
      <c r="L300" s="435"/>
      <c r="M300" s="81">
        <f t="shared" si="35"/>
        <v>513021188</v>
      </c>
      <c r="N300" s="86" t="s">
        <v>284</v>
      </c>
      <c r="O300" s="82" t="s">
        <v>282</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0" s="1146" customFormat="1" ht="15.75" customHeight="1">
      <c r="A301" s="334" t="str">
        <f>IF(B301&lt;&gt;"",IF(AND(B301='IN-TC'!$S$4,OR(TH!N301="1111",TH!O301="1111")),TH!D301,""),"")</f>
        <v/>
      </c>
      <c r="B301" s="63">
        <f t="shared" si="18"/>
        <v>6</v>
      </c>
      <c r="C301" s="78">
        <v>42536</v>
      </c>
      <c r="D301" s="78" t="s">
        <v>1941</v>
      </c>
      <c r="E301" s="78">
        <f t="shared" si="34"/>
        <v>42536</v>
      </c>
      <c r="F301" s="67" t="s">
        <v>1681</v>
      </c>
      <c r="G301" s="79"/>
      <c r="H301" s="80" t="s">
        <v>694</v>
      </c>
      <c r="I301" s="435">
        <v>130</v>
      </c>
      <c r="J301" s="435">
        <v>589679.5307692308</v>
      </c>
      <c r="K301" s="426"/>
      <c r="L301" s="435"/>
      <c r="M301" s="81">
        <f t="shared" si="35"/>
        <v>76658339</v>
      </c>
      <c r="N301" s="86" t="s">
        <v>284</v>
      </c>
      <c r="O301" s="82" t="s">
        <v>282</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0" s="1146" customFormat="1" ht="15.75" customHeight="1">
      <c r="A302" s="334" t="str">
        <f>IF(B302&lt;&gt;"",IF(AND(B302='IN-TC'!$S$4,OR(TH!N302="1111",TH!O302="1111")),TH!D302,""),"")</f>
        <v/>
      </c>
      <c r="B302" s="63">
        <f t="shared" si="18"/>
        <v>6</v>
      </c>
      <c r="C302" s="78">
        <v>42536</v>
      </c>
      <c r="D302" s="78" t="s">
        <v>1941</v>
      </c>
      <c r="E302" s="78">
        <f t="shared" si="34"/>
        <v>42536</v>
      </c>
      <c r="F302" s="67" t="s">
        <v>1682</v>
      </c>
      <c r="G302" s="79"/>
      <c r="H302" s="80" t="s">
        <v>694</v>
      </c>
      <c r="I302" s="435">
        <v>250</v>
      </c>
      <c r="J302" s="435">
        <v>589679.52399999998</v>
      </c>
      <c r="K302" s="426"/>
      <c r="L302" s="435"/>
      <c r="M302" s="81">
        <f t="shared" si="35"/>
        <v>147419881</v>
      </c>
      <c r="N302" s="86" t="s">
        <v>284</v>
      </c>
      <c r="O302" s="82" t="s">
        <v>282</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0" s="1146" customFormat="1" ht="15.75" customHeight="1">
      <c r="A303" s="334" t="str">
        <f>IF(B303&lt;&gt;"",IF(AND(B303='IN-TC'!$S$4,OR(TH!N303="1111",TH!O303="1111")),TH!D303,""),"")</f>
        <v/>
      </c>
      <c r="B303" s="63">
        <f t="shared" si="18"/>
        <v>6</v>
      </c>
      <c r="C303" s="78">
        <v>42536</v>
      </c>
      <c r="D303" s="78" t="s">
        <v>1941</v>
      </c>
      <c r="E303" s="78">
        <f t="shared" si="34"/>
        <v>42536</v>
      </c>
      <c r="F303" s="67" t="s">
        <v>1683</v>
      </c>
      <c r="G303" s="79"/>
      <c r="H303" s="80" t="s">
        <v>694</v>
      </c>
      <c r="I303" s="435">
        <v>660</v>
      </c>
      <c r="J303" s="435">
        <v>589679.52575757576</v>
      </c>
      <c r="K303" s="426"/>
      <c r="L303" s="435"/>
      <c r="M303" s="81">
        <f t="shared" si="35"/>
        <v>389188487</v>
      </c>
      <c r="N303" s="86" t="s">
        <v>284</v>
      </c>
      <c r="O303" s="82" t="s">
        <v>282</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0" s="1146" customFormat="1" ht="15.75" customHeight="1">
      <c r="A304" s="334" t="str">
        <f>IF(B304&lt;&gt;"",IF(AND(B304='IN-TC'!$S$4,OR(TH!N304="1111",TH!O304="1111")),TH!D304,""),"")</f>
        <v/>
      </c>
      <c r="B304" s="63">
        <f t="shared" ref="B304:B367" si="36">IF(C304&lt;&gt;"",MONTH(C304),"")</f>
        <v>6</v>
      </c>
      <c r="C304" s="78">
        <v>42536</v>
      </c>
      <c r="D304" s="78" t="s">
        <v>1941</v>
      </c>
      <c r="E304" s="78">
        <f t="shared" si="34"/>
        <v>42536</v>
      </c>
      <c r="F304" s="67" t="s">
        <v>1684</v>
      </c>
      <c r="G304" s="79"/>
      <c r="H304" s="80" t="s">
        <v>694</v>
      </c>
      <c r="I304" s="435">
        <v>320</v>
      </c>
      <c r="J304" s="435">
        <v>589679.52500000002</v>
      </c>
      <c r="K304" s="426"/>
      <c r="L304" s="435"/>
      <c r="M304" s="81">
        <f t="shared" si="35"/>
        <v>188697448</v>
      </c>
      <c r="N304" s="86" t="s">
        <v>284</v>
      </c>
      <c r="O304" s="82" t="s">
        <v>282</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2" s="1146" customFormat="1" ht="15.75" customHeight="1">
      <c r="A305" s="334" t="str">
        <f>IF(B305&lt;&gt;"",IF(AND(B305='IN-TC'!$S$4,OR(TH!N305="1111",TH!O305="1111")),TH!D305,""),"")</f>
        <v/>
      </c>
      <c r="B305" s="63">
        <f t="shared" si="36"/>
        <v>6</v>
      </c>
      <c r="C305" s="78">
        <v>42536</v>
      </c>
      <c r="D305" s="78" t="s">
        <v>1941</v>
      </c>
      <c r="E305" s="78">
        <f t="shared" si="34"/>
        <v>42536</v>
      </c>
      <c r="F305" s="67" t="s">
        <v>1685</v>
      </c>
      <c r="G305" s="79"/>
      <c r="H305" s="80" t="s">
        <v>694</v>
      </c>
      <c r="I305" s="435">
        <v>2000</v>
      </c>
      <c r="J305" s="435">
        <v>591770.43449999997</v>
      </c>
      <c r="K305" s="426"/>
      <c r="L305" s="435"/>
      <c r="M305" s="81">
        <f t="shared" si="35"/>
        <v>1183540869</v>
      </c>
      <c r="N305" s="86" t="s">
        <v>284</v>
      </c>
      <c r="O305" s="82" t="s">
        <v>282</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2" s="1146" customFormat="1" ht="15.75" customHeight="1">
      <c r="A306" s="334" t="str">
        <f>IF(B306&lt;&gt;"",IF(AND(B306='IN-TC'!$S$4,OR(TH!N306="1111",TH!O306="1111")),TH!D306,""),"")</f>
        <v/>
      </c>
      <c r="B306" s="63">
        <f t="shared" si="36"/>
        <v>6</v>
      </c>
      <c r="C306" s="92">
        <v>42536</v>
      </c>
      <c r="D306" s="92" t="s">
        <v>1906</v>
      </c>
      <c r="E306" s="92">
        <f t="shared" si="34"/>
        <v>42536</v>
      </c>
      <c r="F306" s="67" t="s">
        <v>1676</v>
      </c>
      <c r="G306" s="93" t="s">
        <v>1686</v>
      </c>
      <c r="H306" s="978" t="s">
        <v>1687</v>
      </c>
      <c r="I306" s="443">
        <v>690</v>
      </c>
      <c r="J306" s="443">
        <v>589679.52753623191</v>
      </c>
      <c r="K306" s="434"/>
      <c r="L306" s="443"/>
      <c r="M306" s="95">
        <f t="shared" si="35"/>
        <v>406878874</v>
      </c>
      <c r="N306" s="83" t="s">
        <v>294</v>
      </c>
      <c r="O306" s="83" t="s">
        <v>284</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2" s="1146" customFormat="1" ht="15.75" customHeight="1">
      <c r="A307" s="334" t="str">
        <f>IF(B307&lt;&gt;"",IF(AND(B307='IN-TC'!$S$4,OR(TH!N307="1111",TH!O307="1111")),TH!D307,""),"")</f>
        <v/>
      </c>
      <c r="B307" s="63">
        <f t="shared" si="36"/>
        <v>6</v>
      </c>
      <c r="C307" s="92">
        <v>42536</v>
      </c>
      <c r="D307" s="92" t="s">
        <v>1906</v>
      </c>
      <c r="E307" s="92">
        <f t="shared" si="34"/>
        <v>42536</v>
      </c>
      <c r="F307" s="67" t="s">
        <v>1677</v>
      </c>
      <c r="G307" s="93" t="s">
        <v>1686</v>
      </c>
      <c r="H307" s="978" t="s">
        <v>1687</v>
      </c>
      <c r="I307" s="443">
        <v>500</v>
      </c>
      <c r="J307" s="443">
        <v>589679.52599999995</v>
      </c>
      <c r="K307" s="434"/>
      <c r="L307" s="443"/>
      <c r="M307" s="95">
        <f t="shared" si="35"/>
        <v>294839763</v>
      </c>
      <c r="N307" s="83" t="s">
        <v>294</v>
      </c>
      <c r="O307" s="83" t="s">
        <v>284</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2" s="1146" customFormat="1" ht="15.75" customHeight="1">
      <c r="A308" s="334" t="str">
        <f>IF(B308&lt;&gt;"",IF(AND(B308='IN-TC'!$S$4,OR(TH!N308="1111",TH!O308="1111")),TH!D308,""),"")</f>
        <v/>
      </c>
      <c r="B308" s="63">
        <f t="shared" si="36"/>
        <v>6</v>
      </c>
      <c r="C308" s="92">
        <v>42536</v>
      </c>
      <c r="D308" s="92" t="s">
        <v>1906</v>
      </c>
      <c r="E308" s="92">
        <f t="shared" si="34"/>
        <v>42536</v>
      </c>
      <c r="F308" s="67" t="s">
        <v>1678</v>
      </c>
      <c r="G308" s="93" t="s">
        <v>1686</v>
      </c>
      <c r="H308" s="978" t="s">
        <v>1687</v>
      </c>
      <c r="I308" s="443">
        <v>560</v>
      </c>
      <c r="J308" s="443">
        <v>589679.52678571432</v>
      </c>
      <c r="K308" s="434"/>
      <c r="L308" s="443"/>
      <c r="M308" s="95">
        <f t="shared" si="35"/>
        <v>330220535</v>
      </c>
      <c r="N308" s="83" t="s">
        <v>294</v>
      </c>
      <c r="O308" s="83" t="s">
        <v>284</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2" s="1146" customFormat="1" ht="15.75" customHeight="1">
      <c r="A309" s="334" t="str">
        <f>IF(B309&lt;&gt;"",IF(AND(B309='IN-TC'!$S$4,OR(TH!N309="1111",TH!O309="1111")),TH!D309,""),"")</f>
        <v/>
      </c>
      <c r="B309" s="63">
        <f t="shared" si="36"/>
        <v>6</v>
      </c>
      <c r="C309" s="92">
        <v>42536</v>
      </c>
      <c r="D309" s="92" t="s">
        <v>1906</v>
      </c>
      <c r="E309" s="92">
        <f t="shared" si="34"/>
        <v>42536</v>
      </c>
      <c r="F309" s="67" t="s">
        <v>1679</v>
      </c>
      <c r="G309" s="93" t="s">
        <v>1686</v>
      </c>
      <c r="H309" s="978" t="s">
        <v>1687</v>
      </c>
      <c r="I309" s="443">
        <v>580</v>
      </c>
      <c r="J309" s="443">
        <v>589679.52758620691</v>
      </c>
      <c r="K309" s="434"/>
      <c r="L309" s="443"/>
      <c r="M309" s="95">
        <f t="shared" si="35"/>
        <v>342014126</v>
      </c>
      <c r="N309" s="83" t="s">
        <v>294</v>
      </c>
      <c r="O309" s="83" t="s">
        <v>284</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2" s="1146" customFormat="1" ht="15.75" customHeight="1">
      <c r="A310" s="334" t="str">
        <f>IF(B310&lt;&gt;"",IF(AND(B310='IN-TC'!$S$4,OR(TH!N310="1111",TH!O310="1111")),TH!D310,""),"")</f>
        <v/>
      </c>
      <c r="B310" s="63">
        <f t="shared" si="36"/>
        <v>6</v>
      </c>
      <c r="C310" s="92">
        <v>42536</v>
      </c>
      <c r="D310" s="92" t="s">
        <v>1906</v>
      </c>
      <c r="E310" s="92">
        <f t="shared" si="34"/>
        <v>42536</v>
      </c>
      <c r="F310" s="67" t="s">
        <v>1680</v>
      </c>
      <c r="G310" s="93" t="s">
        <v>1686</v>
      </c>
      <c r="H310" s="978" t="s">
        <v>1687</v>
      </c>
      <c r="I310" s="443">
        <v>870</v>
      </c>
      <c r="J310" s="443">
        <v>589679.52643678163</v>
      </c>
      <c r="K310" s="434"/>
      <c r="L310" s="443"/>
      <c r="M310" s="95">
        <f t="shared" si="35"/>
        <v>513021188</v>
      </c>
      <c r="N310" s="83" t="s">
        <v>294</v>
      </c>
      <c r="O310" s="83" t="s">
        <v>284</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2" s="1146" customFormat="1" ht="15.75" customHeight="1">
      <c r="A311" s="334" t="str">
        <f>IF(B311&lt;&gt;"",IF(AND(B311='IN-TC'!$S$4,OR(TH!N311="1111",TH!O311="1111")),TH!D311,""),"")</f>
        <v/>
      </c>
      <c r="B311" s="63">
        <f t="shared" si="36"/>
        <v>6</v>
      </c>
      <c r="C311" s="92">
        <v>42536</v>
      </c>
      <c r="D311" s="92" t="s">
        <v>1906</v>
      </c>
      <c r="E311" s="92">
        <f t="shared" si="34"/>
        <v>42536</v>
      </c>
      <c r="F311" s="67" t="s">
        <v>1681</v>
      </c>
      <c r="G311" s="93" t="s">
        <v>1686</v>
      </c>
      <c r="H311" s="978" t="s">
        <v>1687</v>
      </c>
      <c r="I311" s="443">
        <v>130</v>
      </c>
      <c r="J311" s="443">
        <v>589679.5307692308</v>
      </c>
      <c r="K311" s="434"/>
      <c r="L311" s="443"/>
      <c r="M311" s="95">
        <f t="shared" si="35"/>
        <v>76658339</v>
      </c>
      <c r="N311" s="83" t="s">
        <v>294</v>
      </c>
      <c r="O311" s="83" t="s">
        <v>284</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2" s="1146" customFormat="1" ht="15.75" customHeight="1">
      <c r="A312" s="334" t="str">
        <f>IF(B312&lt;&gt;"",IF(AND(B312='IN-TC'!$S$4,OR(TH!N312="1111",TH!O312="1111")),TH!D312,""),"")</f>
        <v/>
      </c>
      <c r="B312" s="63">
        <f t="shared" si="36"/>
        <v>6</v>
      </c>
      <c r="C312" s="92">
        <v>42536</v>
      </c>
      <c r="D312" s="92" t="s">
        <v>1906</v>
      </c>
      <c r="E312" s="92">
        <f t="shared" si="34"/>
        <v>42536</v>
      </c>
      <c r="F312" s="67" t="s">
        <v>1682</v>
      </c>
      <c r="G312" s="93" t="s">
        <v>1686</v>
      </c>
      <c r="H312" s="978" t="s">
        <v>1687</v>
      </c>
      <c r="I312" s="443">
        <v>250</v>
      </c>
      <c r="J312" s="443">
        <v>589679.52399999998</v>
      </c>
      <c r="K312" s="434"/>
      <c r="L312" s="443"/>
      <c r="M312" s="95">
        <f t="shared" si="35"/>
        <v>147419881</v>
      </c>
      <c r="N312" s="83" t="s">
        <v>294</v>
      </c>
      <c r="O312" s="83" t="s">
        <v>284</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2" s="1146" customFormat="1" ht="15.75" customHeight="1">
      <c r="A313" s="334" t="str">
        <f>IF(B313&lt;&gt;"",IF(AND(B313='IN-TC'!$S$4,OR(TH!N313="1111",TH!O313="1111")),TH!D313,""),"")</f>
        <v/>
      </c>
      <c r="B313" s="63">
        <f t="shared" si="36"/>
        <v>6</v>
      </c>
      <c r="C313" s="92">
        <v>42536</v>
      </c>
      <c r="D313" s="92" t="s">
        <v>1906</v>
      </c>
      <c r="E313" s="92">
        <f t="shared" si="34"/>
        <v>42536</v>
      </c>
      <c r="F313" s="67" t="s">
        <v>1683</v>
      </c>
      <c r="G313" s="93" t="s">
        <v>1686</v>
      </c>
      <c r="H313" s="978" t="s">
        <v>1687</v>
      </c>
      <c r="I313" s="443">
        <v>660</v>
      </c>
      <c r="J313" s="443">
        <v>589679.52575757576</v>
      </c>
      <c r="K313" s="434"/>
      <c r="L313" s="443"/>
      <c r="M313" s="95">
        <f t="shared" si="35"/>
        <v>389188487</v>
      </c>
      <c r="N313" s="83" t="s">
        <v>294</v>
      </c>
      <c r="O313" s="83" t="s">
        <v>284</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2" s="1146" customFormat="1" ht="15.75" customHeight="1">
      <c r="A314" s="334" t="str">
        <f>IF(B314&lt;&gt;"",IF(AND(B314='IN-TC'!$S$4,OR(TH!N314="1111",TH!O314="1111")),TH!D314,""),"")</f>
        <v/>
      </c>
      <c r="B314" s="63">
        <f t="shared" si="36"/>
        <v>6</v>
      </c>
      <c r="C314" s="92">
        <v>42536</v>
      </c>
      <c r="D314" s="92" t="s">
        <v>1906</v>
      </c>
      <c r="E314" s="92">
        <f t="shared" si="34"/>
        <v>42536</v>
      </c>
      <c r="F314" s="67" t="s">
        <v>1684</v>
      </c>
      <c r="G314" s="93" t="s">
        <v>1686</v>
      </c>
      <c r="H314" s="978" t="s">
        <v>1687</v>
      </c>
      <c r="I314" s="443">
        <v>320</v>
      </c>
      <c r="J314" s="443">
        <v>589679.52500000002</v>
      </c>
      <c r="K314" s="434"/>
      <c r="L314" s="443"/>
      <c r="M314" s="95">
        <f t="shared" si="35"/>
        <v>188697448</v>
      </c>
      <c r="N314" s="83" t="s">
        <v>294</v>
      </c>
      <c r="O314" s="83" t="s">
        <v>284</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2" s="1146" customFormat="1" ht="15.75" customHeight="1">
      <c r="A315" s="334" t="str">
        <f>IF(B315&lt;&gt;"",IF(AND(B315='IN-TC'!$S$4,OR(TH!N315="1111",TH!O315="1111")),TH!D315,""),"")</f>
        <v/>
      </c>
      <c r="B315" s="63">
        <f t="shared" si="36"/>
        <v>6</v>
      </c>
      <c r="C315" s="92">
        <v>42536</v>
      </c>
      <c r="D315" s="92" t="s">
        <v>1906</v>
      </c>
      <c r="E315" s="92">
        <f t="shared" si="34"/>
        <v>42536</v>
      </c>
      <c r="F315" s="67" t="s">
        <v>1685</v>
      </c>
      <c r="G315" s="93" t="s">
        <v>1686</v>
      </c>
      <c r="H315" s="978" t="s">
        <v>1687</v>
      </c>
      <c r="I315" s="443">
        <v>2000</v>
      </c>
      <c r="J315" s="443">
        <v>591770.43449999997</v>
      </c>
      <c r="K315" s="434"/>
      <c r="L315" s="443"/>
      <c r="M315" s="95">
        <f t="shared" si="35"/>
        <v>1183540869</v>
      </c>
      <c r="N315" s="83" t="s">
        <v>294</v>
      </c>
      <c r="O315" s="83" t="s">
        <v>284</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2" ht="15.75" customHeight="1">
      <c r="A316" s="334" t="str">
        <f>IF(B316&lt;&gt;"",IF(AND(B316='IN-TC'!$S$4,OR(TH!N316="1111",TH!O316="1111")),TH!D316,""),"")</f>
        <v/>
      </c>
      <c r="B316" s="63">
        <f t="shared" si="36"/>
        <v>7</v>
      </c>
      <c r="C316" s="78">
        <v>42557</v>
      </c>
      <c r="D316" s="78" t="s">
        <v>696</v>
      </c>
      <c r="E316" s="78">
        <f t="shared" si="34"/>
        <v>42557</v>
      </c>
      <c r="F316" s="67" t="s">
        <v>450</v>
      </c>
      <c r="G316" s="79"/>
      <c r="H316" s="80" t="s">
        <v>694</v>
      </c>
      <c r="I316" s="435">
        <v>4800</v>
      </c>
      <c r="J316" s="435">
        <v>167827.69833333333</v>
      </c>
      <c r="K316" s="426"/>
      <c r="L316" s="435"/>
      <c r="M316" s="81">
        <f t="shared" si="35"/>
        <v>805572952</v>
      </c>
      <c r="N316" s="86" t="s">
        <v>284</v>
      </c>
      <c r="O316" s="82" t="s">
        <v>282</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c r="AE316" s="1157"/>
      <c r="AF316" s="1157"/>
    </row>
    <row r="317" spans="1:32" ht="15.75" customHeight="1">
      <c r="A317" s="334" t="str">
        <f>IF(B317&lt;&gt;"",IF(AND(B317='IN-TC'!$S$4,OR(TH!N317="1111",TH!O317="1111")),TH!D317,""),"")</f>
        <v/>
      </c>
      <c r="B317" s="63">
        <f t="shared" si="36"/>
        <v>7</v>
      </c>
      <c r="C317" s="78">
        <v>42563</v>
      </c>
      <c r="D317" s="78" t="s">
        <v>697</v>
      </c>
      <c r="E317" s="78">
        <f t="shared" ref="E317:E348" si="37">C317</f>
        <v>42563</v>
      </c>
      <c r="F317" s="67" t="s">
        <v>1786</v>
      </c>
      <c r="G317" s="79"/>
      <c r="H317" s="80" t="s">
        <v>694</v>
      </c>
      <c r="I317" s="435">
        <v>2270</v>
      </c>
      <c r="J317" s="435">
        <v>235813.81674008811</v>
      </c>
      <c r="K317" s="426"/>
      <c r="L317" s="435"/>
      <c r="M317" s="81">
        <f t="shared" si="35"/>
        <v>535297364</v>
      </c>
      <c r="N317" s="86" t="s">
        <v>284</v>
      </c>
      <c r="O317" s="82" t="s">
        <v>282</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c r="AE317" s="348"/>
      <c r="AF317" s="348"/>
    </row>
    <row r="318" spans="1:32" s="1156" customFormat="1" ht="15.75" customHeight="1">
      <c r="A318" s="334" t="str">
        <f>IF(B318&lt;&gt;"",IF(AND(B318='IN-TC'!$S$4,OR(TH!N318="1111",TH!O318="1111")),TH!D318,""),"")</f>
        <v/>
      </c>
      <c r="B318" s="63">
        <f t="shared" si="36"/>
        <v>7</v>
      </c>
      <c r="C318" s="78">
        <v>42577</v>
      </c>
      <c r="D318" s="78" t="s">
        <v>698</v>
      </c>
      <c r="E318" s="78">
        <f t="shared" si="37"/>
        <v>42577</v>
      </c>
      <c r="F318" s="67" t="s">
        <v>1673</v>
      </c>
      <c r="G318" s="79"/>
      <c r="H318" s="80" t="s">
        <v>694</v>
      </c>
      <c r="I318" s="435">
        <v>900</v>
      </c>
      <c r="J318" s="435">
        <v>13013.202222222222</v>
      </c>
      <c r="K318" s="426"/>
      <c r="L318" s="435"/>
      <c r="M318" s="81">
        <f t="shared" si="35"/>
        <v>11711882</v>
      </c>
      <c r="N318" s="86" t="s">
        <v>284</v>
      </c>
      <c r="O318" s="82" t="s">
        <v>282</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c r="AE318" s="348"/>
      <c r="AF318" s="348"/>
    </row>
    <row r="319" spans="1:32" s="345" customFormat="1" ht="15.75" customHeight="1">
      <c r="A319" s="334" t="str">
        <f>IF(B319&lt;&gt;"",IF(AND(B319='IN-TC'!$S$4,OR(TH!N319="1111",TH!O319="1111")),TH!D319,""),"")</f>
        <v/>
      </c>
      <c r="B319" s="63">
        <f t="shared" si="36"/>
        <v>7</v>
      </c>
      <c r="C319" s="78">
        <v>42582</v>
      </c>
      <c r="D319" s="78" t="s">
        <v>1941</v>
      </c>
      <c r="E319" s="78">
        <f t="shared" si="37"/>
        <v>42582</v>
      </c>
      <c r="F319" s="67" t="s">
        <v>1517</v>
      </c>
      <c r="G319" s="79"/>
      <c r="H319" s="80" t="s">
        <v>694</v>
      </c>
      <c r="I319" s="435">
        <v>1760</v>
      </c>
      <c r="J319" s="435">
        <v>172908.20056818181</v>
      </c>
      <c r="K319" s="426"/>
      <c r="L319" s="435"/>
      <c r="M319" s="81">
        <f t="shared" ref="M319:M350" si="38">ROUND(I319*J319,0)</f>
        <v>304318433</v>
      </c>
      <c r="N319" s="86" t="s">
        <v>284</v>
      </c>
      <c r="O319" s="82" t="s">
        <v>282</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2" s="345" customFormat="1" ht="15.75" customHeight="1">
      <c r="A320" s="334" t="str">
        <f>IF(B320&lt;&gt;"",IF(AND(B320='IN-TC'!$S$4,OR(TH!N320="1111",TH!O320="1111")),TH!D320,""),"")</f>
        <v/>
      </c>
      <c r="B320" s="63">
        <f t="shared" si="36"/>
        <v>7</v>
      </c>
      <c r="C320" s="78">
        <v>42582</v>
      </c>
      <c r="D320" s="78" t="s">
        <v>1941</v>
      </c>
      <c r="E320" s="78">
        <f t="shared" si="37"/>
        <v>42582</v>
      </c>
      <c r="F320" s="67" t="s">
        <v>448</v>
      </c>
      <c r="G320" s="79"/>
      <c r="H320" s="80" t="s">
        <v>694</v>
      </c>
      <c r="I320" s="435">
        <v>1700</v>
      </c>
      <c r="J320" s="435">
        <v>222717.99705882353</v>
      </c>
      <c r="K320" s="426"/>
      <c r="L320" s="435"/>
      <c r="M320" s="81">
        <f t="shared" si="38"/>
        <v>378620595</v>
      </c>
      <c r="N320" s="86" t="s">
        <v>284</v>
      </c>
      <c r="O320" s="82" t="s">
        <v>282</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2" s="345" customFormat="1" ht="15.75" customHeight="1">
      <c r="A321" s="334" t="str">
        <f>IF(B321&lt;&gt;"",IF(AND(B321='IN-TC'!$S$4,OR(TH!N321="1111",TH!O321="1111")),TH!D321,""),"")</f>
        <v/>
      </c>
      <c r="B321" s="63">
        <f t="shared" si="36"/>
        <v>7</v>
      </c>
      <c r="C321" s="78">
        <v>42582</v>
      </c>
      <c r="D321" s="78" t="s">
        <v>1941</v>
      </c>
      <c r="E321" s="78">
        <f t="shared" si="37"/>
        <v>42582</v>
      </c>
      <c r="F321" s="67" t="s">
        <v>1515</v>
      </c>
      <c r="G321" s="79"/>
      <c r="H321" s="80" t="s">
        <v>694</v>
      </c>
      <c r="I321" s="435">
        <v>1090</v>
      </c>
      <c r="J321" s="435">
        <v>157853.24220183486</v>
      </c>
      <c r="K321" s="426"/>
      <c r="L321" s="435"/>
      <c r="M321" s="81">
        <f t="shared" si="38"/>
        <v>172060034</v>
      </c>
      <c r="N321" s="86" t="s">
        <v>284</v>
      </c>
      <c r="O321" s="82" t="s">
        <v>282</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2" s="345" customFormat="1" ht="15.75" customHeight="1">
      <c r="A322" s="334" t="str">
        <f>IF(B322&lt;&gt;"",IF(AND(B322='IN-TC'!$S$4,OR(TH!N322="1111",TH!O322="1111")),TH!D322,""),"")</f>
        <v/>
      </c>
      <c r="B322" s="63">
        <f t="shared" si="36"/>
        <v>7</v>
      </c>
      <c r="C322" s="78">
        <v>42582</v>
      </c>
      <c r="D322" s="78" t="s">
        <v>1941</v>
      </c>
      <c r="E322" s="78">
        <f t="shared" si="37"/>
        <v>42582</v>
      </c>
      <c r="F322" s="67" t="s">
        <v>1945</v>
      </c>
      <c r="G322" s="79"/>
      <c r="H322" s="80" t="s">
        <v>694</v>
      </c>
      <c r="I322" s="435">
        <v>390</v>
      </c>
      <c r="J322" s="435">
        <v>186741.01025641026</v>
      </c>
      <c r="K322" s="426"/>
      <c r="L322" s="435"/>
      <c r="M322" s="81">
        <f t="shared" si="38"/>
        <v>72828994</v>
      </c>
      <c r="N322" s="86" t="s">
        <v>284</v>
      </c>
      <c r="O322" s="82" t="s">
        <v>282</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2" s="345" customFormat="1" ht="15.75" customHeight="1">
      <c r="A323" s="334" t="str">
        <f>IF(B323&lt;&gt;"",IF(AND(B323='IN-TC'!$S$4,OR(TH!N323="1111",TH!O323="1111")),TH!D323,""),"")</f>
        <v/>
      </c>
      <c r="B323" s="63">
        <f t="shared" si="36"/>
        <v>7</v>
      </c>
      <c r="C323" s="78">
        <v>42582</v>
      </c>
      <c r="D323" s="78" t="s">
        <v>1942</v>
      </c>
      <c r="E323" s="78">
        <f t="shared" si="37"/>
        <v>42582</v>
      </c>
      <c r="F323" s="67" t="s">
        <v>463</v>
      </c>
      <c r="G323" s="79"/>
      <c r="H323" s="80" t="s">
        <v>694</v>
      </c>
      <c r="I323" s="435">
        <v>26000</v>
      </c>
      <c r="J323" s="435">
        <v>58009.846615384617</v>
      </c>
      <c r="K323" s="426"/>
      <c r="L323" s="435"/>
      <c r="M323" s="81">
        <f t="shared" si="38"/>
        <v>1508256012</v>
      </c>
      <c r="N323" s="86" t="s">
        <v>284</v>
      </c>
      <c r="O323" s="82" t="s">
        <v>282</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2" ht="15.75" customHeight="1">
      <c r="A324" s="334" t="str">
        <f>IF(B324&lt;&gt;"",IF(AND(B324='IN-TC'!$S$4,OR(TH!N324="1111",TH!O324="1111")),TH!D324,""),"")</f>
        <v/>
      </c>
      <c r="B324" s="63">
        <f t="shared" si="36"/>
        <v>7</v>
      </c>
      <c r="C324" s="92">
        <v>42557</v>
      </c>
      <c r="D324" s="92" t="s">
        <v>593</v>
      </c>
      <c r="E324" s="92">
        <f t="shared" si="37"/>
        <v>42557</v>
      </c>
      <c r="F324" s="67" t="s">
        <v>450</v>
      </c>
      <c r="G324" s="93" t="s">
        <v>1787</v>
      </c>
      <c r="H324" s="978" t="s">
        <v>595</v>
      </c>
      <c r="I324" s="443">
        <v>4800</v>
      </c>
      <c r="J324" s="443">
        <v>167827.69833333333</v>
      </c>
      <c r="K324" s="434"/>
      <c r="L324" s="443"/>
      <c r="M324" s="95">
        <f t="shared" si="38"/>
        <v>805572952</v>
      </c>
      <c r="N324" s="83" t="s">
        <v>294</v>
      </c>
      <c r="O324" s="83" t="s">
        <v>284</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c r="AE324" s="1157"/>
      <c r="AF324" s="1157"/>
    </row>
    <row r="325" spans="1:32" ht="15.75" customHeight="1">
      <c r="A325" s="334" t="str">
        <f>IF(B325&lt;&gt;"",IF(AND(B325='IN-TC'!$S$4,OR(TH!N325="1111",TH!O325="1111")),TH!D325,""),"")</f>
        <v/>
      </c>
      <c r="B325" s="63">
        <f t="shared" si="36"/>
        <v>7</v>
      </c>
      <c r="C325" s="92">
        <v>42563</v>
      </c>
      <c r="D325" s="92" t="s">
        <v>594</v>
      </c>
      <c r="E325" s="92">
        <f t="shared" si="37"/>
        <v>42563</v>
      </c>
      <c r="F325" s="67" t="s">
        <v>1786</v>
      </c>
      <c r="G325" s="93" t="s">
        <v>1788</v>
      </c>
      <c r="H325" s="978" t="s">
        <v>1766</v>
      </c>
      <c r="I325" s="443">
        <v>2270</v>
      </c>
      <c r="J325" s="443">
        <v>235813.81674008811</v>
      </c>
      <c r="K325" s="434"/>
      <c r="L325" s="443"/>
      <c r="M325" s="95">
        <f t="shared" si="38"/>
        <v>535297364</v>
      </c>
      <c r="N325" s="83" t="s">
        <v>294</v>
      </c>
      <c r="O325" s="83" t="s">
        <v>284</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c r="AE325" s="348"/>
      <c r="AF325" s="348"/>
    </row>
    <row r="326" spans="1:32" s="1156" customFormat="1" ht="15.75" customHeight="1">
      <c r="A326" s="334" t="str">
        <f>IF(B326&lt;&gt;"",IF(AND(B326='IN-TC'!$S$4,OR(TH!N326="1111",TH!O326="1111")),TH!D326,""),"")</f>
        <v/>
      </c>
      <c r="B326" s="63">
        <f t="shared" si="36"/>
        <v>7</v>
      </c>
      <c r="C326" s="92">
        <v>42577</v>
      </c>
      <c r="D326" s="92" t="s">
        <v>1671</v>
      </c>
      <c r="E326" s="92">
        <f t="shared" si="37"/>
        <v>42577</v>
      </c>
      <c r="F326" s="67" t="s">
        <v>1673</v>
      </c>
      <c r="G326" s="93" t="s">
        <v>1789</v>
      </c>
      <c r="H326" s="978" t="s">
        <v>1539</v>
      </c>
      <c r="I326" s="443">
        <v>900</v>
      </c>
      <c r="J326" s="443">
        <v>13013.202222222222</v>
      </c>
      <c r="K326" s="434"/>
      <c r="L326" s="443"/>
      <c r="M326" s="95">
        <f t="shared" si="38"/>
        <v>11711882</v>
      </c>
      <c r="N326" s="83" t="s">
        <v>294</v>
      </c>
      <c r="O326" s="83" t="s">
        <v>284</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c r="AE326" s="348"/>
      <c r="AF326" s="348"/>
    </row>
    <row r="327" spans="1:32" s="345" customFormat="1" ht="15.75" customHeight="1">
      <c r="A327" s="334" t="str">
        <f>IF(B327&lt;&gt;"",IF(AND(B327='IN-TC'!$S$4,OR(TH!N327="1111",TH!O327="1111")),TH!D327,""),"")</f>
        <v/>
      </c>
      <c r="B327" s="63">
        <f t="shared" si="36"/>
        <v>8</v>
      </c>
      <c r="C327" s="78">
        <v>42594</v>
      </c>
      <c r="D327" s="78" t="s">
        <v>696</v>
      </c>
      <c r="E327" s="78">
        <f t="shared" si="37"/>
        <v>42594</v>
      </c>
      <c r="F327" s="67" t="s">
        <v>463</v>
      </c>
      <c r="G327" s="79"/>
      <c r="H327" s="80" t="s">
        <v>694</v>
      </c>
      <c r="I327" s="435">
        <v>26000</v>
      </c>
      <c r="J327" s="435">
        <v>59977.216730769229</v>
      </c>
      <c r="K327" s="426"/>
      <c r="L327" s="435"/>
      <c r="M327" s="81">
        <f t="shared" si="38"/>
        <v>1559407635</v>
      </c>
      <c r="N327" s="86" t="s">
        <v>284</v>
      </c>
      <c r="O327" s="82" t="s">
        <v>282</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2" s="345" customFormat="1" ht="15.75" customHeight="1">
      <c r="A328" s="334" t="str">
        <f>IF(B328&lt;&gt;"",IF(AND(B328='IN-TC'!$S$4,OR(TH!N328="1111",TH!O328="1111")),TH!D328,""),"")</f>
        <v/>
      </c>
      <c r="B328" s="63">
        <f t="shared" si="36"/>
        <v>8</v>
      </c>
      <c r="C328" s="78">
        <v>42599</v>
      </c>
      <c r="D328" s="78" t="s">
        <v>697</v>
      </c>
      <c r="E328" s="78">
        <f t="shared" si="37"/>
        <v>42599</v>
      </c>
      <c r="F328" s="67" t="s">
        <v>1904</v>
      </c>
      <c r="G328" s="79"/>
      <c r="H328" s="80" t="s">
        <v>694</v>
      </c>
      <c r="I328" s="435">
        <v>10000</v>
      </c>
      <c r="J328" s="435">
        <v>139208.11009999999</v>
      </c>
      <c r="K328" s="426"/>
      <c r="L328" s="435"/>
      <c r="M328" s="81">
        <f t="shared" si="38"/>
        <v>1392081101</v>
      </c>
      <c r="N328" s="86" t="s">
        <v>284</v>
      </c>
      <c r="O328" s="82" t="s">
        <v>282</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2" s="345" customFormat="1" ht="15.75" customHeight="1">
      <c r="A329" s="334" t="str">
        <f>IF(B329&lt;&gt;"",IF(AND(B329='IN-TC'!$S$4,OR(TH!N329="1111",TH!O329="1111")),TH!D329,""),"")</f>
        <v/>
      </c>
      <c r="B329" s="63">
        <f t="shared" si="36"/>
        <v>8</v>
      </c>
      <c r="C329" s="78">
        <v>42606</v>
      </c>
      <c r="D329" s="78" t="s">
        <v>698</v>
      </c>
      <c r="E329" s="78">
        <f t="shared" si="37"/>
        <v>42606</v>
      </c>
      <c r="F329" s="67" t="s">
        <v>1907</v>
      </c>
      <c r="G329" s="79"/>
      <c r="H329" s="80" t="s">
        <v>694</v>
      </c>
      <c r="I329" s="435">
        <v>8100</v>
      </c>
      <c r="J329" s="435">
        <v>13668.991975308641</v>
      </c>
      <c r="K329" s="426"/>
      <c r="L329" s="435"/>
      <c r="M329" s="81">
        <f t="shared" si="38"/>
        <v>110718835</v>
      </c>
      <c r="N329" s="86" t="s">
        <v>284</v>
      </c>
      <c r="O329" s="82" t="s">
        <v>282</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2" s="345" customFormat="1" ht="15.75" customHeight="1">
      <c r="A330" s="334" t="str">
        <f>IF(B330&lt;&gt;"",IF(AND(B330='IN-TC'!$S$4,OR(TH!N330="1111",TH!O330="1111")),TH!D330,""),"")</f>
        <v/>
      </c>
      <c r="B330" s="63">
        <f t="shared" si="36"/>
        <v>8</v>
      </c>
      <c r="C330" s="78">
        <v>42606</v>
      </c>
      <c r="D330" s="78" t="s">
        <v>698</v>
      </c>
      <c r="E330" s="78">
        <f t="shared" si="37"/>
        <v>42606</v>
      </c>
      <c r="F330" s="67" t="s">
        <v>1908</v>
      </c>
      <c r="G330" s="79"/>
      <c r="H330" s="80" t="s">
        <v>694</v>
      </c>
      <c r="I330" s="435">
        <v>3150</v>
      </c>
      <c r="J330" s="435">
        <v>13367.404761904761</v>
      </c>
      <c r="K330" s="426"/>
      <c r="L330" s="435"/>
      <c r="M330" s="81">
        <f t="shared" si="38"/>
        <v>42107325</v>
      </c>
      <c r="N330" s="86" t="s">
        <v>284</v>
      </c>
      <c r="O330" s="82" t="s">
        <v>282</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2" s="345" customFormat="1" ht="15.75" customHeight="1">
      <c r="A331" s="334" t="str">
        <f>IF(B331&lt;&gt;"",IF(AND(B331='IN-TC'!$S$4,OR(TH!N331="1111",TH!O331="1111")),TH!D331,""),"")</f>
        <v/>
      </c>
      <c r="B331" s="63">
        <f t="shared" si="36"/>
        <v>8</v>
      </c>
      <c r="C331" s="78">
        <v>42608</v>
      </c>
      <c r="D331" s="78" t="s">
        <v>1941</v>
      </c>
      <c r="E331" s="78">
        <f t="shared" si="37"/>
        <v>42608</v>
      </c>
      <c r="F331" s="67" t="s">
        <v>1911</v>
      </c>
      <c r="G331" s="79"/>
      <c r="H331" s="80" t="s">
        <v>694</v>
      </c>
      <c r="I331" s="435">
        <v>500</v>
      </c>
      <c r="J331" s="435">
        <v>248493.29199999999</v>
      </c>
      <c r="K331" s="426"/>
      <c r="L331" s="435"/>
      <c r="M331" s="81">
        <f t="shared" si="38"/>
        <v>124246646</v>
      </c>
      <c r="N331" s="86" t="s">
        <v>284</v>
      </c>
      <c r="O331" s="82" t="s">
        <v>282</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2" s="345" customFormat="1" ht="15.75" customHeight="1">
      <c r="A332" s="334" t="str">
        <f>IF(B332&lt;&gt;"",IF(AND(B332='IN-TC'!$S$4,OR(TH!N332="1111",TH!O332="1111")),TH!D332,""),"")</f>
        <v/>
      </c>
      <c r="B332" s="63">
        <f t="shared" si="36"/>
        <v>8</v>
      </c>
      <c r="C332" s="92">
        <v>42583</v>
      </c>
      <c r="D332" s="92" t="s">
        <v>593</v>
      </c>
      <c r="E332" s="92">
        <f t="shared" si="37"/>
        <v>42583</v>
      </c>
      <c r="F332" s="67" t="s">
        <v>1517</v>
      </c>
      <c r="G332" s="93" t="s">
        <v>1897</v>
      </c>
      <c r="H332" s="978" t="s">
        <v>598</v>
      </c>
      <c r="I332" s="443">
        <v>1760</v>
      </c>
      <c r="J332" s="443">
        <v>172908.20056818181</v>
      </c>
      <c r="K332" s="434"/>
      <c r="L332" s="443"/>
      <c r="M332" s="95">
        <f t="shared" si="38"/>
        <v>304318433</v>
      </c>
      <c r="N332" s="83" t="s">
        <v>294</v>
      </c>
      <c r="O332" s="83" t="s">
        <v>284</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2" s="345" customFormat="1" ht="15.75" customHeight="1">
      <c r="A333" s="334" t="str">
        <f>IF(B333&lt;&gt;"",IF(AND(B333='IN-TC'!$S$4,OR(TH!N333="1111",TH!O333="1111")),TH!D333,""),"")</f>
        <v/>
      </c>
      <c r="B333" s="63">
        <f t="shared" si="36"/>
        <v>8</v>
      </c>
      <c r="C333" s="92">
        <v>42583</v>
      </c>
      <c r="D333" s="92" t="s">
        <v>593</v>
      </c>
      <c r="E333" s="92">
        <f t="shared" si="37"/>
        <v>42583</v>
      </c>
      <c r="F333" s="67" t="s">
        <v>448</v>
      </c>
      <c r="G333" s="93" t="s">
        <v>1897</v>
      </c>
      <c r="H333" s="978" t="s">
        <v>598</v>
      </c>
      <c r="I333" s="443">
        <v>1700</v>
      </c>
      <c r="J333" s="443">
        <v>222717.99705882353</v>
      </c>
      <c r="K333" s="434"/>
      <c r="L333" s="443"/>
      <c r="M333" s="95">
        <f t="shared" si="38"/>
        <v>378620595</v>
      </c>
      <c r="N333" s="83" t="s">
        <v>294</v>
      </c>
      <c r="O333" s="83" t="s">
        <v>284</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2" s="345" customFormat="1" ht="15.75" customHeight="1">
      <c r="A334" s="334" t="str">
        <f>IF(B334&lt;&gt;"",IF(AND(B334='IN-TC'!$S$4,OR(TH!N334="1111",TH!O334="1111")),TH!D334,""),"")</f>
        <v/>
      </c>
      <c r="B334" s="63">
        <f t="shared" si="36"/>
        <v>8</v>
      </c>
      <c r="C334" s="92">
        <v>42583</v>
      </c>
      <c r="D334" s="92" t="s">
        <v>593</v>
      </c>
      <c r="E334" s="92">
        <f t="shared" si="37"/>
        <v>42583</v>
      </c>
      <c r="F334" s="67" t="s">
        <v>1515</v>
      </c>
      <c r="G334" s="93" t="s">
        <v>1897</v>
      </c>
      <c r="H334" s="978" t="s">
        <v>598</v>
      </c>
      <c r="I334" s="443">
        <v>1090</v>
      </c>
      <c r="J334" s="443">
        <v>157853.24220183486</v>
      </c>
      <c r="K334" s="434"/>
      <c r="L334" s="443"/>
      <c r="M334" s="95">
        <f t="shared" si="38"/>
        <v>172060034</v>
      </c>
      <c r="N334" s="83" t="s">
        <v>294</v>
      </c>
      <c r="O334" s="83" t="s">
        <v>284</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2" s="345" customFormat="1" ht="15.75" customHeight="1">
      <c r="A335" s="334" t="str">
        <f>IF(B335&lt;&gt;"",IF(AND(B335='IN-TC'!$S$4,OR(TH!N335="1111",TH!O335="1111")),TH!D335,""),"")</f>
        <v/>
      </c>
      <c r="B335" s="63">
        <f t="shared" si="36"/>
        <v>8</v>
      </c>
      <c r="C335" s="92">
        <v>42583</v>
      </c>
      <c r="D335" s="92" t="s">
        <v>593</v>
      </c>
      <c r="E335" s="92">
        <f t="shared" si="37"/>
        <v>42583</v>
      </c>
      <c r="F335" s="67" t="s">
        <v>1945</v>
      </c>
      <c r="G335" s="93" t="s">
        <v>1897</v>
      </c>
      <c r="H335" s="978" t="s">
        <v>598</v>
      </c>
      <c r="I335" s="443">
        <v>390</v>
      </c>
      <c r="J335" s="443">
        <v>186741.01025641026</v>
      </c>
      <c r="K335" s="434"/>
      <c r="L335" s="443"/>
      <c r="M335" s="95">
        <f t="shared" si="38"/>
        <v>72828994</v>
      </c>
      <c r="N335" s="83" t="s">
        <v>294</v>
      </c>
      <c r="O335" s="83" t="s">
        <v>284</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2" s="345" customFormat="1" ht="15.75" customHeight="1">
      <c r="A336" s="334" t="str">
        <f>IF(B336&lt;&gt;"",IF(AND(B336='IN-TC'!$S$4,OR(TH!N336="1111",TH!O336="1111")),TH!D336,""),"")</f>
        <v/>
      </c>
      <c r="B336" s="63">
        <f t="shared" si="36"/>
        <v>8</v>
      </c>
      <c r="C336" s="92">
        <v>42587</v>
      </c>
      <c r="D336" s="92" t="s">
        <v>594</v>
      </c>
      <c r="E336" s="92">
        <f t="shared" si="37"/>
        <v>42587</v>
      </c>
      <c r="F336" s="67" t="s">
        <v>463</v>
      </c>
      <c r="G336" s="93" t="s">
        <v>1901</v>
      </c>
      <c r="H336" s="978" t="s">
        <v>1902</v>
      </c>
      <c r="I336" s="443">
        <v>26000</v>
      </c>
      <c r="J336" s="443">
        <v>58009.846615384617</v>
      </c>
      <c r="K336" s="434"/>
      <c r="L336" s="443"/>
      <c r="M336" s="95">
        <f t="shared" si="38"/>
        <v>1508256012</v>
      </c>
      <c r="N336" s="83" t="s">
        <v>294</v>
      </c>
      <c r="O336" s="83" t="s">
        <v>284</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s="345" customFormat="1" ht="15.75" customHeight="1">
      <c r="A337" s="334" t="str">
        <f>IF(B337&lt;&gt;"",IF(AND(B337='IN-TC'!$S$4,OR(TH!N337="1111",TH!O337="1111")),TH!D337,""),"")</f>
        <v/>
      </c>
      <c r="B337" s="63">
        <f t="shared" si="36"/>
        <v>8</v>
      </c>
      <c r="C337" s="92">
        <v>42587</v>
      </c>
      <c r="D337" s="92" t="s">
        <v>594</v>
      </c>
      <c r="E337" s="92">
        <f t="shared" si="37"/>
        <v>42587</v>
      </c>
      <c r="F337" s="67" t="s">
        <v>463</v>
      </c>
      <c r="G337" s="93" t="s">
        <v>1901</v>
      </c>
      <c r="H337" s="978" t="s">
        <v>1902</v>
      </c>
      <c r="I337" s="443">
        <v>26000</v>
      </c>
      <c r="J337" s="443">
        <v>57254.235704819286</v>
      </c>
      <c r="K337" s="434"/>
      <c r="L337" s="443"/>
      <c r="M337" s="95">
        <f t="shared" si="38"/>
        <v>1488610128</v>
      </c>
      <c r="N337" s="83" t="s">
        <v>294</v>
      </c>
      <c r="O337" s="83" t="s">
        <v>284</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s="345" customFormat="1" ht="15.75" customHeight="1">
      <c r="A338" s="334" t="str">
        <f>IF(B338&lt;&gt;"",IF(AND(B338='IN-TC'!$S$4,OR(TH!N338="1111",TH!O338="1111")),TH!D338,""),"")</f>
        <v/>
      </c>
      <c r="B338" s="63">
        <f t="shared" si="36"/>
        <v>8</v>
      </c>
      <c r="C338" s="92">
        <v>42594</v>
      </c>
      <c r="D338" s="92" t="s">
        <v>1671</v>
      </c>
      <c r="E338" s="92">
        <f t="shared" si="37"/>
        <v>42594</v>
      </c>
      <c r="F338" s="67" t="s">
        <v>463</v>
      </c>
      <c r="G338" s="93" t="s">
        <v>1903</v>
      </c>
      <c r="H338" s="978" t="s">
        <v>1902</v>
      </c>
      <c r="I338" s="443">
        <v>26000</v>
      </c>
      <c r="J338" s="443">
        <v>58028.337819553919</v>
      </c>
      <c r="K338" s="434"/>
      <c r="L338" s="443"/>
      <c r="M338" s="95">
        <f t="shared" si="38"/>
        <v>1508736783</v>
      </c>
      <c r="N338" s="83" t="s">
        <v>294</v>
      </c>
      <c r="O338" s="83" t="s">
        <v>284</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s="345" customFormat="1" ht="15.75" customHeight="1">
      <c r="A339" s="334" t="str">
        <f>IF(B339&lt;&gt;"",IF(AND(B339='IN-TC'!$S$4,OR(TH!N339="1111",TH!O339="1111")),TH!D339,""),"")</f>
        <v/>
      </c>
      <c r="B339" s="63">
        <f t="shared" si="36"/>
        <v>8</v>
      </c>
      <c r="C339" s="92">
        <v>42594</v>
      </c>
      <c r="D339" s="92" t="s">
        <v>1671</v>
      </c>
      <c r="E339" s="92">
        <f t="shared" si="37"/>
        <v>42594</v>
      </c>
      <c r="F339" s="67" t="s">
        <v>463</v>
      </c>
      <c r="G339" s="93" t="s">
        <v>1903</v>
      </c>
      <c r="H339" s="978" t="s">
        <v>1902</v>
      </c>
      <c r="I339" s="443">
        <v>26000</v>
      </c>
      <c r="J339" s="443">
        <v>59977.216730769229</v>
      </c>
      <c r="K339" s="434"/>
      <c r="L339" s="443"/>
      <c r="M339" s="95">
        <f t="shared" si="38"/>
        <v>1559407635</v>
      </c>
      <c r="N339" s="83" t="s">
        <v>294</v>
      </c>
      <c r="O339" s="83" t="s">
        <v>284</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s="345" customFormat="1" ht="15.75" customHeight="1">
      <c r="A340" s="334" t="str">
        <f>IF(B340&lt;&gt;"",IF(AND(B340='IN-TC'!$S$4,OR(TH!N340="1111",TH!O340="1111")),TH!D340,""),"")</f>
        <v/>
      </c>
      <c r="B340" s="63">
        <f t="shared" si="36"/>
        <v>8</v>
      </c>
      <c r="C340" s="92">
        <v>42599</v>
      </c>
      <c r="D340" s="92" t="s">
        <v>1672</v>
      </c>
      <c r="E340" s="92">
        <f t="shared" si="37"/>
        <v>42599</v>
      </c>
      <c r="F340" s="67" t="s">
        <v>1904</v>
      </c>
      <c r="G340" s="93" t="s">
        <v>1905</v>
      </c>
      <c r="H340" s="978" t="s">
        <v>1552</v>
      </c>
      <c r="I340" s="443">
        <v>10000</v>
      </c>
      <c r="J340" s="443">
        <v>139208.11009999999</v>
      </c>
      <c r="K340" s="434"/>
      <c r="L340" s="443"/>
      <c r="M340" s="95">
        <f t="shared" si="38"/>
        <v>1392081101</v>
      </c>
      <c r="N340" s="83" t="s">
        <v>294</v>
      </c>
      <c r="O340" s="83" t="s">
        <v>284</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s="345" customFormat="1" ht="15.75" customHeight="1">
      <c r="A341" s="334" t="str">
        <f>IF(B341&lt;&gt;"",IF(AND(B341='IN-TC'!$S$4,OR(TH!N341="1111",TH!O341="1111")),TH!D341,""),"")</f>
        <v/>
      </c>
      <c r="B341" s="63">
        <f t="shared" si="36"/>
        <v>8</v>
      </c>
      <c r="C341" s="92">
        <v>42606</v>
      </c>
      <c r="D341" s="92" t="s">
        <v>1906</v>
      </c>
      <c r="E341" s="92">
        <f t="shared" si="37"/>
        <v>42606</v>
      </c>
      <c r="F341" s="67" t="s">
        <v>1907</v>
      </c>
      <c r="G341" s="93" t="s">
        <v>1909</v>
      </c>
      <c r="H341" s="978" t="s">
        <v>1539</v>
      </c>
      <c r="I341" s="443">
        <v>8100</v>
      </c>
      <c r="J341" s="443">
        <v>13668.991975308641</v>
      </c>
      <c r="K341" s="434"/>
      <c r="L341" s="443"/>
      <c r="M341" s="95">
        <f t="shared" si="38"/>
        <v>110718835</v>
      </c>
      <c r="N341" s="83" t="s">
        <v>294</v>
      </c>
      <c r="O341" s="83" t="s">
        <v>284</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s="345" customFormat="1" ht="15.75" customHeight="1">
      <c r="A342" s="334" t="str">
        <f>IF(B342&lt;&gt;"",IF(AND(B342='IN-TC'!$S$4,OR(TH!N342="1111",TH!O342="1111")),TH!D342,""),"")</f>
        <v/>
      </c>
      <c r="B342" s="63">
        <f t="shared" si="36"/>
        <v>8</v>
      </c>
      <c r="C342" s="92">
        <v>42606</v>
      </c>
      <c r="D342" s="92" t="s">
        <v>1906</v>
      </c>
      <c r="E342" s="92">
        <f t="shared" si="37"/>
        <v>42606</v>
      </c>
      <c r="F342" s="67" t="s">
        <v>1908</v>
      </c>
      <c r="G342" s="93" t="s">
        <v>1909</v>
      </c>
      <c r="H342" s="978" t="s">
        <v>1539</v>
      </c>
      <c r="I342" s="443">
        <v>3150</v>
      </c>
      <c r="J342" s="443">
        <v>13367.404761904761</v>
      </c>
      <c r="K342" s="434"/>
      <c r="L342" s="443"/>
      <c r="M342" s="95">
        <f t="shared" si="38"/>
        <v>42107325</v>
      </c>
      <c r="N342" s="83" t="s">
        <v>294</v>
      </c>
      <c r="O342" s="83" t="s">
        <v>284</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s="345" customFormat="1" ht="15.75" customHeight="1">
      <c r="A343" s="334" t="str">
        <f>IF(B343&lt;&gt;"",IF(AND(B343='IN-TC'!$S$4,OR(TH!N343="1111",TH!O343="1111")),TH!D343,""),"")</f>
        <v/>
      </c>
      <c r="B343" s="63">
        <f t="shared" si="36"/>
        <v>8</v>
      </c>
      <c r="C343" s="92">
        <v>42608</v>
      </c>
      <c r="D343" s="92" t="s">
        <v>1910</v>
      </c>
      <c r="E343" s="92">
        <f t="shared" si="37"/>
        <v>42608</v>
      </c>
      <c r="F343" s="67" t="s">
        <v>1911</v>
      </c>
      <c r="G343" s="93" t="s">
        <v>1912</v>
      </c>
      <c r="H343" s="978" t="s">
        <v>1877</v>
      </c>
      <c r="I343" s="443">
        <v>500</v>
      </c>
      <c r="J343" s="443">
        <v>248493.29199999999</v>
      </c>
      <c r="K343" s="434"/>
      <c r="L343" s="443"/>
      <c r="M343" s="95">
        <f t="shared" si="38"/>
        <v>124246646</v>
      </c>
      <c r="N343" s="83" t="s">
        <v>294</v>
      </c>
      <c r="O343" s="83" t="s">
        <v>284</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s="345" customFormat="1" ht="15.75" customHeight="1">
      <c r="A344" s="334" t="str">
        <f>IF(B344&lt;&gt;"",IF(AND(B344='IN-TC'!$S$4,OR(TH!N344="1111",TH!O344="1111")),TH!D344,""),"")</f>
        <v/>
      </c>
      <c r="B344" s="63">
        <f t="shared" si="36"/>
        <v>9</v>
      </c>
      <c r="C344" s="78">
        <v>42635</v>
      </c>
      <c r="D344" s="78" t="s">
        <v>696</v>
      </c>
      <c r="E344" s="78">
        <f t="shared" si="37"/>
        <v>42635</v>
      </c>
      <c r="F344" s="67" t="s">
        <v>442</v>
      </c>
      <c r="G344" s="79"/>
      <c r="H344" s="80" t="s">
        <v>694</v>
      </c>
      <c r="I344" s="435">
        <v>2513</v>
      </c>
      <c r="J344" s="435">
        <v>155170.63907680064</v>
      </c>
      <c r="K344" s="426"/>
      <c r="L344" s="435"/>
      <c r="M344" s="81">
        <f t="shared" si="38"/>
        <v>389943816</v>
      </c>
      <c r="N344" s="86" t="s">
        <v>284</v>
      </c>
      <c r="O344" s="82" t="s">
        <v>282</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s="345" customFormat="1" ht="15.75" customHeight="1">
      <c r="A345" s="334" t="str">
        <f>IF(B345&lt;&gt;"",IF(AND(B345='IN-TC'!$S$4,OR(TH!N345="1111",TH!O345="1111")),TH!D345,""),"")</f>
        <v/>
      </c>
      <c r="B345" s="63">
        <f t="shared" si="36"/>
        <v>9</v>
      </c>
      <c r="C345" s="78">
        <v>42636</v>
      </c>
      <c r="D345" s="78" t="s">
        <v>697</v>
      </c>
      <c r="E345" s="78">
        <f t="shared" si="37"/>
        <v>42636</v>
      </c>
      <c r="F345" s="67" t="s">
        <v>438</v>
      </c>
      <c r="G345" s="79"/>
      <c r="H345" s="80" t="s">
        <v>694</v>
      </c>
      <c r="I345" s="435">
        <v>18675</v>
      </c>
      <c r="J345" s="435">
        <v>92461.563480589029</v>
      </c>
      <c r="K345" s="426"/>
      <c r="L345" s="435"/>
      <c r="M345" s="81">
        <f t="shared" si="38"/>
        <v>1726719698</v>
      </c>
      <c r="N345" s="86" t="s">
        <v>284</v>
      </c>
      <c r="O345" s="82" t="s">
        <v>282</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s="345" customFormat="1" ht="15.75" customHeight="1">
      <c r="A346" s="334" t="str">
        <f>IF(B346&lt;&gt;"",IF(AND(B346='IN-TC'!$S$4,OR(TH!N346="1111",TH!O346="1111")),TH!D346,""),"")</f>
        <v/>
      </c>
      <c r="B346" s="63">
        <f t="shared" si="36"/>
        <v>9</v>
      </c>
      <c r="C346" s="78">
        <v>42641</v>
      </c>
      <c r="D346" s="78" t="s">
        <v>698</v>
      </c>
      <c r="E346" s="78">
        <f t="shared" si="37"/>
        <v>42641</v>
      </c>
      <c r="F346" s="67" t="s">
        <v>1515</v>
      </c>
      <c r="G346" s="79"/>
      <c r="H346" s="80" t="s">
        <v>694</v>
      </c>
      <c r="I346" s="435">
        <v>1450</v>
      </c>
      <c r="J346" s="435">
        <v>159551.65448275901</v>
      </c>
      <c r="K346" s="426"/>
      <c r="L346" s="435"/>
      <c r="M346" s="81">
        <f t="shared" si="38"/>
        <v>231349899</v>
      </c>
      <c r="N346" s="86" t="s">
        <v>284</v>
      </c>
      <c r="O346" s="82" t="s">
        <v>282</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s="345" customFormat="1" ht="15.75" customHeight="1">
      <c r="A347" s="334" t="str">
        <f>IF(B347&lt;&gt;"",IF(AND(B347='IN-TC'!$S$4,OR(TH!N347="1111",TH!O347="1111")),TH!D347,""),"")</f>
        <v/>
      </c>
      <c r="B347" s="63">
        <f t="shared" si="36"/>
        <v>9</v>
      </c>
      <c r="C347" s="78">
        <v>42641</v>
      </c>
      <c r="D347" s="78" t="s">
        <v>698</v>
      </c>
      <c r="E347" s="78">
        <f t="shared" si="37"/>
        <v>42641</v>
      </c>
      <c r="F347" s="67" t="s">
        <v>1517</v>
      </c>
      <c r="G347" s="79"/>
      <c r="H347" s="80" t="s">
        <v>694</v>
      </c>
      <c r="I347" s="435">
        <v>2000</v>
      </c>
      <c r="J347" s="435">
        <v>183020.606</v>
      </c>
      <c r="K347" s="426"/>
      <c r="L347" s="435"/>
      <c r="M347" s="81">
        <f t="shared" si="38"/>
        <v>366041212</v>
      </c>
      <c r="N347" s="86" t="s">
        <v>284</v>
      </c>
      <c r="O347" s="82" t="s">
        <v>282</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s="345" customFormat="1" ht="15.75" customHeight="1">
      <c r="A348" s="334" t="str">
        <f>IF(B348&lt;&gt;"",IF(AND(B348='IN-TC'!$S$4,OR(TH!N348="1111",TH!O348="1111")),TH!D348,""),"")</f>
        <v/>
      </c>
      <c r="B348" s="63">
        <f t="shared" si="36"/>
        <v>9</v>
      </c>
      <c r="C348" s="78">
        <v>42641</v>
      </c>
      <c r="D348" s="78" t="s">
        <v>1941</v>
      </c>
      <c r="E348" s="78">
        <f t="shared" si="37"/>
        <v>42641</v>
      </c>
      <c r="F348" s="67" t="s">
        <v>448</v>
      </c>
      <c r="G348" s="79"/>
      <c r="H348" s="80" t="s">
        <v>694</v>
      </c>
      <c r="I348" s="435">
        <v>940</v>
      </c>
      <c r="J348" s="435">
        <v>243391.55851063831</v>
      </c>
      <c r="K348" s="426"/>
      <c r="L348" s="435"/>
      <c r="M348" s="81">
        <f t="shared" si="38"/>
        <v>228788065</v>
      </c>
      <c r="N348" s="86" t="s">
        <v>284</v>
      </c>
      <c r="O348" s="82" t="s">
        <v>282</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s="345" customFormat="1" ht="15.75" customHeight="1">
      <c r="A349" s="334" t="str">
        <f>IF(B349&lt;&gt;"",IF(AND(B349='IN-TC'!$S$4,OR(TH!N349="1111",TH!O349="1111")),TH!D349,""),"")</f>
        <v/>
      </c>
      <c r="B349" s="63">
        <f t="shared" si="36"/>
        <v>9</v>
      </c>
      <c r="C349" s="78">
        <v>42641</v>
      </c>
      <c r="D349" s="78" t="s">
        <v>696</v>
      </c>
      <c r="E349" s="78">
        <f t="shared" ref="E349:E379" si="39">C349</f>
        <v>42641</v>
      </c>
      <c r="F349" s="67" t="s">
        <v>1945</v>
      </c>
      <c r="G349" s="79"/>
      <c r="H349" s="80" t="s">
        <v>694</v>
      </c>
      <c r="I349" s="435">
        <v>940</v>
      </c>
      <c r="J349" s="435">
        <v>192106.61382978724</v>
      </c>
      <c r="K349" s="426"/>
      <c r="L349" s="435"/>
      <c r="M349" s="81">
        <f t="shared" si="38"/>
        <v>180580217</v>
      </c>
      <c r="N349" s="86" t="s">
        <v>284</v>
      </c>
      <c r="O349" s="82" t="s">
        <v>282</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s="345" customFormat="1" ht="15.75" customHeight="1">
      <c r="A350" s="334" t="str">
        <f>IF(B350&lt;&gt;"",IF(AND(B350='IN-TC'!$S$4,OR(TH!N350="1111",TH!O350="1111")),TH!D350,""),"")</f>
        <v/>
      </c>
      <c r="B350" s="63">
        <f t="shared" si="36"/>
        <v>9</v>
      </c>
      <c r="C350" s="92">
        <v>42635</v>
      </c>
      <c r="D350" s="92" t="s">
        <v>593</v>
      </c>
      <c r="E350" s="92">
        <f t="shared" si="39"/>
        <v>42635</v>
      </c>
      <c r="F350" s="67" t="s">
        <v>442</v>
      </c>
      <c r="G350" s="93" t="s">
        <v>2030</v>
      </c>
      <c r="H350" s="978" t="s">
        <v>1890</v>
      </c>
      <c r="I350" s="443">
        <v>20987</v>
      </c>
      <c r="J350" s="443">
        <v>151095.42635917471</v>
      </c>
      <c r="K350" s="434"/>
      <c r="L350" s="443"/>
      <c r="M350" s="95">
        <f t="shared" si="38"/>
        <v>3171039713</v>
      </c>
      <c r="N350" s="83" t="s">
        <v>294</v>
      </c>
      <c r="O350" s="83" t="s">
        <v>284</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s="345" customFormat="1" ht="15.75" customHeight="1">
      <c r="A351" s="334" t="str">
        <f>IF(B351&lt;&gt;"",IF(AND(B351='IN-TC'!$S$4,OR(TH!N351="1111",TH!O351="1111")),TH!D351,""),"")</f>
        <v/>
      </c>
      <c r="B351" s="63">
        <f t="shared" si="36"/>
        <v>9</v>
      </c>
      <c r="C351" s="92">
        <v>42636</v>
      </c>
      <c r="D351" s="92" t="s">
        <v>594</v>
      </c>
      <c r="E351" s="92">
        <f t="shared" si="39"/>
        <v>42636</v>
      </c>
      <c r="F351" s="67" t="s">
        <v>438</v>
      </c>
      <c r="G351" s="93" t="s">
        <v>2029</v>
      </c>
      <c r="H351" s="978" t="s">
        <v>1890</v>
      </c>
      <c r="I351" s="443">
        <v>4725</v>
      </c>
      <c r="J351" s="443">
        <v>127082.22962962963</v>
      </c>
      <c r="K351" s="434"/>
      <c r="L351" s="443"/>
      <c r="M351" s="95">
        <f t="shared" ref="M351:M380" si="40">ROUND(I351*J351,0)</f>
        <v>600463535</v>
      </c>
      <c r="N351" s="83" t="s">
        <v>294</v>
      </c>
      <c r="O351" s="83" t="s">
        <v>284</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s="345" customFormat="1" ht="15.75" customHeight="1">
      <c r="A352" s="334" t="str">
        <f>IF(B352&lt;&gt;"",IF(AND(B352='IN-TC'!$S$4,OR(TH!N352="1111",TH!O352="1111")),TH!D352,""),"")</f>
        <v/>
      </c>
      <c r="B352" s="63">
        <f t="shared" si="36"/>
        <v>9</v>
      </c>
      <c r="C352" s="92">
        <v>42635</v>
      </c>
      <c r="D352" s="92" t="s">
        <v>593</v>
      </c>
      <c r="E352" s="92">
        <f t="shared" si="39"/>
        <v>42635</v>
      </c>
      <c r="F352" s="67" t="s">
        <v>442</v>
      </c>
      <c r="G352" s="93" t="s">
        <v>2030</v>
      </c>
      <c r="H352" s="978" t="s">
        <v>1890</v>
      </c>
      <c r="I352" s="443">
        <v>2513</v>
      </c>
      <c r="J352" s="443">
        <v>155170.63907680064</v>
      </c>
      <c r="K352" s="434"/>
      <c r="L352" s="443"/>
      <c r="M352" s="95">
        <f t="shared" si="40"/>
        <v>389943816</v>
      </c>
      <c r="N352" s="83" t="s">
        <v>294</v>
      </c>
      <c r="O352" s="83" t="s">
        <v>284</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s="345" customFormat="1" ht="15.75" customHeight="1">
      <c r="A353" s="334" t="str">
        <f>IF(B353&lt;&gt;"",IF(AND(B353='IN-TC'!$S$4,OR(TH!N353="1111",TH!O353="1111")),TH!D353,""),"")</f>
        <v/>
      </c>
      <c r="B353" s="63">
        <f t="shared" si="36"/>
        <v>9</v>
      </c>
      <c r="C353" s="92">
        <v>42636</v>
      </c>
      <c r="D353" s="92" t="s">
        <v>594</v>
      </c>
      <c r="E353" s="92">
        <f t="shared" si="39"/>
        <v>42636</v>
      </c>
      <c r="F353" s="67" t="s">
        <v>438</v>
      </c>
      <c r="G353" s="93" t="s">
        <v>2029</v>
      </c>
      <c r="H353" s="978" t="s">
        <v>1890</v>
      </c>
      <c r="I353" s="443">
        <v>18675</v>
      </c>
      <c r="J353" s="443">
        <v>92461.563480589029</v>
      </c>
      <c r="K353" s="434"/>
      <c r="L353" s="443"/>
      <c r="M353" s="95">
        <f t="shared" si="40"/>
        <v>1726719698</v>
      </c>
      <c r="N353" s="83" t="s">
        <v>294</v>
      </c>
      <c r="O353" s="83" t="s">
        <v>284</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s="345" customFormat="1" ht="15.75" customHeight="1">
      <c r="A354" s="334" t="str">
        <f>IF(B354&lt;&gt;"",IF(AND(B354='IN-TC'!$S$4,OR(TH!N354="1111",TH!O354="1111")),TH!D354,""),"")</f>
        <v/>
      </c>
      <c r="B354" s="63">
        <f t="shared" si="36"/>
        <v>9</v>
      </c>
      <c r="C354" s="92">
        <v>42641</v>
      </c>
      <c r="D354" s="92" t="s">
        <v>1671</v>
      </c>
      <c r="E354" s="92">
        <f t="shared" si="39"/>
        <v>42641</v>
      </c>
      <c r="F354" s="67" t="s">
        <v>1515</v>
      </c>
      <c r="G354" s="93" t="s">
        <v>2031</v>
      </c>
      <c r="H354" s="978" t="s">
        <v>598</v>
      </c>
      <c r="I354" s="443">
        <v>1450</v>
      </c>
      <c r="J354" s="443">
        <v>159551.65448275901</v>
      </c>
      <c r="K354" s="434"/>
      <c r="L354" s="443"/>
      <c r="M354" s="95">
        <f t="shared" si="40"/>
        <v>231349899</v>
      </c>
      <c r="N354" s="83" t="s">
        <v>294</v>
      </c>
      <c r="O354" s="83" t="s">
        <v>284</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s="345" customFormat="1" ht="15.75" customHeight="1">
      <c r="A355" s="334" t="str">
        <f>IF(B355&lt;&gt;"",IF(AND(B355='IN-TC'!$S$4,OR(TH!N355="1111",TH!O355="1111")),TH!D355,""),"")</f>
        <v/>
      </c>
      <c r="B355" s="63">
        <f t="shared" si="36"/>
        <v>9</v>
      </c>
      <c r="C355" s="92">
        <v>42641</v>
      </c>
      <c r="D355" s="92" t="s">
        <v>1671</v>
      </c>
      <c r="E355" s="92">
        <f t="shared" si="39"/>
        <v>42641</v>
      </c>
      <c r="F355" s="67" t="s">
        <v>1517</v>
      </c>
      <c r="G355" s="93" t="s">
        <v>2031</v>
      </c>
      <c r="H355" s="978" t="s">
        <v>598</v>
      </c>
      <c r="I355" s="443">
        <v>2000</v>
      </c>
      <c r="J355" s="443">
        <v>183020.606</v>
      </c>
      <c r="K355" s="434"/>
      <c r="L355" s="443"/>
      <c r="M355" s="95">
        <f t="shared" si="40"/>
        <v>366041212</v>
      </c>
      <c r="N355" s="83" t="s">
        <v>294</v>
      </c>
      <c r="O355" s="83" t="s">
        <v>284</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s="345" customFormat="1" ht="15.75" customHeight="1">
      <c r="A356" s="334" t="str">
        <f>IF(B356&lt;&gt;"",IF(AND(B356='IN-TC'!$S$4,OR(TH!N356="1111",TH!O356="1111")),TH!D356,""),"")</f>
        <v/>
      </c>
      <c r="B356" s="63">
        <f t="shared" si="36"/>
        <v>9</v>
      </c>
      <c r="C356" s="92">
        <v>42641</v>
      </c>
      <c r="D356" s="92" t="s">
        <v>1671</v>
      </c>
      <c r="E356" s="92">
        <f t="shared" si="39"/>
        <v>42641</v>
      </c>
      <c r="F356" s="67" t="s">
        <v>448</v>
      </c>
      <c r="G356" s="93" t="s">
        <v>2031</v>
      </c>
      <c r="H356" s="978" t="s">
        <v>598</v>
      </c>
      <c r="I356" s="443">
        <v>940</v>
      </c>
      <c r="J356" s="443">
        <v>243391.55851063831</v>
      </c>
      <c r="K356" s="434"/>
      <c r="L356" s="443"/>
      <c r="M356" s="95">
        <f t="shared" si="40"/>
        <v>228788065</v>
      </c>
      <c r="N356" s="83" t="s">
        <v>294</v>
      </c>
      <c r="O356" s="83" t="s">
        <v>284</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s="345" customFormat="1" ht="15.75" customHeight="1">
      <c r="A357" s="334" t="str">
        <f>IF(B357&lt;&gt;"",IF(AND(B357='IN-TC'!$S$4,OR(TH!N357="1111",TH!O357="1111")),TH!D357,""),"")</f>
        <v/>
      </c>
      <c r="B357" s="63">
        <f t="shared" si="36"/>
        <v>9</v>
      </c>
      <c r="C357" s="92">
        <v>42641</v>
      </c>
      <c r="D357" s="92" t="s">
        <v>1671</v>
      </c>
      <c r="E357" s="92">
        <f t="shared" si="39"/>
        <v>42641</v>
      </c>
      <c r="F357" s="67" t="s">
        <v>1945</v>
      </c>
      <c r="G357" s="93" t="s">
        <v>2031</v>
      </c>
      <c r="H357" s="978" t="s">
        <v>598</v>
      </c>
      <c r="I357" s="443">
        <v>940</v>
      </c>
      <c r="J357" s="443">
        <v>192106.61382978724</v>
      </c>
      <c r="K357" s="434"/>
      <c r="L357" s="443"/>
      <c r="M357" s="95">
        <f t="shared" si="40"/>
        <v>180580217</v>
      </c>
      <c r="N357" s="83" t="s">
        <v>294</v>
      </c>
      <c r="O357" s="83" t="s">
        <v>284</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s="345" customFormat="1" ht="15.75" customHeight="1">
      <c r="A358" s="334" t="str">
        <f>IF(B358&lt;&gt;"",IF(AND(B358='IN-TC'!$S$4,OR(TH!N358="1111",TH!O358="1111")),TH!D358,""),"")</f>
        <v/>
      </c>
      <c r="B358" s="63">
        <f t="shared" si="36"/>
        <v>10</v>
      </c>
      <c r="C358" s="78">
        <v>42656</v>
      </c>
      <c r="D358" s="78" t="s">
        <v>696</v>
      </c>
      <c r="E358" s="78">
        <f t="shared" si="39"/>
        <v>42656</v>
      </c>
      <c r="F358" s="67" t="s">
        <v>438</v>
      </c>
      <c r="G358" s="79"/>
      <c r="H358" s="80" t="s">
        <v>694</v>
      </c>
      <c r="I358" s="435">
        <v>23400</v>
      </c>
      <c r="J358" s="435">
        <v>76419.10478632478</v>
      </c>
      <c r="K358" s="426"/>
      <c r="L358" s="435"/>
      <c r="M358" s="81">
        <f t="shared" si="40"/>
        <v>1788207052</v>
      </c>
      <c r="N358" s="86" t="s">
        <v>284</v>
      </c>
      <c r="O358" s="82" t="s">
        <v>282</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s="345" customFormat="1" ht="15.75" customHeight="1">
      <c r="A359" s="334" t="str">
        <f>IF(B359&lt;&gt;"",IF(AND(B359='IN-TC'!$S$4,OR(TH!N359="1111",TH!O359="1111")),TH!D359,""),"")</f>
        <v/>
      </c>
      <c r="B359" s="63">
        <f t="shared" si="36"/>
        <v>10</v>
      </c>
      <c r="C359" s="78">
        <v>42656</v>
      </c>
      <c r="D359" s="78" t="s">
        <v>696</v>
      </c>
      <c r="E359" s="78">
        <f t="shared" si="39"/>
        <v>42656</v>
      </c>
      <c r="F359" s="67" t="s">
        <v>442</v>
      </c>
      <c r="G359" s="79"/>
      <c r="H359" s="80" t="s">
        <v>694</v>
      </c>
      <c r="I359" s="435">
        <v>23400</v>
      </c>
      <c r="J359" s="435">
        <v>132376.81051282052</v>
      </c>
      <c r="K359" s="426"/>
      <c r="L359" s="435"/>
      <c r="M359" s="81">
        <f t="shared" si="40"/>
        <v>3097617366</v>
      </c>
      <c r="N359" s="86" t="s">
        <v>284</v>
      </c>
      <c r="O359" s="82" t="s">
        <v>282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s="345" customFormat="1" ht="15.75" customHeight="1">
      <c r="A360" s="334" t="str">
        <f>IF(B360&lt;&gt;"",IF(AND(B360='IN-TC'!$S$4,OR(TH!N360="1111",TH!O360="1111")),TH!D360,""),"")</f>
        <v/>
      </c>
      <c r="B360" s="63">
        <f t="shared" si="36"/>
        <v>10</v>
      </c>
      <c r="C360" s="78">
        <v>42661</v>
      </c>
      <c r="D360" s="78" t="s">
        <v>697</v>
      </c>
      <c r="E360" s="78">
        <f t="shared" si="39"/>
        <v>42661</v>
      </c>
      <c r="F360" s="67" t="s">
        <v>463</v>
      </c>
      <c r="G360" s="79"/>
      <c r="H360" s="80" t="s">
        <v>694</v>
      </c>
      <c r="I360" s="435">
        <v>52000</v>
      </c>
      <c r="J360" s="435">
        <v>51261.252679487181</v>
      </c>
      <c r="K360" s="426"/>
      <c r="L360" s="435"/>
      <c r="M360" s="81">
        <f t="shared" si="40"/>
        <v>2665585139</v>
      </c>
      <c r="N360" s="86" t="s">
        <v>284</v>
      </c>
      <c r="O360" s="82" t="s">
        <v>282</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s="345" customFormat="1" ht="15.75" customHeight="1">
      <c r="A361" s="334" t="str">
        <f>IF(B361&lt;&gt;"",IF(AND(B361='IN-TC'!$S$4,OR(TH!N361="1111",TH!O361="1111")),TH!D361,""),"")</f>
        <v/>
      </c>
      <c r="B361" s="63">
        <f t="shared" si="36"/>
        <v>10</v>
      </c>
      <c r="C361" s="78">
        <v>42663</v>
      </c>
      <c r="D361" s="78" t="s">
        <v>698</v>
      </c>
      <c r="E361" s="78">
        <f t="shared" si="39"/>
        <v>42663</v>
      </c>
      <c r="F361" s="67" t="s">
        <v>450</v>
      </c>
      <c r="G361" s="79"/>
      <c r="H361" s="80" t="s">
        <v>694</v>
      </c>
      <c r="I361" s="435">
        <v>4800</v>
      </c>
      <c r="J361" s="435">
        <v>147360.234375</v>
      </c>
      <c r="K361" s="426"/>
      <c r="L361" s="435"/>
      <c r="M361" s="81">
        <f t="shared" si="40"/>
        <v>707329125</v>
      </c>
      <c r="N361" s="86" t="s">
        <v>284</v>
      </c>
      <c r="O361" s="82" t="s">
        <v>282</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s="345" customFormat="1" ht="15.75" customHeight="1">
      <c r="A362" s="334" t="str">
        <f>IF(B362&lt;&gt;"",IF(AND(B362='IN-TC'!$S$4,OR(TH!N362="1111",TH!O362="1111")),TH!D362,""),"")</f>
        <v/>
      </c>
      <c r="B362" s="63">
        <f t="shared" si="36"/>
        <v>10</v>
      </c>
      <c r="C362" s="78">
        <v>42674</v>
      </c>
      <c r="D362" s="78" t="s">
        <v>1941</v>
      </c>
      <c r="E362" s="78">
        <f t="shared" si="39"/>
        <v>42674</v>
      </c>
      <c r="F362" s="67" t="s">
        <v>463</v>
      </c>
      <c r="G362" s="79"/>
      <c r="H362" s="80" t="s">
        <v>694</v>
      </c>
      <c r="I362" s="435">
        <v>26000</v>
      </c>
      <c r="J362" s="435">
        <v>51261.252679487181</v>
      </c>
      <c r="K362" s="426"/>
      <c r="L362" s="435"/>
      <c r="M362" s="81">
        <f t="shared" si="40"/>
        <v>1332792570</v>
      </c>
      <c r="N362" s="86" t="s">
        <v>284</v>
      </c>
      <c r="O362" s="82" t="s">
        <v>282</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s="345" customFormat="1" ht="15.75" customHeight="1">
      <c r="A363" s="334" t="str">
        <f>IF(B363&lt;&gt;"",IF(AND(B363='IN-TC'!$S$4,OR(TH!N363="1111",TH!O363="1111")),TH!D363,""),"")</f>
        <v/>
      </c>
      <c r="B363" s="63">
        <f t="shared" si="36"/>
        <v>10</v>
      </c>
      <c r="C363" s="92">
        <v>42656</v>
      </c>
      <c r="D363" s="92" t="s">
        <v>593</v>
      </c>
      <c r="E363" s="92">
        <f t="shared" si="39"/>
        <v>42656</v>
      </c>
      <c r="F363" s="67" t="s">
        <v>438</v>
      </c>
      <c r="G363" s="93" t="s">
        <v>2136</v>
      </c>
      <c r="H363" s="978" t="s">
        <v>1890</v>
      </c>
      <c r="I363" s="443">
        <v>23400</v>
      </c>
      <c r="J363" s="443">
        <v>76419.10478632478</v>
      </c>
      <c r="K363" s="434"/>
      <c r="L363" s="443"/>
      <c r="M363" s="95">
        <f t="shared" si="40"/>
        <v>1788207052</v>
      </c>
      <c r="N363" s="83" t="s">
        <v>294</v>
      </c>
      <c r="O363" s="83" t="s">
        <v>284</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s="345" customFormat="1" ht="15.75" customHeight="1">
      <c r="A364" s="334" t="str">
        <f>IF(B364&lt;&gt;"",IF(AND(B364='IN-TC'!$S$4,OR(TH!N364="1111",TH!O364="1111")),TH!D364,""),"")</f>
        <v/>
      </c>
      <c r="B364" s="63">
        <f t="shared" si="36"/>
        <v>10</v>
      </c>
      <c r="C364" s="92">
        <v>42656</v>
      </c>
      <c r="D364" s="92" t="s">
        <v>593</v>
      </c>
      <c r="E364" s="92">
        <f t="shared" si="39"/>
        <v>42656</v>
      </c>
      <c r="F364" s="67" t="s">
        <v>442</v>
      </c>
      <c r="G364" s="93" t="s">
        <v>2137</v>
      </c>
      <c r="H364" s="978" t="s">
        <v>1890</v>
      </c>
      <c r="I364" s="443">
        <v>23400</v>
      </c>
      <c r="J364" s="443">
        <v>132376.81051282052</v>
      </c>
      <c r="K364" s="434"/>
      <c r="L364" s="443"/>
      <c r="M364" s="95">
        <f t="shared" si="40"/>
        <v>3097617366</v>
      </c>
      <c r="N364" s="83" t="s">
        <v>294</v>
      </c>
      <c r="O364" s="83" t="s">
        <v>284</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s="345" customFormat="1" ht="15.75" customHeight="1">
      <c r="A365" s="334" t="str">
        <f>IF(B365&lt;&gt;"",IF(AND(B365='IN-TC'!$S$4,OR(TH!N365="1111",TH!O365="1111")),TH!D365,""),"")</f>
        <v/>
      </c>
      <c r="B365" s="63">
        <f t="shared" si="36"/>
        <v>10</v>
      </c>
      <c r="C365" s="92">
        <v>42661</v>
      </c>
      <c r="D365" s="92" t="s">
        <v>594</v>
      </c>
      <c r="E365" s="92">
        <f t="shared" si="39"/>
        <v>42661</v>
      </c>
      <c r="F365" s="67" t="s">
        <v>463</v>
      </c>
      <c r="G365" s="93" t="s">
        <v>2138</v>
      </c>
      <c r="H365" s="978" t="s">
        <v>1902</v>
      </c>
      <c r="I365" s="443">
        <v>52000</v>
      </c>
      <c r="J365" s="443">
        <v>51261.252679487181</v>
      </c>
      <c r="K365" s="434"/>
      <c r="L365" s="443"/>
      <c r="M365" s="95">
        <f t="shared" si="40"/>
        <v>2665585139</v>
      </c>
      <c r="N365" s="83" t="s">
        <v>294</v>
      </c>
      <c r="O365" s="83" t="s">
        <v>284</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s="345" customFormat="1" ht="15.75" customHeight="1">
      <c r="A366" s="334" t="str">
        <f>IF(B366&lt;&gt;"",IF(AND(B366='IN-TC'!$S$4,OR(TH!N366="1111",TH!O366="1111")),TH!D366,""),"")</f>
        <v/>
      </c>
      <c r="B366" s="63">
        <f t="shared" si="36"/>
        <v>10</v>
      </c>
      <c r="C366" s="92">
        <v>42663</v>
      </c>
      <c r="D366" s="92" t="s">
        <v>1671</v>
      </c>
      <c r="E366" s="92">
        <f t="shared" si="39"/>
        <v>42663</v>
      </c>
      <c r="F366" s="67" t="s">
        <v>450</v>
      </c>
      <c r="G366" s="93" t="s">
        <v>2139</v>
      </c>
      <c r="H366" s="978" t="s">
        <v>1363</v>
      </c>
      <c r="I366" s="443">
        <v>4800</v>
      </c>
      <c r="J366" s="443">
        <v>147360.234375</v>
      </c>
      <c r="K366" s="434"/>
      <c r="L366" s="443"/>
      <c r="M366" s="95">
        <f t="shared" si="40"/>
        <v>707329125</v>
      </c>
      <c r="N366" s="83" t="s">
        <v>294</v>
      </c>
      <c r="O366" s="83" t="s">
        <v>284</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s="345" customFormat="1" ht="15.75" customHeight="1">
      <c r="A367" s="334" t="str">
        <f>IF(B367&lt;&gt;"",IF(AND(B367='IN-TC'!$S$4,OR(TH!N367="1111",TH!O367="1111")),TH!D367,""),"")</f>
        <v/>
      </c>
      <c r="B367" s="63">
        <f t="shared" si="36"/>
        <v>10</v>
      </c>
      <c r="C367" s="92">
        <v>42674</v>
      </c>
      <c r="D367" s="92" t="s">
        <v>1672</v>
      </c>
      <c r="E367" s="92">
        <f t="shared" si="39"/>
        <v>42674</v>
      </c>
      <c r="F367" s="67" t="s">
        <v>463</v>
      </c>
      <c r="G367" s="93" t="s">
        <v>2140</v>
      </c>
      <c r="H367" s="978" t="s">
        <v>1902</v>
      </c>
      <c r="I367" s="443">
        <v>52000</v>
      </c>
      <c r="J367" s="443">
        <v>51261.252679487181</v>
      </c>
      <c r="K367" s="434"/>
      <c r="L367" s="443"/>
      <c r="M367" s="95">
        <f t="shared" si="40"/>
        <v>2665585139</v>
      </c>
      <c r="N367" s="83" t="s">
        <v>294</v>
      </c>
      <c r="O367" s="83" t="s">
        <v>284</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s="345" customFormat="1" ht="15.75" customHeight="1">
      <c r="A368" s="334" t="str">
        <f>IF(B368&lt;&gt;"",IF(AND(B368='IN-TC'!$S$4,OR(TH!N368="1111",TH!O368="1111")),TH!D368,""),"")</f>
        <v/>
      </c>
      <c r="B368" s="63">
        <f t="shared" ref="B368:B431" si="41">IF(C368&lt;&gt;"",MONTH(C368),"")</f>
        <v>11</v>
      </c>
      <c r="C368" s="78">
        <v>42677</v>
      </c>
      <c r="D368" s="78"/>
      <c r="E368" s="78">
        <f t="shared" si="39"/>
        <v>42677</v>
      </c>
      <c r="F368" s="67" t="s">
        <v>463</v>
      </c>
      <c r="G368" s="79"/>
      <c r="H368" s="80" t="s">
        <v>2361</v>
      </c>
      <c r="I368" s="435">
        <v>52000</v>
      </c>
      <c r="J368" s="435">
        <v>61000</v>
      </c>
      <c r="K368" s="426"/>
      <c r="L368" s="435"/>
      <c r="M368" s="81">
        <f t="shared" si="40"/>
        <v>3172000000</v>
      </c>
      <c r="N368" s="86" t="s">
        <v>284</v>
      </c>
      <c r="O368" s="82" t="s">
        <v>282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1" s="345" customFormat="1" ht="15.75" customHeight="1">
      <c r="A369" s="334" t="str">
        <f>IF(B369&lt;&gt;"",IF(AND(B369='IN-TC'!$S$4,OR(TH!N369="1111",TH!O369="1111")),TH!D369,""),"")</f>
        <v/>
      </c>
      <c r="B369" s="63">
        <f t="shared" si="41"/>
        <v>11</v>
      </c>
      <c r="C369" s="78">
        <v>42681</v>
      </c>
      <c r="D369" s="78"/>
      <c r="E369" s="78">
        <f t="shared" si="39"/>
        <v>42681</v>
      </c>
      <c r="F369" s="67" t="s">
        <v>463</v>
      </c>
      <c r="G369" s="79"/>
      <c r="H369" s="80" t="s">
        <v>2361</v>
      </c>
      <c r="I369" s="435">
        <v>26000</v>
      </c>
      <c r="J369" s="435">
        <v>61000</v>
      </c>
      <c r="K369" s="426"/>
      <c r="L369" s="435"/>
      <c r="M369" s="81">
        <f t="shared" si="40"/>
        <v>1586000000</v>
      </c>
      <c r="N369" s="86" t="s">
        <v>284</v>
      </c>
      <c r="O369" s="82" t="s">
        <v>282</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1" s="345" customFormat="1" ht="15.75" customHeight="1">
      <c r="A370" s="334" t="str">
        <f>IF(B370&lt;&gt;"",IF(AND(B370='IN-TC'!$S$4,OR(TH!N370="1111",TH!O370="1111")),TH!D370,""),"")</f>
        <v/>
      </c>
      <c r="B370" s="63">
        <f t="shared" si="41"/>
        <v>11</v>
      </c>
      <c r="C370" s="78">
        <v>42689</v>
      </c>
      <c r="D370" s="78"/>
      <c r="E370" s="78">
        <f t="shared" si="39"/>
        <v>42689</v>
      </c>
      <c r="F370" s="67" t="s">
        <v>463</v>
      </c>
      <c r="G370" s="79"/>
      <c r="H370" s="80" t="s">
        <v>2361</v>
      </c>
      <c r="I370" s="435">
        <v>26000</v>
      </c>
      <c r="J370" s="435">
        <v>61000</v>
      </c>
      <c r="K370" s="426"/>
      <c r="L370" s="435"/>
      <c r="M370" s="81">
        <f t="shared" si="40"/>
        <v>1586000000</v>
      </c>
      <c r="N370" s="86" t="s">
        <v>284</v>
      </c>
      <c r="O370" s="82" t="s">
        <v>282</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1" s="345" customFormat="1" ht="15.75" customHeight="1">
      <c r="A371" s="334" t="str">
        <f>IF(B371&lt;&gt;"",IF(AND(B371='IN-TC'!$S$4,OR(TH!N371="1111",TH!O371="1111")),TH!D371,""),"")</f>
        <v/>
      </c>
      <c r="B371" s="63" t="str">
        <f t="shared" si="41"/>
        <v/>
      </c>
      <c r="C371" s="78"/>
      <c r="D371" s="78"/>
      <c r="E371" s="78">
        <f t="shared" si="39"/>
        <v>0</v>
      </c>
      <c r="F371" s="67"/>
      <c r="G371" s="79"/>
      <c r="H371" s="80" t="s">
        <v>694</v>
      </c>
      <c r="I371" s="435"/>
      <c r="J371" s="435"/>
      <c r="K371" s="426"/>
      <c r="L371" s="435"/>
      <c r="M371" s="81">
        <f t="shared" si="40"/>
        <v>0</v>
      </c>
      <c r="N371" s="86" t="s">
        <v>284</v>
      </c>
      <c r="O371" s="82" t="s">
        <v>282</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1" s="345" customFormat="1" ht="15.75" customHeight="1">
      <c r="A372" s="334" t="str">
        <f>IF(B372&lt;&gt;"",IF(AND(B372='IN-TC'!$S$4,OR(TH!N372="1111",TH!O372="1111")),TH!D372,""),"")</f>
        <v/>
      </c>
      <c r="B372" s="63" t="str">
        <f t="shared" si="41"/>
        <v/>
      </c>
      <c r="C372" s="78"/>
      <c r="D372" s="78"/>
      <c r="E372" s="78">
        <f t="shared" si="39"/>
        <v>0</v>
      </c>
      <c r="F372" s="67"/>
      <c r="G372" s="79"/>
      <c r="H372" s="80" t="s">
        <v>694</v>
      </c>
      <c r="I372" s="435"/>
      <c r="J372" s="435"/>
      <c r="K372" s="426"/>
      <c r="L372" s="435"/>
      <c r="M372" s="81">
        <f t="shared" si="40"/>
        <v>0</v>
      </c>
      <c r="N372" s="86" t="s">
        <v>284</v>
      </c>
      <c r="O372" s="82" t="s">
        <v>282</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1" s="345" customFormat="1" ht="15.75" customHeight="1">
      <c r="A373" s="334" t="str">
        <f>IF(B373&lt;&gt;"",IF(AND(B373='IN-TC'!$S$4,OR(TH!N373="1111",TH!O373="1111")),TH!D373,""),"")</f>
        <v/>
      </c>
      <c r="B373" s="63" t="str">
        <f t="shared" si="41"/>
        <v/>
      </c>
      <c r="C373" s="92"/>
      <c r="D373" s="92"/>
      <c r="E373" s="92">
        <f t="shared" si="39"/>
        <v>0</v>
      </c>
      <c r="F373" s="67"/>
      <c r="G373" s="93"/>
      <c r="H373" s="978"/>
      <c r="I373" s="443"/>
      <c r="J373" s="443"/>
      <c r="K373" s="434"/>
      <c r="L373" s="443"/>
      <c r="M373" s="95">
        <f t="shared" si="40"/>
        <v>0</v>
      </c>
      <c r="N373" s="83" t="s">
        <v>294</v>
      </c>
      <c r="O373" s="83" t="s">
        <v>284</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1" s="345" customFormat="1" ht="15.75" customHeight="1">
      <c r="A374" s="334" t="str">
        <f>IF(B374&lt;&gt;"",IF(AND(B374='IN-TC'!$S$4,OR(TH!N374="1111",TH!O374="1111")),TH!D374,""),"")</f>
        <v/>
      </c>
      <c r="B374" s="63" t="str">
        <f t="shared" si="41"/>
        <v/>
      </c>
      <c r="C374" s="92"/>
      <c r="D374" s="92"/>
      <c r="E374" s="92">
        <f t="shared" si="39"/>
        <v>0</v>
      </c>
      <c r="F374" s="67"/>
      <c r="G374" s="93"/>
      <c r="H374" s="978"/>
      <c r="I374" s="443"/>
      <c r="J374" s="443"/>
      <c r="K374" s="434"/>
      <c r="L374" s="443"/>
      <c r="M374" s="95">
        <f t="shared" si="40"/>
        <v>0</v>
      </c>
      <c r="N374" s="83" t="s">
        <v>294</v>
      </c>
      <c r="O374" s="83" t="s">
        <v>284</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1" s="345" customFormat="1" ht="15.75" customHeight="1">
      <c r="A375" s="334" t="str">
        <f>IF(B375&lt;&gt;"",IF(AND(B375='IN-TC'!$S$4,OR(TH!N375="1111",TH!O375="1111")),TH!D375,""),"")</f>
        <v/>
      </c>
      <c r="B375" s="63" t="str">
        <f t="shared" si="41"/>
        <v/>
      </c>
      <c r="C375" s="92"/>
      <c r="D375" s="92"/>
      <c r="E375" s="92">
        <f t="shared" si="39"/>
        <v>0</v>
      </c>
      <c r="F375" s="67"/>
      <c r="G375" s="93"/>
      <c r="H375" s="978"/>
      <c r="I375" s="443"/>
      <c r="J375" s="443"/>
      <c r="K375" s="434"/>
      <c r="L375" s="443"/>
      <c r="M375" s="95">
        <f t="shared" si="40"/>
        <v>0</v>
      </c>
      <c r="N375" s="83" t="s">
        <v>294</v>
      </c>
      <c r="O375" s="83" t="s">
        <v>284</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1" s="345" customFormat="1" ht="15.75" customHeight="1">
      <c r="A376" s="334" t="str">
        <f>IF(B376&lt;&gt;"",IF(AND(B376='IN-TC'!$S$4,OR(TH!N376="1111",TH!O376="1111")),TH!D376,""),"")</f>
        <v/>
      </c>
      <c r="B376" s="63" t="str">
        <f t="shared" si="41"/>
        <v/>
      </c>
      <c r="C376" s="92"/>
      <c r="D376" s="92"/>
      <c r="E376" s="92">
        <f t="shared" si="39"/>
        <v>0</v>
      </c>
      <c r="F376" s="67"/>
      <c r="G376" s="93"/>
      <c r="H376" s="978"/>
      <c r="I376" s="443"/>
      <c r="J376" s="443"/>
      <c r="K376" s="434"/>
      <c r="L376" s="443"/>
      <c r="M376" s="95">
        <f t="shared" si="40"/>
        <v>0</v>
      </c>
      <c r="N376" s="83" t="s">
        <v>294</v>
      </c>
      <c r="O376" s="83" t="s">
        <v>284</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1" s="345" customFormat="1" ht="15.75" customHeight="1">
      <c r="A377" s="334" t="str">
        <f>IF(B377&lt;&gt;"",IF(AND(B377='IN-TC'!$S$4,OR(TH!N377="1111",TH!O377="1111")),TH!D377,""),"")</f>
        <v/>
      </c>
      <c r="B377" s="63" t="str">
        <f t="shared" si="41"/>
        <v/>
      </c>
      <c r="C377" s="92"/>
      <c r="D377" s="92"/>
      <c r="E377" s="92">
        <f t="shared" si="39"/>
        <v>0</v>
      </c>
      <c r="F377" s="67"/>
      <c r="G377" s="93"/>
      <c r="H377" s="978"/>
      <c r="I377" s="443"/>
      <c r="J377" s="443"/>
      <c r="K377" s="434"/>
      <c r="L377" s="443"/>
      <c r="M377" s="95">
        <f t="shared" si="40"/>
        <v>0</v>
      </c>
      <c r="N377" s="83" t="s">
        <v>294</v>
      </c>
      <c r="O377" s="83" t="s">
        <v>284</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1" s="345" customFormat="1" ht="15.75" customHeight="1">
      <c r="A378" s="334" t="str">
        <f>IF(B378&lt;&gt;"",IF(AND(B378='IN-TC'!$S$4,OR(TH!N378="1111",TH!O378="1111")),TH!D378,""),"")</f>
        <v/>
      </c>
      <c r="B378" s="63" t="str">
        <f t="shared" si="41"/>
        <v/>
      </c>
      <c r="C378" s="92"/>
      <c r="D378" s="92"/>
      <c r="E378" s="92">
        <f t="shared" si="39"/>
        <v>0</v>
      </c>
      <c r="F378" s="67"/>
      <c r="G378" s="93"/>
      <c r="H378" s="978"/>
      <c r="I378" s="443"/>
      <c r="J378" s="443"/>
      <c r="K378" s="434"/>
      <c r="L378" s="443"/>
      <c r="M378" s="95">
        <f t="shared" si="40"/>
        <v>0</v>
      </c>
      <c r="N378" s="83" t="s">
        <v>294</v>
      </c>
      <c r="O378" s="83" t="s">
        <v>284</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1" s="345" customFormat="1" ht="15.75" customHeight="1">
      <c r="A379" s="334" t="str">
        <f>IF(B379&lt;&gt;"",IF(AND(B379='IN-TC'!$S$4,OR(TH!N379="1111",TH!O379="1111")),TH!D379,""),"")</f>
        <v/>
      </c>
      <c r="B379" s="63" t="str">
        <f t="shared" si="41"/>
        <v/>
      </c>
      <c r="C379" s="92"/>
      <c r="D379" s="92"/>
      <c r="E379" s="92">
        <f t="shared" si="39"/>
        <v>0</v>
      </c>
      <c r="F379" s="67"/>
      <c r="G379" s="93"/>
      <c r="H379" s="978"/>
      <c r="I379" s="443"/>
      <c r="J379" s="443"/>
      <c r="K379" s="434"/>
      <c r="L379" s="443"/>
      <c r="M379" s="95">
        <f t="shared" si="40"/>
        <v>0</v>
      </c>
      <c r="N379" s="83" t="s">
        <v>294</v>
      </c>
      <c r="O379" s="83" t="s">
        <v>284</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1" s="339" customFormat="1" ht="15.75" customHeight="1">
      <c r="A380" s="334" t="str">
        <f>IF(B380&lt;&gt;"",IF(AND(B380='IN-TC'!$S$4,OR(TH!N380="1111",TH!O380="1111")),TH!D380,""),"")</f>
        <v/>
      </c>
      <c r="B380" s="63">
        <f t="shared" si="41"/>
        <v>1</v>
      </c>
      <c r="C380" s="78">
        <f t="shared" ref="C380:C416" si="42">E380</f>
        <v>42374</v>
      </c>
      <c r="D380" s="78" t="s">
        <v>674</v>
      </c>
      <c r="E380" s="78">
        <v>42374</v>
      </c>
      <c r="F380" s="67" t="s">
        <v>348</v>
      </c>
      <c r="G380" s="975" t="s">
        <v>667</v>
      </c>
      <c r="H380" s="80" t="s">
        <v>672</v>
      </c>
      <c r="I380" s="435">
        <v>1000</v>
      </c>
      <c r="J380" s="435">
        <v>13571.429</v>
      </c>
      <c r="K380" s="426"/>
      <c r="L380" s="435"/>
      <c r="M380" s="81">
        <f t="shared" si="40"/>
        <v>13571429</v>
      </c>
      <c r="N380" s="82" t="s">
        <v>276</v>
      </c>
      <c r="O380" s="82" t="s">
        <v>8</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x</v>
      </c>
      <c r="AD380" s="82" t="str">
        <f>IF(AND(N380="1521",MONTH(C380)='BK-NL'!$M$11),"x","")</f>
        <v/>
      </c>
      <c r="AE380" s="1136" t="str">
        <f t="shared" ref="AE380:AE395" si="43">IF(H380&lt;&gt;VLOOKUP(H380,DSKH,1,0),"","x")</f>
        <v>x</v>
      </c>
    </row>
    <row r="381" spans="1:31" s="339" customFormat="1" ht="15.75" customHeight="1">
      <c r="A381" s="334" t="str">
        <f>IF(B381&lt;&gt;"",IF(AND(B381='IN-TC'!$S$4,OR(TH!N381="1111",TH!O381="1111")),TH!D381,""),"")</f>
        <v/>
      </c>
      <c r="B381" s="63">
        <f t="shared" si="41"/>
        <v>1</v>
      </c>
      <c r="C381" s="78">
        <f t="shared" si="42"/>
        <v>42374</v>
      </c>
      <c r="D381" s="78" t="s">
        <v>674</v>
      </c>
      <c r="E381" s="78">
        <v>42374</v>
      </c>
      <c r="F381" s="67" t="s">
        <v>646</v>
      </c>
      <c r="G381" s="975" t="s">
        <v>667</v>
      </c>
      <c r="H381" s="80" t="s">
        <v>672</v>
      </c>
      <c r="I381" s="435"/>
      <c r="J381" s="435"/>
      <c r="K381" s="426"/>
      <c r="L381" s="435"/>
      <c r="M381" s="81">
        <v>678571</v>
      </c>
      <c r="N381" s="82" t="s">
        <v>9</v>
      </c>
      <c r="O381" s="82" t="s">
        <v>8</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x</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c r="AE381" s="1136" t="str">
        <f t="shared" si="43"/>
        <v>x</v>
      </c>
    </row>
    <row r="382" spans="1:31" s="339" customFormat="1" ht="15.75" customHeight="1">
      <c r="A382" s="334" t="str">
        <f>IF(B382&lt;&gt;"",IF(AND(B382='IN-TC'!$S$4,OR(TH!N382="1111",TH!O382="1111")),TH!D382,""),"")</f>
        <v/>
      </c>
      <c r="B382" s="63">
        <f t="shared" si="41"/>
        <v>1</v>
      </c>
      <c r="C382" s="78">
        <f t="shared" si="42"/>
        <v>42374</v>
      </c>
      <c r="D382" s="78" t="s">
        <v>675</v>
      </c>
      <c r="E382" s="78">
        <v>42374</v>
      </c>
      <c r="F382" s="67" t="s">
        <v>363</v>
      </c>
      <c r="G382" s="79" t="s">
        <v>669</v>
      </c>
      <c r="H382" s="80" t="s">
        <v>673</v>
      </c>
      <c r="I382" s="435">
        <v>1000</v>
      </c>
      <c r="J382" s="435">
        <v>33000</v>
      </c>
      <c r="K382" s="426"/>
      <c r="L382" s="435"/>
      <c r="M382" s="81">
        <f>ROUND(I382*J382,0)</f>
        <v>33000000</v>
      </c>
      <c r="N382" s="82" t="s">
        <v>276</v>
      </c>
      <c r="O382" s="82" t="s">
        <v>8</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c r="AE382" s="1136" t="str">
        <f t="shared" si="43"/>
        <v>x</v>
      </c>
    </row>
    <row r="383" spans="1:31" s="339" customFormat="1" ht="15.75" customHeight="1">
      <c r="A383" s="334" t="str">
        <f>IF(B383&lt;&gt;"",IF(AND(B383='IN-TC'!$S$4,OR(TH!N383="1111",TH!O383="1111")),TH!D383,""),"")</f>
        <v/>
      </c>
      <c r="B383" s="63">
        <f t="shared" si="41"/>
        <v>1</v>
      </c>
      <c r="C383" s="78">
        <f t="shared" si="42"/>
        <v>42374</v>
      </c>
      <c r="D383" s="78" t="s">
        <v>675</v>
      </c>
      <c r="E383" s="78">
        <v>42374</v>
      </c>
      <c r="F383" s="67" t="s">
        <v>647</v>
      </c>
      <c r="G383" s="79" t="s">
        <v>669</v>
      </c>
      <c r="H383" s="80" t="s">
        <v>673</v>
      </c>
      <c r="I383" s="435"/>
      <c r="J383" s="435"/>
      <c r="K383" s="426"/>
      <c r="L383" s="435"/>
      <c r="M383" s="81">
        <v>3300000</v>
      </c>
      <c r="N383" s="82" t="s">
        <v>9</v>
      </c>
      <c r="O383" s="82" t="s">
        <v>8</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x</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c r="AE383" s="1136" t="str">
        <f t="shared" si="43"/>
        <v>x</v>
      </c>
    </row>
    <row r="384" spans="1:31" s="339" customFormat="1" ht="15.75" customHeight="1">
      <c r="A384" s="334" t="str">
        <f>IF(B384&lt;&gt;"",IF(AND(B384='IN-TC'!$S$4,OR(TH!N384="1111",TH!O384="1111")),TH!D384,""),"")</f>
        <v/>
      </c>
      <c r="B384" s="63">
        <f t="shared" si="41"/>
        <v>1</v>
      </c>
      <c r="C384" s="78">
        <f t="shared" si="42"/>
        <v>42375</v>
      </c>
      <c r="D384" s="78" t="s">
        <v>676</v>
      </c>
      <c r="E384" s="78">
        <v>42375</v>
      </c>
      <c r="F384" s="67" t="s">
        <v>356</v>
      </c>
      <c r="G384" s="975" t="s">
        <v>669</v>
      </c>
      <c r="H384" s="80" t="s">
        <v>623</v>
      </c>
      <c r="I384" s="435">
        <v>5400</v>
      </c>
      <c r="J384" s="435">
        <v>14400</v>
      </c>
      <c r="K384" s="426"/>
      <c r="L384" s="435"/>
      <c r="M384" s="81">
        <f>ROUND(I384*J384,0)</f>
        <v>77760000</v>
      </c>
      <c r="N384" s="82" t="s">
        <v>276</v>
      </c>
      <c r="O384" s="82" t="s">
        <v>8</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c r="AE384" s="1136" t="str">
        <f t="shared" si="43"/>
        <v>x</v>
      </c>
    </row>
    <row r="385" spans="1:31" s="339" customFormat="1" ht="15.75" customHeight="1">
      <c r="A385" s="334" t="str">
        <f>IF(B385&lt;&gt;"",IF(AND(B385='IN-TC'!$S$4,OR(TH!N385="1111",TH!O385="1111")),TH!D385,""),"")</f>
        <v/>
      </c>
      <c r="B385" s="63">
        <f t="shared" si="41"/>
        <v>1</v>
      </c>
      <c r="C385" s="78">
        <f t="shared" si="42"/>
        <v>42375</v>
      </c>
      <c r="D385" s="78" t="s">
        <v>676</v>
      </c>
      <c r="E385" s="78">
        <v>42375</v>
      </c>
      <c r="F385" s="67" t="s">
        <v>648</v>
      </c>
      <c r="G385" s="975" t="s">
        <v>669</v>
      </c>
      <c r="H385" s="80" t="s">
        <v>623</v>
      </c>
      <c r="I385" s="435"/>
      <c r="J385" s="435"/>
      <c r="K385" s="426"/>
      <c r="L385" s="435"/>
      <c r="M385" s="81">
        <v>7776000</v>
      </c>
      <c r="N385" s="82" t="s">
        <v>9</v>
      </c>
      <c r="O385" s="82" t="s">
        <v>8</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x</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c r="AE385" s="1136" t="str">
        <f t="shared" si="43"/>
        <v>x</v>
      </c>
    </row>
    <row r="386" spans="1:31" s="339" customFormat="1" ht="15.75" customHeight="1">
      <c r="A386" s="334" t="str">
        <f>IF(B386&lt;&gt;"",IF(AND(B386='IN-TC'!$S$4,OR(TH!N386="1111",TH!O386="1111")),TH!D386,""),"")</f>
        <v/>
      </c>
      <c r="B386" s="63">
        <f t="shared" si="41"/>
        <v>1</v>
      </c>
      <c r="C386" s="78">
        <f t="shared" si="42"/>
        <v>42383</v>
      </c>
      <c r="D386" s="78" t="s">
        <v>677</v>
      </c>
      <c r="E386" s="78">
        <v>42383</v>
      </c>
      <c r="F386" s="67" t="s">
        <v>390</v>
      </c>
      <c r="G386" s="79" t="s">
        <v>670</v>
      </c>
      <c r="H386" s="80" t="s">
        <v>621</v>
      </c>
      <c r="I386" s="435">
        <v>1150</v>
      </c>
      <c r="J386" s="435">
        <v>12000</v>
      </c>
      <c r="K386" s="426"/>
      <c r="L386" s="435"/>
      <c r="M386" s="81">
        <f>ROUND(I386*J386,0)</f>
        <v>13800000</v>
      </c>
      <c r="N386" s="82" t="s">
        <v>276</v>
      </c>
      <c r="O386" s="82" t="s">
        <v>8</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c r="AE386" s="1136" t="str">
        <f t="shared" si="43"/>
        <v>x</v>
      </c>
    </row>
    <row r="387" spans="1:31" s="339" customFormat="1" ht="15.75" customHeight="1">
      <c r="A387" s="334" t="str">
        <f>IF(B387&lt;&gt;"",IF(AND(B387='IN-TC'!$S$4,OR(TH!N387="1111",TH!O387="1111")),TH!D387,""),"")</f>
        <v/>
      </c>
      <c r="B387" s="63">
        <f t="shared" si="41"/>
        <v>1</v>
      </c>
      <c r="C387" s="78">
        <f t="shared" si="42"/>
        <v>42383</v>
      </c>
      <c r="D387" s="78" t="s">
        <v>677</v>
      </c>
      <c r="E387" s="78">
        <v>42383</v>
      </c>
      <c r="F387" s="67" t="s">
        <v>392</v>
      </c>
      <c r="G387" s="79" t="s">
        <v>670</v>
      </c>
      <c r="H387" s="80" t="s">
        <v>621</v>
      </c>
      <c r="I387" s="435">
        <v>150</v>
      </c>
      <c r="J387" s="435">
        <v>9500</v>
      </c>
      <c r="K387" s="426"/>
      <c r="L387" s="435"/>
      <c r="M387" s="81">
        <f>ROUND(I387*J387,0)</f>
        <v>1425000</v>
      </c>
      <c r="N387" s="82" t="s">
        <v>276</v>
      </c>
      <c r="O387" s="82" t="s">
        <v>8</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c r="AE387" s="1136" t="str">
        <f t="shared" si="43"/>
        <v>x</v>
      </c>
    </row>
    <row r="388" spans="1:31" s="339" customFormat="1" ht="15.75" customHeight="1">
      <c r="A388" s="334" t="str">
        <f>IF(B388&lt;&gt;"",IF(AND(B388='IN-TC'!$S$4,OR(TH!N388="1111",TH!O388="1111")),TH!D388,""),"")</f>
        <v/>
      </c>
      <c r="B388" s="63">
        <f t="shared" si="41"/>
        <v>1</v>
      </c>
      <c r="C388" s="78">
        <f t="shared" si="42"/>
        <v>42383</v>
      </c>
      <c r="D388" s="78" t="s">
        <v>677</v>
      </c>
      <c r="E388" s="78">
        <v>42383</v>
      </c>
      <c r="F388" s="67" t="s">
        <v>394</v>
      </c>
      <c r="G388" s="79" t="s">
        <v>670</v>
      </c>
      <c r="H388" s="80" t="s">
        <v>621</v>
      </c>
      <c r="I388" s="435">
        <v>400</v>
      </c>
      <c r="J388" s="435">
        <v>17000</v>
      </c>
      <c r="K388" s="426"/>
      <c r="L388" s="435"/>
      <c r="M388" s="81">
        <f>ROUND(I388*J388,0)</f>
        <v>6800000</v>
      </c>
      <c r="N388" s="82" t="s">
        <v>276</v>
      </c>
      <c r="O388" s="82" t="s">
        <v>8</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c r="AE388" s="1136" t="str">
        <f t="shared" si="43"/>
        <v>x</v>
      </c>
    </row>
    <row r="389" spans="1:31" s="341" customFormat="1" ht="15.75" customHeight="1">
      <c r="A389" s="334" t="str">
        <f>IF(B389&lt;&gt;"",IF(AND(B389='IN-TC'!$S$4,OR(TH!N389="1111",TH!O389="1111")),TH!D389,""),"")</f>
        <v/>
      </c>
      <c r="B389" s="63">
        <f t="shared" si="41"/>
        <v>1</v>
      </c>
      <c r="C389" s="78">
        <f t="shared" si="42"/>
        <v>42383</v>
      </c>
      <c r="D389" s="78" t="s">
        <v>677</v>
      </c>
      <c r="E389" s="78">
        <v>42383</v>
      </c>
      <c r="F389" s="67" t="s">
        <v>1085</v>
      </c>
      <c r="G389" s="79" t="s">
        <v>670</v>
      </c>
      <c r="H389" s="80" t="s">
        <v>621</v>
      </c>
      <c r="I389" s="435">
        <v>400</v>
      </c>
      <c r="J389" s="435">
        <v>2500</v>
      </c>
      <c r="K389" s="426"/>
      <c r="L389" s="435"/>
      <c r="M389" s="81">
        <f>ROUND(I389*J389,0)</f>
        <v>1000000</v>
      </c>
      <c r="N389" s="82" t="s">
        <v>276</v>
      </c>
      <c r="O389" s="82" t="s">
        <v>8</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c r="AE389" s="1136" t="str">
        <f t="shared" si="43"/>
        <v>x</v>
      </c>
    </row>
    <row r="390" spans="1:31" s="341" customFormat="1" ht="15.75" customHeight="1">
      <c r="A390" s="334" t="str">
        <f>IF(B390&lt;&gt;"",IF(AND(B390='IN-TC'!$S$4,OR(TH!N390="1111",TH!O390="1111")),TH!D390,""),"")</f>
        <v/>
      </c>
      <c r="B390" s="63">
        <f t="shared" si="41"/>
        <v>1</v>
      </c>
      <c r="C390" s="78">
        <f t="shared" si="42"/>
        <v>42383</v>
      </c>
      <c r="D390" s="78" t="s">
        <v>677</v>
      </c>
      <c r="E390" s="78">
        <v>42383</v>
      </c>
      <c r="F390" s="67" t="s">
        <v>401</v>
      </c>
      <c r="G390" s="79" t="s">
        <v>670</v>
      </c>
      <c r="H390" s="80" t="s">
        <v>621</v>
      </c>
      <c r="I390" s="435">
        <v>620</v>
      </c>
      <c r="J390" s="435">
        <v>18300</v>
      </c>
      <c r="K390" s="426"/>
      <c r="L390" s="435"/>
      <c r="M390" s="81">
        <f>ROUND(I390*J390,0)</f>
        <v>11346000</v>
      </c>
      <c r="N390" s="82" t="s">
        <v>276</v>
      </c>
      <c r="O390" s="82" t="s">
        <v>8</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c r="AE390" s="1136" t="str">
        <f t="shared" si="43"/>
        <v>x</v>
      </c>
    </row>
    <row r="391" spans="1:31" s="339" customFormat="1" ht="15.75" customHeight="1">
      <c r="A391" s="334" t="str">
        <f>IF(B391&lt;&gt;"",IF(AND(B391='IN-TC'!$S$4,OR(TH!N391="1111",TH!O391="1111")),TH!D391,""),"")</f>
        <v/>
      </c>
      <c r="B391" s="63">
        <f t="shared" si="41"/>
        <v>1</v>
      </c>
      <c r="C391" s="78">
        <f t="shared" si="42"/>
        <v>42383</v>
      </c>
      <c r="D391" s="78" t="s">
        <v>677</v>
      </c>
      <c r="E391" s="78">
        <v>42383</v>
      </c>
      <c r="F391" s="67" t="s">
        <v>649</v>
      </c>
      <c r="G391" s="79" t="s">
        <v>670</v>
      </c>
      <c r="H391" s="80" t="s">
        <v>621</v>
      </c>
      <c r="I391" s="435"/>
      <c r="J391" s="435"/>
      <c r="K391" s="426"/>
      <c r="L391" s="435"/>
      <c r="M391" s="81">
        <v>3437100</v>
      </c>
      <c r="N391" s="82" t="s">
        <v>9</v>
      </c>
      <c r="O391" s="82" t="s">
        <v>8</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x</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c r="AE391" s="1136" t="str">
        <f t="shared" si="43"/>
        <v>x</v>
      </c>
    </row>
    <row r="392" spans="1:31" s="339" customFormat="1" ht="15.75" customHeight="1">
      <c r="A392" s="334" t="str">
        <f>IF(B392&lt;&gt;"",IF(AND(B392='IN-TC'!$S$4,OR(TH!N392="1111",TH!O392="1111")),TH!D392,""),"")</f>
        <v/>
      </c>
      <c r="B392" s="63">
        <f t="shared" si="41"/>
        <v>1</v>
      </c>
      <c r="C392" s="78">
        <f t="shared" si="42"/>
        <v>42387</v>
      </c>
      <c r="D392" s="78" t="s">
        <v>678</v>
      </c>
      <c r="E392" s="78">
        <v>42387</v>
      </c>
      <c r="F392" s="67" t="s">
        <v>348</v>
      </c>
      <c r="G392" s="975" t="s">
        <v>668</v>
      </c>
      <c r="H392" s="80" t="s">
        <v>672</v>
      </c>
      <c r="I392" s="435">
        <v>1000</v>
      </c>
      <c r="J392" s="435">
        <v>14523.81</v>
      </c>
      <c r="K392" s="426"/>
      <c r="L392" s="435"/>
      <c r="M392" s="81">
        <v>14523810</v>
      </c>
      <c r="N392" s="82" t="s">
        <v>276</v>
      </c>
      <c r="O392" s="82" t="s">
        <v>8</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x</v>
      </c>
      <c r="AD392" s="82" t="str">
        <f>IF(AND(N392="1521",MONTH(C392)='BK-NL'!$M$11),"x","")</f>
        <v/>
      </c>
      <c r="AE392" s="1136" t="str">
        <f t="shared" si="43"/>
        <v>x</v>
      </c>
    </row>
    <row r="393" spans="1:31" s="339" customFormat="1" ht="15.75" customHeight="1">
      <c r="A393" s="334" t="str">
        <f>IF(B393&lt;&gt;"",IF(AND(B393='IN-TC'!$S$4,OR(TH!N393="1111",TH!O393="1111")),TH!D393,""),"")</f>
        <v/>
      </c>
      <c r="B393" s="63">
        <f t="shared" si="41"/>
        <v>1</v>
      </c>
      <c r="C393" s="78">
        <f t="shared" si="42"/>
        <v>42387</v>
      </c>
      <c r="D393" s="78" t="s">
        <v>678</v>
      </c>
      <c r="E393" s="78">
        <v>42387</v>
      </c>
      <c r="F393" s="67" t="s">
        <v>646</v>
      </c>
      <c r="G393" s="79" t="s">
        <v>668</v>
      </c>
      <c r="H393" s="80" t="s">
        <v>672</v>
      </c>
      <c r="I393" s="435"/>
      <c r="J393" s="435"/>
      <c r="K393" s="426"/>
      <c r="L393" s="435"/>
      <c r="M393" s="81">
        <v>726190</v>
      </c>
      <c r="N393" s="1172" t="s">
        <v>9</v>
      </c>
      <c r="O393" s="82" t="s">
        <v>8</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x</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c r="AE393" s="1136" t="str">
        <f t="shared" si="43"/>
        <v>x</v>
      </c>
    </row>
    <row r="394" spans="1:31" s="339" customFormat="1" ht="15.75" customHeight="1">
      <c r="A394" s="334" t="str">
        <f>IF(B394&lt;&gt;"",IF(AND(B394='IN-TC'!$S$4,OR(TH!N394="1111",TH!O394="1111")),TH!D394,""),"")</f>
        <v/>
      </c>
      <c r="B394" s="63">
        <f t="shared" si="41"/>
        <v>1</v>
      </c>
      <c r="C394" s="78">
        <f t="shared" si="42"/>
        <v>42391</v>
      </c>
      <c r="D394" s="78" t="s">
        <v>679</v>
      </c>
      <c r="E394" s="78">
        <v>42391</v>
      </c>
      <c r="F394" s="67" t="s">
        <v>650</v>
      </c>
      <c r="G394" s="79" t="s">
        <v>671</v>
      </c>
      <c r="H394" s="80" t="s">
        <v>1416</v>
      </c>
      <c r="I394" s="435">
        <v>2500</v>
      </c>
      <c r="J394" s="435">
        <v>14000</v>
      </c>
      <c r="K394" s="426"/>
      <c r="L394" s="435"/>
      <c r="M394" s="81">
        <v>35000000</v>
      </c>
      <c r="N394" s="82" t="s">
        <v>276</v>
      </c>
      <c r="O394" s="82" t="s">
        <v>8</v>
      </c>
      <c r="P394" s="82" t="str">
        <f>IF(AND('331-CT'!$E$7=TH!H394,OR(N394="331",O394="331")),"x","")</f>
        <v>x</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x</v>
      </c>
      <c r="AC394" s="82" t="str">
        <f>IF(AND(OR(LEFT(TH!N394,2)="15",LEFT(TH!O394,2)="15"),TK!$E$7=TH!F394),"x","")</f>
        <v/>
      </c>
      <c r="AD394" s="82" t="str">
        <f>IF(AND(N394="1521",MONTH(C394)='BK-NL'!$M$11),"x","")</f>
        <v/>
      </c>
      <c r="AE394" s="1136" t="str">
        <f t="shared" si="43"/>
        <v>x</v>
      </c>
    </row>
    <row r="395" spans="1:31" s="339" customFormat="1" ht="15.75" customHeight="1">
      <c r="A395" s="334" t="str">
        <f>IF(B395&lt;&gt;"",IF(AND(B395='IN-TC'!$S$4,OR(TH!N395="1111",TH!O395="1111")),TH!D395,""),"")</f>
        <v/>
      </c>
      <c r="B395" s="63">
        <f t="shared" si="41"/>
        <v>1</v>
      </c>
      <c r="C395" s="78">
        <f t="shared" si="42"/>
        <v>42391</v>
      </c>
      <c r="D395" s="78" t="s">
        <v>679</v>
      </c>
      <c r="E395" s="78">
        <v>42391</v>
      </c>
      <c r="F395" s="67" t="s">
        <v>651</v>
      </c>
      <c r="G395" s="79" t="s">
        <v>671</v>
      </c>
      <c r="H395" s="80" t="s">
        <v>1416</v>
      </c>
      <c r="I395" s="435"/>
      <c r="J395" s="435"/>
      <c r="K395" s="426"/>
      <c r="L395" s="435"/>
      <c r="M395" s="81">
        <v>3500000</v>
      </c>
      <c r="N395" s="82" t="s">
        <v>9</v>
      </c>
      <c r="O395" s="82" t="s">
        <v>8</v>
      </c>
      <c r="P395" s="82" t="str">
        <f>IF(AND('331-CT'!$E$7=TH!H395,OR(N395="331",O395="331")),"x","")</f>
        <v>x</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x</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c r="AE395" s="1136" t="str">
        <f t="shared" si="43"/>
        <v>x</v>
      </c>
    </row>
    <row r="396" spans="1:31" s="339" customFormat="1" ht="15.75" customHeight="1">
      <c r="A396" s="334" t="str">
        <f>IF(B396&lt;&gt;"",IF(AND(B396='IN-TC'!$S$4,OR(TH!N396="1111",TH!O396="1111")),TH!D396,""),"")</f>
        <v/>
      </c>
      <c r="B396" s="63">
        <f t="shared" si="41"/>
        <v>1</v>
      </c>
      <c r="C396" s="64">
        <f t="shared" si="42"/>
        <v>42371</v>
      </c>
      <c r="D396" s="64" t="s">
        <v>683</v>
      </c>
      <c r="E396" s="64">
        <v>42371</v>
      </c>
      <c r="F396" s="67" t="s">
        <v>339</v>
      </c>
      <c r="G396" s="972"/>
      <c r="H396" s="72" t="s">
        <v>446</v>
      </c>
      <c r="I396" s="437">
        <v>100</v>
      </c>
      <c r="J396" s="437">
        <v>35444.444444444445</v>
      </c>
      <c r="K396" s="428"/>
      <c r="L396" s="437"/>
      <c r="M396" s="65">
        <f t="shared" ref="M396:M401" si="44">ROUND(I396*J396,0)</f>
        <v>3544444</v>
      </c>
      <c r="N396" s="66" t="s">
        <v>282</v>
      </c>
      <c r="O396" s="66" t="s">
        <v>276</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x</v>
      </c>
      <c r="AB396" s="82" t="str">
        <f>IF(AND(OR(LEFT(TH!N396,2)="15",LEFT(TH!O396,2)="15"),LEFT(TH!O396,3)&lt;&gt;"111",'152-CT'!$J$8=TH!F396),"x","")</f>
        <v/>
      </c>
      <c r="AC396" s="82" t="str">
        <f>IF(AND(OR(LEFT(TH!N396,2)="15",LEFT(TH!O396,2)="15"),TK!$E$7=TH!F396),"x","")</f>
        <v/>
      </c>
      <c r="AD396" s="82" t="str">
        <f>IF(AND(N396="1521",MONTH(C396)='BK-NL'!$M$11),"x","")</f>
        <v/>
      </c>
    </row>
    <row r="397" spans="1:31" s="339" customFormat="1" ht="15.75" customHeight="1">
      <c r="A397" s="334" t="str">
        <f>IF(B397&lt;&gt;"",IF(AND(B397='IN-TC'!$S$4,OR(TH!N397="1111",TH!O397="1111")),TH!D397,""),"")</f>
        <v/>
      </c>
      <c r="B397" s="63">
        <f t="shared" si="41"/>
        <v>1</v>
      </c>
      <c r="C397" s="64">
        <f t="shared" si="42"/>
        <v>42371</v>
      </c>
      <c r="D397" s="64" t="s">
        <v>683</v>
      </c>
      <c r="E397" s="64">
        <v>42371</v>
      </c>
      <c r="F397" s="67" t="s">
        <v>345</v>
      </c>
      <c r="G397" s="972"/>
      <c r="H397" s="72" t="s">
        <v>446</v>
      </c>
      <c r="I397" s="437">
        <v>20</v>
      </c>
      <c r="J397" s="437">
        <v>46741.2</v>
      </c>
      <c r="K397" s="428"/>
      <c r="L397" s="437"/>
      <c r="M397" s="65">
        <f t="shared" si="44"/>
        <v>934824</v>
      </c>
      <c r="N397" s="66" t="s">
        <v>282</v>
      </c>
      <c r="O397" s="66" t="s">
        <v>276</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x</v>
      </c>
      <c r="AB397" s="82" t="str">
        <f>IF(AND(OR(LEFT(TH!N397,2)="15",LEFT(TH!O397,2)="15"),LEFT(TH!O397,3)&lt;&gt;"111",'152-CT'!$J$8=TH!F397),"x","")</f>
        <v/>
      </c>
      <c r="AC397" s="82" t="str">
        <f>IF(AND(OR(LEFT(TH!N397,2)="15",LEFT(TH!O397,2)="15"),TK!$E$7=TH!F397),"x","")</f>
        <v/>
      </c>
      <c r="AD397" s="82" t="str">
        <f>IF(AND(N397="1521",MONTH(C397)='BK-NL'!$M$11),"x","")</f>
        <v/>
      </c>
    </row>
    <row r="398" spans="1:31" s="339" customFormat="1" ht="15.75" customHeight="1">
      <c r="A398" s="334" t="str">
        <f>IF(B398&lt;&gt;"",IF(AND(B398='IN-TC'!$S$4,OR(TH!N398="1111",TH!O398="1111")),TH!D398,""),"")</f>
        <v/>
      </c>
      <c r="B398" s="63">
        <f t="shared" si="41"/>
        <v>1</v>
      </c>
      <c r="C398" s="64">
        <f t="shared" si="42"/>
        <v>42371</v>
      </c>
      <c r="D398" s="64" t="s">
        <v>683</v>
      </c>
      <c r="E398" s="64">
        <v>42371</v>
      </c>
      <c r="F398" s="67" t="s">
        <v>348</v>
      </c>
      <c r="G398" s="67"/>
      <c r="H398" s="72" t="s">
        <v>446</v>
      </c>
      <c r="I398" s="437">
        <v>150</v>
      </c>
      <c r="J398" s="437">
        <v>11666.673333333334</v>
      </c>
      <c r="K398" s="428"/>
      <c r="L398" s="437"/>
      <c r="M398" s="65">
        <f t="shared" si="44"/>
        <v>1750001</v>
      </c>
      <c r="N398" s="66" t="s">
        <v>282</v>
      </c>
      <c r="O398" s="66" t="s">
        <v>276</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x</v>
      </c>
      <c r="AB398" s="82" t="str">
        <f>IF(AND(OR(LEFT(TH!N398,2)="15",LEFT(TH!O398,2)="15"),LEFT(TH!O398,3)&lt;&gt;"111",'152-CT'!$J$8=TH!F398),"x","")</f>
        <v/>
      </c>
      <c r="AC398" s="82" t="str">
        <f>IF(AND(OR(LEFT(TH!N398,2)="15",LEFT(TH!O398,2)="15"),TK!$E$7=TH!F398),"x","")</f>
        <v>x</v>
      </c>
      <c r="AD398" s="82" t="str">
        <f>IF(AND(N398="1521",MONTH(C398)='BK-NL'!$M$11),"x","")</f>
        <v/>
      </c>
    </row>
    <row r="399" spans="1:31" s="339" customFormat="1" ht="15.75" customHeight="1">
      <c r="A399" s="334" t="str">
        <f>IF(B399&lt;&gt;"",IF(AND(B399='IN-TC'!$S$4,OR(TH!N399="1111",TH!O399="1111")),TH!D399,""),"")</f>
        <v/>
      </c>
      <c r="B399" s="63">
        <f t="shared" si="41"/>
        <v>1</v>
      </c>
      <c r="C399" s="64">
        <f t="shared" si="42"/>
        <v>42376</v>
      </c>
      <c r="D399" s="64" t="s">
        <v>684</v>
      </c>
      <c r="E399" s="64">
        <v>42376</v>
      </c>
      <c r="F399" s="67" t="s">
        <v>224</v>
      </c>
      <c r="G399" s="67"/>
      <c r="H399" s="72" t="s">
        <v>446</v>
      </c>
      <c r="I399" s="437">
        <v>100</v>
      </c>
      <c r="J399" s="437">
        <v>21979.791919191921</v>
      </c>
      <c r="K399" s="428"/>
      <c r="L399" s="437"/>
      <c r="M399" s="65">
        <f t="shared" si="44"/>
        <v>2197979</v>
      </c>
      <c r="N399" s="66" t="s">
        <v>282</v>
      </c>
      <c r="O399" s="66" t="s">
        <v>276</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1" s="339" customFormat="1" ht="15.75" customHeight="1">
      <c r="A400" s="334" t="str">
        <f>IF(B400&lt;&gt;"",IF(AND(B400='IN-TC'!$S$4,OR(TH!N400="1111",TH!O400="1111")),TH!D400,""),"")</f>
        <v/>
      </c>
      <c r="B400" s="63">
        <f t="shared" si="41"/>
        <v>1</v>
      </c>
      <c r="C400" s="64">
        <f t="shared" si="42"/>
        <v>42376</v>
      </c>
      <c r="D400" s="64" t="s">
        <v>684</v>
      </c>
      <c r="E400" s="64">
        <v>42376</v>
      </c>
      <c r="F400" s="67" t="s">
        <v>356</v>
      </c>
      <c r="G400" s="67"/>
      <c r="H400" s="72" t="s">
        <v>446</v>
      </c>
      <c r="I400" s="437">
        <v>2700</v>
      </c>
      <c r="J400" s="437">
        <v>14899.99962962963</v>
      </c>
      <c r="K400" s="428"/>
      <c r="L400" s="437"/>
      <c r="M400" s="65">
        <f t="shared" si="44"/>
        <v>40229999</v>
      </c>
      <c r="N400" s="66" t="s">
        <v>282</v>
      </c>
      <c r="O400" s="66" t="s">
        <v>276</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s="339" customFormat="1" ht="15.75" customHeight="1">
      <c r="A401" s="334" t="str">
        <f>IF(B401&lt;&gt;"",IF(AND(B401='IN-TC'!$S$4,OR(TH!N401="1111",TH!O401="1111")),TH!D401,""),"")</f>
        <v/>
      </c>
      <c r="B401" s="63">
        <f t="shared" si="41"/>
        <v>1</v>
      </c>
      <c r="C401" s="64">
        <f t="shared" si="42"/>
        <v>42384</v>
      </c>
      <c r="D401" s="64" t="s">
        <v>685</v>
      </c>
      <c r="E401" s="64">
        <v>42384</v>
      </c>
      <c r="F401" s="67" t="s">
        <v>359</v>
      </c>
      <c r="G401" s="67"/>
      <c r="H401" s="72" t="s">
        <v>446</v>
      </c>
      <c r="I401" s="437">
        <v>400</v>
      </c>
      <c r="J401" s="437">
        <v>8500</v>
      </c>
      <c r="K401" s="428"/>
      <c r="L401" s="437"/>
      <c r="M401" s="65">
        <f t="shared" si="44"/>
        <v>3400000</v>
      </c>
      <c r="N401" s="66" t="s">
        <v>282</v>
      </c>
      <c r="O401" s="66" t="s">
        <v>276</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s="339" customFormat="1" ht="15.75" customHeight="1">
      <c r="A402" s="334" t="str">
        <f>IF(B402&lt;&gt;"",IF(AND(B402='IN-TC'!$S$4,OR(TH!N402="1111",TH!O402="1111")),TH!D402,""),"")</f>
        <v/>
      </c>
      <c r="B402" s="63">
        <f t="shared" si="41"/>
        <v>1</v>
      </c>
      <c r="C402" s="64">
        <f t="shared" si="42"/>
        <v>42384</v>
      </c>
      <c r="D402" s="64" t="s">
        <v>685</v>
      </c>
      <c r="E402" s="64">
        <v>42384</v>
      </c>
      <c r="F402" s="67" t="s">
        <v>363</v>
      </c>
      <c r="G402" s="67"/>
      <c r="H402" s="74" t="s">
        <v>446</v>
      </c>
      <c r="I402" s="439">
        <v>1647</v>
      </c>
      <c r="J402" s="439">
        <f>M402/I402</f>
        <v>322.9927140255009</v>
      </c>
      <c r="K402" s="430"/>
      <c r="L402" s="439"/>
      <c r="M402" s="65">
        <v>531969</v>
      </c>
      <c r="N402" s="66" t="s">
        <v>282</v>
      </c>
      <c r="O402" s="66" t="s">
        <v>276</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s="339" customFormat="1" ht="15.75" customHeight="1">
      <c r="A403" s="334" t="str">
        <f>IF(B403&lt;&gt;"",IF(AND(B403='IN-TC'!$S$4,OR(TH!N403="1111",TH!O403="1111")),TH!D403,""),"")</f>
        <v/>
      </c>
      <c r="B403" s="63">
        <f t="shared" si="41"/>
        <v>1</v>
      </c>
      <c r="C403" s="64">
        <f t="shared" si="42"/>
        <v>42388</v>
      </c>
      <c r="D403" s="64" t="s">
        <v>686</v>
      </c>
      <c r="E403" s="64">
        <v>42388</v>
      </c>
      <c r="F403" s="67" t="s">
        <v>394</v>
      </c>
      <c r="G403" s="67"/>
      <c r="H403" s="74" t="s">
        <v>446</v>
      </c>
      <c r="I403" s="439">
        <v>400</v>
      </c>
      <c r="J403" s="439">
        <v>17000</v>
      </c>
      <c r="K403" s="430"/>
      <c r="L403" s="439"/>
      <c r="M403" s="65">
        <f t="shared" ref="M403:M416" si="45">ROUND(I403*J403,0)</f>
        <v>6800000</v>
      </c>
      <c r="N403" s="66" t="s">
        <v>282</v>
      </c>
      <c r="O403" s="66" t="s">
        <v>276</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s="339" customFormat="1" ht="15.75" customHeight="1">
      <c r="A404" s="334" t="str">
        <f>IF(B404&lt;&gt;"",IF(AND(B404='IN-TC'!$S$4,OR(TH!N404="1111",TH!O404="1111")),TH!D404,""),"")</f>
        <v/>
      </c>
      <c r="B404" s="63">
        <f t="shared" si="41"/>
        <v>1</v>
      </c>
      <c r="C404" s="64">
        <f t="shared" si="42"/>
        <v>42388</v>
      </c>
      <c r="D404" s="64" t="s">
        <v>686</v>
      </c>
      <c r="E404" s="64">
        <v>42388</v>
      </c>
      <c r="F404" s="67" t="s">
        <v>1085</v>
      </c>
      <c r="G404" s="67"/>
      <c r="H404" s="72" t="s">
        <v>446</v>
      </c>
      <c r="I404" s="437">
        <v>400</v>
      </c>
      <c r="J404" s="437">
        <v>2500</v>
      </c>
      <c r="K404" s="428"/>
      <c r="L404" s="437"/>
      <c r="M404" s="65">
        <f t="shared" si="45"/>
        <v>1000000</v>
      </c>
      <c r="N404" s="66" t="s">
        <v>282</v>
      </c>
      <c r="O404" s="66" t="s">
        <v>276</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s="339" customFormat="1" ht="15.75" customHeight="1">
      <c r="A405" s="334" t="str">
        <f>IF(B405&lt;&gt;"",IF(AND(B405='IN-TC'!$S$4,OR(TH!N405="1111",TH!O405="1111")),TH!D405,""),"")</f>
        <v/>
      </c>
      <c r="B405" s="63">
        <f t="shared" si="41"/>
        <v>1</v>
      </c>
      <c r="C405" s="64">
        <f t="shared" si="42"/>
        <v>42391</v>
      </c>
      <c r="D405" s="64" t="s">
        <v>687</v>
      </c>
      <c r="E405" s="64">
        <v>42391</v>
      </c>
      <c r="F405" s="67" t="s">
        <v>401</v>
      </c>
      <c r="G405" s="67"/>
      <c r="H405" s="74" t="s">
        <v>446</v>
      </c>
      <c r="I405" s="439">
        <v>620</v>
      </c>
      <c r="J405" s="439">
        <v>18300</v>
      </c>
      <c r="K405" s="430"/>
      <c r="L405" s="439"/>
      <c r="M405" s="65">
        <f t="shared" si="45"/>
        <v>11346000</v>
      </c>
      <c r="N405" s="66" t="s">
        <v>282</v>
      </c>
      <c r="O405" s="66" t="s">
        <v>276</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s="339" customFormat="1" ht="15.75" customHeight="1">
      <c r="A406" s="334" t="str">
        <f>IF(B406&lt;&gt;"",IF(AND(B406='IN-TC'!$S$4,OR(TH!N406="1111",TH!O406="1111")),TH!D406,""),"")</f>
        <v/>
      </c>
      <c r="B406" s="63">
        <f t="shared" si="41"/>
        <v>1</v>
      </c>
      <c r="C406" s="64">
        <f t="shared" si="42"/>
        <v>42391</v>
      </c>
      <c r="D406" s="64" t="s">
        <v>687</v>
      </c>
      <c r="E406" s="64">
        <v>42391</v>
      </c>
      <c r="F406" s="67" t="s">
        <v>650</v>
      </c>
      <c r="G406" s="67"/>
      <c r="H406" s="74" t="s">
        <v>446</v>
      </c>
      <c r="I406" s="437">
        <v>2400</v>
      </c>
      <c r="J406" s="437">
        <v>14000</v>
      </c>
      <c r="K406" s="430"/>
      <c r="L406" s="439"/>
      <c r="M406" s="65">
        <f t="shared" si="45"/>
        <v>33600000</v>
      </c>
      <c r="N406" s="66" t="s">
        <v>282</v>
      </c>
      <c r="O406" s="66" t="s">
        <v>276</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x</v>
      </c>
      <c r="AC406" s="82" t="str">
        <f>IF(AND(OR(LEFT(TH!N406,2)="15",LEFT(TH!O406,2)="15"),TK!$E$7=TH!F406),"x","")</f>
        <v/>
      </c>
      <c r="AD406" s="82" t="str">
        <f>IF(AND(N406="1521",MONTH(C406)='BK-NL'!$M$11),"x","")</f>
        <v/>
      </c>
    </row>
    <row r="407" spans="1:30" s="339" customFormat="1" ht="15.75" customHeight="1">
      <c r="A407" s="334" t="str">
        <f>IF(B407&lt;&gt;"",IF(AND(B407='IN-TC'!$S$4,OR(TH!N407="1111",TH!O407="1111")),TH!D407,""),"")</f>
        <v/>
      </c>
      <c r="B407" s="63">
        <f t="shared" si="41"/>
        <v>1</v>
      </c>
      <c r="C407" s="64">
        <f t="shared" si="42"/>
        <v>42398</v>
      </c>
      <c r="D407" s="64" t="s">
        <v>688</v>
      </c>
      <c r="E407" s="64">
        <v>42398</v>
      </c>
      <c r="F407" s="67" t="s">
        <v>390</v>
      </c>
      <c r="G407" s="67"/>
      <c r="H407" s="72" t="s">
        <v>446</v>
      </c>
      <c r="I407" s="437">
        <v>1150</v>
      </c>
      <c r="J407" s="437">
        <v>12000</v>
      </c>
      <c r="K407" s="428"/>
      <c r="L407" s="437"/>
      <c r="M407" s="65">
        <f t="shared" si="45"/>
        <v>13800000</v>
      </c>
      <c r="N407" s="66" t="s">
        <v>282</v>
      </c>
      <c r="O407" s="66" t="s">
        <v>276</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s="339" customFormat="1" ht="15.75" customHeight="1">
      <c r="A408" s="334" t="str">
        <f>IF(B408&lt;&gt;"",IF(AND(B408='IN-TC'!$S$4,OR(TH!N408="1111",TH!O408="1111")),TH!D408,""),"")</f>
        <v/>
      </c>
      <c r="B408" s="63">
        <f t="shared" si="41"/>
        <v>1</v>
      </c>
      <c r="C408" s="64">
        <f t="shared" si="42"/>
        <v>42398</v>
      </c>
      <c r="D408" s="64" t="s">
        <v>688</v>
      </c>
      <c r="E408" s="64">
        <v>42398</v>
      </c>
      <c r="F408" s="67" t="s">
        <v>392</v>
      </c>
      <c r="G408" s="67"/>
      <c r="H408" s="72" t="s">
        <v>446</v>
      </c>
      <c r="I408" s="437">
        <v>150</v>
      </c>
      <c r="J408" s="437">
        <v>9500</v>
      </c>
      <c r="K408" s="428"/>
      <c r="L408" s="437"/>
      <c r="M408" s="65">
        <f t="shared" si="45"/>
        <v>1425000</v>
      </c>
      <c r="N408" s="66" t="s">
        <v>282</v>
      </c>
      <c r="O408" s="66" t="s">
        <v>276</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s="339" customFormat="1" ht="15.75" customHeight="1">
      <c r="A409" s="334" t="str">
        <f>IF(B409&lt;&gt;"",IF(AND(B409='IN-TC'!$S$4,OR(TH!N409="1111",TH!O409="1111")),TH!D409,""),"")</f>
        <v/>
      </c>
      <c r="B409" s="63">
        <f t="shared" si="41"/>
        <v>2</v>
      </c>
      <c r="C409" s="64">
        <f t="shared" si="42"/>
        <v>42415</v>
      </c>
      <c r="D409" s="64" t="s">
        <v>684</v>
      </c>
      <c r="E409" s="64">
        <v>42415</v>
      </c>
      <c r="F409" s="67" t="s">
        <v>339</v>
      </c>
      <c r="G409" s="972"/>
      <c r="H409" s="72" t="s">
        <v>446</v>
      </c>
      <c r="I409" s="437">
        <v>20</v>
      </c>
      <c r="J409" s="437">
        <v>35444.444444444445</v>
      </c>
      <c r="K409" s="428"/>
      <c r="L409" s="437"/>
      <c r="M409" s="65">
        <f t="shared" si="45"/>
        <v>708889</v>
      </c>
      <c r="N409" s="66" t="s">
        <v>282</v>
      </c>
      <c r="O409" s="66" t="s">
        <v>276</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s="339" customFormat="1" ht="15.75" customHeight="1">
      <c r="A410" s="334" t="str">
        <f>IF(B410&lt;&gt;"",IF(AND(B410='IN-TC'!$S$4,OR(TH!N410="1111",TH!O410="1111")),TH!D410,""),"")</f>
        <v/>
      </c>
      <c r="B410" s="63">
        <f t="shared" si="41"/>
        <v>2</v>
      </c>
      <c r="C410" s="64">
        <f t="shared" si="42"/>
        <v>42415</v>
      </c>
      <c r="D410" s="64" t="s">
        <v>684</v>
      </c>
      <c r="E410" s="64">
        <v>42415</v>
      </c>
      <c r="F410" s="67" t="s">
        <v>345</v>
      </c>
      <c r="G410" s="972"/>
      <c r="H410" s="72" t="s">
        <v>446</v>
      </c>
      <c r="I410" s="437">
        <v>5</v>
      </c>
      <c r="J410" s="437">
        <v>46741.2</v>
      </c>
      <c r="K410" s="428"/>
      <c r="L410" s="437"/>
      <c r="M410" s="65">
        <f t="shared" si="45"/>
        <v>233706</v>
      </c>
      <c r="N410" s="66" t="s">
        <v>282</v>
      </c>
      <c r="O410" s="66" t="s">
        <v>276</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s="339" customFormat="1" ht="15.75" customHeight="1">
      <c r="A411" s="334" t="str">
        <f>IF(B411&lt;&gt;"",IF(AND(B411='IN-TC'!$S$4,OR(TH!N411="1111",TH!O411="1111")),TH!D411,""),"")</f>
        <v/>
      </c>
      <c r="B411" s="63">
        <f t="shared" si="41"/>
        <v>2</v>
      </c>
      <c r="C411" s="64">
        <f t="shared" si="42"/>
        <v>42415</v>
      </c>
      <c r="D411" s="64" t="s">
        <v>684</v>
      </c>
      <c r="E411" s="64">
        <v>42415</v>
      </c>
      <c r="F411" s="67" t="s">
        <v>348</v>
      </c>
      <c r="G411" s="67"/>
      <c r="H411" s="72" t="s">
        <v>446</v>
      </c>
      <c r="I411" s="437">
        <v>150</v>
      </c>
      <c r="J411" s="437">
        <v>11666.673333333334</v>
      </c>
      <c r="K411" s="428"/>
      <c r="L411" s="437"/>
      <c r="M411" s="65">
        <f t="shared" si="45"/>
        <v>1750001</v>
      </c>
      <c r="N411" s="66" t="s">
        <v>282</v>
      </c>
      <c r="O411" s="66" t="s">
        <v>276</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x</v>
      </c>
      <c r="AD411" s="82" t="str">
        <f>IF(AND(N411="1521",MONTH(C411)='BK-NL'!$M$11),"x","")</f>
        <v/>
      </c>
    </row>
    <row r="412" spans="1:30" s="339" customFormat="1" ht="15.75" customHeight="1">
      <c r="A412" s="334" t="str">
        <f>IF(B412&lt;&gt;"",IF(AND(B412='IN-TC'!$S$4,OR(TH!N412="1111",TH!O412="1111")),TH!D412,""),"")</f>
        <v/>
      </c>
      <c r="B412" s="63">
        <f t="shared" si="41"/>
        <v>2</v>
      </c>
      <c r="C412" s="64">
        <f t="shared" si="42"/>
        <v>42415</v>
      </c>
      <c r="D412" s="64" t="s">
        <v>684</v>
      </c>
      <c r="E412" s="64">
        <v>42415</v>
      </c>
      <c r="F412" s="67" t="s">
        <v>224</v>
      </c>
      <c r="G412" s="67"/>
      <c r="H412" s="72" t="s">
        <v>446</v>
      </c>
      <c r="I412" s="437">
        <v>45</v>
      </c>
      <c r="J412" s="437">
        <v>21979.791919191921</v>
      </c>
      <c r="K412" s="428"/>
      <c r="L412" s="437"/>
      <c r="M412" s="65">
        <f t="shared" si="45"/>
        <v>989091</v>
      </c>
      <c r="N412" s="66" t="s">
        <v>282</v>
      </c>
      <c r="O412" s="66" t="s">
        <v>276</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s="339" customFormat="1" ht="15.75" customHeight="1">
      <c r="A413" s="334" t="str">
        <f>IF(B413&lt;&gt;"",IF(AND(B413='IN-TC'!$S$4,OR(TH!N413="1111",TH!O413="1111")),TH!D413,""),"")</f>
        <v/>
      </c>
      <c r="B413" s="63">
        <f t="shared" si="41"/>
        <v>2</v>
      </c>
      <c r="C413" s="64">
        <f t="shared" si="42"/>
        <v>42415</v>
      </c>
      <c r="D413" s="64" t="s">
        <v>684</v>
      </c>
      <c r="E413" s="64">
        <v>42415</v>
      </c>
      <c r="F413" s="67" t="s">
        <v>356</v>
      </c>
      <c r="G413" s="67"/>
      <c r="H413" s="72" t="s">
        <v>446</v>
      </c>
      <c r="I413" s="437">
        <v>540</v>
      </c>
      <c r="J413" s="437">
        <v>14900</v>
      </c>
      <c r="K413" s="428"/>
      <c r="L413" s="437"/>
      <c r="M413" s="65">
        <f t="shared" si="45"/>
        <v>8046000</v>
      </c>
      <c r="N413" s="66" t="s">
        <v>282</v>
      </c>
      <c r="O413" s="66" t="s">
        <v>276</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s="339" customFormat="1" ht="15.75" customHeight="1">
      <c r="A414" s="334" t="str">
        <f>IF(B414&lt;&gt;"",IF(AND(B414='IN-TC'!$S$4,OR(TH!N414="1111",TH!O414="1111")),TH!D414,""),"")</f>
        <v/>
      </c>
      <c r="B414" s="63">
        <f t="shared" si="41"/>
        <v>2</v>
      </c>
      <c r="C414" s="64">
        <f t="shared" si="42"/>
        <v>42425</v>
      </c>
      <c r="D414" s="64" t="s">
        <v>685</v>
      </c>
      <c r="E414" s="64">
        <v>42425</v>
      </c>
      <c r="F414" s="67" t="s">
        <v>359</v>
      </c>
      <c r="G414" s="67"/>
      <c r="H414" s="72" t="s">
        <v>446</v>
      </c>
      <c r="I414" s="437">
        <v>150</v>
      </c>
      <c r="J414" s="437">
        <v>8500</v>
      </c>
      <c r="K414" s="428"/>
      <c r="L414" s="437"/>
      <c r="M414" s="65">
        <f t="shared" si="45"/>
        <v>1275000</v>
      </c>
      <c r="N414" s="66" t="s">
        <v>282</v>
      </c>
      <c r="O414" s="66" t="s">
        <v>276</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s="339" customFormat="1" ht="15.75" customHeight="1">
      <c r="A415" s="334" t="str">
        <f>IF(B415&lt;&gt;"",IF(AND(B415='IN-TC'!$S$4,OR(TH!N415="1111",TH!O415="1111")),TH!D415,""),"")</f>
        <v/>
      </c>
      <c r="B415" s="63">
        <f t="shared" si="41"/>
        <v>2</v>
      </c>
      <c r="C415" s="64">
        <f t="shared" si="42"/>
        <v>42425</v>
      </c>
      <c r="D415" s="64" t="s">
        <v>685</v>
      </c>
      <c r="E415" s="64">
        <v>42425</v>
      </c>
      <c r="F415" s="67" t="s">
        <v>363</v>
      </c>
      <c r="G415" s="67"/>
      <c r="H415" s="72" t="s">
        <v>446</v>
      </c>
      <c r="I415" s="439">
        <v>150</v>
      </c>
      <c r="J415" s="439">
        <v>33000</v>
      </c>
      <c r="K415" s="430"/>
      <c r="L415" s="439"/>
      <c r="M415" s="65">
        <f t="shared" si="45"/>
        <v>4950000</v>
      </c>
      <c r="N415" s="66" t="s">
        <v>282</v>
      </c>
      <c r="O415" s="66" t="s">
        <v>276</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s="339" customFormat="1" ht="15.75" customHeight="1">
      <c r="A416" s="334" t="str">
        <f>IF(B416&lt;&gt;"",IF(AND(B416='IN-TC'!$S$4,OR(TH!N416="1111",TH!O416="1111")),TH!D416,""),"")</f>
        <v/>
      </c>
      <c r="B416" s="63">
        <f t="shared" si="41"/>
        <v>2</v>
      </c>
      <c r="C416" s="64">
        <f t="shared" si="42"/>
        <v>42401</v>
      </c>
      <c r="D416" s="64" t="s">
        <v>683</v>
      </c>
      <c r="E416" s="64">
        <v>42401</v>
      </c>
      <c r="F416" s="67" t="s">
        <v>381</v>
      </c>
      <c r="G416" s="67"/>
      <c r="H416" s="72" t="s">
        <v>446</v>
      </c>
      <c r="I416" s="439">
        <v>2100</v>
      </c>
      <c r="J416" s="439">
        <v>5780.8622078968574</v>
      </c>
      <c r="K416" s="430"/>
      <c r="L416" s="439"/>
      <c r="M416" s="65">
        <f t="shared" si="45"/>
        <v>12139811</v>
      </c>
      <c r="N416" s="66" t="s">
        <v>282</v>
      </c>
      <c r="O416" s="66" t="s">
        <v>276</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1" ht="15.75" customHeight="1">
      <c r="A417" s="334" t="str">
        <f>IF(B417&lt;&gt;"",IF(AND(B417='IN-TC'!$S$4,OR(TH!N417="1111",TH!O417="1111")),TH!D417,""),"")</f>
        <v/>
      </c>
      <c r="B417" s="63">
        <f t="shared" si="41"/>
        <v>3</v>
      </c>
      <c r="C417" s="316">
        <v>42431</v>
      </c>
      <c r="D417" s="1124" t="s">
        <v>674</v>
      </c>
      <c r="E417" s="1124">
        <v>42431</v>
      </c>
      <c r="F417" s="512" t="s">
        <v>390</v>
      </c>
      <c r="G417" s="994" t="s">
        <v>1173</v>
      </c>
      <c r="H417" s="959" t="s">
        <v>620</v>
      </c>
      <c r="I417" s="435">
        <v>1015</v>
      </c>
      <c r="J417" s="435">
        <v>12000</v>
      </c>
      <c r="K417" s="426"/>
      <c r="L417" s="435"/>
      <c r="M417" s="81">
        <v>12180000</v>
      </c>
      <c r="N417" s="1118" t="s">
        <v>276</v>
      </c>
      <c r="O417" s="82" t="s">
        <v>8</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c r="AE417" s="1136" t="str">
        <f t="shared" ref="AE417:AE427" si="46">IF(H417&lt;&gt;VLOOKUP(H417,DSKH,1,0),"","x")</f>
        <v>x</v>
      </c>
    </row>
    <row r="418" spans="1:31" s="345" customFormat="1" ht="15.75" customHeight="1">
      <c r="A418" s="334" t="str">
        <f>IF(B418&lt;&gt;"",IF(AND(B418='IN-TC'!$S$4,OR(TH!N418="1111",TH!O418="1111")),TH!D418,""),"")</f>
        <v/>
      </c>
      <c r="B418" s="63">
        <f t="shared" si="41"/>
        <v>3</v>
      </c>
      <c r="C418" s="316">
        <v>42431</v>
      </c>
      <c r="D418" s="1124" t="s">
        <v>674</v>
      </c>
      <c r="E418" s="1124">
        <v>42431</v>
      </c>
      <c r="F418" s="512" t="s">
        <v>392</v>
      </c>
      <c r="G418" s="994" t="s">
        <v>1173</v>
      </c>
      <c r="H418" s="959" t="s">
        <v>620</v>
      </c>
      <c r="I418" s="435">
        <v>375</v>
      </c>
      <c r="J418" s="435">
        <v>9500</v>
      </c>
      <c r="K418" s="426"/>
      <c r="L418" s="435"/>
      <c r="M418" s="81">
        <v>3562500</v>
      </c>
      <c r="N418" s="1118" t="s">
        <v>276</v>
      </c>
      <c r="O418" s="82" t="s">
        <v>8</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c r="AE418" s="1136" t="str">
        <f t="shared" si="46"/>
        <v>x</v>
      </c>
    </row>
    <row r="419" spans="1:31" ht="15.75" customHeight="1">
      <c r="A419" s="334" t="str">
        <f>IF(B419&lt;&gt;"",IF(AND(B419='IN-TC'!$S$4,OR(TH!N419="1111",TH!O419="1111")),TH!D419,""),"")</f>
        <v/>
      </c>
      <c r="B419" s="63">
        <f t="shared" si="41"/>
        <v>3</v>
      </c>
      <c r="C419" s="316">
        <v>42431</v>
      </c>
      <c r="D419" s="1124" t="s">
        <v>674</v>
      </c>
      <c r="E419" s="1124">
        <v>42431</v>
      </c>
      <c r="F419" s="317" t="s">
        <v>649</v>
      </c>
      <c r="G419" s="994" t="s">
        <v>1173</v>
      </c>
      <c r="H419" s="959" t="s">
        <v>620</v>
      </c>
      <c r="I419" s="435"/>
      <c r="J419" s="435"/>
      <c r="K419" s="426"/>
      <c r="L419" s="435"/>
      <c r="M419" s="81">
        <v>1574250</v>
      </c>
      <c r="N419" s="1118" t="s">
        <v>9</v>
      </c>
      <c r="O419" s="82" t="s">
        <v>8</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x</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c r="AE419" s="1136" t="str">
        <f t="shared" si="46"/>
        <v>x</v>
      </c>
    </row>
    <row r="420" spans="1:31" ht="15.75" customHeight="1">
      <c r="A420" s="334" t="str">
        <f>IF(B420&lt;&gt;"",IF(AND(B420='IN-TC'!$S$4,OR(TH!N420="1111",TH!O420="1111")),TH!D420,""),"")</f>
        <v/>
      </c>
      <c r="B420" s="63">
        <f t="shared" si="41"/>
        <v>3</v>
      </c>
      <c r="C420" s="316">
        <v>42437</v>
      </c>
      <c r="D420" s="1124" t="s">
        <v>675</v>
      </c>
      <c r="E420" s="1124">
        <v>42437</v>
      </c>
      <c r="F420" s="317" t="s">
        <v>348</v>
      </c>
      <c r="G420" s="994" t="s">
        <v>655</v>
      </c>
      <c r="H420" s="959" t="s">
        <v>672</v>
      </c>
      <c r="I420" s="435">
        <v>1000</v>
      </c>
      <c r="J420" s="435">
        <v>14095.237999999999</v>
      </c>
      <c r="K420" s="426"/>
      <c r="L420" s="435"/>
      <c r="M420" s="81">
        <v>14095238</v>
      </c>
      <c r="N420" s="1118" t="s">
        <v>276</v>
      </c>
      <c r="O420" s="82" t="s">
        <v>8</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x</v>
      </c>
      <c r="AD420" s="82" t="str">
        <f>IF(AND(N420="1521",MONTH(C420)='BK-NL'!$M$11),"x","")</f>
        <v/>
      </c>
      <c r="AE420" s="1136" t="str">
        <f t="shared" si="46"/>
        <v>x</v>
      </c>
    </row>
    <row r="421" spans="1:31" ht="15.75" customHeight="1">
      <c r="A421" s="334" t="str">
        <f>IF(B421&lt;&gt;"",IF(AND(B421='IN-TC'!$S$4,OR(TH!N421="1111",TH!O421="1111")),TH!D421,""),"")</f>
        <v/>
      </c>
      <c r="B421" s="63">
        <f t="shared" si="41"/>
        <v>3</v>
      </c>
      <c r="C421" s="316">
        <v>42437</v>
      </c>
      <c r="D421" s="1124" t="s">
        <v>675</v>
      </c>
      <c r="E421" s="1124">
        <v>42437</v>
      </c>
      <c r="F421" s="317" t="s">
        <v>646</v>
      </c>
      <c r="G421" s="994" t="s">
        <v>655</v>
      </c>
      <c r="H421" s="959" t="s">
        <v>672</v>
      </c>
      <c r="I421" s="435"/>
      <c r="J421" s="435"/>
      <c r="K421" s="426"/>
      <c r="L421" s="435"/>
      <c r="M421" s="81">
        <v>704762</v>
      </c>
      <c r="N421" s="1118" t="s">
        <v>9</v>
      </c>
      <c r="O421" s="82" t="s">
        <v>8</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x</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c r="AE421" s="1136" t="str">
        <f t="shared" si="46"/>
        <v>x</v>
      </c>
    </row>
    <row r="422" spans="1:31" ht="15.75" customHeight="1">
      <c r="A422" s="334" t="str">
        <f>IF(B422&lt;&gt;"",IF(AND(B422='IN-TC'!$S$4,OR(TH!N422="1111",TH!O422="1111")),TH!D422,""),"")</f>
        <v/>
      </c>
      <c r="B422" s="63">
        <f t="shared" si="41"/>
        <v>3</v>
      </c>
      <c r="C422" s="316">
        <v>42446</v>
      </c>
      <c r="D422" s="1124" t="s">
        <v>676</v>
      </c>
      <c r="E422" s="1124">
        <v>42446</v>
      </c>
      <c r="F422" s="317" t="s">
        <v>359</v>
      </c>
      <c r="G422" s="994" t="s">
        <v>1134</v>
      </c>
      <c r="H422" s="959" t="s">
        <v>616</v>
      </c>
      <c r="I422" s="435">
        <v>600</v>
      </c>
      <c r="J422" s="435">
        <v>8500</v>
      </c>
      <c r="K422" s="426"/>
      <c r="L422" s="435"/>
      <c r="M422" s="81">
        <v>5100000</v>
      </c>
      <c r="N422" s="1118" t="s">
        <v>276</v>
      </c>
      <c r="O422" s="82" t="s">
        <v>8</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c r="AE422" s="1136" t="str">
        <f t="shared" si="46"/>
        <v>x</v>
      </c>
    </row>
    <row r="423" spans="1:31" ht="15.75" customHeight="1">
      <c r="A423" s="334" t="str">
        <f>IF(B423&lt;&gt;"",IF(AND(B423='IN-TC'!$S$4,OR(TH!N423="1111",TH!O423="1111")),TH!D423,""),"")</f>
        <v/>
      </c>
      <c r="B423" s="63">
        <f t="shared" si="41"/>
        <v>3</v>
      </c>
      <c r="C423" s="316">
        <v>42446</v>
      </c>
      <c r="D423" s="1124" t="s">
        <v>676</v>
      </c>
      <c r="E423" s="1124">
        <v>42446</v>
      </c>
      <c r="F423" s="317" t="s">
        <v>1174</v>
      </c>
      <c r="G423" s="994" t="s">
        <v>1134</v>
      </c>
      <c r="H423" s="959" t="s">
        <v>616</v>
      </c>
      <c r="I423" s="435"/>
      <c r="J423" s="435"/>
      <c r="K423" s="426"/>
      <c r="L423" s="435"/>
      <c r="M423" s="81">
        <v>510000</v>
      </c>
      <c r="N423" s="1118" t="s">
        <v>9</v>
      </c>
      <c r="O423" s="82" t="s">
        <v>8</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x</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c r="AE423" s="1136" t="str">
        <f t="shared" si="46"/>
        <v>x</v>
      </c>
    </row>
    <row r="424" spans="1:31" ht="15.75" customHeight="1">
      <c r="A424" s="334" t="str">
        <f>IF(B424&lt;&gt;"",IF(AND(B424='IN-TC'!$S$4,OR(TH!N424="1111",TH!O424="1111")),TH!D424,""),"")</f>
        <v/>
      </c>
      <c r="B424" s="63">
        <f t="shared" si="41"/>
        <v>3</v>
      </c>
      <c r="C424" s="316">
        <v>42457</v>
      </c>
      <c r="D424" s="1124" t="s">
        <v>677</v>
      </c>
      <c r="E424" s="1124">
        <v>42457</v>
      </c>
      <c r="F424" s="317" t="s">
        <v>348</v>
      </c>
      <c r="G424" s="994" t="s">
        <v>1343</v>
      </c>
      <c r="H424" s="959" t="s">
        <v>672</v>
      </c>
      <c r="I424" s="435">
        <v>1000</v>
      </c>
      <c r="J424" s="435">
        <v>14095.237999999999</v>
      </c>
      <c r="K424" s="426"/>
      <c r="L424" s="435"/>
      <c r="M424" s="81">
        <v>14095238</v>
      </c>
      <c r="N424" s="1118" t="s">
        <v>276</v>
      </c>
      <c r="O424" s="82" t="s">
        <v>8</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x</v>
      </c>
      <c r="AD424" s="82" t="str">
        <f>IF(AND(N424="1521",MONTH(C424)='BK-NL'!$M$11),"x","")</f>
        <v/>
      </c>
      <c r="AE424" s="1136" t="str">
        <f t="shared" si="46"/>
        <v>x</v>
      </c>
    </row>
    <row r="425" spans="1:31" ht="15.75" customHeight="1">
      <c r="A425" s="334" t="str">
        <f>IF(B425&lt;&gt;"",IF(AND(B425='IN-TC'!$S$4,OR(TH!N425="1111",TH!O425="1111")),TH!D425,""),"")</f>
        <v/>
      </c>
      <c r="B425" s="63">
        <f t="shared" si="41"/>
        <v>3</v>
      </c>
      <c r="C425" s="316">
        <v>42457</v>
      </c>
      <c r="D425" s="1124" t="s">
        <v>677</v>
      </c>
      <c r="E425" s="1124">
        <v>42457</v>
      </c>
      <c r="F425" s="317" t="s">
        <v>646</v>
      </c>
      <c r="G425" s="994" t="s">
        <v>1343</v>
      </c>
      <c r="H425" s="959" t="s">
        <v>672</v>
      </c>
      <c r="I425" s="435"/>
      <c r="J425" s="435"/>
      <c r="K425" s="426"/>
      <c r="L425" s="435"/>
      <c r="M425" s="81">
        <v>704762</v>
      </c>
      <c r="N425" s="1118" t="s">
        <v>9</v>
      </c>
      <c r="O425" s="82" t="s">
        <v>8</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x</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c r="AE425" s="1136" t="str">
        <f t="shared" si="46"/>
        <v>x</v>
      </c>
    </row>
    <row r="426" spans="1:31" ht="15.75" customHeight="1">
      <c r="A426" s="334" t="str">
        <f>IF(B426&lt;&gt;"",IF(AND(B426='IN-TC'!$S$4,OR(TH!N426="1111",TH!O426="1111")),TH!D426,""),"")</f>
        <v/>
      </c>
      <c r="B426" s="63">
        <f t="shared" si="41"/>
        <v>3</v>
      </c>
      <c r="C426" s="64">
        <v>42459</v>
      </c>
      <c r="D426" s="1124" t="s">
        <v>678</v>
      </c>
      <c r="E426" s="78">
        <f t="shared" ref="E426:E460" si="47">C426</f>
        <v>42459</v>
      </c>
      <c r="F426" s="67" t="s">
        <v>224</v>
      </c>
      <c r="G426" s="975" t="s">
        <v>1347</v>
      </c>
      <c r="H426" s="959" t="s">
        <v>618</v>
      </c>
      <c r="I426" s="435">
        <v>450</v>
      </c>
      <c r="J426" s="435">
        <v>18414.14</v>
      </c>
      <c r="K426" s="426"/>
      <c r="L426" s="435"/>
      <c r="M426" s="81">
        <f>ROUND(I426*J426,0)</f>
        <v>8286363</v>
      </c>
      <c r="N426" s="82" t="s">
        <v>276</v>
      </c>
      <c r="O426" s="82" t="s">
        <v>8</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c r="AE426" s="1136" t="str">
        <f t="shared" si="46"/>
        <v>x</v>
      </c>
    </row>
    <row r="427" spans="1:31" ht="15.75" customHeight="1">
      <c r="A427" s="334" t="str">
        <f>IF(B427&lt;&gt;"",IF(AND(B427='IN-TC'!$S$4,OR(TH!N427="1111",TH!O427="1111")),TH!D427,""),"")</f>
        <v/>
      </c>
      <c r="B427" s="63">
        <f t="shared" si="41"/>
        <v>3</v>
      </c>
      <c r="C427" s="64">
        <v>42459</v>
      </c>
      <c r="D427" s="1124" t="s">
        <v>678</v>
      </c>
      <c r="E427" s="78">
        <f t="shared" si="47"/>
        <v>42459</v>
      </c>
      <c r="F427" s="67" t="s">
        <v>1348</v>
      </c>
      <c r="G427" s="975" t="s">
        <v>1347</v>
      </c>
      <c r="H427" s="959" t="s">
        <v>618</v>
      </c>
      <c r="I427" s="435"/>
      <c r="J427" s="435"/>
      <c r="K427" s="426"/>
      <c r="L427" s="435"/>
      <c r="M427" s="81">
        <v>828636</v>
      </c>
      <c r="N427" s="82" t="s">
        <v>9</v>
      </c>
      <c r="O427" s="82" t="s">
        <v>8</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x</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c r="AE427" s="1136" t="str">
        <f t="shared" si="46"/>
        <v>x</v>
      </c>
    </row>
    <row r="428" spans="1:31" s="339" customFormat="1" ht="15.75" customHeight="1">
      <c r="A428" s="334" t="str">
        <f>IF(B428&lt;&gt;"",IF(AND(B428='IN-TC'!$S$4,OR(TH!N428="1111",TH!O428="1111")),TH!D428,""),"")</f>
        <v/>
      </c>
      <c r="B428" s="63">
        <f t="shared" si="41"/>
        <v>3</v>
      </c>
      <c r="C428" s="64">
        <v>42431</v>
      </c>
      <c r="D428" s="64" t="s">
        <v>683</v>
      </c>
      <c r="E428" s="64">
        <f t="shared" si="47"/>
        <v>42431</v>
      </c>
      <c r="F428" s="67" t="s">
        <v>339</v>
      </c>
      <c r="G428" s="972"/>
      <c r="H428" s="72" t="s">
        <v>446</v>
      </c>
      <c r="I428" s="437">
        <v>50</v>
      </c>
      <c r="J428" s="437">
        <v>35444.444444444445</v>
      </c>
      <c r="K428" s="428"/>
      <c r="L428" s="437"/>
      <c r="M428" s="65">
        <f t="shared" ref="M428:M440" si="48">ROUND(I428*J428,0)</f>
        <v>1772222</v>
      </c>
      <c r="N428" s="66" t="s">
        <v>282</v>
      </c>
      <c r="O428" s="66" t="s">
        <v>276</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1" s="339" customFormat="1" ht="15.75" customHeight="1">
      <c r="A429" s="334" t="str">
        <f>IF(B429&lt;&gt;"",IF(AND(B429='IN-TC'!$S$4,OR(TH!N429="1111",TH!O429="1111")),TH!D429,""),"")</f>
        <v/>
      </c>
      <c r="B429" s="63">
        <f t="shared" si="41"/>
        <v>3</v>
      </c>
      <c r="C429" s="64">
        <v>42431</v>
      </c>
      <c r="D429" s="64" t="s">
        <v>683</v>
      </c>
      <c r="E429" s="64">
        <f t="shared" si="47"/>
        <v>42431</v>
      </c>
      <c r="F429" s="67" t="s">
        <v>345</v>
      </c>
      <c r="G429" s="972"/>
      <c r="H429" s="72" t="s">
        <v>446</v>
      </c>
      <c r="I429" s="437">
        <v>20</v>
      </c>
      <c r="J429" s="437">
        <v>46741.2</v>
      </c>
      <c r="K429" s="428"/>
      <c r="L429" s="437"/>
      <c r="M429" s="65">
        <f t="shared" si="48"/>
        <v>934824</v>
      </c>
      <c r="N429" s="66" t="s">
        <v>282</v>
      </c>
      <c r="O429" s="66" t="s">
        <v>276</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1" s="339" customFormat="1" ht="15.75" customHeight="1">
      <c r="A430" s="334" t="str">
        <f>IF(B430&lt;&gt;"",IF(AND(B430='IN-TC'!$S$4,OR(TH!N430="1111",TH!O430="1111")),TH!D430,""),"")</f>
        <v/>
      </c>
      <c r="B430" s="63">
        <f t="shared" si="41"/>
        <v>3</v>
      </c>
      <c r="C430" s="64">
        <v>42431</v>
      </c>
      <c r="D430" s="64" t="s">
        <v>683</v>
      </c>
      <c r="E430" s="64">
        <f t="shared" si="47"/>
        <v>42431</v>
      </c>
      <c r="F430" s="67" t="s">
        <v>348</v>
      </c>
      <c r="G430" s="67"/>
      <c r="H430" s="72" t="s">
        <v>446</v>
      </c>
      <c r="I430" s="437">
        <v>150</v>
      </c>
      <c r="J430" s="437">
        <v>13571.429</v>
      </c>
      <c r="K430" s="428"/>
      <c r="L430" s="437"/>
      <c r="M430" s="65">
        <f t="shared" si="48"/>
        <v>2035714</v>
      </c>
      <c r="N430" s="66" t="s">
        <v>282</v>
      </c>
      <c r="O430" s="66" t="s">
        <v>276</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x</v>
      </c>
      <c r="AD430" s="82" t="str">
        <f>IF(AND(N430="1521",MONTH(C430)='BK-NL'!$M$11),"x","")</f>
        <v/>
      </c>
    </row>
    <row r="431" spans="1:31" s="339" customFormat="1" ht="15.75" customHeight="1">
      <c r="A431" s="334" t="str">
        <f>IF(B431&lt;&gt;"",IF(AND(B431='IN-TC'!$S$4,OR(TH!N431="1111",TH!O431="1111")),TH!D431,""),"")</f>
        <v/>
      </c>
      <c r="B431" s="63">
        <f t="shared" si="41"/>
        <v>3</v>
      </c>
      <c r="C431" s="64">
        <v>42431</v>
      </c>
      <c r="D431" s="64" t="s">
        <v>683</v>
      </c>
      <c r="E431" s="64">
        <f t="shared" si="47"/>
        <v>42431</v>
      </c>
      <c r="F431" s="67" t="s">
        <v>224</v>
      </c>
      <c r="G431" s="67"/>
      <c r="H431" s="72" t="s">
        <v>446</v>
      </c>
      <c r="I431" s="437">
        <v>200</v>
      </c>
      <c r="J431" s="437">
        <v>21979.791919191921</v>
      </c>
      <c r="K431" s="428"/>
      <c r="L431" s="437"/>
      <c r="M431" s="65">
        <f t="shared" si="48"/>
        <v>4395958</v>
      </c>
      <c r="N431" s="66" t="s">
        <v>282</v>
      </c>
      <c r="O431" s="66" t="s">
        <v>276</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1" s="339" customFormat="1" ht="15.75" customHeight="1">
      <c r="A432" s="334" t="str">
        <f>IF(B432&lt;&gt;"",IF(AND(B432='IN-TC'!$S$4,OR(TH!N432="1111",TH!O432="1111")),TH!D432,""),"")</f>
        <v/>
      </c>
      <c r="B432" s="63">
        <f t="shared" ref="B432:B495" si="49">IF(C432&lt;&gt;"",MONTH(C432),"")</f>
        <v>3</v>
      </c>
      <c r="C432" s="64">
        <v>42431</v>
      </c>
      <c r="D432" s="64" t="s">
        <v>683</v>
      </c>
      <c r="E432" s="64">
        <f t="shared" si="47"/>
        <v>42431</v>
      </c>
      <c r="F432" s="67" t="s">
        <v>353</v>
      </c>
      <c r="G432" s="67"/>
      <c r="H432" s="72" t="s">
        <v>446</v>
      </c>
      <c r="I432" s="437">
        <v>50</v>
      </c>
      <c r="J432" s="437">
        <v>3500</v>
      </c>
      <c r="K432" s="428"/>
      <c r="L432" s="437"/>
      <c r="M432" s="65">
        <f t="shared" si="48"/>
        <v>175000</v>
      </c>
      <c r="N432" s="66" t="s">
        <v>282</v>
      </c>
      <c r="O432" s="66" t="s">
        <v>276</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1" s="339" customFormat="1" ht="15.75" customHeight="1">
      <c r="A433" s="334" t="str">
        <f>IF(B433&lt;&gt;"",IF(AND(B433='IN-TC'!$S$4,OR(TH!N433="1111",TH!O433="1111")),TH!D433,""),"")</f>
        <v/>
      </c>
      <c r="B433" s="63">
        <f t="shared" si="49"/>
        <v>3</v>
      </c>
      <c r="C433" s="64">
        <v>42434</v>
      </c>
      <c r="D433" s="64" t="s">
        <v>684</v>
      </c>
      <c r="E433" s="64">
        <f t="shared" si="47"/>
        <v>42434</v>
      </c>
      <c r="F433" s="67" t="s">
        <v>356</v>
      </c>
      <c r="G433" s="67"/>
      <c r="H433" s="72" t="s">
        <v>446</v>
      </c>
      <c r="I433" s="437">
        <v>2160</v>
      </c>
      <c r="J433" s="437">
        <v>14900</v>
      </c>
      <c r="K433" s="428"/>
      <c r="L433" s="437"/>
      <c r="M433" s="65">
        <f t="shared" si="48"/>
        <v>32184000</v>
      </c>
      <c r="N433" s="66" t="s">
        <v>282</v>
      </c>
      <c r="O433" s="66" t="s">
        <v>276</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1" s="339" customFormat="1" ht="15.75" customHeight="1">
      <c r="A434" s="334" t="str">
        <f>IF(B434&lt;&gt;"",IF(AND(B434='IN-TC'!$S$4,OR(TH!N434="1111",TH!O434="1111")),TH!D434,""),"")</f>
        <v/>
      </c>
      <c r="B434" s="63">
        <f t="shared" si="49"/>
        <v>3</v>
      </c>
      <c r="C434" s="64">
        <v>42434</v>
      </c>
      <c r="D434" s="64" t="s">
        <v>684</v>
      </c>
      <c r="E434" s="64">
        <f t="shared" si="47"/>
        <v>42434</v>
      </c>
      <c r="F434" s="67" t="s">
        <v>359</v>
      </c>
      <c r="G434" s="67"/>
      <c r="H434" s="72" t="s">
        <v>446</v>
      </c>
      <c r="I434" s="437">
        <v>250</v>
      </c>
      <c r="J434" s="437">
        <v>8500</v>
      </c>
      <c r="K434" s="428"/>
      <c r="L434" s="437"/>
      <c r="M434" s="65">
        <f t="shared" si="48"/>
        <v>2125000</v>
      </c>
      <c r="N434" s="66" t="s">
        <v>282</v>
      </c>
      <c r="O434" s="66" t="s">
        <v>276</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1" s="339" customFormat="1" ht="15.75" customHeight="1">
      <c r="A435" s="334" t="str">
        <f>IF(B435&lt;&gt;"",IF(AND(B435='IN-TC'!$S$4,OR(TH!N435="1111",TH!O435="1111")),TH!D435,""),"")</f>
        <v/>
      </c>
      <c r="B435" s="63">
        <f t="shared" si="49"/>
        <v>3</v>
      </c>
      <c r="C435" s="64">
        <v>42434</v>
      </c>
      <c r="D435" s="64" t="s">
        <v>684</v>
      </c>
      <c r="E435" s="64">
        <f t="shared" si="47"/>
        <v>42434</v>
      </c>
      <c r="F435" s="67" t="s">
        <v>363</v>
      </c>
      <c r="G435" s="67"/>
      <c r="H435" s="72" t="s">
        <v>446</v>
      </c>
      <c r="I435" s="439">
        <v>150</v>
      </c>
      <c r="J435" s="439">
        <v>33000</v>
      </c>
      <c r="K435" s="430"/>
      <c r="L435" s="439"/>
      <c r="M435" s="65">
        <f t="shared" si="48"/>
        <v>4950000</v>
      </c>
      <c r="N435" s="66" t="s">
        <v>282</v>
      </c>
      <c r="O435" s="66" t="s">
        <v>276</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1" s="339" customFormat="1" ht="15.75" customHeight="1">
      <c r="A436" s="334" t="str">
        <f>IF(B436&lt;&gt;"",IF(AND(B436='IN-TC'!$S$4,OR(TH!N436="1111",TH!O436="1111")),TH!D436,""),"")</f>
        <v/>
      </c>
      <c r="B436" s="63">
        <f t="shared" si="49"/>
        <v>3</v>
      </c>
      <c r="C436" s="64">
        <v>42439</v>
      </c>
      <c r="D436" s="64" t="s">
        <v>685</v>
      </c>
      <c r="E436" s="64">
        <f t="shared" si="47"/>
        <v>42439</v>
      </c>
      <c r="F436" s="67" t="s">
        <v>390</v>
      </c>
      <c r="G436" s="67"/>
      <c r="H436" s="72" t="s">
        <v>446</v>
      </c>
      <c r="I436" s="439">
        <v>922</v>
      </c>
      <c r="J436" s="439">
        <v>12000</v>
      </c>
      <c r="K436" s="430"/>
      <c r="L436" s="439"/>
      <c r="M436" s="65">
        <f t="shared" si="48"/>
        <v>11064000</v>
      </c>
      <c r="N436" s="66" t="s">
        <v>282</v>
      </c>
      <c r="O436" s="66" t="s">
        <v>276</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1" s="339" customFormat="1" ht="15.75" customHeight="1">
      <c r="A437" s="334" t="str">
        <f>IF(B437&lt;&gt;"",IF(AND(B437='IN-TC'!$S$4,OR(TH!N437="1111",TH!O437="1111")),TH!D437,""),"")</f>
        <v/>
      </c>
      <c r="B437" s="63">
        <f t="shared" si="49"/>
        <v>3</v>
      </c>
      <c r="C437" s="64">
        <v>42439</v>
      </c>
      <c r="D437" s="64" t="s">
        <v>685</v>
      </c>
      <c r="E437" s="64">
        <f t="shared" si="47"/>
        <v>42439</v>
      </c>
      <c r="F437" s="67" t="s">
        <v>392</v>
      </c>
      <c r="G437" s="67"/>
      <c r="H437" s="72" t="s">
        <v>446</v>
      </c>
      <c r="I437" s="439">
        <v>375</v>
      </c>
      <c r="J437" s="439">
        <v>9500</v>
      </c>
      <c r="K437" s="430"/>
      <c r="L437" s="439"/>
      <c r="M437" s="65">
        <f t="shared" si="48"/>
        <v>3562500</v>
      </c>
      <c r="N437" s="66" t="s">
        <v>282</v>
      </c>
      <c r="O437" s="66" t="s">
        <v>276</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1" s="339" customFormat="1" ht="15.75" customHeight="1">
      <c r="A438" s="334" t="str">
        <f>IF(B438&lt;&gt;"",IF(AND(B438='IN-TC'!$S$4,OR(TH!N438="1111",TH!O438="1111")),TH!D438,""),"")</f>
        <v/>
      </c>
      <c r="B438" s="63">
        <f t="shared" si="49"/>
        <v>3</v>
      </c>
      <c r="C438" s="64">
        <v>42459</v>
      </c>
      <c r="D438" s="64" t="s">
        <v>686</v>
      </c>
      <c r="E438" s="64">
        <f t="shared" si="47"/>
        <v>42459</v>
      </c>
      <c r="F438" s="67" t="s">
        <v>384</v>
      </c>
      <c r="G438" s="67"/>
      <c r="H438" s="72" t="s">
        <v>446</v>
      </c>
      <c r="I438" s="439">
        <v>2700</v>
      </c>
      <c r="J438" s="439">
        <v>4466.322284402353</v>
      </c>
      <c r="K438" s="430"/>
      <c r="L438" s="439"/>
      <c r="M438" s="65">
        <f t="shared" si="48"/>
        <v>12059070</v>
      </c>
      <c r="N438" s="66" t="s">
        <v>282</v>
      </c>
      <c r="O438" s="66" t="s">
        <v>276</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1" ht="15.75" customHeight="1">
      <c r="A439" s="334" t="str">
        <f>IF(B439&lt;&gt;"",IF(AND(B439='IN-TC'!$S$4,OR(TH!N439="1111",TH!O439="1111")),TH!D439,""),"")</f>
        <v/>
      </c>
      <c r="B439" s="63">
        <f t="shared" si="49"/>
        <v>4</v>
      </c>
      <c r="C439" s="64">
        <v>42461</v>
      </c>
      <c r="D439" s="1124" t="s">
        <v>674</v>
      </c>
      <c r="E439" s="78">
        <f t="shared" si="47"/>
        <v>42461</v>
      </c>
      <c r="F439" s="72" t="s">
        <v>353</v>
      </c>
      <c r="G439" s="975" t="s">
        <v>1398</v>
      </c>
      <c r="H439" s="959" t="s">
        <v>619</v>
      </c>
      <c r="I439" s="435">
        <v>2000</v>
      </c>
      <c r="J439" s="435">
        <v>3200</v>
      </c>
      <c r="K439" s="426"/>
      <c r="L439" s="435"/>
      <c r="M439" s="81">
        <f t="shared" si="48"/>
        <v>6400000</v>
      </c>
      <c r="N439" s="82" t="s">
        <v>276</v>
      </c>
      <c r="O439" s="82" t="s">
        <v>8</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c r="AE439" s="1136" t="str">
        <f t="shared" ref="AE439:AE451" si="50">IF(H439&lt;&gt;VLOOKUP(H439,DSKH,1,0),"","x")</f>
        <v>x</v>
      </c>
    </row>
    <row r="440" spans="1:31" ht="15.75" customHeight="1">
      <c r="A440" s="334" t="str">
        <f>IF(B440&lt;&gt;"",IF(AND(B440='IN-TC'!$S$4,OR(TH!N440="1111",TH!O440="1111")),TH!D440,""),"")</f>
        <v/>
      </c>
      <c r="B440" s="63">
        <f t="shared" si="49"/>
        <v>4</v>
      </c>
      <c r="C440" s="64">
        <v>42467</v>
      </c>
      <c r="D440" s="1124" t="s">
        <v>675</v>
      </c>
      <c r="E440" s="78">
        <f t="shared" si="47"/>
        <v>42467</v>
      </c>
      <c r="F440" s="72" t="s">
        <v>650</v>
      </c>
      <c r="G440" s="975" t="s">
        <v>1399</v>
      </c>
      <c r="H440" s="80" t="s">
        <v>1416</v>
      </c>
      <c r="I440" s="435">
        <v>4500</v>
      </c>
      <c r="J440" s="435">
        <v>14000</v>
      </c>
      <c r="K440" s="426"/>
      <c r="L440" s="435"/>
      <c r="M440" s="81">
        <f t="shared" si="48"/>
        <v>63000000</v>
      </c>
      <c r="N440" s="82" t="s">
        <v>276</v>
      </c>
      <c r="O440" s="82" t="s">
        <v>8</v>
      </c>
      <c r="P440" s="82" t="str">
        <f>IF(AND('331-CT'!$E$7=TH!H440,OR(N440="331",O440="331")),"x","")</f>
        <v>x</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x</v>
      </c>
      <c r="AC440" s="82" t="str">
        <f>IF(AND(OR(LEFT(TH!N440,2)="15",LEFT(TH!O440,2)="15"),TK!$E$7=TH!F440),"x","")</f>
        <v/>
      </c>
      <c r="AD440" s="82" t="str">
        <f>IF(AND(N440="1521",MONTH(C440)='BK-NL'!$M$11),"x","")</f>
        <v/>
      </c>
      <c r="AE440" s="1136" t="str">
        <f t="shared" si="50"/>
        <v>x</v>
      </c>
    </row>
    <row r="441" spans="1:31" ht="15.75" customHeight="1">
      <c r="A441" s="334" t="str">
        <f>IF(B441&lt;&gt;"",IF(AND(B441='IN-TC'!$S$4,OR(TH!N441="1111",TH!O441="1111")),TH!D441,""),"")</f>
        <v/>
      </c>
      <c r="B441" s="63">
        <f t="shared" si="49"/>
        <v>4</v>
      </c>
      <c r="C441" s="64">
        <v>42467</v>
      </c>
      <c r="D441" s="1124" t="s">
        <v>675</v>
      </c>
      <c r="E441" s="78">
        <f t="shared" si="47"/>
        <v>42467</v>
      </c>
      <c r="F441" s="72" t="s">
        <v>651</v>
      </c>
      <c r="G441" s="975" t="s">
        <v>1399</v>
      </c>
      <c r="H441" s="80" t="s">
        <v>1416</v>
      </c>
      <c r="I441" s="435"/>
      <c r="J441" s="435"/>
      <c r="K441" s="426"/>
      <c r="L441" s="435"/>
      <c r="M441" s="81">
        <v>6300000</v>
      </c>
      <c r="N441" s="82" t="s">
        <v>9</v>
      </c>
      <c r="O441" s="82" t="s">
        <v>8</v>
      </c>
      <c r="P441" s="82" t="str">
        <f>IF(AND('331-CT'!$E$7=TH!H441,OR(N441="331",O441="331")),"x","")</f>
        <v>x</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x</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c r="AE441" s="1136" t="str">
        <f t="shared" si="50"/>
        <v>x</v>
      </c>
    </row>
    <row r="442" spans="1:31" ht="15.75" customHeight="1">
      <c r="A442" s="334" t="str">
        <f>IF(B442&lt;&gt;"",IF(AND(B442='IN-TC'!$S$4,OR(TH!N442="1111",TH!O442="1111")),TH!D442,""),"")</f>
        <v/>
      </c>
      <c r="B442" s="63">
        <f t="shared" si="49"/>
        <v>4</v>
      </c>
      <c r="C442" s="64">
        <v>42468</v>
      </c>
      <c r="D442" s="1124" t="s">
        <v>676</v>
      </c>
      <c r="E442" s="78">
        <f t="shared" si="47"/>
        <v>42468</v>
      </c>
      <c r="F442" s="67" t="s">
        <v>401</v>
      </c>
      <c r="G442" s="975" t="s">
        <v>1400</v>
      </c>
      <c r="H442" s="959" t="s">
        <v>620</v>
      </c>
      <c r="I442" s="435">
        <v>1250</v>
      </c>
      <c r="J442" s="435">
        <v>18000</v>
      </c>
      <c r="K442" s="426"/>
      <c r="L442" s="435"/>
      <c r="M442" s="81">
        <f>ROUND(I442*J442,0)</f>
        <v>22500000</v>
      </c>
      <c r="N442" s="82" t="s">
        <v>276</v>
      </c>
      <c r="O442" s="82" t="s">
        <v>8</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c r="AE442" s="1136" t="str">
        <f t="shared" si="50"/>
        <v>x</v>
      </c>
    </row>
    <row r="443" spans="1:31" ht="15.75" customHeight="1">
      <c r="A443" s="334" t="str">
        <f>IF(B443&lt;&gt;"",IF(AND(B443='IN-TC'!$S$4,OR(TH!N443="1111",TH!O443="1111")),TH!D443,""),"")</f>
        <v/>
      </c>
      <c r="B443" s="63">
        <f t="shared" si="49"/>
        <v>4</v>
      </c>
      <c r="C443" s="64">
        <v>42468</v>
      </c>
      <c r="D443" s="1124" t="s">
        <v>676</v>
      </c>
      <c r="E443" s="78">
        <f t="shared" si="47"/>
        <v>42468</v>
      </c>
      <c r="F443" s="72" t="s">
        <v>1401</v>
      </c>
      <c r="G443" s="975" t="s">
        <v>1400</v>
      </c>
      <c r="H443" s="959" t="s">
        <v>620</v>
      </c>
      <c r="I443" s="435"/>
      <c r="J443" s="435"/>
      <c r="K443" s="426"/>
      <c r="L443" s="435"/>
      <c r="M443" s="81">
        <v>2250000</v>
      </c>
      <c r="N443" s="82" t="s">
        <v>9</v>
      </c>
      <c r="O443" s="82" t="s">
        <v>8</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x</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c r="AE443" s="1136" t="str">
        <f t="shared" si="50"/>
        <v>x</v>
      </c>
    </row>
    <row r="444" spans="1:31" ht="15.75" customHeight="1">
      <c r="A444" s="334" t="str">
        <f>IF(B444&lt;&gt;"",IF(AND(B444='IN-TC'!$S$4,OR(TH!N444="1111",TH!O444="1111")),TH!D444,""),"")</f>
        <v/>
      </c>
      <c r="B444" s="63">
        <f t="shared" si="49"/>
        <v>4</v>
      </c>
      <c r="C444" s="64">
        <v>42471</v>
      </c>
      <c r="D444" s="1124" t="s">
        <v>677</v>
      </c>
      <c r="E444" s="78">
        <f t="shared" si="47"/>
        <v>42471</v>
      </c>
      <c r="F444" s="72" t="s">
        <v>1402</v>
      </c>
      <c r="G444" s="975" t="s">
        <v>1403</v>
      </c>
      <c r="H444" s="959" t="s">
        <v>1404</v>
      </c>
      <c r="I444" s="435">
        <v>100</v>
      </c>
      <c r="J444" s="435">
        <v>12728</v>
      </c>
      <c r="K444" s="426"/>
      <c r="L444" s="435"/>
      <c r="M444" s="81">
        <f>ROUND(I444*J444,0)</f>
        <v>1272800</v>
      </c>
      <c r="N444" s="82" t="s">
        <v>276</v>
      </c>
      <c r="O444" s="82" t="s">
        <v>8</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c r="AE444" s="1136" t="str">
        <f t="shared" si="50"/>
        <v>x</v>
      </c>
    </row>
    <row r="445" spans="1:31" ht="15.75" customHeight="1">
      <c r="A445" s="334" t="str">
        <f>IF(B445&lt;&gt;"",IF(AND(B445='IN-TC'!$S$4,OR(TH!N445="1111",TH!O445="1111")),TH!D445,""),"")</f>
        <v/>
      </c>
      <c r="B445" s="63">
        <f t="shared" si="49"/>
        <v>4</v>
      </c>
      <c r="C445" s="64">
        <v>42471</v>
      </c>
      <c r="D445" s="1124" t="s">
        <v>677</v>
      </c>
      <c r="E445" s="78">
        <f t="shared" si="47"/>
        <v>42471</v>
      </c>
      <c r="F445" s="72" t="s">
        <v>1405</v>
      </c>
      <c r="G445" s="975" t="s">
        <v>1403</v>
      </c>
      <c r="H445" s="959" t="s">
        <v>1404</v>
      </c>
      <c r="I445" s="435"/>
      <c r="J445" s="435"/>
      <c r="K445" s="426"/>
      <c r="L445" s="435"/>
      <c r="M445" s="81">
        <v>127280</v>
      </c>
      <c r="N445" s="82" t="s">
        <v>9</v>
      </c>
      <c r="O445" s="82" t="s">
        <v>8</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x</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c r="AE445" s="1136" t="str">
        <f t="shared" si="50"/>
        <v>x</v>
      </c>
    </row>
    <row r="446" spans="1:31" ht="15.75" customHeight="1">
      <c r="A446" s="334" t="str">
        <f>IF(B446&lt;&gt;"",IF(AND(B446='IN-TC'!$S$4,OR(TH!N446="1111",TH!O446="1111")),TH!D446,""),"")</f>
        <v/>
      </c>
      <c r="B446" s="63">
        <f t="shared" si="49"/>
        <v>4</v>
      </c>
      <c r="C446" s="64">
        <v>42471</v>
      </c>
      <c r="D446" s="1124" t="s">
        <v>678</v>
      </c>
      <c r="E446" s="78">
        <f t="shared" si="47"/>
        <v>42471</v>
      </c>
      <c r="F446" s="72" t="s">
        <v>356</v>
      </c>
      <c r="G446" s="975" t="s">
        <v>1406</v>
      </c>
      <c r="H446" s="80" t="s">
        <v>623</v>
      </c>
      <c r="I446" s="435">
        <v>6750</v>
      </c>
      <c r="J446" s="435">
        <v>14728</v>
      </c>
      <c r="K446" s="426"/>
      <c r="L446" s="435"/>
      <c r="M446" s="81">
        <f>ROUND(I446*J446,0)</f>
        <v>99414000</v>
      </c>
      <c r="N446" s="82" t="s">
        <v>276</v>
      </c>
      <c r="O446" s="82" t="s">
        <v>8</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c r="AE446" s="1136" t="str">
        <f t="shared" si="50"/>
        <v>x</v>
      </c>
    </row>
    <row r="447" spans="1:31" ht="15.75" customHeight="1">
      <c r="A447" s="334" t="str">
        <f>IF(B447&lt;&gt;"",IF(AND(B447='IN-TC'!$S$4,OR(TH!N447="1111",TH!O447="1111")),TH!D447,""),"")</f>
        <v/>
      </c>
      <c r="B447" s="63">
        <f t="shared" si="49"/>
        <v>4</v>
      </c>
      <c r="C447" s="64">
        <v>42471</v>
      </c>
      <c r="D447" s="1124" t="s">
        <v>678</v>
      </c>
      <c r="E447" s="78">
        <f t="shared" si="47"/>
        <v>42471</v>
      </c>
      <c r="F447" s="72" t="s">
        <v>1407</v>
      </c>
      <c r="G447" s="975" t="s">
        <v>1406</v>
      </c>
      <c r="H447" s="80" t="s">
        <v>623</v>
      </c>
      <c r="I447" s="435"/>
      <c r="J447" s="435"/>
      <c r="K447" s="426"/>
      <c r="L447" s="435"/>
      <c r="M447" s="81">
        <v>9941400</v>
      </c>
      <c r="N447" s="82" t="s">
        <v>9</v>
      </c>
      <c r="O447" s="82" t="s">
        <v>8</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x</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c r="AE447" s="1136" t="str">
        <f t="shared" si="50"/>
        <v>x</v>
      </c>
    </row>
    <row r="448" spans="1:31" s="349" customFormat="1" ht="15.75" customHeight="1">
      <c r="A448" s="334" t="str">
        <f>IF(B448&lt;&gt;"",IF(AND(B448='IN-TC'!$S$4,OR(TH!N448="1111",TH!O448="1111")),TH!D448,""),"")</f>
        <v/>
      </c>
      <c r="B448" s="63">
        <f t="shared" si="49"/>
        <v>4</v>
      </c>
      <c r="C448" s="64">
        <v>42486</v>
      </c>
      <c r="D448" s="78" t="s">
        <v>679</v>
      </c>
      <c r="E448" s="78">
        <f t="shared" si="47"/>
        <v>42486</v>
      </c>
      <c r="F448" s="72" t="s">
        <v>650</v>
      </c>
      <c r="G448" s="975" t="s">
        <v>1415</v>
      </c>
      <c r="H448" s="80" t="s">
        <v>1416</v>
      </c>
      <c r="I448" s="435">
        <v>2000</v>
      </c>
      <c r="J448" s="435">
        <v>14000</v>
      </c>
      <c r="K448" s="426"/>
      <c r="L448" s="435"/>
      <c r="M448" s="81">
        <f>ROUND(I448*J448,0)</f>
        <v>28000000</v>
      </c>
      <c r="N448" s="1118" t="s">
        <v>276</v>
      </c>
      <c r="O448" s="82" t="s">
        <v>8</v>
      </c>
      <c r="P448" s="82" t="str">
        <f>IF(AND('331-CT'!$E$7=TH!H448,OR(N448="331",O448="331")),"x","")</f>
        <v>x</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x</v>
      </c>
      <c r="AC448" s="82" t="str">
        <f>IF(AND(OR(LEFT(TH!N448,2)="15",LEFT(TH!O448,2)="15"),TK!$E$7=TH!F448),"x","")</f>
        <v/>
      </c>
      <c r="AD448" s="82" t="str">
        <f>IF(AND(N448="1521",MONTH(C448)='BK-NL'!$M$11),"x","")</f>
        <v/>
      </c>
      <c r="AE448" s="1136" t="str">
        <f t="shared" si="50"/>
        <v>x</v>
      </c>
    </row>
    <row r="449" spans="1:31" s="349" customFormat="1" ht="15.75" customHeight="1">
      <c r="A449" s="334" t="str">
        <f>IF(B449&lt;&gt;"",IF(AND(B449='IN-TC'!$S$4,OR(TH!N449="1111",TH!O449="1111")),TH!D449,""),"")</f>
        <v/>
      </c>
      <c r="B449" s="63">
        <f t="shared" si="49"/>
        <v>4</v>
      </c>
      <c r="C449" s="64">
        <v>42486</v>
      </c>
      <c r="D449" s="78" t="s">
        <v>679</v>
      </c>
      <c r="E449" s="78">
        <f t="shared" si="47"/>
        <v>42486</v>
      </c>
      <c r="F449" s="72" t="s">
        <v>651</v>
      </c>
      <c r="G449" s="975" t="s">
        <v>1415</v>
      </c>
      <c r="H449" s="80" t="s">
        <v>1416</v>
      </c>
      <c r="I449" s="435"/>
      <c r="J449" s="435"/>
      <c r="K449" s="426"/>
      <c r="L449" s="435"/>
      <c r="M449" s="81">
        <v>2800000</v>
      </c>
      <c r="N449" s="1118" t="s">
        <v>9</v>
      </c>
      <c r="O449" s="82" t="s">
        <v>8</v>
      </c>
      <c r="P449" s="82" t="str">
        <f>IF(AND('331-CT'!$E$7=TH!H449,OR(N449="331",O449="331")),"x","")</f>
        <v>x</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x</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c r="AE449" s="1136" t="str">
        <f t="shared" si="50"/>
        <v>x</v>
      </c>
    </row>
    <row r="450" spans="1:31" s="349" customFormat="1" ht="15.75" customHeight="1">
      <c r="A450" s="334" t="str">
        <f>IF(B450&lt;&gt;"",IF(AND(B450='IN-TC'!$S$4,OR(TH!N450="1111",TH!O450="1111")),TH!D450,""),"")</f>
        <v/>
      </c>
      <c r="B450" s="63">
        <f t="shared" si="49"/>
        <v>4</v>
      </c>
      <c r="C450" s="64">
        <v>42488</v>
      </c>
      <c r="D450" s="78" t="s">
        <v>1434</v>
      </c>
      <c r="E450" s="78">
        <f t="shared" si="47"/>
        <v>42488</v>
      </c>
      <c r="F450" s="67" t="s">
        <v>401</v>
      </c>
      <c r="G450" s="975" t="s">
        <v>1435</v>
      </c>
      <c r="H450" s="80" t="s">
        <v>620</v>
      </c>
      <c r="I450" s="435">
        <v>578</v>
      </c>
      <c r="J450" s="435">
        <v>18000</v>
      </c>
      <c r="K450" s="426"/>
      <c r="L450" s="435"/>
      <c r="M450" s="81">
        <f>ROUND(I450*J450,0)</f>
        <v>10404000</v>
      </c>
      <c r="N450" s="1118" t="s">
        <v>276</v>
      </c>
      <c r="O450" s="82" t="s">
        <v>8</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c r="AE450" s="1136" t="str">
        <f t="shared" si="50"/>
        <v>x</v>
      </c>
    </row>
    <row r="451" spans="1:31" s="349" customFormat="1" ht="15.75" customHeight="1">
      <c r="A451" s="334" t="str">
        <f>IF(B451&lt;&gt;"",IF(AND(B451='IN-TC'!$S$4,OR(TH!N451="1111",TH!O451="1111")),TH!D451,""),"")</f>
        <v/>
      </c>
      <c r="B451" s="63">
        <f t="shared" si="49"/>
        <v>4</v>
      </c>
      <c r="C451" s="64">
        <v>42488</v>
      </c>
      <c r="D451" s="78" t="s">
        <v>1434</v>
      </c>
      <c r="E451" s="78">
        <f t="shared" si="47"/>
        <v>42488</v>
      </c>
      <c r="F451" s="72" t="s">
        <v>1401</v>
      </c>
      <c r="G451" s="975" t="s">
        <v>1435</v>
      </c>
      <c r="H451" s="80" t="s">
        <v>620</v>
      </c>
      <c r="I451" s="435"/>
      <c r="J451" s="435"/>
      <c r="K451" s="426"/>
      <c r="L451" s="435"/>
      <c r="M451" s="81">
        <v>1040400</v>
      </c>
      <c r="N451" s="1118" t="s">
        <v>9</v>
      </c>
      <c r="O451" s="82" t="s">
        <v>8</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x</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c r="AE451" s="1136" t="str">
        <f t="shared" si="50"/>
        <v>x</v>
      </c>
    </row>
    <row r="452" spans="1:31" s="339" customFormat="1" ht="15.75" customHeight="1">
      <c r="A452" s="334" t="str">
        <f>IF(B452&lt;&gt;"",IF(AND(B452='IN-TC'!$S$4,OR(TH!N452="1111",TH!O452="1111")),TH!D452,""),"")</f>
        <v/>
      </c>
      <c r="B452" s="63">
        <f t="shared" si="49"/>
        <v>4</v>
      </c>
      <c r="C452" s="64">
        <v>42461</v>
      </c>
      <c r="D452" s="64" t="s">
        <v>683</v>
      </c>
      <c r="E452" s="64">
        <f t="shared" si="47"/>
        <v>42461</v>
      </c>
      <c r="F452" s="67" t="s">
        <v>339</v>
      </c>
      <c r="G452" s="972"/>
      <c r="H452" s="72" t="s">
        <v>446</v>
      </c>
      <c r="I452" s="437">
        <v>20</v>
      </c>
      <c r="J452" s="437">
        <v>35444.444444444445</v>
      </c>
      <c r="K452" s="428"/>
      <c r="L452" s="437"/>
      <c r="M452" s="65">
        <f t="shared" ref="M452:M466" si="51">ROUND(I452*J452,0)</f>
        <v>708889</v>
      </c>
      <c r="N452" s="66" t="s">
        <v>282</v>
      </c>
      <c r="O452" s="66" t="s">
        <v>276</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1" s="339" customFormat="1" ht="15.75" customHeight="1">
      <c r="A453" s="334" t="str">
        <f>IF(B453&lt;&gt;"",IF(AND(B453='IN-TC'!$S$4,OR(TH!N453="1111",TH!O453="1111")),TH!D453,""),"")</f>
        <v/>
      </c>
      <c r="B453" s="63">
        <f t="shared" si="49"/>
        <v>4</v>
      </c>
      <c r="C453" s="64">
        <v>42461</v>
      </c>
      <c r="D453" s="64" t="s">
        <v>683</v>
      </c>
      <c r="E453" s="64">
        <f t="shared" si="47"/>
        <v>42461</v>
      </c>
      <c r="F453" s="67" t="s">
        <v>345</v>
      </c>
      <c r="G453" s="972"/>
      <c r="H453" s="72" t="s">
        <v>446</v>
      </c>
      <c r="I453" s="437">
        <v>50</v>
      </c>
      <c r="J453" s="437">
        <v>46741.2</v>
      </c>
      <c r="K453" s="428"/>
      <c r="L453" s="437"/>
      <c r="M453" s="65">
        <f t="shared" si="51"/>
        <v>2337060</v>
      </c>
      <c r="N453" s="66" t="s">
        <v>282</v>
      </c>
      <c r="O453" s="66" t="s">
        <v>276</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1" s="339" customFormat="1" ht="15.75" customHeight="1">
      <c r="A454" s="334" t="str">
        <f>IF(B454&lt;&gt;"",IF(AND(B454='IN-TC'!$S$4,OR(TH!N454="1111",TH!O454="1111")),TH!D454,""),"")</f>
        <v/>
      </c>
      <c r="B454" s="63">
        <f t="shared" si="49"/>
        <v>4</v>
      </c>
      <c r="C454" s="64">
        <v>42461</v>
      </c>
      <c r="D454" s="64" t="s">
        <v>683</v>
      </c>
      <c r="E454" s="64">
        <f t="shared" si="47"/>
        <v>42461</v>
      </c>
      <c r="F454" s="67" t="s">
        <v>348</v>
      </c>
      <c r="G454" s="67"/>
      <c r="H454" s="72" t="s">
        <v>446</v>
      </c>
      <c r="I454" s="437">
        <v>250</v>
      </c>
      <c r="J454" s="437">
        <v>13571.429</v>
      </c>
      <c r="K454" s="428"/>
      <c r="L454" s="437"/>
      <c r="M454" s="65">
        <f t="shared" si="51"/>
        <v>3392857</v>
      </c>
      <c r="N454" s="66" t="s">
        <v>282</v>
      </c>
      <c r="O454" s="66" t="s">
        <v>276</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x</v>
      </c>
      <c r="AD454" s="82" t="str">
        <f>IF(AND(N454="1521",MONTH(C454)='BK-NL'!$M$11),"x","")</f>
        <v/>
      </c>
    </row>
    <row r="455" spans="1:31" s="339" customFormat="1" ht="15.75" customHeight="1">
      <c r="A455" s="334" t="str">
        <f>IF(B455&lt;&gt;"",IF(AND(B455='IN-TC'!$S$4,OR(TH!N455="1111",TH!O455="1111")),TH!D455,""),"")</f>
        <v/>
      </c>
      <c r="B455" s="63">
        <f t="shared" si="49"/>
        <v>4</v>
      </c>
      <c r="C455" s="64">
        <v>42461</v>
      </c>
      <c r="D455" s="64" t="s">
        <v>683</v>
      </c>
      <c r="E455" s="64">
        <f t="shared" si="47"/>
        <v>42461</v>
      </c>
      <c r="F455" s="67" t="s">
        <v>224</v>
      </c>
      <c r="G455" s="67"/>
      <c r="H455" s="72" t="s">
        <v>446</v>
      </c>
      <c r="I455" s="437">
        <v>150</v>
      </c>
      <c r="J455" s="437">
        <v>21979.791919191921</v>
      </c>
      <c r="K455" s="428"/>
      <c r="L455" s="437"/>
      <c r="M455" s="65">
        <f t="shared" si="51"/>
        <v>3296969</v>
      </c>
      <c r="N455" s="66" t="s">
        <v>282</v>
      </c>
      <c r="O455" s="66" t="s">
        <v>276</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1" s="339" customFormat="1" ht="15.75" customHeight="1">
      <c r="A456" s="334" t="str">
        <f>IF(B456&lt;&gt;"",IF(AND(B456='IN-TC'!$S$4,OR(TH!N456="1111",TH!O456="1111")),TH!D456,""),"")</f>
        <v/>
      </c>
      <c r="B456" s="63">
        <f t="shared" si="49"/>
        <v>4</v>
      </c>
      <c r="C456" s="64">
        <v>42461</v>
      </c>
      <c r="D456" s="64" t="s">
        <v>683</v>
      </c>
      <c r="E456" s="64">
        <f t="shared" si="47"/>
        <v>42461</v>
      </c>
      <c r="F456" s="67" t="s">
        <v>353</v>
      </c>
      <c r="G456" s="67"/>
      <c r="H456" s="72" t="s">
        <v>446</v>
      </c>
      <c r="I456" s="437">
        <v>1000</v>
      </c>
      <c r="J456" s="437">
        <v>3200</v>
      </c>
      <c r="K456" s="428"/>
      <c r="L456" s="437"/>
      <c r="M456" s="65">
        <f t="shared" si="51"/>
        <v>3200000</v>
      </c>
      <c r="N456" s="66" t="s">
        <v>282</v>
      </c>
      <c r="O456" s="66" t="s">
        <v>276</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1" s="339" customFormat="1" ht="15.75" customHeight="1">
      <c r="A457" s="334" t="str">
        <f>IF(B457&lt;&gt;"",IF(AND(B457='IN-TC'!$S$4,OR(TH!N457="1111",TH!O457="1111")),TH!D457,""),"")</f>
        <v/>
      </c>
      <c r="B457" s="63">
        <f t="shared" si="49"/>
        <v>4</v>
      </c>
      <c r="C457" s="64">
        <v>42470</v>
      </c>
      <c r="D457" s="64" t="s">
        <v>684</v>
      </c>
      <c r="E457" s="64">
        <f t="shared" si="47"/>
        <v>42470</v>
      </c>
      <c r="F457" s="67" t="s">
        <v>359</v>
      </c>
      <c r="G457" s="67"/>
      <c r="H457" s="72" t="s">
        <v>446</v>
      </c>
      <c r="I457" s="437">
        <v>100</v>
      </c>
      <c r="J457" s="437">
        <v>8500</v>
      </c>
      <c r="K457" s="428"/>
      <c r="L457" s="437"/>
      <c r="M457" s="65">
        <f t="shared" si="51"/>
        <v>850000</v>
      </c>
      <c r="N457" s="66" t="s">
        <v>282</v>
      </c>
      <c r="O457" s="66" t="s">
        <v>276</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1" s="339" customFormat="1" ht="15.75" customHeight="1">
      <c r="A458" s="334" t="str">
        <f>IF(B458&lt;&gt;"",IF(AND(B458='IN-TC'!$S$4,OR(TH!N458="1111",TH!O458="1111")),TH!D458,""),"")</f>
        <v/>
      </c>
      <c r="B458" s="63">
        <f t="shared" si="49"/>
        <v>4</v>
      </c>
      <c r="C458" s="64">
        <v>42470</v>
      </c>
      <c r="D458" s="64" t="s">
        <v>684</v>
      </c>
      <c r="E458" s="64">
        <f t="shared" si="47"/>
        <v>42470</v>
      </c>
      <c r="F458" s="67" t="s">
        <v>363</v>
      </c>
      <c r="G458" s="67"/>
      <c r="H458" s="72" t="s">
        <v>446</v>
      </c>
      <c r="I458" s="437">
        <v>50</v>
      </c>
      <c r="J458" s="437">
        <v>33000</v>
      </c>
      <c r="K458" s="428"/>
      <c r="L458" s="437"/>
      <c r="M458" s="65">
        <f t="shared" si="51"/>
        <v>1650000</v>
      </c>
      <c r="N458" s="66" t="s">
        <v>282</v>
      </c>
      <c r="O458" s="66" t="s">
        <v>276</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1" s="339" customFormat="1" ht="15.75" customHeight="1">
      <c r="A459" s="334" t="str">
        <f>IF(B459&lt;&gt;"",IF(AND(B459='IN-TC'!$S$4,OR(TH!N459="1111",TH!O459="1111")),TH!D459,""),"")</f>
        <v/>
      </c>
      <c r="B459" s="63">
        <f t="shared" si="49"/>
        <v>4</v>
      </c>
      <c r="C459" s="64">
        <v>42470</v>
      </c>
      <c r="D459" s="64" t="s">
        <v>684</v>
      </c>
      <c r="E459" s="64">
        <f t="shared" si="47"/>
        <v>42470</v>
      </c>
      <c r="F459" s="67" t="s">
        <v>401</v>
      </c>
      <c r="G459" s="67"/>
      <c r="H459" s="72" t="s">
        <v>446</v>
      </c>
      <c r="I459" s="439">
        <v>1250</v>
      </c>
      <c r="J459" s="439">
        <v>18000</v>
      </c>
      <c r="K459" s="430"/>
      <c r="L459" s="439"/>
      <c r="M459" s="65">
        <f t="shared" si="51"/>
        <v>22500000</v>
      </c>
      <c r="N459" s="66" t="s">
        <v>282</v>
      </c>
      <c r="O459" s="66" t="s">
        <v>276</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1" s="339" customFormat="1" ht="15.75" customHeight="1">
      <c r="A460" s="334" t="str">
        <f>IF(B460&lt;&gt;"",IF(AND(B460='IN-TC'!$S$4,OR(TH!N460="1111",TH!O460="1111")),TH!D460,""),"")</f>
        <v/>
      </c>
      <c r="B460" s="63">
        <f t="shared" si="49"/>
        <v>4</v>
      </c>
      <c r="C460" s="64">
        <v>42470</v>
      </c>
      <c r="D460" s="64" t="s">
        <v>684</v>
      </c>
      <c r="E460" s="64">
        <f t="shared" si="47"/>
        <v>42470</v>
      </c>
      <c r="F460" s="67" t="s">
        <v>650</v>
      </c>
      <c r="G460" s="67"/>
      <c r="H460" s="72" t="s">
        <v>446</v>
      </c>
      <c r="I460" s="439">
        <v>4400</v>
      </c>
      <c r="J460" s="439">
        <v>14000</v>
      </c>
      <c r="K460" s="430"/>
      <c r="L460" s="439"/>
      <c r="M460" s="65">
        <f t="shared" si="51"/>
        <v>61600000</v>
      </c>
      <c r="N460" s="66" t="s">
        <v>282</v>
      </c>
      <c r="O460" s="66" t="s">
        <v>276</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x</v>
      </c>
      <c r="AC460" s="82" t="str">
        <f>IF(AND(OR(LEFT(TH!N460,2)="15",LEFT(TH!O460,2)="15"),TK!$E$7=TH!F460),"x","")</f>
        <v/>
      </c>
      <c r="AD460" s="82" t="str">
        <f>IF(AND(N460="1521",MONTH(C460)='BK-NL'!$M$11),"x","")</f>
        <v/>
      </c>
    </row>
    <row r="461" spans="1:31" ht="15.75" customHeight="1">
      <c r="A461" s="334" t="str">
        <f>IF(B461&lt;&gt;"",IF(AND(B461='IN-TC'!$S$4,OR(TH!N461="1111",TH!O461="1111")),TH!D461,""),"")</f>
        <v/>
      </c>
      <c r="B461" s="63">
        <f t="shared" si="49"/>
        <v>5</v>
      </c>
      <c r="C461" s="316">
        <v>42499</v>
      </c>
      <c r="D461" s="1124" t="s">
        <v>674</v>
      </c>
      <c r="E461" s="1124">
        <v>42499</v>
      </c>
      <c r="F461" s="72" t="s">
        <v>1506</v>
      </c>
      <c r="G461" s="994" t="s">
        <v>1510</v>
      </c>
      <c r="H461" s="320" t="s">
        <v>620</v>
      </c>
      <c r="I461" s="435">
        <v>123</v>
      </c>
      <c r="J461" s="435">
        <v>13000</v>
      </c>
      <c r="K461" s="426"/>
      <c r="L461" s="435"/>
      <c r="M461" s="81">
        <f t="shared" si="51"/>
        <v>1599000</v>
      </c>
      <c r="N461" s="1118" t="s">
        <v>276</v>
      </c>
      <c r="O461" s="82" t="s">
        <v>8</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c r="AE461" s="1136" t="str">
        <f t="shared" ref="AE461:AE467" si="52">IF(H461&lt;&gt;VLOOKUP(H461,DSKH,1,0),"","x")</f>
        <v>x</v>
      </c>
    </row>
    <row r="462" spans="1:31" ht="15.75" customHeight="1">
      <c r="A462" s="334" t="str">
        <f>IF(B462&lt;&gt;"",IF(AND(B462='IN-TC'!$S$4,OR(TH!N462="1111",TH!O462="1111")),TH!D462,""),"")</f>
        <v/>
      </c>
      <c r="B462" s="63">
        <f t="shared" si="49"/>
        <v>5</v>
      </c>
      <c r="C462" s="316">
        <v>42499</v>
      </c>
      <c r="D462" s="1124" t="s">
        <v>674</v>
      </c>
      <c r="E462" s="1124">
        <v>42499</v>
      </c>
      <c r="F462" s="72" t="s">
        <v>1507</v>
      </c>
      <c r="G462" s="994" t="s">
        <v>1510</v>
      </c>
      <c r="H462" s="320" t="s">
        <v>620</v>
      </c>
      <c r="I462" s="435">
        <v>62</v>
      </c>
      <c r="J462" s="435">
        <v>13000</v>
      </c>
      <c r="K462" s="426"/>
      <c r="L462" s="435"/>
      <c r="M462" s="81">
        <f t="shared" si="51"/>
        <v>806000</v>
      </c>
      <c r="N462" s="1118" t="s">
        <v>276</v>
      </c>
      <c r="O462" s="82" t="s">
        <v>8</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c r="AE462" s="1136" t="str">
        <f t="shared" si="52"/>
        <v>x</v>
      </c>
    </row>
    <row r="463" spans="1:31" ht="15.75" customHeight="1">
      <c r="A463" s="334" t="str">
        <f>IF(B463&lt;&gt;"",IF(AND(B463='IN-TC'!$S$4,OR(TH!N463="1111",TH!O463="1111")),TH!D463,""),"")</f>
        <v/>
      </c>
      <c r="B463" s="63">
        <f t="shared" si="49"/>
        <v>5</v>
      </c>
      <c r="C463" s="316">
        <v>42499</v>
      </c>
      <c r="D463" s="1124" t="s">
        <v>674</v>
      </c>
      <c r="E463" s="1124">
        <v>42499</v>
      </c>
      <c r="F463" s="72" t="s">
        <v>390</v>
      </c>
      <c r="G463" s="994" t="s">
        <v>1510</v>
      </c>
      <c r="H463" s="320" t="s">
        <v>620</v>
      </c>
      <c r="I463" s="435">
        <v>321</v>
      </c>
      <c r="J463" s="435">
        <v>13500</v>
      </c>
      <c r="K463" s="426"/>
      <c r="L463" s="435"/>
      <c r="M463" s="81">
        <f t="shared" si="51"/>
        <v>4333500</v>
      </c>
      <c r="N463" s="1118" t="s">
        <v>276</v>
      </c>
      <c r="O463" s="82" t="s">
        <v>8</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c r="AE463" s="1136" t="str">
        <f t="shared" si="52"/>
        <v>x</v>
      </c>
    </row>
    <row r="464" spans="1:31" ht="15.75" customHeight="1">
      <c r="A464" s="334" t="str">
        <f>IF(B464&lt;&gt;"",IF(AND(B464='IN-TC'!$S$4,OR(TH!N464="1111",TH!O464="1111")),TH!D464,""),"")</f>
        <v/>
      </c>
      <c r="B464" s="63">
        <f t="shared" si="49"/>
        <v>5</v>
      </c>
      <c r="C464" s="316">
        <v>42499</v>
      </c>
      <c r="D464" s="1124" t="s">
        <v>674</v>
      </c>
      <c r="E464" s="1124">
        <v>42499</v>
      </c>
      <c r="F464" s="72" t="s">
        <v>390</v>
      </c>
      <c r="G464" s="994" t="s">
        <v>1510</v>
      </c>
      <c r="H464" s="320" t="s">
        <v>620</v>
      </c>
      <c r="I464" s="435">
        <v>904</v>
      </c>
      <c r="J464" s="435">
        <v>21347</v>
      </c>
      <c r="K464" s="426"/>
      <c r="L464" s="435"/>
      <c r="M464" s="81">
        <f t="shared" si="51"/>
        <v>19297688</v>
      </c>
      <c r="N464" s="1118" t="s">
        <v>276</v>
      </c>
      <c r="O464" s="82" t="s">
        <v>8</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c r="AE464" s="1136" t="str">
        <f t="shared" si="52"/>
        <v>x</v>
      </c>
    </row>
    <row r="465" spans="1:31" ht="15.75" customHeight="1">
      <c r="A465" s="334" t="str">
        <f>IF(B465&lt;&gt;"",IF(AND(B465='IN-TC'!$S$4,OR(TH!N465="1111",TH!O465="1111")),TH!D465,""),"")</f>
        <v/>
      </c>
      <c r="B465" s="63">
        <f t="shared" si="49"/>
        <v>5</v>
      </c>
      <c r="C465" s="316">
        <v>42499</v>
      </c>
      <c r="D465" s="1124" t="s">
        <v>674</v>
      </c>
      <c r="E465" s="1124">
        <v>42499</v>
      </c>
      <c r="F465" s="72" t="s">
        <v>1508</v>
      </c>
      <c r="G465" s="994" t="s">
        <v>1510</v>
      </c>
      <c r="H465" s="320" t="s">
        <v>620</v>
      </c>
      <c r="I465" s="435">
        <v>72</v>
      </c>
      <c r="J465" s="435">
        <v>21347</v>
      </c>
      <c r="K465" s="426"/>
      <c r="L465" s="435"/>
      <c r="M465" s="81">
        <f t="shared" si="51"/>
        <v>1536984</v>
      </c>
      <c r="N465" s="1118" t="s">
        <v>276</v>
      </c>
      <c r="O465" s="82" t="s">
        <v>8</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c r="AE465" s="1136" t="str">
        <f t="shared" si="52"/>
        <v>x</v>
      </c>
    </row>
    <row r="466" spans="1:31" ht="15.75" customHeight="1">
      <c r="A466" s="334" t="str">
        <f>IF(B466&lt;&gt;"",IF(AND(B466='IN-TC'!$S$4,OR(TH!N466="1111",TH!O466="1111")),TH!D466,""),"")</f>
        <v/>
      </c>
      <c r="B466" s="63">
        <f t="shared" si="49"/>
        <v>5</v>
      </c>
      <c r="C466" s="316">
        <v>42499</v>
      </c>
      <c r="D466" s="1124" t="s">
        <v>674</v>
      </c>
      <c r="E466" s="1124">
        <v>42499</v>
      </c>
      <c r="F466" s="72" t="s">
        <v>1509</v>
      </c>
      <c r="G466" s="994" t="s">
        <v>1510</v>
      </c>
      <c r="H466" s="320" t="s">
        <v>620</v>
      </c>
      <c r="I466" s="435">
        <v>132</v>
      </c>
      <c r="J466" s="435">
        <v>21347</v>
      </c>
      <c r="K466" s="426"/>
      <c r="L466" s="435"/>
      <c r="M466" s="81">
        <f t="shared" si="51"/>
        <v>2817804</v>
      </c>
      <c r="N466" s="1118" t="s">
        <v>276</v>
      </c>
      <c r="O466" s="82" t="s">
        <v>8</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c r="AE466" s="1136" t="str">
        <f t="shared" si="52"/>
        <v>x</v>
      </c>
    </row>
    <row r="467" spans="1:31" ht="15.75" customHeight="1">
      <c r="A467" s="334" t="str">
        <f>IF(B467&lt;&gt;"",IF(AND(B467='IN-TC'!$S$4,OR(TH!N467="1111",TH!O467="1111")),TH!D467,""),"")</f>
        <v/>
      </c>
      <c r="B467" s="63">
        <f t="shared" si="49"/>
        <v>5</v>
      </c>
      <c r="C467" s="316">
        <v>42499</v>
      </c>
      <c r="D467" s="1124" t="s">
        <v>674</v>
      </c>
      <c r="E467" s="1124">
        <v>42499</v>
      </c>
      <c r="F467" s="72" t="s">
        <v>649</v>
      </c>
      <c r="G467" s="994" t="s">
        <v>1510</v>
      </c>
      <c r="H467" s="320" t="s">
        <v>620</v>
      </c>
      <c r="I467" s="435"/>
      <c r="J467" s="435"/>
      <c r="K467" s="426"/>
      <c r="L467" s="435"/>
      <c r="M467" s="81">
        <v>3039098</v>
      </c>
      <c r="N467" s="1118" t="s">
        <v>9</v>
      </c>
      <c r="O467" s="82" t="s">
        <v>8</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x</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c r="AE467" s="1136" t="str">
        <f t="shared" si="52"/>
        <v>x</v>
      </c>
    </row>
    <row r="468" spans="1:31" s="339" customFormat="1" ht="15.75" customHeight="1">
      <c r="A468" s="334" t="str">
        <f>IF(B468&lt;&gt;"",IF(AND(B468='IN-TC'!$S$4,OR(TH!N468="1111",TH!O468="1111")),TH!D468,""),"")</f>
        <v/>
      </c>
      <c r="B468" s="63">
        <f t="shared" si="49"/>
        <v>5</v>
      </c>
      <c r="C468" s="64">
        <v>42492</v>
      </c>
      <c r="D468" s="64" t="s">
        <v>683</v>
      </c>
      <c r="E468" s="64">
        <f t="shared" ref="E468:E482" si="53">C468</f>
        <v>42492</v>
      </c>
      <c r="F468" s="67" t="s">
        <v>339</v>
      </c>
      <c r="G468" s="972"/>
      <c r="H468" s="72" t="s">
        <v>446</v>
      </c>
      <c r="I468" s="437">
        <v>25</v>
      </c>
      <c r="J468" s="437">
        <v>35444.444444444445</v>
      </c>
      <c r="K468" s="428"/>
      <c r="L468" s="437"/>
      <c r="M468" s="65">
        <f t="shared" ref="M468:M485" si="54">ROUND(I468*J468,0)</f>
        <v>886111</v>
      </c>
      <c r="N468" s="66" t="s">
        <v>282</v>
      </c>
      <c r="O468" s="66" t="s">
        <v>276</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1" s="339" customFormat="1" ht="15.75" customHeight="1">
      <c r="A469" s="334" t="str">
        <f>IF(B469&lt;&gt;"",IF(AND(B469='IN-TC'!$S$4,OR(TH!N469="1111",TH!O469="1111")),TH!D469,""),"")</f>
        <v/>
      </c>
      <c r="B469" s="63">
        <f t="shared" si="49"/>
        <v>5</v>
      </c>
      <c r="C469" s="64">
        <v>42492</v>
      </c>
      <c r="D469" s="64" t="s">
        <v>683</v>
      </c>
      <c r="E469" s="64">
        <f t="shared" si="53"/>
        <v>42492</v>
      </c>
      <c r="F469" s="67" t="s">
        <v>345</v>
      </c>
      <c r="G469" s="972"/>
      <c r="H469" s="72" t="s">
        <v>446</v>
      </c>
      <c r="I469" s="437">
        <v>60</v>
      </c>
      <c r="J469" s="437">
        <v>46741.2</v>
      </c>
      <c r="K469" s="428"/>
      <c r="L469" s="437"/>
      <c r="M469" s="65">
        <f t="shared" si="54"/>
        <v>2804472</v>
      </c>
      <c r="N469" s="66" t="s">
        <v>282</v>
      </c>
      <c r="O469" s="66" t="s">
        <v>276</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1" s="339" customFormat="1" ht="15.75" customHeight="1">
      <c r="A470" s="334" t="str">
        <f>IF(B470&lt;&gt;"",IF(AND(B470='IN-TC'!$S$4,OR(TH!N470="1111",TH!O470="1111")),TH!D470,""),"")</f>
        <v/>
      </c>
      <c r="B470" s="63">
        <f t="shared" si="49"/>
        <v>5</v>
      </c>
      <c r="C470" s="64">
        <v>42492</v>
      </c>
      <c r="D470" s="64" t="s">
        <v>683</v>
      </c>
      <c r="E470" s="64">
        <f t="shared" si="53"/>
        <v>42492</v>
      </c>
      <c r="F470" s="67" t="s">
        <v>348</v>
      </c>
      <c r="G470" s="67"/>
      <c r="H470" s="72" t="s">
        <v>446</v>
      </c>
      <c r="I470" s="437">
        <v>270</v>
      </c>
      <c r="J470" s="437">
        <v>13571.429</v>
      </c>
      <c r="K470" s="428"/>
      <c r="L470" s="437"/>
      <c r="M470" s="65">
        <f t="shared" si="54"/>
        <v>3664286</v>
      </c>
      <c r="N470" s="66" t="s">
        <v>282</v>
      </c>
      <c r="O470" s="66" t="s">
        <v>276</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x</v>
      </c>
      <c r="AD470" s="82" t="str">
        <f>IF(AND(N470="1521",MONTH(C470)='BK-NL'!$M$11),"x","")</f>
        <v/>
      </c>
    </row>
    <row r="471" spans="1:31" s="339" customFormat="1" ht="15.75" customHeight="1">
      <c r="A471" s="334" t="str">
        <f>IF(B471&lt;&gt;"",IF(AND(B471='IN-TC'!$S$4,OR(TH!N471="1111",TH!O471="1111")),TH!D471,""),"")</f>
        <v/>
      </c>
      <c r="B471" s="63">
        <f t="shared" si="49"/>
        <v>5</v>
      </c>
      <c r="C471" s="64">
        <v>42492</v>
      </c>
      <c r="D471" s="64" t="s">
        <v>683</v>
      </c>
      <c r="E471" s="64">
        <f t="shared" si="53"/>
        <v>42492</v>
      </c>
      <c r="F471" s="67" t="s">
        <v>224</v>
      </c>
      <c r="G471" s="67"/>
      <c r="H471" s="72" t="s">
        <v>446</v>
      </c>
      <c r="I471" s="437">
        <v>450</v>
      </c>
      <c r="J471" s="437">
        <v>18414.14</v>
      </c>
      <c r="K471" s="428"/>
      <c r="L471" s="437"/>
      <c r="M471" s="65">
        <f t="shared" si="54"/>
        <v>8286363</v>
      </c>
      <c r="N471" s="66" t="s">
        <v>282</v>
      </c>
      <c r="O471" s="66" t="s">
        <v>276</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1" s="339" customFormat="1" ht="15.75" customHeight="1">
      <c r="A472" s="334" t="str">
        <f>IF(B472&lt;&gt;"",IF(AND(B472='IN-TC'!$S$4,OR(TH!N472="1111",TH!O472="1111")),TH!D472,""),"")</f>
        <v/>
      </c>
      <c r="B472" s="63">
        <f t="shared" si="49"/>
        <v>5</v>
      </c>
      <c r="C472" s="64">
        <v>42492</v>
      </c>
      <c r="D472" s="64" t="s">
        <v>683</v>
      </c>
      <c r="E472" s="64">
        <f t="shared" si="53"/>
        <v>42492</v>
      </c>
      <c r="F472" s="67" t="s">
        <v>353</v>
      </c>
      <c r="G472" s="67"/>
      <c r="H472" s="72" t="s">
        <v>446</v>
      </c>
      <c r="I472" s="437">
        <v>1000</v>
      </c>
      <c r="J472" s="437">
        <v>3200</v>
      </c>
      <c r="K472" s="428"/>
      <c r="L472" s="437"/>
      <c r="M472" s="65">
        <f t="shared" si="54"/>
        <v>3200000</v>
      </c>
      <c r="N472" s="66" t="s">
        <v>282</v>
      </c>
      <c r="O472" s="66" t="s">
        <v>276</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1" s="339" customFormat="1" ht="15.75" customHeight="1">
      <c r="A473" s="334" t="str">
        <f>IF(B473&lt;&gt;"",IF(AND(B473='IN-TC'!$S$4,OR(TH!N473="1111",TH!O473="1111")),TH!D473,""),"")</f>
        <v/>
      </c>
      <c r="B473" s="63">
        <f t="shared" si="49"/>
        <v>5</v>
      </c>
      <c r="C473" s="64">
        <v>42492</v>
      </c>
      <c r="D473" s="64" t="s">
        <v>683</v>
      </c>
      <c r="E473" s="64">
        <f t="shared" si="53"/>
        <v>42492</v>
      </c>
      <c r="F473" s="67" t="s">
        <v>356</v>
      </c>
      <c r="G473" s="67"/>
      <c r="H473" s="72" t="s">
        <v>446</v>
      </c>
      <c r="I473" s="437">
        <v>1620</v>
      </c>
      <c r="J473" s="437">
        <v>14900</v>
      </c>
      <c r="K473" s="428"/>
      <c r="L473" s="437"/>
      <c r="M473" s="65">
        <f t="shared" si="54"/>
        <v>24138000</v>
      </c>
      <c r="N473" s="66" t="s">
        <v>282</v>
      </c>
      <c r="O473" s="66" t="s">
        <v>276</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1" s="339" customFormat="1" ht="15.75" customHeight="1">
      <c r="A474" s="334" t="str">
        <f>IF(B474&lt;&gt;"",IF(AND(B474='IN-TC'!$S$4,OR(TH!N474="1111",TH!O474="1111")),TH!D474,""),"")</f>
        <v/>
      </c>
      <c r="B474" s="63">
        <f t="shared" si="49"/>
        <v>5</v>
      </c>
      <c r="C474" s="64">
        <v>42493</v>
      </c>
      <c r="D474" s="64" t="s">
        <v>684</v>
      </c>
      <c r="E474" s="64">
        <f t="shared" si="53"/>
        <v>42493</v>
      </c>
      <c r="F474" s="67" t="s">
        <v>359</v>
      </c>
      <c r="G474" s="67"/>
      <c r="H474" s="72" t="s">
        <v>446</v>
      </c>
      <c r="I474" s="437">
        <v>250</v>
      </c>
      <c r="J474" s="437">
        <v>8500</v>
      </c>
      <c r="K474" s="428"/>
      <c r="L474" s="437"/>
      <c r="M474" s="65">
        <f t="shared" si="54"/>
        <v>2125000</v>
      </c>
      <c r="N474" s="66" t="s">
        <v>282</v>
      </c>
      <c r="O474" s="66" t="s">
        <v>276</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1" s="339" customFormat="1" ht="15.75" customHeight="1">
      <c r="A475" s="334" t="str">
        <f>IF(B475&lt;&gt;"",IF(AND(B475='IN-TC'!$S$4,OR(TH!N475="1111",TH!O475="1111")),TH!D475,""),"")</f>
        <v/>
      </c>
      <c r="B475" s="63">
        <f t="shared" si="49"/>
        <v>5</v>
      </c>
      <c r="C475" s="64">
        <v>42493</v>
      </c>
      <c r="D475" s="64" t="s">
        <v>684</v>
      </c>
      <c r="E475" s="64">
        <f t="shared" si="53"/>
        <v>42493</v>
      </c>
      <c r="F475" s="67" t="s">
        <v>363</v>
      </c>
      <c r="G475" s="67"/>
      <c r="H475" s="72" t="s">
        <v>446</v>
      </c>
      <c r="I475" s="439">
        <v>80</v>
      </c>
      <c r="J475" s="439">
        <v>33000</v>
      </c>
      <c r="K475" s="430"/>
      <c r="L475" s="439"/>
      <c r="M475" s="65">
        <f t="shared" si="54"/>
        <v>2640000</v>
      </c>
      <c r="N475" s="66" t="s">
        <v>282</v>
      </c>
      <c r="O475" s="66" t="s">
        <v>276</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1" s="339" customFormat="1" ht="15.75" customHeight="1">
      <c r="A476" s="334" t="str">
        <f>IF(B476&lt;&gt;"",IF(AND(B476='IN-TC'!$S$4,OR(TH!N476="1111",TH!O476="1111")),TH!D476,""),"")</f>
        <v/>
      </c>
      <c r="B476" s="63">
        <f t="shared" si="49"/>
        <v>5</v>
      </c>
      <c r="C476" s="64">
        <v>42500</v>
      </c>
      <c r="D476" s="64" t="s">
        <v>686</v>
      </c>
      <c r="E476" s="64">
        <f t="shared" si="53"/>
        <v>42500</v>
      </c>
      <c r="F476" s="67" t="s">
        <v>401</v>
      </c>
      <c r="G476" s="67"/>
      <c r="H476" s="72" t="s">
        <v>446</v>
      </c>
      <c r="I476" s="439">
        <v>578</v>
      </c>
      <c r="J476" s="439">
        <v>18000</v>
      </c>
      <c r="K476" s="430"/>
      <c r="L476" s="439"/>
      <c r="M476" s="65">
        <f t="shared" si="54"/>
        <v>10404000</v>
      </c>
      <c r="N476" s="66" t="s">
        <v>282</v>
      </c>
      <c r="O476" s="66" t="s">
        <v>276</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1" s="339" customFormat="1" ht="15.75" customHeight="1">
      <c r="A477" s="334" t="str">
        <f>IF(B477&lt;&gt;"",IF(AND(B477='IN-TC'!$S$4,OR(TH!N477="1111",TH!O477="1111")),TH!D477,""),"")</f>
        <v/>
      </c>
      <c r="B477" s="63">
        <f t="shared" si="49"/>
        <v>5</v>
      </c>
      <c r="C477" s="64">
        <v>42500</v>
      </c>
      <c r="D477" s="64" t="s">
        <v>686</v>
      </c>
      <c r="E477" s="64">
        <f t="shared" si="53"/>
        <v>42500</v>
      </c>
      <c r="F477" s="67" t="s">
        <v>650</v>
      </c>
      <c r="G477" s="67"/>
      <c r="H477" s="72" t="s">
        <v>446</v>
      </c>
      <c r="I477" s="439">
        <v>2200</v>
      </c>
      <c r="J477" s="439">
        <v>14000</v>
      </c>
      <c r="K477" s="430"/>
      <c r="L477" s="439"/>
      <c r="M477" s="65">
        <f t="shared" si="54"/>
        <v>30800000</v>
      </c>
      <c r="N477" s="66" t="s">
        <v>282</v>
      </c>
      <c r="O477" s="66" t="s">
        <v>276</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x</v>
      </c>
      <c r="AC477" s="82" t="str">
        <f>IF(AND(OR(LEFT(TH!N477,2)="15",LEFT(TH!O477,2)="15"),TK!$E$7=TH!F477),"x","")</f>
        <v/>
      </c>
      <c r="AD477" s="82" t="str">
        <f>IF(AND(N477="1521",MONTH(C477)='BK-NL'!$M$11),"x","")</f>
        <v/>
      </c>
    </row>
    <row r="478" spans="1:31" s="339" customFormat="1" ht="15.75" customHeight="1">
      <c r="A478" s="334" t="str">
        <f>IF(B478&lt;&gt;"",IF(AND(B478='IN-TC'!$S$4,OR(TH!N478="1111",TH!O478="1111")),TH!D478,""),"")</f>
        <v/>
      </c>
      <c r="B478" s="63">
        <f t="shared" si="49"/>
        <v>5</v>
      </c>
      <c r="C478" s="64">
        <v>42495</v>
      </c>
      <c r="D478" s="64" t="s">
        <v>685</v>
      </c>
      <c r="E478" s="64">
        <f t="shared" si="53"/>
        <v>42495</v>
      </c>
      <c r="F478" s="67" t="s">
        <v>387</v>
      </c>
      <c r="G478" s="67"/>
      <c r="H478" s="72" t="s">
        <v>446</v>
      </c>
      <c r="I478" s="439">
        <v>100</v>
      </c>
      <c r="J478" s="439">
        <v>16800</v>
      </c>
      <c r="K478" s="430"/>
      <c r="L478" s="439"/>
      <c r="M478" s="65">
        <f t="shared" si="54"/>
        <v>1680000</v>
      </c>
      <c r="N478" s="66" t="s">
        <v>282</v>
      </c>
      <c r="O478" s="66" t="s">
        <v>276</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1" s="339" customFormat="1" ht="15.75" customHeight="1">
      <c r="A479" s="334" t="str">
        <f>IF(B479&lt;&gt;"",IF(AND(B479='IN-TC'!$S$4,OR(TH!N479="1111",TH!O479="1111")),TH!D479,""),"")</f>
        <v/>
      </c>
      <c r="B479" s="63">
        <f t="shared" si="49"/>
        <v>5</v>
      </c>
      <c r="C479" s="64">
        <v>42495</v>
      </c>
      <c r="D479" s="64" t="s">
        <v>685</v>
      </c>
      <c r="E479" s="64">
        <f t="shared" si="53"/>
        <v>42495</v>
      </c>
      <c r="F479" s="67" t="s">
        <v>1507</v>
      </c>
      <c r="G479" s="67"/>
      <c r="H479" s="72" t="s">
        <v>446</v>
      </c>
      <c r="I479" s="439">
        <v>62</v>
      </c>
      <c r="J479" s="439">
        <v>13000</v>
      </c>
      <c r="K479" s="430"/>
      <c r="L479" s="439"/>
      <c r="M479" s="65">
        <f t="shared" si="54"/>
        <v>806000</v>
      </c>
      <c r="N479" s="66" t="s">
        <v>282</v>
      </c>
      <c r="O479" s="66" t="s">
        <v>276</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1" s="339" customFormat="1" ht="15.75" customHeight="1">
      <c r="A480" s="334" t="str">
        <f>IF(B480&lt;&gt;"",IF(AND(B480='IN-TC'!$S$4,OR(TH!N480="1111",TH!O480="1111")),TH!D480,""),"")</f>
        <v/>
      </c>
      <c r="B480" s="63">
        <f t="shared" si="49"/>
        <v>5</v>
      </c>
      <c r="C480" s="64">
        <v>42495</v>
      </c>
      <c r="D480" s="64" t="s">
        <v>685</v>
      </c>
      <c r="E480" s="64">
        <f t="shared" si="53"/>
        <v>42495</v>
      </c>
      <c r="F480" s="67" t="s">
        <v>1506</v>
      </c>
      <c r="G480" s="67"/>
      <c r="H480" s="72" t="s">
        <v>446</v>
      </c>
      <c r="I480" s="439">
        <v>100</v>
      </c>
      <c r="J480" s="439">
        <v>13000</v>
      </c>
      <c r="K480" s="430"/>
      <c r="L480" s="439"/>
      <c r="M480" s="65">
        <f t="shared" si="54"/>
        <v>1300000</v>
      </c>
      <c r="N480" s="66" t="s">
        <v>282</v>
      </c>
      <c r="O480" s="66" t="s">
        <v>276</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2" s="339" customFormat="1" ht="15.75" customHeight="1">
      <c r="A481" s="334" t="str">
        <f>IF(B481&lt;&gt;"",IF(AND(B481='IN-TC'!$S$4,OR(TH!N481="1111",TH!O481="1111")),TH!D481,""),"")</f>
        <v/>
      </c>
      <c r="B481" s="63">
        <f t="shared" si="49"/>
        <v>5</v>
      </c>
      <c r="C481" s="64">
        <v>42495</v>
      </c>
      <c r="D481" s="64" t="s">
        <v>685</v>
      </c>
      <c r="E481" s="64">
        <f t="shared" si="53"/>
        <v>42495</v>
      </c>
      <c r="F481" s="67" t="s">
        <v>390</v>
      </c>
      <c r="G481" s="67"/>
      <c r="H481" s="72" t="s">
        <v>446</v>
      </c>
      <c r="I481" s="439">
        <v>321</v>
      </c>
      <c r="J481" s="439">
        <v>13500</v>
      </c>
      <c r="K481" s="430"/>
      <c r="L481" s="439"/>
      <c r="M481" s="65">
        <f t="shared" si="54"/>
        <v>4333500</v>
      </c>
      <c r="N481" s="66" t="s">
        <v>282</v>
      </c>
      <c r="O481" s="66" t="s">
        <v>276</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2" s="339" customFormat="1" ht="15.75" customHeight="1">
      <c r="A482" s="334" t="str">
        <f>IF(B482&lt;&gt;"",IF(AND(B482='IN-TC'!$S$4,OR(TH!N482="1111",TH!O482="1111")),TH!D482,""),"")</f>
        <v/>
      </c>
      <c r="B482" s="63">
        <f t="shared" si="49"/>
        <v>5</v>
      </c>
      <c r="C482" s="64">
        <v>42495</v>
      </c>
      <c r="D482" s="64" t="s">
        <v>685</v>
      </c>
      <c r="E482" s="64">
        <f t="shared" si="53"/>
        <v>42495</v>
      </c>
      <c r="F482" s="67" t="s">
        <v>390</v>
      </c>
      <c r="G482" s="67"/>
      <c r="H482" s="72" t="s">
        <v>446</v>
      </c>
      <c r="I482" s="439">
        <v>93</v>
      </c>
      <c r="J482" s="439">
        <v>12000</v>
      </c>
      <c r="K482" s="430"/>
      <c r="L482" s="439"/>
      <c r="M482" s="65">
        <f t="shared" si="54"/>
        <v>1116000</v>
      </c>
      <c r="N482" s="66" t="s">
        <v>282</v>
      </c>
      <c r="O482" s="66" t="s">
        <v>276</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2" ht="15.75" customHeight="1">
      <c r="A483" s="334" t="str">
        <f>IF(B483&lt;&gt;"",IF(AND(B483='IN-TC'!$S$4,OR(TH!N483="1111",TH!O483="1111")),TH!D483,""),"")</f>
        <v/>
      </c>
      <c r="B483" s="63">
        <f t="shared" si="49"/>
        <v>6</v>
      </c>
      <c r="C483" s="64">
        <v>42530</v>
      </c>
      <c r="D483" s="78" t="s">
        <v>674</v>
      </c>
      <c r="E483" s="78">
        <v>42530</v>
      </c>
      <c r="F483" s="72" t="s">
        <v>390</v>
      </c>
      <c r="G483" s="975" t="s">
        <v>1627</v>
      </c>
      <c r="H483" s="80" t="s">
        <v>620</v>
      </c>
      <c r="I483" s="435">
        <v>312</v>
      </c>
      <c r="J483" s="435">
        <v>13500</v>
      </c>
      <c r="K483" s="426"/>
      <c r="L483" s="435"/>
      <c r="M483" s="81">
        <f t="shared" si="54"/>
        <v>4212000</v>
      </c>
      <c r="N483" s="82" t="s">
        <v>276</v>
      </c>
      <c r="O483" s="82" t="s">
        <v>8</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c r="AE483" s="1136" t="str">
        <f t="shared" ref="AE483:AE492" si="55">IF(H483&lt;&gt;VLOOKUP(H483,DSKH,1,0),"","x")</f>
        <v>x</v>
      </c>
      <c r="AF483" s="328">
        <v>1</v>
      </c>
    </row>
    <row r="484" spans="1:32" ht="15.75" customHeight="1">
      <c r="A484" s="334" t="str">
        <f>IF(B484&lt;&gt;"",IF(AND(B484='IN-TC'!$S$4,OR(TH!N484="1111",TH!O484="1111")),TH!D484,""),"")</f>
        <v/>
      </c>
      <c r="B484" s="63">
        <f t="shared" si="49"/>
        <v>6</v>
      </c>
      <c r="C484" s="64">
        <v>42530</v>
      </c>
      <c r="D484" s="78" t="s">
        <v>674</v>
      </c>
      <c r="E484" s="78">
        <v>42530</v>
      </c>
      <c r="F484" s="72" t="s">
        <v>394</v>
      </c>
      <c r="G484" s="975" t="s">
        <v>1627</v>
      </c>
      <c r="H484" s="80" t="s">
        <v>620</v>
      </c>
      <c r="I484" s="435">
        <v>600</v>
      </c>
      <c r="J484" s="435">
        <v>18000</v>
      </c>
      <c r="K484" s="426"/>
      <c r="L484" s="435"/>
      <c r="M484" s="81">
        <f t="shared" si="54"/>
        <v>10800000</v>
      </c>
      <c r="N484" s="82" t="s">
        <v>276</v>
      </c>
      <c r="O484" s="82" t="s">
        <v>8</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c r="AE484" s="1136" t="str">
        <f t="shared" si="55"/>
        <v>x</v>
      </c>
      <c r="AF484" s="328">
        <v>1</v>
      </c>
    </row>
    <row r="485" spans="1:32" ht="15.75" customHeight="1">
      <c r="A485" s="334" t="str">
        <f>IF(B485&lt;&gt;"",IF(AND(B485='IN-TC'!$S$4,OR(TH!N485="1111",TH!O485="1111")),TH!D485,""),"")</f>
        <v/>
      </c>
      <c r="B485" s="63">
        <f t="shared" si="49"/>
        <v>6</v>
      </c>
      <c r="C485" s="64">
        <v>42530</v>
      </c>
      <c r="D485" s="78" t="s">
        <v>674</v>
      </c>
      <c r="E485" s="78">
        <v>42530</v>
      </c>
      <c r="F485" s="72" t="s">
        <v>1626</v>
      </c>
      <c r="G485" s="975" t="s">
        <v>1627</v>
      </c>
      <c r="H485" s="80" t="s">
        <v>620</v>
      </c>
      <c r="I485" s="435">
        <v>600</v>
      </c>
      <c r="J485" s="435">
        <v>2400</v>
      </c>
      <c r="K485" s="426"/>
      <c r="L485" s="435"/>
      <c r="M485" s="81">
        <f t="shared" si="54"/>
        <v>1440000</v>
      </c>
      <c r="N485" s="82" t="s">
        <v>276</v>
      </c>
      <c r="O485" s="82" t="s">
        <v>8</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c r="AE485" s="1136" t="str">
        <f t="shared" si="55"/>
        <v>x</v>
      </c>
      <c r="AF485" s="328">
        <v>1</v>
      </c>
    </row>
    <row r="486" spans="1:32" ht="15.75" customHeight="1">
      <c r="A486" s="334" t="str">
        <f>IF(B486&lt;&gt;"",IF(AND(B486='IN-TC'!$S$4,OR(TH!N486="1111",TH!O486="1111")),TH!D486,""),"")</f>
        <v/>
      </c>
      <c r="B486" s="63">
        <f t="shared" si="49"/>
        <v>6</v>
      </c>
      <c r="C486" s="64">
        <v>42530</v>
      </c>
      <c r="D486" s="78" t="s">
        <v>674</v>
      </c>
      <c r="E486" s="78">
        <v>42530</v>
      </c>
      <c r="F486" s="72" t="s">
        <v>649</v>
      </c>
      <c r="G486" s="975" t="s">
        <v>1627</v>
      </c>
      <c r="H486" s="80" t="s">
        <v>620</v>
      </c>
      <c r="I486" s="435"/>
      <c r="J486" s="435"/>
      <c r="K486" s="426"/>
      <c r="L486" s="435"/>
      <c r="M486" s="81">
        <v>1645200</v>
      </c>
      <c r="N486" s="82" t="s">
        <v>9</v>
      </c>
      <c r="O486" s="82" t="s">
        <v>8</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x</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c r="AE486" s="1136" t="str">
        <f t="shared" si="55"/>
        <v>x</v>
      </c>
    </row>
    <row r="487" spans="1:32" ht="15.75" customHeight="1">
      <c r="A487" s="334" t="str">
        <f>IF(B487&lt;&gt;"",IF(AND(B487='IN-TC'!$S$4,OR(TH!N487="1111",TH!O487="1111")),TH!D487,""),"")</f>
        <v/>
      </c>
      <c r="B487" s="63">
        <f t="shared" si="49"/>
        <v>6</v>
      </c>
      <c r="C487" s="64">
        <v>42535</v>
      </c>
      <c r="D487" s="78" t="s">
        <v>675</v>
      </c>
      <c r="E487" s="78">
        <v>42535</v>
      </c>
      <c r="F487" s="72" t="s">
        <v>353</v>
      </c>
      <c r="G487" s="975" t="s">
        <v>1628</v>
      </c>
      <c r="H487" s="959" t="s">
        <v>619</v>
      </c>
      <c r="I487" s="435">
        <v>2000</v>
      </c>
      <c r="J487" s="435">
        <v>3200</v>
      </c>
      <c r="K487" s="426"/>
      <c r="L487" s="435"/>
      <c r="M487" s="81">
        <f>ROUND(I487*J487,0)</f>
        <v>6400000</v>
      </c>
      <c r="N487" s="82" t="s">
        <v>276</v>
      </c>
      <c r="O487" s="82" t="s">
        <v>8</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c r="AE487" s="1136" t="str">
        <f t="shared" si="55"/>
        <v>x</v>
      </c>
      <c r="AF487" s="328">
        <v>1</v>
      </c>
    </row>
    <row r="488" spans="1:32" s="345" customFormat="1" ht="15.75" customHeight="1">
      <c r="A488" s="334" t="str">
        <f>IF(B488&lt;&gt;"",IF(AND(B488='IN-TC'!$S$4,OR(TH!N488="1111",TH!O488="1111")),TH!D488,""),"")</f>
        <v/>
      </c>
      <c r="B488" s="63">
        <f t="shared" si="49"/>
        <v>6</v>
      </c>
      <c r="C488" s="64">
        <v>42548</v>
      </c>
      <c r="D488" s="78" t="s">
        <v>676</v>
      </c>
      <c r="E488" s="78">
        <v>42541</v>
      </c>
      <c r="F488" s="72" t="s">
        <v>345</v>
      </c>
      <c r="G488" s="975" t="s">
        <v>1979</v>
      </c>
      <c r="H488" s="1194" t="s">
        <v>1977</v>
      </c>
      <c r="I488" s="435">
        <v>1000</v>
      </c>
      <c r="J488" s="435">
        <v>48983</v>
      </c>
      <c r="K488" s="426">
        <v>22000</v>
      </c>
      <c r="L488" s="435">
        <v>22265</v>
      </c>
      <c r="M488" s="81">
        <f>ROUND(I488*J488,0)</f>
        <v>48983000</v>
      </c>
      <c r="N488" s="82" t="s">
        <v>276</v>
      </c>
      <c r="O488" s="82" t="s">
        <v>8</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c r="AE488" s="1136" t="str">
        <f t="shared" si="55"/>
        <v>x</v>
      </c>
      <c r="AF488" s="328">
        <v>1</v>
      </c>
    </row>
    <row r="489" spans="1:32" s="345" customFormat="1" ht="15.75" customHeight="1">
      <c r="A489" s="334" t="str">
        <f>IF(B489&lt;&gt;"",IF(AND(B489='IN-TC'!$S$4,OR(TH!N489="1111",TH!O489="1111")),TH!D489,""),"")</f>
        <v/>
      </c>
      <c r="B489" s="63">
        <f t="shared" si="49"/>
        <v>6</v>
      </c>
      <c r="C489" s="64">
        <v>42548</v>
      </c>
      <c r="D489" s="78" t="s">
        <v>677</v>
      </c>
      <c r="E489" s="78">
        <v>42548</v>
      </c>
      <c r="F489" s="72" t="s">
        <v>650</v>
      </c>
      <c r="G489" s="975" t="s">
        <v>1653</v>
      </c>
      <c r="H489" s="80" t="s">
        <v>1654</v>
      </c>
      <c r="I489" s="435">
        <v>2268</v>
      </c>
      <c r="J489" s="435">
        <v>11500</v>
      </c>
      <c r="K489" s="426"/>
      <c r="L489" s="435"/>
      <c r="M489" s="81">
        <f>ROUND(I489*J489,0)</f>
        <v>26082000</v>
      </c>
      <c r="N489" s="82" t="s">
        <v>276</v>
      </c>
      <c r="O489" s="82" t="s">
        <v>8</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x</v>
      </c>
      <c r="AC489" s="82" t="str">
        <f>IF(AND(OR(LEFT(TH!N489,2)="15",LEFT(TH!O489,2)="15"),TK!$E$7=TH!F489),"x","")</f>
        <v/>
      </c>
      <c r="AD489" s="82" t="str">
        <f>IF(AND(N489="1521",MONTH(C489)='BK-NL'!$M$11),"x","")</f>
        <v/>
      </c>
      <c r="AE489" s="1136" t="str">
        <f t="shared" si="55"/>
        <v>x</v>
      </c>
      <c r="AF489" s="328">
        <v>1</v>
      </c>
    </row>
    <row r="490" spans="1:32" s="345" customFormat="1" ht="15.75" customHeight="1">
      <c r="A490" s="334" t="str">
        <f>IF(B490&lt;&gt;"",IF(AND(B490='IN-TC'!$S$4,OR(TH!N490="1111",TH!O490="1111")),TH!D490,""),"")</f>
        <v/>
      </c>
      <c r="B490" s="63">
        <f t="shared" si="49"/>
        <v>6</v>
      </c>
      <c r="C490" s="64">
        <v>42548</v>
      </c>
      <c r="D490" s="78" t="s">
        <v>677</v>
      </c>
      <c r="E490" s="78">
        <v>42548</v>
      </c>
      <c r="F490" s="72" t="s">
        <v>651</v>
      </c>
      <c r="G490" s="975" t="s">
        <v>1653</v>
      </c>
      <c r="H490" s="80" t="s">
        <v>1654</v>
      </c>
      <c r="I490" s="435"/>
      <c r="J490" s="435"/>
      <c r="K490" s="426"/>
      <c r="L490" s="435"/>
      <c r="M490" s="81">
        <v>2608200</v>
      </c>
      <c r="N490" s="82" t="s">
        <v>9</v>
      </c>
      <c r="O490" s="82" t="s">
        <v>8</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x</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c r="AE490" s="1136" t="str">
        <f t="shared" si="55"/>
        <v>x</v>
      </c>
      <c r="AF490" s="328"/>
    </row>
    <row r="491" spans="1:32" ht="15.75" customHeight="1">
      <c r="A491" s="334" t="str">
        <f>IF(B491&lt;&gt;"",IF(AND(B491='IN-TC'!$S$4,OR(TH!N491="1111",TH!O491="1111")),TH!D491,""),"")</f>
        <v/>
      </c>
      <c r="B491" s="63">
        <f t="shared" si="49"/>
        <v>6</v>
      </c>
      <c r="C491" s="64">
        <v>42551</v>
      </c>
      <c r="D491" s="78" t="s">
        <v>678</v>
      </c>
      <c r="E491" s="78">
        <v>42551</v>
      </c>
      <c r="F491" s="67" t="s">
        <v>401</v>
      </c>
      <c r="G491" s="975" t="s">
        <v>1629</v>
      </c>
      <c r="H491" s="80" t="s">
        <v>620</v>
      </c>
      <c r="I491" s="435">
        <v>600</v>
      </c>
      <c r="J491" s="435">
        <v>18200</v>
      </c>
      <c r="K491" s="426"/>
      <c r="L491" s="435"/>
      <c r="M491" s="81">
        <f>ROUND(I491*J491,0)</f>
        <v>10920000</v>
      </c>
      <c r="N491" s="82" t="s">
        <v>276</v>
      </c>
      <c r="O491" s="82" t="s">
        <v>8</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c r="AE491" s="1136" t="str">
        <f t="shared" si="55"/>
        <v>x</v>
      </c>
      <c r="AF491" s="328">
        <v>1</v>
      </c>
    </row>
    <row r="492" spans="1:32" ht="15.75" customHeight="1">
      <c r="A492" s="334" t="str">
        <f>IF(B492&lt;&gt;"",IF(AND(B492='IN-TC'!$S$4,OR(TH!N492="1111",TH!O492="1111")),TH!D492,""),"")</f>
        <v/>
      </c>
      <c r="B492" s="63">
        <f t="shared" si="49"/>
        <v>6</v>
      </c>
      <c r="C492" s="64">
        <v>42551</v>
      </c>
      <c r="D492" s="78" t="s">
        <v>678</v>
      </c>
      <c r="E492" s="78">
        <v>42551</v>
      </c>
      <c r="F492" s="72" t="s">
        <v>649</v>
      </c>
      <c r="G492" s="975" t="s">
        <v>1629</v>
      </c>
      <c r="H492" s="80" t="s">
        <v>620</v>
      </c>
      <c r="I492" s="435"/>
      <c r="J492" s="435"/>
      <c r="K492" s="426"/>
      <c r="L492" s="435"/>
      <c r="M492" s="81">
        <v>1092000</v>
      </c>
      <c r="N492" s="82" t="s">
        <v>9</v>
      </c>
      <c r="O492" s="82" t="s">
        <v>8</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x</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c r="AE492" s="1136" t="str">
        <f t="shared" si="55"/>
        <v>x</v>
      </c>
    </row>
    <row r="493" spans="1:32" s="339" customFormat="1" ht="15.75" customHeight="1">
      <c r="A493" s="334" t="str">
        <f>IF(B493&lt;&gt;"",IF(AND(B493='IN-TC'!$S$4,OR(TH!N493="1111",TH!O493="1111")),TH!D493,""),"")</f>
        <v/>
      </c>
      <c r="B493" s="63">
        <f t="shared" si="49"/>
        <v>6</v>
      </c>
      <c r="C493" s="64">
        <v>42523</v>
      </c>
      <c r="D493" s="64" t="s">
        <v>683</v>
      </c>
      <c r="E493" s="64">
        <f t="shared" ref="E493:E524" si="56">C493</f>
        <v>42523</v>
      </c>
      <c r="F493" s="67" t="s">
        <v>339</v>
      </c>
      <c r="G493" s="972"/>
      <c r="H493" s="72" t="s">
        <v>446</v>
      </c>
      <c r="I493" s="437">
        <v>30</v>
      </c>
      <c r="J493" s="437">
        <v>35444.444444444445</v>
      </c>
      <c r="K493" s="428"/>
      <c r="L493" s="437"/>
      <c r="M493" s="65">
        <f t="shared" ref="M493:M512" si="57">ROUND(I493*J493,0)</f>
        <v>1063333</v>
      </c>
      <c r="N493" s="66" t="s">
        <v>282</v>
      </c>
      <c r="O493" s="66" t="s">
        <v>276</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2" s="339" customFormat="1" ht="15.75" customHeight="1">
      <c r="A494" s="334" t="str">
        <f>IF(B494&lt;&gt;"",IF(AND(B494='IN-TC'!$S$4,OR(TH!N494="1111",TH!O494="1111")),TH!D494,""),"")</f>
        <v/>
      </c>
      <c r="B494" s="63">
        <f t="shared" si="49"/>
        <v>6</v>
      </c>
      <c r="C494" s="64">
        <v>42523</v>
      </c>
      <c r="D494" s="64" t="s">
        <v>683</v>
      </c>
      <c r="E494" s="64">
        <f t="shared" si="56"/>
        <v>42523</v>
      </c>
      <c r="F494" s="67" t="s">
        <v>345</v>
      </c>
      <c r="G494" s="972"/>
      <c r="H494" s="72" t="s">
        <v>446</v>
      </c>
      <c r="I494" s="437">
        <v>70</v>
      </c>
      <c r="J494" s="437">
        <v>46741.2</v>
      </c>
      <c r="K494" s="428"/>
      <c r="L494" s="437"/>
      <c r="M494" s="65">
        <f t="shared" si="57"/>
        <v>3271884</v>
      </c>
      <c r="N494" s="66" t="s">
        <v>282</v>
      </c>
      <c r="O494" s="66" t="s">
        <v>276</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2" s="339" customFormat="1" ht="15.75" customHeight="1">
      <c r="A495" s="334" t="str">
        <f>IF(B495&lt;&gt;"",IF(AND(B495='IN-TC'!$S$4,OR(TH!N495="1111",TH!O495="1111")),TH!D495,""),"")</f>
        <v/>
      </c>
      <c r="B495" s="63">
        <f t="shared" si="49"/>
        <v>6</v>
      </c>
      <c r="C495" s="64">
        <v>42523</v>
      </c>
      <c r="D495" s="64" t="s">
        <v>683</v>
      </c>
      <c r="E495" s="64">
        <f t="shared" si="56"/>
        <v>42523</v>
      </c>
      <c r="F495" s="67" t="s">
        <v>348</v>
      </c>
      <c r="G495" s="67"/>
      <c r="H495" s="72" t="s">
        <v>446</v>
      </c>
      <c r="I495" s="437">
        <v>330</v>
      </c>
      <c r="J495" s="437">
        <v>13571.429</v>
      </c>
      <c r="K495" s="428"/>
      <c r="L495" s="437"/>
      <c r="M495" s="65">
        <f t="shared" si="57"/>
        <v>4478572</v>
      </c>
      <c r="N495" s="66" t="s">
        <v>282</v>
      </c>
      <c r="O495" s="66" t="s">
        <v>276</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x</v>
      </c>
      <c r="AD495" s="82" t="str">
        <f>IF(AND(N495="1521",MONTH(C495)='BK-NL'!$M$11),"x","")</f>
        <v/>
      </c>
    </row>
    <row r="496" spans="1:32" s="339" customFormat="1" ht="15.75" customHeight="1">
      <c r="A496" s="334" t="str">
        <f>IF(B496&lt;&gt;"",IF(AND(B496='IN-TC'!$S$4,OR(TH!N496="1111",TH!O496="1111")),TH!D496,""),"")</f>
        <v/>
      </c>
      <c r="B496" s="63">
        <f t="shared" ref="B496:B559" si="58">IF(C496&lt;&gt;"",MONTH(C496),"")</f>
        <v>6</v>
      </c>
      <c r="C496" s="64">
        <v>42523</v>
      </c>
      <c r="D496" s="64" t="s">
        <v>683</v>
      </c>
      <c r="E496" s="64">
        <f t="shared" si="56"/>
        <v>42523</v>
      </c>
      <c r="F496" s="67" t="s">
        <v>353</v>
      </c>
      <c r="G496" s="67"/>
      <c r="H496" s="72" t="s">
        <v>446</v>
      </c>
      <c r="I496" s="437">
        <v>1500</v>
      </c>
      <c r="J496" s="437">
        <v>3200</v>
      </c>
      <c r="K496" s="428"/>
      <c r="L496" s="437"/>
      <c r="M496" s="65">
        <f t="shared" si="57"/>
        <v>4800000</v>
      </c>
      <c r="N496" s="66" t="s">
        <v>282</v>
      </c>
      <c r="O496" s="66" t="s">
        <v>276</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s="339" customFormat="1" ht="15.75" customHeight="1">
      <c r="A497" s="334" t="str">
        <f>IF(B497&lt;&gt;"",IF(AND(B497='IN-TC'!$S$4,OR(TH!N497="1111",TH!O497="1111")),TH!D497,""),"")</f>
        <v/>
      </c>
      <c r="B497" s="63">
        <f t="shared" si="58"/>
        <v>6</v>
      </c>
      <c r="C497" s="64">
        <v>42523</v>
      </c>
      <c r="D497" s="64" t="s">
        <v>683</v>
      </c>
      <c r="E497" s="64">
        <f t="shared" si="56"/>
        <v>42523</v>
      </c>
      <c r="F497" s="67" t="s">
        <v>356</v>
      </c>
      <c r="G497" s="67"/>
      <c r="H497" s="72" t="s">
        <v>446</v>
      </c>
      <c r="I497" s="437">
        <v>3780</v>
      </c>
      <c r="J497" s="437">
        <v>14900</v>
      </c>
      <c r="K497" s="428"/>
      <c r="L497" s="437"/>
      <c r="M497" s="65">
        <f t="shared" si="57"/>
        <v>56322000</v>
      </c>
      <c r="N497" s="66" t="s">
        <v>282</v>
      </c>
      <c r="O497" s="66" t="s">
        <v>276</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s="339" customFormat="1" ht="15.75" customHeight="1">
      <c r="A498" s="334" t="str">
        <f>IF(B498&lt;&gt;"",IF(AND(B498='IN-TC'!$S$4,OR(TH!N498="1111",TH!O498="1111")),TH!D498,""),"")</f>
        <v/>
      </c>
      <c r="B498" s="63">
        <f t="shared" si="58"/>
        <v>6</v>
      </c>
      <c r="C498" s="64">
        <v>42523</v>
      </c>
      <c r="D498" s="64" t="s">
        <v>683</v>
      </c>
      <c r="E498" s="64">
        <f t="shared" si="56"/>
        <v>42523</v>
      </c>
      <c r="F498" s="67" t="s">
        <v>1402</v>
      </c>
      <c r="G498" s="67"/>
      <c r="H498" s="72" t="s">
        <v>446</v>
      </c>
      <c r="I498" s="437">
        <v>100</v>
      </c>
      <c r="J498" s="437">
        <v>12728</v>
      </c>
      <c r="K498" s="428"/>
      <c r="L498" s="437"/>
      <c r="M498" s="65">
        <f t="shared" si="57"/>
        <v>1272800</v>
      </c>
      <c r="N498" s="66" t="s">
        <v>282</v>
      </c>
      <c r="O498" s="66" t="s">
        <v>276</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s="339" customFormat="1" ht="15.75" customHeight="1">
      <c r="A499" s="334" t="str">
        <f>IF(B499&lt;&gt;"",IF(AND(B499='IN-TC'!$S$4,OR(TH!N499="1111",TH!O499="1111")),TH!D499,""),"")</f>
        <v/>
      </c>
      <c r="B499" s="63">
        <f t="shared" si="58"/>
        <v>6</v>
      </c>
      <c r="C499" s="64">
        <v>42526</v>
      </c>
      <c r="D499" s="64" t="s">
        <v>684</v>
      </c>
      <c r="E499" s="64">
        <f t="shared" si="56"/>
        <v>42526</v>
      </c>
      <c r="F499" s="67" t="s">
        <v>359</v>
      </c>
      <c r="G499" s="67"/>
      <c r="H499" s="72" t="s">
        <v>446</v>
      </c>
      <c r="I499" s="437">
        <v>300</v>
      </c>
      <c r="J499" s="437">
        <v>8500</v>
      </c>
      <c r="K499" s="428"/>
      <c r="L499" s="437"/>
      <c r="M499" s="65">
        <f t="shared" si="57"/>
        <v>2550000</v>
      </c>
      <c r="N499" s="66" t="s">
        <v>282</v>
      </c>
      <c r="O499" s="66" t="s">
        <v>276</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s="339" customFormat="1" ht="15.75" customHeight="1">
      <c r="A500" s="334" t="str">
        <f>IF(B500&lt;&gt;"",IF(AND(B500='IN-TC'!$S$4,OR(TH!N500="1111",TH!O500="1111")),TH!D500,""),"")</f>
        <v/>
      </c>
      <c r="B500" s="63">
        <f t="shared" si="58"/>
        <v>6</v>
      </c>
      <c r="C500" s="64">
        <v>42526</v>
      </c>
      <c r="D500" s="64" t="s">
        <v>684</v>
      </c>
      <c r="E500" s="64">
        <f t="shared" si="56"/>
        <v>42526</v>
      </c>
      <c r="F500" s="67" t="s">
        <v>363</v>
      </c>
      <c r="G500" s="67"/>
      <c r="H500" s="72" t="s">
        <v>446</v>
      </c>
      <c r="I500" s="439">
        <v>270</v>
      </c>
      <c r="J500" s="439">
        <v>33000</v>
      </c>
      <c r="K500" s="430"/>
      <c r="L500" s="439"/>
      <c r="M500" s="65">
        <f t="shared" si="57"/>
        <v>8910000</v>
      </c>
      <c r="N500" s="66" t="s">
        <v>282</v>
      </c>
      <c r="O500" s="66" t="s">
        <v>276</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s="339" customFormat="1" ht="15.75" customHeight="1">
      <c r="A501" s="334" t="str">
        <f>IF(B501&lt;&gt;"",IF(AND(B501='IN-TC'!$S$4,OR(TH!N501="1111",TH!O501="1111")),TH!D501,""),"")</f>
        <v/>
      </c>
      <c r="B501" s="63">
        <f t="shared" si="58"/>
        <v>6</v>
      </c>
      <c r="C501" s="64">
        <v>42531</v>
      </c>
      <c r="D501" s="64" t="s">
        <v>686</v>
      </c>
      <c r="E501" s="64">
        <f t="shared" si="56"/>
        <v>42531</v>
      </c>
      <c r="F501" s="67" t="s">
        <v>1626</v>
      </c>
      <c r="G501" s="67"/>
      <c r="H501" s="72" t="s">
        <v>446</v>
      </c>
      <c r="I501" s="439">
        <v>360</v>
      </c>
      <c r="J501" s="439">
        <v>2400</v>
      </c>
      <c r="K501" s="430"/>
      <c r="L501" s="439"/>
      <c r="M501" s="65">
        <f t="shared" si="57"/>
        <v>864000</v>
      </c>
      <c r="N501" s="66" t="s">
        <v>282</v>
      </c>
      <c r="O501" s="66" t="s">
        <v>276</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s="339" customFormat="1" ht="15.75" customHeight="1">
      <c r="A502" s="334" t="str">
        <f>IF(B502&lt;&gt;"",IF(AND(B502='IN-TC'!$S$4,OR(TH!N502="1111",TH!O502="1111")),TH!D502,""),"")</f>
        <v/>
      </c>
      <c r="B502" s="63">
        <f t="shared" si="58"/>
        <v>6</v>
      </c>
      <c r="C502" s="64">
        <v>42531</v>
      </c>
      <c r="D502" s="64" t="s">
        <v>686</v>
      </c>
      <c r="E502" s="64">
        <f t="shared" si="56"/>
        <v>42531</v>
      </c>
      <c r="F502" s="67" t="s">
        <v>394</v>
      </c>
      <c r="G502" s="67"/>
      <c r="H502" s="72" t="s">
        <v>446</v>
      </c>
      <c r="I502" s="439">
        <v>360</v>
      </c>
      <c r="J502" s="439">
        <v>18000</v>
      </c>
      <c r="K502" s="430"/>
      <c r="L502" s="439"/>
      <c r="M502" s="65">
        <f t="shared" si="57"/>
        <v>6480000</v>
      </c>
      <c r="N502" s="66" t="s">
        <v>282</v>
      </c>
      <c r="O502" s="66" t="s">
        <v>276</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s="339" customFormat="1" ht="15.75" customHeight="1">
      <c r="A503" s="334" t="str">
        <f>IF(B503&lt;&gt;"",IF(AND(B503='IN-TC'!$S$4,OR(TH!N503="1111",TH!O503="1111")),TH!D503,""),"")</f>
        <v/>
      </c>
      <c r="B503" s="63">
        <f t="shared" si="58"/>
        <v>6</v>
      </c>
      <c r="C503" s="64">
        <v>42534</v>
      </c>
      <c r="D503" s="64" t="s">
        <v>687</v>
      </c>
      <c r="E503" s="64">
        <f t="shared" si="56"/>
        <v>42534</v>
      </c>
      <c r="F503" s="67" t="s">
        <v>387</v>
      </c>
      <c r="G503" s="67"/>
      <c r="H503" s="72" t="s">
        <v>446</v>
      </c>
      <c r="I503" s="439">
        <v>140</v>
      </c>
      <c r="J503" s="439">
        <v>5000</v>
      </c>
      <c r="K503" s="430"/>
      <c r="L503" s="439"/>
      <c r="M503" s="65">
        <f t="shared" si="57"/>
        <v>700000</v>
      </c>
      <c r="N503" s="66" t="s">
        <v>282</v>
      </c>
      <c r="O503" s="66" t="s">
        <v>276</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s="339" customFormat="1" ht="15.75" customHeight="1">
      <c r="A504" s="334" t="str">
        <f>IF(B504&lt;&gt;"",IF(AND(B504='IN-TC'!$S$4,OR(TH!N504="1111",TH!O504="1111")),TH!D504,""),"")</f>
        <v/>
      </c>
      <c r="B504" s="63">
        <f t="shared" si="58"/>
        <v>6</v>
      </c>
      <c r="C504" s="64">
        <v>42534</v>
      </c>
      <c r="D504" s="64" t="s">
        <v>687</v>
      </c>
      <c r="E504" s="64">
        <f t="shared" si="56"/>
        <v>42534</v>
      </c>
      <c r="F504" s="67" t="s">
        <v>387</v>
      </c>
      <c r="G504" s="67"/>
      <c r="H504" s="72" t="s">
        <v>446</v>
      </c>
      <c r="I504" s="439">
        <v>430</v>
      </c>
      <c r="J504" s="439">
        <v>5000</v>
      </c>
      <c r="K504" s="430"/>
      <c r="L504" s="439"/>
      <c r="M504" s="65">
        <f t="shared" si="57"/>
        <v>2150000</v>
      </c>
      <c r="N504" s="66" t="s">
        <v>282</v>
      </c>
      <c r="O504" s="66" t="s">
        <v>276</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s="339" customFormat="1" ht="15.75" customHeight="1">
      <c r="A505" s="334" t="str">
        <f>IF(B505&lt;&gt;"",IF(AND(B505='IN-TC'!$S$4,OR(TH!N505="1111",TH!O505="1111")),TH!D505,""),"")</f>
        <v/>
      </c>
      <c r="B505" s="63">
        <f t="shared" si="58"/>
        <v>6</v>
      </c>
      <c r="C505" s="64">
        <v>42526</v>
      </c>
      <c r="D505" s="64" t="s">
        <v>685</v>
      </c>
      <c r="E505" s="64">
        <f t="shared" si="56"/>
        <v>42526</v>
      </c>
      <c r="F505" s="67" t="s">
        <v>390</v>
      </c>
      <c r="G505" s="67"/>
      <c r="H505" s="72" t="s">
        <v>446</v>
      </c>
      <c r="I505" s="439">
        <v>904</v>
      </c>
      <c r="J505" s="439">
        <v>21347</v>
      </c>
      <c r="K505" s="430"/>
      <c r="L505" s="439"/>
      <c r="M505" s="65">
        <f t="shared" si="57"/>
        <v>19297688</v>
      </c>
      <c r="N505" s="66" t="s">
        <v>282</v>
      </c>
      <c r="O505" s="66" t="s">
        <v>276</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s="339" customFormat="1" ht="15.75" customHeight="1">
      <c r="A506" s="334" t="str">
        <f>IF(B506&lt;&gt;"",IF(AND(B506='IN-TC'!$S$4,OR(TH!N506="1111",TH!O506="1111")),TH!D506,""),"")</f>
        <v/>
      </c>
      <c r="B506" s="63">
        <f t="shared" si="58"/>
        <v>6</v>
      </c>
      <c r="C506" s="64">
        <v>42526</v>
      </c>
      <c r="D506" s="64" t="s">
        <v>685</v>
      </c>
      <c r="E506" s="64">
        <f t="shared" si="56"/>
        <v>42526</v>
      </c>
      <c r="F506" s="67" t="s">
        <v>1508</v>
      </c>
      <c r="G506" s="67"/>
      <c r="H506" s="72" t="s">
        <v>446</v>
      </c>
      <c r="I506" s="439">
        <v>72</v>
      </c>
      <c r="J506" s="439">
        <v>21347</v>
      </c>
      <c r="K506" s="430"/>
      <c r="L506" s="439"/>
      <c r="M506" s="65">
        <f t="shared" si="57"/>
        <v>1536984</v>
      </c>
      <c r="N506" s="66" t="s">
        <v>282</v>
      </c>
      <c r="O506" s="66" t="s">
        <v>276</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s="339" customFormat="1" ht="15.75" customHeight="1">
      <c r="A507" s="334" t="str">
        <f>IF(B507&lt;&gt;"",IF(AND(B507='IN-TC'!$S$4,OR(TH!N507="1111",TH!O507="1111")),TH!D507,""),"")</f>
        <v/>
      </c>
      <c r="B507" s="63">
        <f t="shared" si="58"/>
        <v>6</v>
      </c>
      <c r="C507" s="64">
        <v>42526</v>
      </c>
      <c r="D507" s="64" t="s">
        <v>685</v>
      </c>
      <c r="E507" s="64">
        <f t="shared" si="56"/>
        <v>42526</v>
      </c>
      <c r="F507" s="67" t="s">
        <v>1509</v>
      </c>
      <c r="G507" s="67"/>
      <c r="H507" s="72" t="s">
        <v>446</v>
      </c>
      <c r="I507" s="439">
        <v>132</v>
      </c>
      <c r="J507" s="439">
        <v>21347</v>
      </c>
      <c r="K507" s="430"/>
      <c r="L507" s="439"/>
      <c r="M507" s="65">
        <f t="shared" si="57"/>
        <v>2817804</v>
      </c>
      <c r="N507" s="66" t="s">
        <v>282</v>
      </c>
      <c r="O507" s="66" t="s">
        <v>276</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s="339" customFormat="1" ht="15.75" customHeight="1">
      <c r="A508" s="334" t="str">
        <f>IF(B508&lt;&gt;"",IF(AND(B508='IN-TC'!$S$4,OR(TH!N508="1111",TH!O508="1111")),TH!D508,""),"")</f>
        <v/>
      </c>
      <c r="B508" s="63">
        <f t="shared" si="58"/>
        <v>6</v>
      </c>
      <c r="C508" s="64">
        <v>42531</v>
      </c>
      <c r="D508" s="64" t="s">
        <v>686</v>
      </c>
      <c r="E508" s="64">
        <f t="shared" si="56"/>
        <v>42531</v>
      </c>
      <c r="F508" s="67" t="s">
        <v>390</v>
      </c>
      <c r="G508" s="67"/>
      <c r="H508" s="72" t="s">
        <v>446</v>
      </c>
      <c r="I508" s="439">
        <v>120</v>
      </c>
      <c r="J508" s="439">
        <v>13500</v>
      </c>
      <c r="K508" s="430"/>
      <c r="L508" s="439"/>
      <c r="M508" s="65">
        <f t="shared" si="57"/>
        <v>1620000</v>
      </c>
      <c r="N508" s="66" t="s">
        <v>282</v>
      </c>
      <c r="O508" s="66" t="s">
        <v>276</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s="339" customFormat="1" ht="15.75" customHeight="1">
      <c r="A509" s="334" t="str">
        <f>IF(B509&lt;&gt;"",IF(AND(B509='IN-TC'!$S$4,OR(TH!N509="1111",TH!O509="1111")),TH!D509,""),"")</f>
        <v/>
      </c>
      <c r="B509" s="63">
        <f t="shared" si="58"/>
        <v>6</v>
      </c>
      <c r="C509" s="64">
        <v>42531</v>
      </c>
      <c r="D509" s="64" t="s">
        <v>686</v>
      </c>
      <c r="E509" s="64">
        <f t="shared" si="56"/>
        <v>42531</v>
      </c>
      <c r="F509" s="67" t="s">
        <v>381</v>
      </c>
      <c r="G509" s="67"/>
      <c r="H509" s="72" t="s">
        <v>446</v>
      </c>
      <c r="I509" s="439">
        <v>7828</v>
      </c>
      <c r="J509" s="439">
        <v>5780.8622078968574</v>
      </c>
      <c r="K509" s="430"/>
      <c r="L509" s="439"/>
      <c r="M509" s="65">
        <f t="shared" si="57"/>
        <v>45252589</v>
      </c>
      <c r="N509" s="66" t="s">
        <v>282</v>
      </c>
      <c r="O509" s="66" t="s">
        <v>276</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s="339" customFormat="1" ht="15.75" customHeight="1">
      <c r="A510" s="334" t="str">
        <f>IF(B510&lt;&gt;"",IF(AND(B510='IN-TC'!$S$4,OR(TH!N510="1111",TH!O510="1111")),TH!D510,""),"")</f>
        <v/>
      </c>
      <c r="B510" s="63">
        <f t="shared" si="58"/>
        <v>6</v>
      </c>
      <c r="C510" s="64">
        <v>42536</v>
      </c>
      <c r="D510" s="64" t="s">
        <v>688</v>
      </c>
      <c r="E510" s="64">
        <f t="shared" si="56"/>
        <v>42536</v>
      </c>
      <c r="F510" s="67" t="s">
        <v>374</v>
      </c>
      <c r="G510" s="67"/>
      <c r="H510" s="72" t="s">
        <v>446</v>
      </c>
      <c r="I510" s="439">
        <v>295214</v>
      </c>
      <c r="J510" s="439">
        <v>346.98655890303303</v>
      </c>
      <c r="K510" s="430"/>
      <c r="L510" s="439"/>
      <c r="M510" s="65">
        <f t="shared" si="57"/>
        <v>102435290</v>
      </c>
      <c r="N510" s="66" t="s">
        <v>282</v>
      </c>
      <c r="O510" s="66" t="s">
        <v>276</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s="339" customFormat="1" ht="15.75" customHeight="1">
      <c r="A511" s="334" t="str">
        <f>IF(B511&lt;&gt;"",IF(AND(B511='IN-TC'!$S$4,OR(TH!N511="1111",TH!O511="1111")),TH!D511,""),"")</f>
        <v/>
      </c>
      <c r="B511" s="63">
        <f t="shared" si="58"/>
        <v>6</v>
      </c>
      <c r="C511" s="64">
        <v>42536</v>
      </c>
      <c r="D511" s="64" t="s">
        <v>688</v>
      </c>
      <c r="E511" s="64">
        <f t="shared" si="56"/>
        <v>42536</v>
      </c>
      <c r="F511" s="67" t="s">
        <v>377</v>
      </c>
      <c r="G511" s="67"/>
      <c r="H511" s="72" t="s">
        <v>446</v>
      </c>
      <c r="I511" s="439">
        <v>6600</v>
      </c>
      <c r="J511" s="439">
        <v>545</v>
      </c>
      <c r="K511" s="430"/>
      <c r="L511" s="439"/>
      <c r="M511" s="65">
        <f t="shared" si="57"/>
        <v>3597000</v>
      </c>
      <c r="N511" s="66" t="s">
        <v>282</v>
      </c>
      <c r="O511" s="66" t="s">
        <v>276</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s="339" customFormat="1" ht="15.75" customHeight="1">
      <c r="A512" s="334" t="str">
        <f>IF(B512&lt;&gt;"",IF(AND(B512='IN-TC'!$S$4,OR(TH!N512="1111",TH!O512="1111")),TH!D512,""),"")</f>
        <v/>
      </c>
      <c r="B512" s="63">
        <f t="shared" si="58"/>
        <v>6</v>
      </c>
      <c r="C512" s="64">
        <v>42536</v>
      </c>
      <c r="D512" s="64" t="s">
        <v>688</v>
      </c>
      <c r="E512" s="64">
        <f t="shared" si="56"/>
        <v>42536</v>
      </c>
      <c r="F512" s="67" t="s">
        <v>372</v>
      </c>
      <c r="G512" s="67"/>
      <c r="H512" s="72" t="s">
        <v>446</v>
      </c>
      <c r="I512" s="439">
        <v>12300</v>
      </c>
      <c r="J512" s="439">
        <v>235</v>
      </c>
      <c r="K512" s="430"/>
      <c r="L512" s="439"/>
      <c r="M512" s="65">
        <f t="shared" si="57"/>
        <v>2890500</v>
      </c>
      <c r="N512" s="66" t="s">
        <v>282</v>
      </c>
      <c r="O512" s="66" t="s">
        <v>276</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2" s="349" customFormat="1" ht="15.75" customHeight="1">
      <c r="A513" s="334" t="str">
        <f>IF(B513&lt;&gt;"",IF(AND(B513='IN-TC'!$S$4,OR(TH!N513="1111",TH!O513="1111")),TH!D513,""),"")</f>
        <v/>
      </c>
      <c r="B513" s="63">
        <f t="shared" si="58"/>
        <v>7</v>
      </c>
      <c r="C513" s="64">
        <v>42567</v>
      </c>
      <c r="D513" s="78" t="s">
        <v>674</v>
      </c>
      <c r="E513" s="78">
        <f t="shared" si="56"/>
        <v>42567</v>
      </c>
      <c r="F513" s="67" t="s">
        <v>1402</v>
      </c>
      <c r="G513" s="975" t="s">
        <v>1726</v>
      </c>
      <c r="H513" s="80" t="s">
        <v>1404</v>
      </c>
      <c r="I513" s="435">
        <v>500</v>
      </c>
      <c r="J513" s="435">
        <v>12728</v>
      </c>
      <c r="K513" s="426"/>
      <c r="L513" s="435"/>
      <c r="M513" s="81">
        <f>I513*J513</f>
        <v>6364000</v>
      </c>
      <c r="N513" s="82" t="s">
        <v>276</v>
      </c>
      <c r="O513" s="82" t="s">
        <v>8</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c r="AE513" s="1136" t="str">
        <f>IF(H513&lt;&gt;VLOOKUP(H513,DSKH,1,0),"","x")</f>
        <v>x</v>
      </c>
      <c r="AF513" s="328">
        <v>7</v>
      </c>
    </row>
    <row r="514" spans="1:32" s="349" customFormat="1" ht="15.75" customHeight="1">
      <c r="A514" s="334" t="str">
        <f>IF(B514&lt;&gt;"",IF(AND(B514='IN-TC'!$S$4,OR(TH!N514="1111",TH!O514="1111")),TH!D514,""),"")</f>
        <v/>
      </c>
      <c r="B514" s="63">
        <f t="shared" si="58"/>
        <v>7</v>
      </c>
      <c r="C514" s="64">
        <v>42567</v>
      </c>
      <c r="D514" s="78" t="s">
        <v>674</v>
      </c>
      <c r="E514" s="78">
        <f t="shared" si="56"/>
        <v>42567</v>
      </c>
      <c r="F514" s="67" t="s">
        <v>1405</v>
      </c>
      <c r="G514" s="975" t="s">
        <v>1726</v>
      </c>
      <c r="H514" s="80" t="s">
        <v>1404</v>
      </c>
      <c r="I514" s="435"/>
      <c r="J514" s="435"/>
      <c r="K514" s="426"/>
      <c r="L514" s="435"/>
      <c r="M514" s="81">
        <v>636400</v>
      </c>
      <c r="N514" s="82" t="s">
        <v>9</v>
      </c>
      <c r="O514" s="82" t="s">
        <v>8</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x</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c r="AE514" s="1136" t="str">
        <f>IF(H514&lt;&gt;VLOOKUP(H514,DSKH,1,0),"","x")</f>
        <v>x</v>
      </c>
      <c r="AF514" s="328">
        <v>7</v>
      </c>
    </row>
    <row r="515" spans="1:32" s="339" customFormat="1" ht="15.75" customHeight="1">
      <c r="A515" s="334" t="str">
        <f>IF(B515&lt;&gt;"",IF(AND(B515='IN-TC'!$S$4,OR(TH!N515="1111",TH!O515="1111")),TH!D515,""),"")</f>
        <v/>
      </c>
      <c r="B515" s="63">
        <f t="shared" si="58"/>
        <v>7</v>
      </c>
      <c r="C515" s="64">
        <v>42552</v>
      </c>
      <c r="D515" s="64" t="s">
        <v>683</v>
      </c>
      <c r="E515" s="64">
        <f t="shared" si="56"/>
        <v>42552</v>
      </c>
      <c r="F515" s="67" t="s">
        <v>339</v>
      </c>
      <c r="G515" s="972"/>
      <c r="H515" s="72" t="s">
        <v>446</v>
      </c>
      <c r="I515" s="437">
        <v>10</v>
      </c>
      <c r="J515" s="437">
        <v>35444.444444444445</v>
      </c>
      <c r="K515" s="428"/>
      <c r="L515" s="437"/>
      <c r="M515" s="65">
        <f t="shared" ref="M515:M536" si="59">ROUND(I515*J515,0)</f>
        <v>354444</v>
      </c>
      <c r="N515" s="66" t="s">
        <v>282</v>
      </c>
      <c r="O515" s="66" t="s">
        <v>276</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2" s="339" customFormat="1" ht="15.75" customHeight="1">
      <c r="A516" s="334" t="str">
        <f>IF(B516&lt;&gt;"",IF(AND(B516='IN-TC'!$S$4,OR(TH!N516="1111",TH!O516="1111")),TH!D516,""),"")</f>
        <v/>
      </c>
      <c r="B516" s="63">
        <f t="shared" si="58"/>
        <v>7</v>
      </c>
      <c r="C516" s="64">
        <v>42552</v>
      </c>
      <c r="D516" s="64" t="s">
        <v>683</v>
      </c>
      <c r="E516" s="64">
        <f t="shared" si="56"/>
        <v>42552</v>
      </c>
      <c r="F516" s="67" t="s">
        <v>345</v>
      </c>
      <c r="G516" s="972"/>
      <c r="H516" s="72" t="s">
        <v>446</v>
      </c>
      <c r="I516" s="437">
        <v>20</v>
      </c>
      <c r="J516" s="437">
        <v>46741.2</v>
      </c>
      <c r="K516" s="428"/>
      <c r="L516" s="437"/>
      <c r="M516" s="65">
        <f t="shared" si="59"/>
        <v>934824</v>
      </c>
      <c r="N516" s="66" t="s">
        <v>282</v>
      </c>
      <c r="O516" s="66" t="s">
        <v>276</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2" s="339" customFormat="1" ht="15.75" customHeight="1">
      <c r="A517" s="334" t="str">
        <f>IF(B517&lt;&gt;"",IF(AND(B517='IN-TC'!$S$4,OR(TH!N517="1111",TH!O517="1111")),TH!D517,""),"")</f>
        <v/>
      </c>
      <c r="B517" s="63">
        <f t="shared" si="58"/>
        <v>7</v>
      </c>
      <c r="C517" s="64">
        <v>42552</v>
      </c>
      <c r="D517" s="64" t="s">
        <v>683</v>
      </c>
      <c r="E517" s="64">
        <f t="shared" si="56"/>
        <v>42552</v>
      </c>
      <c r="F517" s="67" t="s">
        <v>348</v>
      </c>
      <c r="G517" s="67"/>
      <c r="H517" s="72" t="s">
        <v>446</v>
      </c>
      <c r="I517" s="437">
        <v>250</v>
      </c>
      <c r="J517" s="437">
        <v>14523.81</v>
      </c>
      <c r="K517" s="428"/>
      <c r="L517" s="437"/>
      <c r="M517" s="65">
        <f t="shared" si="59"/>
        <v>3630953</v>
      </c>
      <c r="N517" s="66" t="s">
        <v>282</v>
      </c>
      <c r="O517" s="66" t="s">
        <v>276</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x</v>
      </c>
      <c r="AD517" s="82" t="str">
        <f>IF(AND(N517="1521",MONTH(C517)='BK-NL'!$M$11),"x","")</f>
        <v/>
      </c>
    </row>
    <row r="518" spans="1:32" s="339" customFormat="1" ht="15.75" customHeight="1">
      <c r="A518" s="334" t="str">
        <f>IF(B518&lt;&gt;"",IF(AND(B518='IN-TC'!$S$4,OR(TH!N518="1111",TH!O518="1111")),TH!D518,""),"")</f>
        <v/>
      </c>
      <c r="B518" s="63">
        <f t="shared" si="58"/>
        <v>7</v>
      </c>
      <c r="C518" s="64">
        <v>42552</v>
      </c>
      <c r="D518" s="64" t="s">
        <v>683</v>
      </c>
      <c r="E518" s="64">
        <f t="shared" si="56"/>
        <v>42552</v>
      </c>
      <c r="F518" s="67" t="s">
        <v>353</v>
      </c>
      <c r="G518" s="67"/>
      <c r="H518" s="72" t="s">
        <v>446</v>
      </c>
      <c r="I518" s="437">
        <v>500</v>
      </c>
      <c r="J518" s="437">
        <v>3200</v>
      </c>
      <c r="K518" s="428"/>
      <c r="L518" s="437"/>
      <c r="M518" s="65">
        <f t="shared" si="59"/>
        <v>1600000</v>
      </c>
      <c r="N518" s="66" t="s">
        <v>282</v>
      </c>
      <c r="O518" s="66" t="s">
        <v>276</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2" s="339" customFormat="1" ht="15.75" customHeight="1">
      <c r="A519" s="334" t="str">
        <f>IF(B519&lt;&gt;"",IF(AND(B519='IN-TC'!$S$4,OR(TH!N519="1111",TH!O519="1111")),TH!D519,""),"")</f>
        <v/>
      </c>
      <c r="B519" s="63">
        <f t="shared" si="58"/>
        <v>7</v>
      </c>
      <c r="C519" s="64">
        <v>42552</v>
      </c>
      <c r="D519" s="64" t="s">
        <v>683</v>
      </c>
      <c r="E519" s="64">
        <f t="shared" si="56"/>
        <v>42552</v>
      </c>
      <c r="F519" s="67" t="s">
        <v>356</v>
      </c>
      <c r="G519" s="67"/>
      <c r="H519" s="72" t="s">
        <v>446</v>
      </c>
      <c r="I519" s="437">
        <v>270</v>
      </c>
      <c r="J519" s="437">
        <v>14728</v>
      </c>
      <c r="K519" s="428"/>
      <c r="L519" s="437"/>
      <c r="M519" s="65">
        <f t="shared" si="59"/>
        <v>3976560</v>
      </c>
      <c r="N519" s="66" t="s">
        <v>282</v>
      </c>
      <c r="O519" s="66" t="s">
        <v>276</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2" s="339" customFormat="1" ht="15.75" customHeight="1">
      <c r="A520" s="334" t="str">
        <f>IF(B520&lt;&gt;"",IF(AND(B520='IN-TC'!$S$4,OR(TH!N520="1111",TH!O520="1111")),TH!D520,""),"")</f>
        <v/>
      </c>
      <c r="B520" s="63">
        <f t="shared" si="58"/>
        <v>7</v>
      </c>
      <c r="C520" s="64">
        <v>42552</v>
      </c>
      <c r="D520" s="64" t="s">
        <v>684</v>
      </c>
      <c r="E520" s="64">
        <f t="shared" si="56"/>
        <v>42552</v>
      </c>
      <c r="F520" s="67" t="s">
        <v>1402</v>
      </c>
      <c r="G520" s="67"/>
      <c r="H520" s="72" t="s">
        <v>446</v>
      </c>
      <c r="I520" s="437">
        <v>100</v>
      </c>
      <c r="J520" s="437">
        <v>12728</v>
      </c>
      <c r="K520" s="428"/>
      <c r="L520" s="437"/>
      <c r="M520" s="65">
        <f t="shared" si="59"/>
        <v>1272800</v>
      </c>
      <c r="N520" s="66" t="s">
        <v>282</v>
      </c>
      <c r="O520" s="66" t="s">
        <v>276</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2" s="339" customFormat="1" ht="15.75" customHeight="1">
      <c r="A521" s="334" t="str">
        <f>IF(B521&lt;&gt;"",IF(AND(B521='IN-TC'!$S$4,OR(TH!N521="1111",TH!O521="1111")),TH!D521,""),"")</f>
        <v/>
      </c>
      <c r="B521" s="63">
        <f t="shared" si="58"/>
        <v>7</v>
      </c>
      <c r="C521" s="64">
        <v>42556</v>
      </c>
      <c r="D521" s="64" t="s">
        <v>684</v>
      </c>
      <c r="E521" s="64">
        <f t="shared" si="56"/>
        <v>42556</v>
      </c>
      <c r="F521" s="67" t="s">
        <v>359</v>
      </c>
      <c r="G521" s="67"/>
      <c r="H521" s="72" t="s">
        <v>446</v>
      </c>
      <c r="I521" s="437">
        <v>100</v>
      </c>
      <c r="J521" s="437">
        <v>8500</v>
      </c>
      <c r="K521" s="428"/>
      <c r="L521" s="437"/>
      <c r="M521" s="65">
        <f t="shared" si="59"/>
        <v>850000</v>
      </c>
      <c r="N521" s="66" t="s">
        <v>282</v>
      </c>
      <c r="O521" s="66" t="s">
        <v>276</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2" s="339" customFormat="1" ht="15.75" customHeight="1">
      <c r="A522" s="334" t="str">
        <f>IF(B522&lt;&gt;"",IF(AND(B522='IN-TC'!$S$4,OR(TH!N522="1111",TH!O522="1111")),TH!D522,""),"")</f>
        <v/>
      </c>
      <c r="B522" s="63">
        <f t="shared" si="58"/>
        <v>7</v>
      </c>
      <c r="C522" s="64">
        <v>42556</v>
      </c>
      <c r="D522" s="64" t="s">
        <v>684</v>
      </c>
      <c r="E522" s="64">
        <f t="shared" si="56"/>
        <v>42556</v>
      </c>
      <c r="F522" s="67" t="s">
        <v>363</v>
      </c>
      <c r="G522" s="67"/>
      <c r="H522" s="72" t="s">
        <v>446</v>
      </c>
      <c r="I522" s="439">
        <v>100</v>
      </c>
      <c r="J522" s="439">
        <v>33000</v>
      </c>
      <c r="K522" s="430"/>
      <c r="L522" s="439"/>
      <c r="M522" s="65">
        <f t="shared" si="59"/>
        <v>3300000</v>
      </c>
      <c r="N522" s="66" t="s">
        <v>282</v>
      </c>
      <c r="O522" s="66" t="s">
        <v>276</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2" s="339" customFormat="1" ht="15.75" customHeight="1">
      <c r="A523" s="334" t="str">
        <f>IF(B523&lt;&gt;"",IF(AND(B523='IN-TC'!$S$4,OR(TH!N523="1111",TH!O523="1111")),TH!D523,""),"")</f>
        <v/>
      </c>
      <c r="B523" s="63">
        <f t="shared" si="58"/>
        <v>7</v>
      </c>
      <c r="C523" s="64">
        <v>42556</v>
      </c>
      <c r="D523" s="64" t="s">
        <v>685</v>
      </c>
      <c r="E523" s="64">
        <f t="shared" si="56"/>
        <v>42556</v>
      </c>
      <c r="F523" s="67" t="s">
        <v>401</v>
      </c>
      <c r="G523" s="67"/>
      <c r="H523" s="72" t="s">
        <v>446</v>
      </c>
      <c r="I523" s="439">
        <v>600</v>
      </c>
      <c r="J523" s="439">
        <v>18200</v>
      </c>
      <c r="K523" s="430"/>
      <c r="L523" s="439"/>
      <c r="M523" s="65">
        <f t="shared" si="59"/>
        <v>10920000</v>
      </c>
      <c r="N523" s="66" t="s">
        <v>282</v>
      </c>
      <c r="O523" s="66" t="s">
        <v>276</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2" s="339" customFormat="1" ht="15.75" customHeight="1">
      <c r="A524" s="334" t="str">
        <f>IF(B524&lt;&gt;"",IF(AND(B524='IN-TC'!$S$4,OR(TH!N524="1111",TH!O524="1111")),TH!D524,""),"")</f>
        <v/>
      </c>
      <c r="B524" s="63">
        <f t="shared" si="58"/>
        <v>7</v>
      </c>
      <c r="C524" s="64">
        <v>42556</v>
      </c>
      <c r="D524" s="64" t="s">
        <v>685</v>
      </c>
      <c r="E524" s="64">
        <f t="shared" si="56"/>
        <v>42556</v>
      </c>
      <c r="F524" s="67" t="s">
        <v>650</v>
      </c>
      <c r="G524" s="67"/>
      <c r="H524" s="72" t="s">
        <v>446</v>
      </c>
      <c r="I524" s="439">
        <v>2268</v>
      </c>
      <c r="J524" s="439">
        <v>11500</v>
      </c>
      <c r="K524" s="430"/>
      <c r="L524" s="439"/>
      <c r="M524" s="65">
        <f t="shared" si="59"/>
        <v>26082000</v>
      </c>
      <c r="N524" s="66" t="s">
        <v>282</v>
      </c>
      <c r="O524" s="66" t="s">
        <v>276</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x</v>
      </c>
      <c r="AC524" s="82" t="str">
        <f>IF(AND(OR(LEFT(TH!N524,2)="15",LEFT(TH!O524,2)="15"),TK!$E$7=TH!F524),"x","")</f>
        <v/>
      </c>
      <c r="AD524" s="82" t="str">
        <f>IF(AND(N524="1521",MONTH(C524)='BK-NL'!$M$11),"x","")</f>
        <v/>
      </c>
    </row>
    <row r="525" spans="1:32" s="339" customFormat="1" ht="15.75" customHeight="1">
      <c r="A525" s="334" t="str">
        <f>IF(B525&lt;&gt;"",IF(AND(B525='IN-TC'!$S$4,OR(TH!N525="1111",TH!O525="1111")),TH!D525,""),"")</f>
        <v/>
      </c>
      <c r="B525" s="63">
        <f t="shared" si="58"/>
        <v>7</v>
      </c>
      <c r="C525" s="64">
        <v>42562</v>
      </c>
      <c r="D525" s="64" t="s">
        <v>686</v>
      </c>
      <c r="E525" s="64">
        <f t="shared" ref="E525:E561" si="60">C525</f>
        <v>42562</v>
      </c>
      <c r="F525" s="67" t="s">
        <v>387</v>
      </c>
      <c r="G525" s="67"/>
      <c r="H525" s="72" t="s">
        <v>446</v>
      </c>
      <c r="I525" s="439">
        <v>227</v>
      </c>
      <c r="J525" s="439">
        <v>16800</v>
      </c>
      <c r="K525" s="430"/>
      <c r="L525" s="439"/>
      <c r="M525" s="65">
        <f t="shared" si="59"/>
        <v>3813600</v>
      </c>
      <c r="N525" s="66" t="s">
        <v>282</v>
      </c>
      <c r="O525" s="66" t="s">
        <v>276</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2" s="339" customFormat="1" ht="15.75" customHeight="1">
      <c r="A526" s="334" t="str">
        <f>IF(B526&lt;&gt;"",IF(AND(B526='IN-TC'!$S$4,OR(TH!N526="1111",TH!O526="1111")),TH!D526,""),"")</f>
        <v/>
      </c>
      <c r="B526" s="63">
        <f t="shared" si="58"/>
        <v>7</v>
      </c>
      <c r="C526" s="64">
        <v>42576</v>
      </c>
      <c r="D526" s="64" t="s">
        <v>685</v>
      </c>
      <c r="E526" s="64">
        <f t="shared" si="60"/>
        <v>42576</v>
      </c>
      <c r="F526" s="67" t="s">
        <v>387</v>
      </c>
      <c r="G526" s="67"/>
      <c r="H526" s="72" t="s">
        <v>446</v>
      </c>
      <c r="I526" s="439">
        <v>60</v>
      </c>
      <c r="J526" s="439">
        <v>5000</v>
      </c>
      <c r="K526" s="430"/>
      <c r="L526" s="439"/>
      <c r="M526" s="65">
        <f t="shared" si="59"/>
        <v>300000</v>
      </c>
      <c r="N526" s="66" t="s">
        <v>282</v>
      </c>
      <c r="O526" s="66" t="s">
        <v>276</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2" s="339" customFormat="1" ht="15.75" customHeight="1">
      <c r="A527" s="334" t="str">
        <f>IF(B527&lt;&gt;"",IF(AND(B527='IN-TC'!$S$4,OR(TH!N527="1111",TH!O527="1111")),TH!D527,""),"")</f>
        <v/>
      </c>
      <c r="B527" s="63">
        <f t="shared" si="58"/>
        <v>7</v>
      </c>
      <c r="C527" s="64">
        <v>42578</v>
      </c>
      <c r="D527" s="64" t="s">
        <v>685</v>
      </c>
      <c r="E527" s="64">
        <f t="shared" si="60"/>
        <v>42578</v>
      </c>
      <c r="F527" s="67" t="s">
        <v>1626</v>
      </c>
      <c r="G527" s="67"/>
      <c r="H527" s="72" t="s">
        <v>446</v>
      </c>
      <c r="I527" s="439">
        <v>240</v>
      </c>
      <c r="J527" s="439">
        <v>2400</v>
      </c>
      <c r="K527" s="430"/>
      <c r="L527" s="439"/>
      <c r="M527" s="65">
        <f t="shared" si="59"/>
        <v>576000</v>
      </c>
      <c r="N527" s="66" t="s">
        <v>282</v>
      </c>
      <c r="O527" s="66" t="s">
        <v>276</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2" s="339" customFormat="1" ht="15.75" customHeight="1">
      <c r="A528" s="334" t="str">
        <f>IF(B528&lt;&gt;"",IF(AND(B528='IN-TC'!$S$4,OR(TH!N528="1111",TH!O528="1111")),TH!D528,""),"")</f>
        <v/>
      </c>
      <c r="B528" s="63">
        <f t="shared" si="58"/>
        <v>7</v>
      </c>
      <c r="C528" s="64">
        <v>42578</v>
      </c>
      <c r="D528" s="64" t="s">
        <v>686</v>
      </c>
      <c r="E528" s="64">
        <f t="shared" si="60"/>
        <v>42578</v>
      </c>
      <c r="F528" s="67" t="s">
        <v>394</v>
      </c>
      <c r="G528" s="67"/>
      <c r="H528" s="72" t="s">
        <v>446</v>
      </c>
      <c r="I528" s="439">
        <v>240</v>
      </c>
      <c r="J528" s="439">
        <v>18000</v>
      </c>
      <c r="K528" s="430"/>
      <c r="L528" s="439"/>
      <c r="M528" s="65">
        <f t="shared" si="59"/>
        <v>4320000</v>
      </c>
      <c r="N528" s="66" t="s">
        <v>282</v>
      </c>
      <c r="O528" s="66" t="s">
        <v>276</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2" s="339" customFormat="1" ht="15.75" customHeight="1">
      <c r="A529" s="334" t="str">
        <f>IF(B529&lt;&gt;"",IF(AND(B529='IN-TC'!$S$4,OR(TH!N529="1111",TH!O529="1111")),TH!D529,""),"")</f>
        <v/>
      </c>
      <c r="B529" s="63">
        <f t="shared" si="58"/>
        <v>7</v>
      </c>
      <c r="C529" s="64">
        <v>42578</v>
      </c>
      <c r="D529" s="64" t="s">
        <v>685</v>
      </c>
      <c r="E529" s="64">
        <f t="shared" si="60"/>
        <v>42578</v>
      </c>
      <c r="F529" s="67" t="s">
        <v>1506</v>
      </c>
      <c r="G529" s="67"/>
      <c r="H529" s="72" t="s">
        <v>446</v>
      </c>
      <c r="I529" s="439">
        <v>233</v>
      </c>
      <c r="J529" s="439">
        <v>13000</v>
      </c>
      <c r="K529" s="430"/>
      <c r="L529" s="439"/>
      <c r="M529" s="65">
        <f t="shared" si="59"/>
        <v>3029000</v>
      </c>
      <c r="N529" s="66" t="s">
        <v>282</v>
      </c>
      <c r="O529" s="66" t="s">
        <v>276</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2" s="339" customFormat="1" ht="15.75" customHeight="1">
      <c r="A530" s="334" t="str">
        <f>IF(B530&lt;&gt;"",IF(AND(B530='IN-TC'!$S$4,OR(TH!N530="1111",TH!O530="1111")),TH!D530,""),"")</f>
        <v/>
      </c>
      <c r="B530" s="63">
        <f t="shared" si="58"/>
        <v>7</v>
      </c>
      <c r="C530" s="64">
        <v>42578</v>
      </c>
      <c r="D530" s="64" t="s">
        <v>685</v>
      </c>
      <c r="E530" s="64">
        <f t="shared" si="60"/>
        <v>42578</v>
      </c>
      <c r="F530" s="67" t="s">
        <v>1506</v>
      </c>
      <c r="G530" s="67"/>
      <c r="H530" s="72" t="s">
        <v>446</v>
      </c>
      <c r="I530" s="439">
        <v>50</v>
      </c>
      <c r="J530" s="439">
        <v>13000</v>
      </c>
      <c r="K530" s="430"/>
      <c r="L530" s="439"/>
      <c r="M530" s="65">
        <f t="shared" si="59"/>
        <v>650000</v>
      </c>
      <c r="N530" s="66" t="s">
        <v>282</v>
      </c>
      <c r="O530" s="66" t="s">
        <v>276</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2" s="339" customFormat="1" ht="15.75" customHeight="1">
      <c r="A531" s="334" t="str">
        <f>IF(B531&lt;&gt;"",IF(AND(B531='IN-TC'!$S$4,OR(TH!N531="1111",TH!O531="1111")),TH!D531,""),"")</f>
        <v/>
      </c>
      <c r="B531" s="63">
        <f t="shared" si="58"/>
        <v>7</v>
      </c>
      <c r="C531" s="64">
        <v>42578</v>
      </c>
      <c r="D531" s="64" t="s">
        <v>686</v>
      </c>
      <c r="E531" s="64">
        <f t="shared" si="60"/>
        <v>42578</v>
      </c>
      <c r="F531" s="67" t="s">
        <v>390</v>
      </c>
      <c r="G531" s="67"/>
      <c r="H531" s="72" t="s">
        <v>446</v>
      </c>
      <c r="I531" s="439">
        <v>192</v>
      </c>
      <c r="J531" s="439">
        <v>13500</v>
      </c>
      <c r="K531" s="430"/>
      <c r="L531" s="439"/>
      <c r="M531" s="65">
        <f t="shared" si="59"/>
        <v>2592000</v>
      </c>
      <c r="N531" s="66" t="s">
        <v>282</v>
      </c>
      <c r="O531" s="66" t="s">
        <v>276</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2" s="339" customFormat="1" ht="15.75" customHeight="1">
      <c r="A532" s="334" t="str">
        <f>IF(B532&lt;&gt;"",IF(AND(B532='IN-TC'!$S$4,OR(TH!N532="1111",TH!O532="1111")),TH!D532,""),"")</f>
        <v/>
      </c>
      <c r="B532" s="63">
        <f t="shared" si="58"/>
        <v>7</v>
      </c>
      <c r="C532" s="64">
        <v>42578</v>
      </c>
      <c r="D532" s="64" t="s">
        <v>686</v>
      </c>
      <c r="E532" s="64">
        <f t="shared" si="60"/>
        <v>42578</v>
      </c>
      <c r="F532" s="67" t="s">
        <v>384</v>
      </c>
      <c r="G532" s="67"/>
      <c r="H532" s="72" t="s">
        <v>446</v>
      </c>
      <c r="I532" s="439">
        <v>5619</v>
      </c>
      <c r="J532" s="439">
        <v>4466.322284402353</v>
      </c>
      <c r="K532" s="430"/>
      <c r="L532" s="439"/>
      <c r="M532" s="65">
        <f t="shared" si="59"/>
        <v>25096265</v>
      </c>
      <c r="N532" s="66" t="s">
        <v>282</v>
      </c>
      <c r="O532" s="66" t="s">
        <v>276</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2" ht="15.75" customHeight="1">
      <c r="A533" s="334" t="str">
        <f>IF(B533&lt;&gt;"",IF(AND(B533='IN-TC'!$S$4,OR(TH!N533="1111",TH!O533="1111")),TH!D533,""),"")</f>
        <v/>
      </c>
      <c r="B533" s="63">
        <f t="shared" si="58"/>
        <v>8</v>
      </c>
      <c r="C533" s="64">
        <v>42583</v>
      </c>
      <c r="D533" s="78" t="s">
        <v>674</v>
      </c>
      <c r="E533" s="78">
        <f t="shared" si="60"/>
        <v>42583</v>
      </c>
      <c r="F533" s="318" t="s">
        <v>1828</v>
      </c>
      <c r="G533" s="975" t="s">
        <v>1831</v>
      </c>
      <c r="H533" s="80" t="s">
        <v>620</v>
      </c>
      <c r="I533" s="435">
        <v>120</v>
      </c>
      <c r="J533" s="435">
        <v>11000</v>
      </c>
      <c r="K533" s="426"/>
      <c r="L533" s="435"/>
      <c r="M533" s="81">
        <f t="shared" si="59"/>
        <v>1320000</v>
      </c>
      <c r="N533" s="82" t="s">
        <v>276</v>
      </c>
      <c r="O533" s="82" t="s">
        <v>8</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c r="AE533" s="1136" t="str">
        <f t="shared" ref="AE533:AE548" si="61">IF(H533&lt;&gt;VLOOKUP(H533,DSKH,1,0),"","x")</f>
        <v>x</v>
      </c>
      <c r="AF533" s="328">
        <v>8</v>
      </c>
    </row>
    <row r="534" spans="1:32" ht="15.75" customHeight="1">
      <c r="A534" s="334" t="str">
        <f>IF(B534&lt;&gt;"",IF(AND(B534='IN-TC'!$S$4,OR(TH!N534="1111",TH!O534="1111")),TH!D534,""),"")</f>
        <v/>
      </c>
      <c r="B534" s="63">
        <f t="shared" si="58"/>
        <v>8</v>
      </c>
      <c r="C534" s="64">
        <v>42583</v>
      </c>
      <c r="D534" s="78" t="s">
        <v>674</v>
      </c>
      <c r="E534" s="78">
        <f t="shared" si="60"/>
        <v>42583</v>
      </c>
      <c r="F534" s="318" t="s">
        <v>1506</v>
      </c>
      <c r="G534" s="975" t="s">
        <v>1831</v>
      </c>
      <c r="H534" s="80" t="s">
        <v>620</v>
      </c>
      <c r="I534" s="435">
        <v>260</v>
      </c>
      <c r="J534" s="435">
        <v>13000</v>
      </c>
      <c r="K534" s="426"/>
      <c r="L534" s="435"/>
      <c r="M534" s="81">
        <f t="shared" si="59"/>
        <v>3380000</v>
      </c>
      <c r="N534" s="82" t="s">
        <v>276</v>
      </c>
      <c r="O534" s="82" t="s">
        <v>8</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c r="AE534" s="1136" t="str">
        <f t="shared" si="61"/>
        <v>x</v>
      </c>
      <c r="AF534" s="328">
        <v>8</v>
      </c>
    </row>
    <row r="535" spans="1:32" ht="15.75" customHeight="1">
      <c r="A535" s="334" t="str">
        <f>IF(B535&lt;&gt;"",IF(AND(B535='IN-TC'!$S$4,OR(TH!N535="1111",TH!O535="1111")),TH!D535,""),"")</f>
        <v/>
      </c>
      <c r="B535" s="63">
        <f t="shared" si="58"/>
        <v>8</v>
      </c>
      <c r="C535" s="64">
        <v>42583</v>
      </c>
      <c r="D535" s="78" t="s">
        <v>674</v>
      </c>
      <c r="E535" s="78">
        <f t="shared" si="60"/>
        <v>42583</v>
      </c>
      <c r="F535" s="318" t="s">
        <v>1829</v>
      </c>
      <c r="G535" s="975" t="s">
        <v>1831</v>
      </c>
      <c r="H535" s="80" t="s">
        <v>620</v>
      </c>
      <c r="I535" s="435">
        <v>2300</v>
      </c>
      <c r="J535" s="435">
        <v>10000</v>
      </c>
      <c r="K535" s="426"/>
      <c r="L535" s="435"/>
      <c r="M535" s="81">
        <f t="shared" si="59"/>
        <v>23000000</v>
      </c>
      <c r="N535" s="82" t="s">
        <v>276</v>
      </c>
      <c r="O535" s="82" t="s">
        <v>8</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c r="AE535" s="1136" t="str">
        <f t="shared" si="61"/>
        <v>x</v>
      </c>
      <c r="AF535" s="328">
        <v>8</v>
      </c>
    </row>
    <row r="536" spans="1:32" ht="15.75" customHeight="1">
      <c r="A536" s="334" t="str">
        <f>IF(B536&lt;&gt;"",IF(AND(B536='IN-TC'!$S$4,OR(TH!N536="1111",TH!O536="1111")),TH!D536,""),"")</f>
        <v/>
      </c>
      <c r="B536" s="63">
        <f t="shared" si="58"/>
        <v>8</v>
      </c>
      <c r="C536" s="64">
        <v>42583</v>
      </c>
      <c r="D536" s="78" t="s">
        <v>674</v>
      </c>
      <c r="E536" s="78">
        <f t="shared" si="60"/>
        <v>42583</v>
      </c>
      <c r="F536" s="318" t="s">
        <v>1830</v>
      </c>
      <c r="G536" s="975" t="s">
        <v>1831</v>
      </c>
      <c r="H536" s="80" t="s">
        <v>620</v>
      </c>
      <c r="I536" s="435">
        <v>1009</v>
      </c>
      <c r="J536" s="435">
        <v>15000</v>
      </c>
      <c r="K536" s="426"/>
      <c r="L536" s="435"/>
      <c r="M536" s="81">
        <f t="shared" si="59"/>
        <v>15135000</v>
      </c>
      <c r="N536" s="82" t="s">
        <v>276</v>
      </c>
      <c r="O536" s="82" t="s">
        <v>8</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c r="AE536" s="1136" t="str">
        <f t="shared" si="61"/>
        <v>x</v>
      </c>
      <c r="AF536" s="328">
        <v>8</v>
      </c>
    </row>
    <row r="537" spans="1:32" ht="15.75" customHeight="1">
      <c r="A537" s="334" t="str">
        <f>IF(B537&lt;&gt;"",IF(AND(B537='IN-TC'!$S$4,OR(TH!N537="1111",TH!O537="1111")),TH!D537,""),"")</f>
        <v/>
      </c>
      <c r="B537" s="63">
        <f t="shared" si="58"/>
        <v>8</v>
      </c>
      <c r="C537" s="64">
        <v>42583</v>
      </c>
      <c r="D537" s="78" t="s">
        <v>674</v>
      </c>
      <c r="E537" s="78">
        <f t="shared" si="60"/>
        <v>42583</v>
      </c>
      <c r="F537" s="67" t="s">
        <v>649</v>
      </c>
      <c r="G537" s="975" t="s">
        <v>1831</v>
      </c>
      <c r="H537" s="80" t="s">
        <v>620</v>
      </c>
      <c r="I537" s="435"/>
      <c r="J537" s="435"/>
      <c r="K537" s="426"/>
      <c r="L537" s="435"/>
      <c r="M537" s="81">
        <v>4283500</v>
      </c>
      <c r="N537" s="82" t="s">
        <v>9</v>
      </c>
      <c r="O537" s="82" t="s">
        <v>8</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x</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c r="AE537" s="1136" t="str">
        <f t="shared" si="61"/>
        <v>x</v>
      </c>
      <c r="AF537" s="328">
        <v>8</v>
      </c>
    </row>
    <row r="538" spans="1:32" s="349" customFormat="1" ht="15.75" customHeight="1">
      <c r="A538" s="334" t="str">
        <f>IF(B538&lt;&gt;"",IF(AND(B538='IN-TC'!$S$4,OR(TH!N538="1111",TH!O538="1111")),TH!D538,""),"")</f>
        <v/>
      </c>
      <c r="B538" s="63">
        <f t="shared" si="58"/>
        <v>8</v>
      </c>
      <c r="C538" s="64">
        <v>42594</v>
      </c>
      <c r="D538" s="78" t="s">
        <v>675</v>
      </c>
      <c r="E538" s="78">
        <f t="shared" si="60"/>
        <v>42594</v>
      </c>
      <c r="F538" s="67" t="s">
        <v>353</v>
      </c>
      <c r="G538" s="975" t="s">
        <v>1833</v>
      </c>
      <c r="H538" s="80" t="s">
        <v>619</v>
      </c>
      <c r="I538" s="435">
        <v>3000</v>
      </c>
      <c r="J538" s="435">
        <v>3200</v>
      </c>
      <c r="K538" s="426"/>
      <c r="L538" s="435"/>
      <c r="M538" s="81">
        <f>ROUND(I538*J538,0)</f>
        <v>9600000</v>
      </c>
      <c r="N538" s="82" t="s">
        <v>276</v>
      </c>
      <c r="O538" s="82" t="s">
        <v>8</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c r="AE538" s="1136" t="str">
        <f t="shared" si="61"/>
        <v>x</v>
      </c>
    </row>
    <row r="539" spans="1:32" s="349" customFormat="1" ht="15.75" customHeight="1">
      <c r="A539" s="334" t="str">
        <f>IF(B539&lt;&gt;"",IF(AND(B539='IN-TC'!$S$4,OR(TH!N539="1111",TH!O539="1111")),TH!D539,""),"")</f>
        <v/>
      </c>
      <c r="B539" s="63">
        <f t="shared" si="58"/>
        <v>8</v>
      </c>
      <c r="C539" s="64">
        <v>42606</v>
      </c>
      <c r="D539" s="78" t="s">
        <v>676</v>
      </c>
      <c r="E539" s="78">
        <f t="shared" si="60"/>
        <v>42606</v>
      </c>
      <c r="F539" s="67" t="s">
        <v>1834</v>
      </c>
      <c r="G539" s="975" t="s">
        <v>1835</v>
      </c>
      <c r="H539" s="80" t="s">
        <v>620</v>
      </c>
      <c r="I539" s="435">
        <v>2000</v>
      </c>
      <c r="J539" s="435">
        <v>11500</v>
      </c>
      <c r="K539" s="426"/>
      <c r="L539" s="435"/>
      <c r="M539" s="81">
        <f>ROUND(I539*J539,0)</f>
        <v>23000000</v>
      </c>
      <c r="N539" s="82" t="s">
        <v>276</v>
      </c>
      <c r="O539" s="82" t="s">
        <v>8</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c r="AE539" s="1136" t="str">
        <f t="shared" si="61"/>
        <v>x</v>
      </c>
      <c r="AF539" s="349">
        <v>8</v>
      </c>
    </row>
    <row r="540" spans="1:32" s="349" customFormat="1" ht="15.75" customHeight="1">
      <c r="A540" s="334" t="str">
        <f>IF(B540&lt;&gt;"",IF(AND(B540='IN-TC'!$S$4,OR(TH!N540="1111",TH!O540="1111")),TH!D540,""),"")</f>
        <v/>
      </c>
      <c r="B540" s="63">
        <f t="shared" si="58"/>
        <v>8</v>
      </c>
      <c r="C540" s="64">
        <v>42606</v>
      </c>
      <c r="D540" s="78" t="s">
        <v>676</v>
      </c>
      <c r="E540" s="78">
        <f t="shared" si="60"/>
        <v>42606</v>
      </c>
      <c r="F540" s="67" t="s">
        <v>1829</v>
      </c>
      <c r="G540" s="975" t="s">
        <v>1835</v>
      </c>
      <c r="H540" s="80" t="s">
        <v>620</v>
      </c>
      <c r="I540" s="435">
        <v>100</v>
      </c>
      <c r="J540" s="435">
        <v>12000</v>
      </c>
      <c r="K540" s="426"/>
      <c r="L540" s="435"/>
      <c r="M540" s="81">
        <f>ROUND(I540*J540,0)</f>
        <v>1200000</v>
      </c>
      <c r="N540" s="82" t="s">
        <v>276</v>
      </c>
      <c r="O540" s="82" t="s">
        <v>8</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c r="AE540" s="1136" t="str">
        <f t="shared" si="61"/>
        <v>x</v>
      </c>
      <c r="AF540" s="349">
        <v>8</v>
      </c>
    </row>
    <row r="541" spans="1:32" s="349" customFormat="1" ht="15.75" customHeight="1">
      <c r="A541" s="334" t="str">
        <f>IF(B541&lt;&gt;"",IF(AND(B541='IN-TC'!$S$4,OR(TH!N541="1111",TH!O541="1111")),TH!D541,""),"")</f>
        <v/>
      </c>
      <c r="B541" s="63">
        <f t="shared" si="58"/>
        <v>8</v>
      </c>
      <c r="C541" s="64">
        <v>42606</v>
      </c>
      <c r="D541" s="78" t="s">
        <v>676</v>
      </c>
      <c r="E541" s="78">
        <f t="shared" si="60"/>
        <v>42606</v>
      </c>
      <c r="F541" s="67" t="s">
        <v>649</v>
      </c>
      <c r="G541" s="975" t="s">
        <v>1835</v>
      </c>
      <c r="H541" s="80" t="s">
        <v>620</v>
      </c>
      <c r="I541" s="435"/>
      <c r="J541" s="435"/>
      <c r="K541" s="426"/>
      <c r="L541" s="435"/>
      <c r="M541" s="81">
        <v>2420000</v>
      </c>
      <c r="N541" s="82" t="s">
        <v>9</v>
      </c>
      <c r="O541" s="82" t="s">
        <v>8</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x</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c r="AE541" s="1136" t="str">
        <f t="shared" si="61"/>
        <v>x</v>
      </c>
      <c r="AF541" s="349">
        <v>8</v>
      </c>
    </row>
    <row r="542" spans="1:32" s="349" customFormat="1" ht="15.75" customHeight="1">
      <c r="A542" s="334" t="str">
        <f>IF(B542&lt;&gt;"",IF(AND(B542='IN-TC'!$S$4,OR(TH!N542="1111",TH!O542="1111")),TH!D542,""),"")</f>
        <v/>
      </c>
      <c r="B542" s="63">
        <f t="shared" si="58"/>
        <v>8</v>
      </c>
      <c r="C542" s="64">
        <v>42608</v>
      </c>
      <c r="D542" s="78" t="s">
        <v>677</v>
      </c>
      <c r="E542" s="78">
        <f t="shared" si="60"/>
        <v>42608</v>
      </c>
      <c r="F542" s="67" t="s">
        <v>359</v>
      </c>
      <c r="G542" s="975" t="s">
        <v>1822</v>
      </c>
      <c r="H542" s="80" t="s">
        <v>616</v>
      </c>
      <c r="I542" s="435">
        <v>600</v>
      </c>
      <c r="J542" s="435">
        <v>8000</v>
      </c>
      <c r="K542" s="426"/>
      <c r="L542" s="435"/>
      <c r="M542" s="81">
        <f>ROUND(I542*J542,0)</f>
        <v>4800000</v>
      </c>
      <c r="N542" s="82" t="s">
        <v>276</v>
      </c>
      <c r="O542" s="82" t="s">
        <v>8</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c r="AE542" s="1136" t="str">
        <f t="shared" si="61"/>
        <v>x</v>
      </c>
      <c r="AF542" s="349">
        <v>8</v>
      </c>
    </row>
    <row r="543" spans="1:32" s="349" customFormat="1" ht="15.75" customHeight="1">
      <c r="A543" s="334" t="str">
        <f>IF(B543&lt;&gt;"",IF(AND(B543='IN-TC'!$S$4,OR(TH!N543="1111",TH!O543="1111")),TH!D543,""),"")</f>
        <v/>
      </c>
      <c r="B543" s="63">
        <f t="shared" si="58"/>
        <v>8</v>
      </c>
      <c r="C543" s="64">
        <v>42608</v>
      </c>
      <c r="D543" s="78" t="s">
        <v>677</v>
      </c>
      <c r="E543" s="78">
        <f t="shared" si="60"/>
        <v>42608</v>
      </c>
      <c r="F543" s="67" t="s">
        <v>1174</v>
      </c>
      <c r="G543" s="975" t="s">
        <v>1822</v>
      </c>
      <c r="H543" s="80" t="s">
        <v>616</v>
      </c>
      <c r="I543" s="435"/>
      <c r="J543" s="435"/>
      <c r="K543" s="426"/>
      <c r="L543" s="435"/>
      <c r="M543" s="81">
        <v>480000</v>
      </c>
      <c r="N543" s="82" t="s">
        <v>9</v>
      </c>
      <c r="O543" s="82" t="s">
        <v>8</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x</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c r="AE543" s="1136" t="str">
        <f t="shared" si="61"/>
        <v>x</v>
      </c>
      <c r="AF543" s="349">
        <v>8</v>
      </c>
    </row>
    <row r="544" spans="1:32" s="349" customFormat="1" ht="15.75" customHeight="1">
      <c r="A544" s="334" t="str">
        <f>IF(B544&lt;&gt;"",IF(AND(B544='IN-TC'!$S$4,OR(TH!N544="1111",TH!O544="1111")),TH!D544,""),"")</f>
        <v/>
      </c>
      <c r="B544" s="63">
        <f t="shared" si="58"/>
        <v>8</v>
      </c>
      <c r="C544" s="64">
        <v>42613</v>
      </c>
      <c r="D544" s="78" t="s">
        <v>678</v>
      </c>
      <c r="E544" s="78">
        <f t="shared" si="60"/>
        <v>42613</v>
      </c>
      <c r="F544" s="67" t="s">
        <v>1836</v>
      </c>
      <c r="G544" s="975" t="s">
        <v>1840</v>
      </c>
      <c r="H544" s="80" t="s">
        <v>1841</v>
      </c>
      <c r="I544" s="435">
        <v>47000</v>
      </c>
      <c r="J544" s="435">
        <v>1150</v>
      </c>
      <c r="K544" s="426"/>
      <c r="L544" s="435"/>
      <c r="M544" s="81">
        <f>ROUND(I544*J544,0)</f>
        <v>54050000</v>
      </c>
      <c r="N544" s="82" t="s">
        <v>276</v>
      </c>
      <c r="O544" s="82" t="s">
        <v>8</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c r="AE544" s="1136" t="str">
        <f t="shared" si="61"/>
        <v>x</v>
      </c>
      <c r="AF544" s="349">
        <v>8</v>
      </c>
    </row>
    <row r="545" spans="1:32" s="349" customFormat="1" ht="15.75" customHeight="1">
      <c r="A545" s="334" t="str">
        <f>IF(B545&lt;&gt;"",IF(AND(B545='IN-TC'!$S$4,OR(TH!N545="1111",TH!O545="1111")),TH!D545,""),"")</f>
        <v/>
      </c>
      <c r="B545" s="63">
        <f t="shared" si="58"/>
        <v>8</v>
      </c>
      <c r="C545" s="64">
        <v>42613</v>
      </c>
      <c r="D545" s="78" t="s">
        <v>678</v>
      </c>
      <c r="E545" s="78">
        <f t="shared" si="60"/>
        <v>42613</v>
      </c>
      <c r="F545" s="67" t="s">
        <v>1837</v>
      </c>
      <c r="G545" s="975" t="s">
        <v>1840</v>
      </c>
      <c r="H545" s="80" t="s">
        <v>1841</v>
      </c>
      <c r="I545" s="435">
        <v>200</v>
      </c>
      <c r="J545" s="435">
        <v>37000</v>
      </c>
      <c r="K545" s="426"/>
      <c r="L545" s="435"/>
      <c r="M545" s="81">
        <f>ROUND(I545*J545,0)</f>
        <v>7400000</v>
      </c>
      <c r="N545" s="82" t="s">
        <v>276</v>
      </c>
      <c r="O545" s="82" t="s">
        <v>8</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c r="AE545" s="1136" t="str">
        <f t="shared" si="61"/>
        <v>x</v>
      </c>
      <c r="AF545" s="349">
        <v>8</v>
      </c>
    </row>
    <row r="546" spans="1:32" s="349" customFormat="1" ht="15.75" customHeight="1">
      <c r="A546" s="334" t="str">
        <f>IF(B546&lt;&gt;"",IF(AND(B546='IN-TC'!$S$4,OR(TH!N546="1111",TH!O546="1111")),TH!D546,""),"")</f>
        <v/>
      </c>
      <c r="B546" s="63">
        <f t="shared" si="58"/>
        <v>8</v>
      </c>
      <c r="C546" s="64">
        <v>42613</v>
      </c>
      <c r="D546" s="78" t="s">
        <v>678</v>
      </c>
      <c r="E546" s="78">
        <f t="shared" si="60"/>
        <v>42613</v>
      </c>
      <c r="F546" s="67" t="s">
        <v>1838</v>
      </c>
      <c r="G546" s="975" t="s">
        <v>1840</v>
      </c>
      <c r="H546" s="80" t="s">
        <v>1841</v>
      </c>
      <c r="I546" s="435">
        <v>111</v>
      </c>
      <c r="J546" s="435">
        <v>37000</v>
      </c>
      <c r="K546" s="426"/>
      <c r="L546" s="435"/>
      <c r="M546" s="81">
        <f>ROUND(I546*J546,0)</f>
        <v>4107000</v>
      </c>
      <c r="N546" s="82" t="s">
        <v>276</v>
      </c>
      <c r="O546" s="82" t="s">
        <v>8</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c r="AE546" s="1136" t="str">
        <f t="shared" si="61"/>
        <v>x</v>
      </c>
      <c r="AF546" s="349">
        <v>8</v>
      </c>
    </row>
    <row r="547" spans="1:32" s="349" customFormat="1" ht="15.75" customHeight="1">
      <c r="A547" s="334" t="str">
        <f>IF(B547&lt;&gt;"",IF(AND(B547='IN-TC'!$S$4,OR(TH!N547="1111",TH!O547="1111")),TH!D547,""),"")</f>
        <v/>
      </c>
      <c r="B547" s="63">
        <f t="shared" si="58"/>
        <v>8</v>
      </c>
      <c r="C547" s="64">
        <v>42613</v>
      </c>
      <c r="D547" s="78" t="s">
        <v>678</v>
      </c>
      <c r="E547" s="78">
        <f t="shared" si="60"/>
        <v>42613</v>
      </c>
      <c r="F547" s="67" t="s">
        <v>1839</v>
      </c>
      <c r="G547" s="975" t="s">
        <v>1840</v>
      </c>
      <c r="H547" s="80" t="s">
        <v>1841</v>
      </c>
      <c r="I547" s="435">
        <v>306</v>
      </c>
      <c r="J547" s="435">
        <v>37000</v>
      </c>
      <c r="K547" s="426"/>
      <c r="L547" s="435"/>
      <c r="M547" s="81">
        <f>ROUND(I547*J547,0)</f>
        <v>11322000</v>
      </c>
      <c r="N547" s="82" t="s">
        <v>276</v>
      </c>
      <c r="O547" s="82" t="s">
        <v>8</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c r="AE547" s="1136" t="str">
        <f t="shared" si="61"/>
        <v>x</v>
      </c>
      <c r="AF547" s="349">
        <v>8</v>
      </c>
    </row>
    <row r="548" spans="1:32" s="349" customFormat="1" ht="15.75" customHeight="1">
      <c r="A548" s="334" t="str">
        <f>IF(B548&lt;&gt;"",IF(AND(B548='IN-TC'!$S$4,OR(TH!N548="1111",TH!O548="1111")),TH!D548,""),"")</f>
        <v/>
      </c>
      <c r="B548" s="63">
        <f t="shared" si="58"/>
        <v>8</v>
      </c>
      <c r="C548" s="64">
        <v>42613</v>
      </c>
      <c r="D548" s="78" t="s">
        <v>678</v>
      </c>
      <c r="E548" s="78">
        <f t="shared" si="60"/>
        <v>42613</v>
      </c>
      <c r="F548" s="67" t="s">
        <v>1842</v>
      </c>
      <c r="G548" s="975" t="s">
        <v>1840</v>
      </c>
      <c r="H548" s="80" t="s">
        <v>1841</v>
      </c>
      <c r="I548" s="435"/>
      <c r="J548" s="435"/>
      <c r="K548" s="426"/>
      <c r="L548" s="435"/>
      <c r="M548" s="81">
        <v>7687900</v>
      </c>
      <c r="N548" s="82" t="s">
        <v>9</v>
      </c>
      <c r="O548" s="82" t="s">
        <v>8</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x</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c r="AE548" s="1136" t="str">
        <f t="shared" si="61"/>
        <v>x</v>
      </c>
      <c r="AF548" s="349">
        <v>8</v>
      </c>
    </row>
    <row r="549" spans="1:32" s="339" customFormat="1" ht="15.75" customHeight="1">
      <c r="A549" s="334" t="str">
        <f>IF(B549&lt;&gt;"",IF(AND(B549='IN-TC'!$S$4,OR(TH!N549="1111",TH!O549="1111")),TH!D549,""),"")</f>
        <v/>
      </c>
      <c r="B549" s="63">
        <f t="shared" si="58"/>
        <v>8</v>
      </c>
      <c r="C549" s="64">
        <v>42583</v>
      </c>
      <c r="D549" s="64" t="s">
        <v>683</v>
      </c>
      <c r="E549" s="64">
        <f t="shared" si="60"/>
        <v>42583</v>
      </c>
      <c r="F549" s="67" t="s">
        <v>339</v>
      </c>
      <c r="G549" s="972"/>
      <c r="H549" s="72" t="s">
        <v>446</v>
      </c>
      <c r="I549" s="437">
        <v>25</v>
      </c>
      <c r="J549" s="437">
        <v>35444.444444444445</v>
      </c>
      <c r="K549" s="428"/>
      <c r="L549" s="437"/>
      <c r="M549" s="65">
        <f t="shared" ref="M549:M648" si="62">ROUND(I549*J549,0)</f>
        <v>886111</v>
      </c>
      <c r="N549" s="66" t="s">
        <v>282</v>
      </c>
      <c r="O549" s="66" t="s">
        <v>276</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2" s="339" customFormat="1" ht="15.75" customHeight="1">
      <c r="A550" s="334" t="str">
        <f>IF(B550&lt;&gt;"",IF(AND(B550='IN-TC'!$S$4,OR(TH!N550="1111",TH!O550="1111")),TH!D550,""),"")</f>
        <v/>
      </c>
      <c r="B550" s="63">
        <f t="shared" si="58"/>
        <v>8</v>
      </c>
      <c r="C550" s="64">
        <v>42583</v>
      </c>
      <c r="D550" s="64" t="s">
        <v>683</v>
      </c>
      <c r="E550" s="64">
        <f t="shared" si="60"/>
        <v>42583</v>
      </c>
      <c r="F550" s="67" t="s">
        <v>345</v>
      </c>
      <c r="G550" s="972"/>
      <c r="H550" s="72" t="s">
        <v>446</v>
      </c>
      <c r="I550" s="437">
        <v>60</v>
      </c>
      <c r="J550" s="437">
        <v>46741.2</v>
      </c>
      <c r="K550" s="428"/>
      <c r="L550" s="437"/>
      <c r="M550" s="65">
        <f t="shared" si="62"/>
        <v>2804472</v>
      </c>
      <c r="N550" s="66" t="s">
        <v>282</v>
      </c>
      <c r="O550" s="66" t="s">
        <v>276</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2" s="339" customFormat="1" ht="15.75" customHeight="1">
      <c r="A551" s="334" t="str">
        <f>IF(B551&lt;&gt;"",IF(AND(B551='IN-TC'!$S$4,OR(TH!N551="1111",TH!O551="1111")),TH!D551,""),"")</f>
        <v/>
      </c>
      <c r="B551" s="63">
        <f t="shared" si="58"/>
        <v>8</v>
      </c>
      <c r="C551" s="64">
        <v>42583</v>
      </c>
      <c r="D551" s="64" t="s">
        <v>683</v>
      </c>
      <c r="E551" s="64">
        <f t="shared" si="60"/>
        <v>42583</v>
      </c>
      <c r="F551" s="67" t="s">
        <v>348</v>
      </c>
      <c r="G551" s="67"/>
      <c r="H551" s="72" t="s">
        <v>446</v>
      </c>
      <c r="I551" s="437">
        <v>400</v>
      </c>
      <c r="J551" s="437">
        <v>14523.81</v>
      </c>
      <c r="K551" s="428"/>
      <c r="L551" s="437"/>
      <c r="M551" s="65">
        <f t="shared" si="62"/>
        <v>5809524</v>
      </c>
      <c r="N551" s="66" t="s">
        <v>282</v>
      </c>
      <c r="O551" s="66" t="s">
        <v>276</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x</v>
      </c>
      <c r="AD551" s="82" t="str">
        <f>IF(AND(N551="1521",MONTH(C551)='BK-NL'!$M$11),"x","")</f>
        <v/>
      </c>
    </row>
    <row r="552" spans="1:32" s="339" customFormat="1" ht="15.75" customHeight="1">
      <c r="A552" s="334" t="str">
        <f>IF(B552&lt;&gt;"",IF(AND(B552='IN-TC'!$S$4,OR(TH!N552="1111",TH!O552="1111")),TH!D552,""),"")</f>
        <v/>
      </c>
      <c r="B552" s="63">
        <f t="shared" si="58"/>
        <v>8</v>
      </c>
      <c r="C552" s="64">
        <v>42583</v>
      </c>
      <c r="D552" s="64" t="s">
        <v>683</v>
      </c>
      <c r="E552" s="64">
        <f t="shared" si="60"/>
        <v>42583</v>
      </c>
      <c r="F552" s="67" t="s">
        <v>353</v>
      </c>
      <c r="G552" s="67"/>
      <c r="H552" s="72" t="s">
        <v>446</v>
      </c>
      <c r="I552" s="437">
        <v>1000</v>
      </c>
      <c r="J552" s="437">
        <v>3200</v>
      </c>
      <c r="K552" s="428"/>
      <c r="L552" s="437"/>
      <c r="M552" s="65">
        <f t="shared" si="62"/>
        <v>3200000</v>
      </c>
      <c r="N552" s="66" t="s">
        <v>282</v>
      </c>
      <c r="O552" s="66" t="s">
        <v>276</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2" s="339" customFormat="1" ht="15.75" customHeight="1">
      <c r="A553" s="334" t="str">
        <f>IF(B553&lt;&gt;"",IF(AND(B553='IN-TC'!$S$4,OR(TH!N553="1111",TH!O553="1111")),TH!D553,""),"")</f>
        <v/>
      </c>
      <c r="B553" s="63">
        <f t="shared" si="58"/>
        <v>8</v>
      </c>
      <c r="C553" s="64">
        <v>42583</v>
      </c>
      <c r="D553" s="64" t="s">
        <v>683</v>
      </c>
      <c r="E553" s="64">
        <f t="shared" si="60"/>
        <v>42583</v>
      </c>
      <c r="F553" s="67" t="s">
        <v>356</v>
      </c>
      <c r="G553" s="67"/>
      <c r="H553" s="72" t="s">
        <v>446</v>
      </c>
      <c r="I553" s="437">
        <v>2970</v>
      </c>
      <c r="J553" s="437">
        <v>14728</v>
      </c>
      <c r="K553" s="428"/>
      <c r="L553" s="437"/>
      <c r="M553" s="65">
        <f t="shared" si="62"/>
        <v>43742160</v>
      </c>
      <c r="N553" s="66" t="s">
        <v>282</v>
      </c>
      <c r="O553" s="66" t="s">
        <v>276</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2" s="339" customFormat="1" ht="15.75" customHeight="1">
      <c r="A554" s="334" t="str">
        <f>IF(B554&lt;&gt;"",IF(AND(B554='IN-TC'!$S$4,OR(TH!N554="1111",TH!O554="1111")),TH!D554,""),"")</f>
        <v/>
      </c>
      <c r="B554" s="63">
        <f t="shared" si="58"/>
        <v>8</v>
      </c>
      <c r="C554" s="64">
        <v>42583</v>
      </c>
      <c r="D554" s="64" t="s">
        <v>683</v>
      </c>
      <c r="E554" s="64">
        <f t="shared" si="60"/>
        <v>42583</v>
      </c>
      <c r="F554" s="67" t="s">
        <v>1402</v>
      </c>
      <c r="G554" s="67"/>
      <c r="H554" s="72" t="s">
        <v>446</v>
      </c>
      <c r="I554" s="437">
        <v>250</v>
      </c>
      <c r="J554" s="437">
        <v>12728</v>
      </c>
      <c r="K554" s="428"/>
      <c r="L554" s="437"/>
      <c r="M554" s="65">
        <f t="shared" si="62"/>
        <v>3182000</v>
      </c>
      <c r="N554" s="66" t="s">
        <v>282</v>
      </c>
      <c r="O554" s="66" t="s">
        <v>276</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2" s="339" customFormat="1" ht="15.75" customHeight="1">
      <c r="A555" s="334" t="str">
        <f>IF(B555&lt;&gt;"",IF(AND(B555='IN-TC'!$S$4,OR(TH!N555="1111",TH!O555="1111")),TH!D555,""),"")</f>
        <v/>
      </c>
      <c r="B555" s="63">
        <f t="shared" si="58"/>
        <v>8</v>
      </c>
      <c r="C555" s="64">
        <v>42586</v>
      </c>
      <c r="D555" s="64" t="s">
        <v>684</v>
      </c>
      <c r="E555" s="64">
        <f t="shared" si="60"/>
        <v>42586</v>
      </c>
      <c r="F555" s="67" t="s">
        <v>359</v>
      </c>
      <c r="G555" s="67"/>
      <c r="H555" s="72" t="s">
        <v>446</v>
      </c>
      <c r="I555" s="437">
        <v>350</v>
      </c>
      <c r="J555" s="437">
        <v>8000</v>
      </c>
      <c r="K555" s="428"/>
      <c r="L555" s="437"/>
      <c r="M555" s="65">
        <f t="shared" si="62"/>
        <v>2800000</v>
      </c>
      <c r="N555" s="66" t="s">
        <v>282</v>
      </c>
      <c r="O555" s="66" t="s">
        <v>276</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2" s="339" customFormat="1" ht="15.75" customHeight="1">
      <c r="A556" s="334" t="str">
        <f>IF(B556&lt;&gt;"",IF(AND(B556='IN-TC'!$S$4,OR(TH!N556="1111",TH!O556="1111")),TH!D556,""),"")</f>
        <v/>
      </c>
      <c r="B556" s="63">
        <f t="shared" si="58"/>
        <v>8</v>
      </c>
      <c r="C556" s="64">
        <v>42586</v>
      </c>
      <c r="D556" s="64" t="s">
        <v>684</v>
      </c>
      <c r="E556" s="64">
        <f t="shared" si="60"/>
        <v>42586</v>
      </c>
      <c r="F556" s="67" t="s">
        <v>363</v>
      </c>
      <c r="G556" s="67"/>
      <c r="H556" s="72" t="s">
        <v>446</v>
      </c>
      <c r="I556" s="439">
        <v>200</v>
      </c>
      <c r="J556" s="439">
        <v>33000</v>
      </c>
      <c r="K556" s="430"/>
      <c r="L556" s="439"/>
      <c r="M556" s="65">
        <f t="shared" si="62"/>
        <v>6600000</v>
      </c>
      <c r="N556" s="66" t="s">
        <v>282</v>
      </c>
      <c r="O556" s="66" t="s">
        <v>276</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2" s="339" customFormat="1" ht="15.75" customHeight="1">
      <c r="A557" s="334" t="str">
        <f>IF(B557&lt;&gt;"",IF(AND(B557='IN-TC'!$S$4,OR(TH!N557="1111",TH!O557="1111")),TH!D557,""),"")</f>
        <v/>
      </c>
      <c r="B557" s="63">
        <f t="shared" si="58"/>
        <v>8</v>
      </c>
      <c r="C557" s="64">
        <v>42592</v>
      </c>
      <c r="D557" s="64" t="s">
        <v>685</v>
      </c>
      <c r="E557" s="64">
        <f t="shared" si="60"/>
        <v>42592</v>
      </c>
      <c r="F557" s="67" t="s">
        <v>384</v>
      </c>
      <c r="G557" s="67"/>
      <c r="H557" s="72" t="s">
        <v>446</v>
      </c>
      <c r="I557" s="439">
        <v>5619</v>
      </c>
      <c r="J557" s="439">
        <v>4466.322284402353</v>
      </c>
      <c r="K557" s="430"/>
      <c r="L557" s="439"/>
      <c r="M557" s="65">
        <f t="shared" si="62"/>
        <v>25096265</v>
      </c>
      <c r="N557" s="66" t="s">
        <v>282</v>
      </c>
      <c r="O557" s="66" t="s">
        <v>276</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2" s="339" customFormat="1" ht="15.75" customHeight="1">
      <c r="A558" s="334" t="str">
        <f>IF(B558&lt;&gt;"",IF(AND(B558='IN-TC'!$S$4,OR(TH!N558="1111",TH!O558="1111")),TH!D558,""),"")</f>
        <v/>
      </c>
      <c r="B558" s="63">
        <f t="shared" si="58"/>
        <v>8</v>
      </c>
      <c r="C558" s="64">
        <v>42597</v>
      </c>
      <c r="D558" s="64" t="s">
        <v>686</v>
      </c>
      <c r="E558" s="64">
        <f t="shared" si="60"/>
        <v>42597</v>
      </c>
      <c r="F558" s="67" t="s">
        <v>1830</v>
      </c>
      <c r="G558" s="67"/>
      <c r="H558" s="72" t="s">
        <v>446</v>
      </c>
      <c r="I558" s="439">
        <v>1009</v>
      </c>
      <c r="J558" s="439">
        <v>15000</v>
      </c>
      <c r="K558" s="430"/>
      <c r="L558" s="439"/>
      <c r="M558" s="65">
        <f t="shared" si="62"/>
        <v>15135000</v>
      </c>
      <c r="N558" s="66" t="s">
        <v>282</v>
      </c>
      <c r="O558" s="66" t="s">
        <v>276</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2" s="339" customFormat="1" ht="15.75" customHeight="1">
      <c r="A559" s="334" t="str">
        <f>IF(B559&lt;&gt;"",IF(AND(B559='IN-TC'!$S$4,OR(TH!N559="1111",TH!O559="1111")),TH!D559,""),"")</f>
        <v/>
      </c>
      <c r="B559" s="63">
        <f t="shared" si="58"/>
        <v>8</v>
      </c>
      <c r="C559" s="64">
        <v>42604</v>
      </c>
      <c r="D559" s="64" t="s">
        <v>687</v>
      </c>
      <c r="E559" s="64">
        <f t="shared" si="60"/>
        <v>42604</v>
      </c>
      <c r="F559" s="67" t="s">
        <v>387</v>
      </c>
      <c r="G559" s="67"/>
      <c r="H559" s="72" t="s">
        <v>446</v>
      </c>
      <c r="I559" s="439">
        <v>540</v>
      </c>
      <c r="J559" s="439">
        <v>5000</v>
      </c>
      <c r="K559" s="430"/>
      <c r="L559" s="439"/>
      <c r="M559" s="65">
        <f t="shared" si="62"/>
        <v>2700000</v>
      </c>
      <c r="N559" s="66" t="s">
        <v>282</v>
      </c>
      <c r="O559" s="66" t="s">
        <v>276</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2" s="339" customFormat="1" ht="15.75" customHeight="1">
      <c r="A560" s="334" t="str">
        <f>IF(B560&lt;&gt;"",IF(AND(B560='IN-TC'!$S$4,OR(TH!N560="1111",TH!O560="1111")),TH!D560,""),"")</f>
        <v/>
      </c>
      <c r="B560" s="63">
        <f t="shared" ref="B560:B659" si="63">IF(C560&lt;&gt;"",MONTH(C560),"")</f>
        <v>8</v>
      </c>
      <c r="C560" s="64">
        <v>42604</v>
      </c>
      <c r="D560" s="64" t="s">
        <v>687</v>
      </c>
      <c r="E560" s="64">
        <f t="shared" si="60"/>
        <v>42604</v>
      </c>
      <c r="F560" s="67" t="s">
        <v>387</v>
      </c>
      <c r="G560" s="67"/>
      <c r="H560" s="72" t="s">
        <v>446</v>
      </c>
      <c r="I560" s="439">
        <v>20</v>
      </c>
      <c r="J560" s="439">
        <v>5000</v>
      </c>
      <c r="K560" s="430"/>
      <c r="L560" s="439"/>
      <c r="M560" s="65">
        <f t="shared" si="62"/>
        <v>100000</v>
      </c>
      <c r="N560" s="66" t="s">
        <v>282</v>
      </c>
      <c r="O560" s="66" t="s">
        <v>276</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s="339" customFormat="1" ht="15.75" customHeight="1">
      <c r="A561" s="334" t="str">
        <f>IF(B561&lt;&gt;"",IF(AND(B561='IN-TC'!$S$4,OR(TH!N561="1111",TH!O561="1111")),TH!D561,""),"")</f>
        <v/>
      </c>
      <c r="B561" s="63">
        <f t="shared" si="63"/>
        <v>8</v>
      </c>
      <c r="C561" s="64">
        <v>42606</v>
      </c>
      <c r="D561" s="64" t="s">
        <v>688</v>
      </c>
      <c r="E561" s="64">
        <f t="shared" si="60"/>
        <v>42606</v>
      </c>
      <c r="F561" s="67" t="s">
        <v>1828</v>
      </c>
      <c r="G561" s="67"/>
      <c r="H561" s="72" t="s">
        <v>446</v>
      </c>
      <c r="I561" s="439">
        <v>120</v>
      </c>
      <c r="J561" s="439">
        <v>11000</v>
      </c>
      <c r="K561" s="430"/>
      <c r="L561" s="439"/>
      <c r="M561" s="65">
        <f t="shared" si="62"/>
        <v>1320000</v>
      </c>
      <c r="N561" s="66" t="s">
        <v>282</v>
      </c>
      <c r="O561" s="66" t="s">
        <v>276</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s="339" customFormat="1" ht="15.75" customHeight="1">
      <c r="A562" s="334" t="str">
        <f>IF(B562&lt;&gt;"",IF(AND(B562='IN-TC'!$S$4,OR(TH!N562="1111",TH!O562="1111")),TH!D562,""),"")</f>
        <v/>
      </c>
      <c r="B562" s="63">
        <v>9</v>
      </c>
      <c r="C562" s="64">
        <v>42616</v>
      </c>
      <c r="D562" s="64" t="s">
        <v>683</v>
      </c>
      <c r="E562" s="64">
        <f t="shared" ref="E562" si="64">C562</f>
        <v>42616</v>
      </c>
      <c r="F562" s="769" t="s">
        <v>339</v>
      </c>
      <c r="G562" s="67"/>
      <c r="H562" s="72" t="s">
        <v>446</v>
      </c>
      <c r="I562" s="1235">
        <v>20</v>
      </c>
      <c r="J562" s="1235">
        <v>35444.444439999999</v>
      </c>
      <c r="K562" s="430"/>
      <c r="L562" s="439"/>
      <c r="M562" s="65">
        <f t="shared" ref="M562" si="65">ROUND(I562*J562,0)</f>
        <v>708889</v>
      </c>
      <c r="N562" s="66" t="s">
        <v>282</v>
      </c>
      <c r="O562" s="66" t="s">
        <v>276</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s="339" customFormat="1" ht="15.75" customHeight="1">
      <c r="A563" s="334" t="str">
        <f>IF(B563&lt;&gt;"",IF(AND(B563='IN-TC'!$S$4,OR(TH!N563="1111",TH!O563="1111")),TH!D563,""),"")</f>
        <v/>
      </c>
      <c r="B563" s="63">
        <v>9</v>
      </c>
      <c r="C563" s="1234">
        <v>42616</v>
      </c>
      <c r="D563" s="64" t="s">
        <v>683</v>
      </c>
      <c r="E563" s="64">
        <f t="shared" ref="E563:E580" si="66">C563</f>
        <v>42616</v>
      </c>
      <c r="F563" s="774" t="s">
        <v>345</v>
      </c>
      <c r="G563" s="67"/>
      <c r="H563" s="72" t="s">
        <v>446</v>
      </c>
      <c r="I563" s="1235">
        <v>40</v>
      </c>
      <c r="J563" s="1235">
        <v>46741</v>
      </c>
      <c r="K563" s="430"/>
      <c r="L563" s="439"/>
      <c r="M563" s="65">
        <f t="shared" ref="M563:M580" si="67">ROUND(I563*J563,0)</f>
        <v>1869640</v>
      </c>
      <c r="N563" s="66" t="s">
        <v>282</v>
      </c>
      <c r="O563" s="66" t="s">
        <v>276</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s="339" customFormat="1" ht="15.75" customHeight="1">
      <c r="A564" s="334" t="str">
        <f>IF(B564&lt;&gt;"",IF(AND(B564='IN-TC'!$S$4,OR(TH!N564="1111",TH!O564="1111")),TH!D564,""),"")</f>
        <v/>
      </c>
      <c r="B564" s="63">
        <v>9</v>
      </c>
      <c r="C564" s="1234">
        <v>42616</v>
      </c>
      <c r="D564" s="64" t="s">
        <v>683</v>
      </c>
      <c r="E564" s="64">
        <f t="shared" si="66"/>
        <v>42616</v>
      </c>
      <c r="F564" s="774" t="s">
        <v>348</v>
      </c>
      <c r="G564" s="67"/>
      <c r="H564" s="72" t="s">
        <v>446</v>
      </c>
      <c r="I564" s="1235">
        <v>350</v>
      </c>
      <c r="J564" s="1235">
        <v>14523</v>
      </c>
      <c r="K564" s="430"/>
      <c r="L564" s="439"/>
      <c r="M564" s="65">
        <f t="shared" si="67"/>
        <v>5083050</v>
      </c>
      <c r="N564" s="66" t="s">
        <v>282</v>
      </c>
      <c r="O564" s="66" t="s">
        <v>276</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x</v>
      </c>
      <c r="AD564" s="82" t="str">
        <f>IF(AND(N564="1521",MONTH(C564)='BK-NL'!$M$11),"x","")</f>
        <v/>
      </c>
    </row>
    <row r="565" spans="1:30" s="339" customFormat="1" ht="15.75" customHeight="1">
      <c r="A565" s="334" t="str">
        <f>IF(B565&lt;&gt;"",IF(AND(B565='IN-TC'!$S$4,OR(TH!N565="1111",TH!O565="1111")),TH!D565,""),"")</f>
        <v/>
      </c>
      <c r="B565" s="63">
        <v>9</v>
      </c>
      <c r="C565" s="1234">
        <v>42616</v>
      </c>
      <c r="D565" s="64" t="s">
        <v>683</v>
      </c>
      <c r="E565" s="64">
        <f t="shared" si="66"/>
        <v>42616</v>
      </c>
      <c r="F565" s="774" t="s">
        <v>353</v>
      </c>
      <c r="G565" s="67"/>
      <c r="H565" s="72" t="s">
        <v>446</v>
      </c>
      <c r="I565" s="1235">
        <v>1000</v>
      </c>
      <c r="J565" s="1235">
        <v>3200</v>
      </c>
      <c r="K565" s="430"/>
      <c r="L565" s="439"/>
      <c r="M565" s="65">
        <f t="shared" si="67"/>
        <v>3200000</v>
      </c>
      <c r="N565" s="66" t="s">
        <v>282</v>
      </c>
      <c r="O565" s="66" t="s">
        <v>276</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s="339" customFormat="1" ht="15.75" customHeight="1">
      <c r="A566" s="334" t="str">
        <f>IF(B566&lt;&gt;"",IF(AND(B566='IN-TC'!$S$4,OR(TH!N566="1111",TH!O566="1111")),TH!D566,""),"")</f>
        <v/>
      </c>
      <c r="B566" s="63">
        <v>9</v>
      </c>
      <c r="C566" s="1234">
        <v>42616</v>
      </c>
      <c r="D566" s="64" t="s">
        <v>683</v>
      </c>
      <c r="E566" s="64">
        <f t="shared" si="66"/>
        <v>42616</v>
      </c>
      <c r="F566" s="1236" t="s">
        <v>356</v>
      </c>
      <c r="G566" s="67"/>
      <c r="H566" s="72" t="s">
        <v>446</v>
      </c>
      <c r="I566" s="1235">
        <v>1100</v>
      </c>
      <c r="J566" s="1235">
        <v>14728</v>
      </c>
      <c r="K566" s="430"/>
      <c r="L566" s="439"/>
      <c r="M566" s="65">
        <f t="shared" si="67"/>
        <v>16200800</v>
      </c>
      <c r="N566" s="66" t="s">
        <v>282</v>
      </c>
      <c r="O566" s="66" t="s">
        <v>276</v>
      </c>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0" s="339" customFormat="1" ht="15.75" customHeight="1">
      <c r="A567" s="334" t="str">
        <f>IF(B567&lt;&gt;"",IF(AND(B567='IN-TC'!$S$4,OR(TH!N567="1111",TH!O567="1111")),TH!D567,""),"")</f>
        <v/>
      </c>
      <c r="B567" s="63">
        <v>9</v>
      </c>
      <c r="C567" s="1234">
        <v>42616</v>
      </c>
      <c r="D567" s="64" t="s">
        <v>683</v>
      </c>
      <c r="E567" s="64">
        <f t="shared" si="66"/>
        <v>42616</v>
      </c>
      <c r="F567" s="1236" t="s">
        <v>1402</v>
      </c>
      <c r="G567" s="67"/>
      <c r="H567" s="72" t="s">
        <v>446</v>
      </c>
      <c r="I567" s="1235">
        <v>50</v>
      </c>
      <c r="J567" s="1235">
        <v>12728</v>
      </c>
      <c r="K567" s="430"/>
      <c r="L567" s="439"/>
      <c r="M567" s="65">
        <f t="shared" si="67"/>
        <v>636400</v>
      </c>
      <c r="N567" s="66" t="s">
        <v>282</v>
      </c>
      <c r="O567" s="66" t="s">
        <v>276</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0" s="339" customFormat="1" ht="15.75" customHeight="1">
      <c r="A568" s="334" t="str">
        <f>IF(B568&lt;&gt;"",IF(AND(B568='IN-TC'!$S$4,OR(TH!N568="1111",TH!O568="1111")),TH!D568,""),"")</f>
        <v/>
      </c>
      <c r="B568" s="63">
        <v>9</v>
      </c>
      <c r="C568" s="1234">
        <v>42633</v>
      </c>
      <c r="D568" s="64" t="s">
        <v>684</v>
      </c>
      <c r="E568" s="64">
        <f t="shared" si="66"/>
        <v>42633</v>
      </c>
      <c r="F568" s="1236" t="s">
        <v>359</v>
      </c>
      <c r="G568" s="67"/>
      <c r="H568" s="72" t="s">
        <v>446</v>
      </c>
      <c r="I568" s="1235">
        <v>100</v>
      </c>
      <c r="J568" s="1235">
        <v>8000</v>
      </c>
      <c r="K568" s="430"/>
      <c r="L568" s="439"/>
      <c r="M568" s="65">
        <f t="shared" si="67"/>
        <v>800000</v>
      </c>
      <c r="N568" s="66" t="s">
        <v>282</v>
      </c>
      <c r="O568" s="66" t="s">
        <v>276</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s="339" customFormat="1" ht="15.75" customHeight="1">
      <c r="A569" s="334" t="str">
        <f>IF(B569&lt;&gt;"",IF(AND(B569='IN-TC'!$S$4,OR(TH!N569="1111",TH!O569="1111")),TH!D569,""),"")</f>
        <v/>
      </c>
      <c r="B569" s="63">
        <v>9</v>
      </c>
      <c r="C569" s="1234">
        <v>42633</v>
      </c>
      <c r="D569" s="64" t="s">
        <v>684</v>
      </c>
      <c r="E569" s="64">
        <f t="shared" si="66"/>
        <v>42633</v>
      </c>
      <c r="F569" s="1237" t="s">
        <v>401</v>
      </c>
      <c r="G569" s="67"/>
      <c r="H569" s="72" t="s">
        <v>446</v>
      </c>
      <c r="I569" s="1235">
        <v>250</v>
      </c>
      <c r="J569" s="1235">
        <v>18200</v>
      </c>
      <c r="K569" s="430"/>
      <c r="L569" s="439"/>
      <c r="M569" s="65">
        <f t="shared" si="67"/>
        <v>4550000</v>
      </c>
      <c r="N569" s="66" t="s">
        <v>282</v>
      </c>
      <c r="O569" s="66" t="s">
        <v>276</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s="339" customFormat="1" ht="15.75" customHeight="1">
      <c r="A570" s="334" t="str">
        <f>IF(B570&lt;&gt;"",IF(AND(B570='IN-TC'!$S$4,OR(TH!N570="1111",TH!O570="1111")),TH!D570,""),"")</f>
        <v/>
      </c>
      <c r="B570" s="63">
        <v>9</v>
      </c>
      <c r="C570" s="1234">
        <v>42633</v>
      </c>
      <c r="D570" s="64" t="s">
        <v>684</v>
      </c>
      <c r="E570" s="64">
        <f t="shared" si="66"/>
        <v>42633</v>
      </c>
      <c r="F570" s="1238" t="s">
        <v>650</v>
      </c>
      <c r="G570" s="67"/>
      <c r="H570" s="72" t="s">
        <v>446</v>
      </c>
      <c r="I570" s="1235">
        <v>800</v>
      </c>
      <c r="J570" s="1235">
        <v>14000</v>
      </c>
      <c r="K570" s="430"/>
      <c r="L570" s="439"/>
      <c r="M570" s="65">
        <f t="shared" si="67"/>
        <v>11200000</v>
      </c>
      <c r="N570" s="66" t="s">
        <v>282</v>
      </c>
      <c r="O570" s="66" t="s">
        <v>276</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x</v>
      </c>
      <c r="AC570" s="82" t="str">
        <f>IF(AND(OR(LEFT(TH!N570,2)="15",LEFT(TH!O570,2)="15"),TK!$E$7=TH!F570),"x","")</f>
        <v/>
      </c>
      <c r="AD570" s="82" t="str">
        <f>IF(AND(N570="1521",MONTH(C570)='BK-NL'!$M$11),"x","")</f>
        <v/>
      </c>
    </row>
    <row r="571" spans="1:30" s="339" customFormat="1" ht="15.75" customHeight="1">
      <c r="A571" s="334" t="str">
        <f>IF(B571&lt;&gt;"",IF(AND(B571='IN-TC'!$S$4,OR(TH!N571="1111",TH!O571="1111")),TH!D571,""),"")</f>
        <v/>
      </c>
      <c r="B571" s="63">
        <v>9</v>
      </c>
      <c r="C571" s="1234">
        <v>42633</v>
      </c>
      <c r="D571" s="64" t="s">
        <v>684</v>
      </c>
      <c r="E571" s="64">
        <f t="shared" si="66"/>
        <v>42633</v>
      </c>
      <c r="F571" s="1238" t="s">
        <v>387</v>
      </c>
      <c r="G571" s="67"/>
      <c r="H571" s="72" t="s">
        <v>446</v>
      </c>
      <c r="I571" s="1235">
        <v>2353</v>
      </c>
      <c r="J571" s="1235">
        <v>16800</v>
      </c>
      <c r="K571" s="430"/>
      <c r="L571" s="439"/>
      <c r="M571" s="65">
        <f t="shared" si="67"/>
        <v>39530400</v>
      </c>
      <c r="N571" s="66" t="s">
        <v>282</v>
      </c>
      <c r="O571" s="66" t="s">
        <v>276</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s="339" customFormat="1" ht="15.75" customHeight="1">
      <c r="A572" s="334" t="str">
        <f>IF(B572&lt;&gt;"",IF(AND(B572='IN-TC'!$S$4,OR(TH!N572="1111",TH!O572="1111")),TH!D572,""),"")</f>
        <v/>
      </c>
      <c r="B572" s="63">
        <v>9</v>
      </c>
      <c r="C572" s="1234">
        <v>42633</v>
      </c>
      <c r="D572" s="64" t="s">
        <v>684</v>
      </c>
      <c r="E572" s="64">
        <f t="shared" si="66"/>
        <v>42633</v>
      </c>
      <c r="F572" s="1238" t="s">
        <v>1838</v>
      </c>
      <c r="G572" s="67"/>
      <c r="H572" s="72" t="s">
        <v>446</v>
      </c>
      <c r="I572" s="1235">
        <v>96</v>
      </c>
      <c r="J572" s="1235">
        <v>37000</v>
      </c>
      <c r="K572" s="430"/>
      <c r="L572" s="439"/>
      <c r="M572" s="65">
        <f t="shared" si="67"/>
        <v>3552000</v>
      </c>
      <c r="N572" s="66" t="s">
        <v>282</v>
      </c>
      <c r="O572" s="66" t="s">
        <v>276</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s="339" customFormat="1" ht="15.75" customHeight="1">
      <c r="A573" s="334" t="str">
        <f>IF(B573&lt;&gt;"",IF(AND(B573='IN-TC'!$S$4,OR(TH!N573="1111",TH!O573="1111")),TH!D573,""),"")</f>
        <v/>
      </c>
      <c r="B573" s="63">
        <v>9</v>
      </c>
      <c r="C573" s="1234">
        <v>42633</v>
      </c>
      <c r="D573" s="64" t="s">
        <v>684</v>
      </c>
      <c r="E573" s="64">
        <f t="shared" si="66"/>
        <v>42633</v>
      </c>
      <c r="F573" s="1238" t="s">
        <v>1506</v>
      </c>
      <c r="G573" s="67"/>
      <c r="H573" s="72" t="s">
        <v>446</v>
      </c>
      <c r="I573" s="1235">
        <v>153</v>
      </c>
      <c r="J573" s="1235">
        <v>13000</v>
      </c>
      <c r="K573" s="430"/>
      <c r="L573" s="439"/>
      <c r="M573" s="65">
        <f t="shared" si="67"/>
        <v>1989000</v>
      </c>
      <c r="N573" s="66" t="s">
        <v>282</v>
      </c>
      <c r="O573" s="66" t="s">
        <v>276</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s="339" customFormat="1" ht="15.75" customHeight="1">
      <c r="A574" s="334" t="str">
        <f>IF(B574&lt;&gt;"",IF(AND(B574='IN-TC'!$S$4,OR(TH!N574="1111",TH!O574="1111")),TH!D574,""),"")</f>
        <v/>
      </c>
      <c r="B574" s="63">
        <v>9</v>
      </c>
      <c r="C574" s="1234">
        <v>42633</v>
      </c>
      <c r="D574" s="64" t="s">
        <v>684</v>
      </c>
      <c r="E574" s="64">
        <f t="shared" si="66"/>
        <v>42633</v>
      </c>
      <c r="F574" s="1238" t="s">
        <v>1838</v>
      </c>
      <c r="G574" s="67"/>
      <c r="H574" s="72" t="s">
        <v>446</v>
      </c>
      <c r="I574" s="1235">
        <v>6</v>
      </c>
      <c r="J574" s="1235">
        <v>37000</v>
      </c>
      <c r="K574" s="430"/>
      <c r="L574" s="439"/>
      <c r="M574" s="65">
        <f t="shared" si="67"/>
        <v>222000</v>
      </c>
      <c r="N574" s="66" t="s">
        <v>282</v>
      </c>
      <c r="O574" s="66" t="s">
        <v>276</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s="339" customFormat="1" ht="15.75" customHeight="1">
      <c r="A575" s="334" t="str">
        <f>IF(B575&lt;&gt;"",IF(AND(B575='IN-TC'!$S$4,OR(TH!N575="1111",TH!O575="1111")),TH!D575,""),"")</f>
        <v/>
      </c>
      <c r="B575" s="63">
        <v>9</v>
      </c>
      <c r="C575" s="1234">
        <v>42633</v>
      </c>
      <c r="D575" s="64" t="s">
        <v>685</v>
      </c>
      <c r="E575" s="64">
        <f t="shared" si="66"/>
        <v>42633</v>
      </c>
      <c r="F575" s="1238" t="s">
        <v>1506</v>
      </c>
      <c r="G575" s="67"/>
      <c r="H575" s="72" t="s">
        <v>446</v>
      </c>
      <c r="I575" s="1235">
        <v>100</v>
      </c>
      <c r="J575" s="1235">
        <v>13000</v>
      </c>
      <c r="K575" s="430"/>
      <c r="L575" s="439"/>
      <c r="M575" s="65">
        <f t="shared" si="67"/>
        <v>1300000</v>
      </c>
      <c r="N575" s="66" t="s">
        <v>282</v>
      </c>
      <c r="O575" s="66" t="s">
        <v>276</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s="339" customFormat="1" ht="15.75" customHeight="1">
      <c r="A576" s="334" t="str">
        <f>IF(B576&lt;&gt;"",IF(AND(B576='IN-TC'!$S$4,OR(TH!N576="1111",TH!O576="1111")),TH!D576,""),"")</f>
        <v/>
      </c>
      <c r="B576" s="63">
        <v>9</v>
      </c>
      <c r="C576" s="1234">
        <v>42633</v>
      </c>
      <c r="D576" s="64" t="s">
        <v>685</v>
      </c>
      <c r="E576" s="64">
        <f t="shared" si="66"/>
        <v>42633</v>
      </c>
      <c r="F576" s="1238" t="s">
        <v>1838</v>
      </c>
      <c r="G576" s="67"/>
      <c r="H576" s="72" t="s">
        <v>446</v>
      </c>
      <c r="I576" s="1235">
        <v>5</v>
      </c>
      <c r="J576" s="1235">
        <v>37000</v>
      </c>
      <c r="K576" s="430"/>
      <c r="L576" s="439"/>
      <c r="M576" s="65">
        <f t="shared" si="67"/>
        <v>185000</v>
      </c>
      <c r="N576" s="66" t="s">
        <v>282</v>
      </c>
      <c r="O576" s="66" t="s">
        <v>276</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s="339" customFormat="1" ht="15.75" customHeight="1">
      <c r="A577" s="334" t="str">
        <f>IF(B577&lt;&gt;"",IF(AND(B577='IN-TC'!$S$4,OR(TH!N577="1111",TH!O577="1111")),TH!D577,""),"")</f>
        <v/>
      </c>
      <c r="B577" s="63">
        <v>9</v>
      </c>
      <c r="C577" s="1234">
        <v>42633</v>
      </c>
      <c r="D577" s="64" t="s">
        <v>685</v>
      </c>
      <c r="E577" s="64">
        <f t="shared" si="66"/>
        <v>42633</v>
      </c>
      <c r="F577" s="1238" t="s">
        <v>1836</v>
      </c>
      <c r="G577" s="67"/>
      <c r="H577" s="72" t="s">
        <v>446</v>
      </c>
      <c r="I577" s="1235">
        <v>18700</v>
      </c>
      <c r="J577" s="1235">
        <v>1150</v>
      </c>
      <c r="K577" s="430"/>
      <c r="L577" s="439"/>
      <c r="M577" s="65">
        <f t="shared" si="67"/>
        <v>21505000</v>
      </c>
      <c r="N577" s="66" t="s">
        <v>282</v>
      </c>
      <c r="O577" s="66" t="s">
        <v>276</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s="339" customFormat="1" ht="15.75" customHeight="1">
      <c r="A578" s="334" t="str">
        <f>IF(B578&lt;&gt;"",IF(AND(B578='IN-TC'!$S$4,OR(TH!N578="1111",TH!O578="1111")),TH!D578,""),"")</f>
        <v/>
      </c>
      <c r="B578" s="63">
        <v>9</v>
      </c>
      <c r="C578" s="1234">
        <v>42633</v>
      </c>
      <c r="D578" s="64" t="s">
        <v>685</v>
      </c>
      <c r="E578" s="64">
        <f t="shared" ref="E578:E579" si="68">C578</f>
        <v>42633</v>
      </c>
      <c r="F578" s="1238" t="s">
        <v>1829</v>
      </c>
      <c r="G578" s="67"/>
      <c r="H578" s="72" t="s">
        <v>446</v>
      </c>
      <c r="I578" s="1235">
        <v>1560</v>
      </c>
      <c r="J578" s="1235">
        <v>10000</v>
      </c>
      <c r="K578" s="430"/>
      <c r="L578" s="439"/>
      <c r="M578" s="65">
        <f t="shared" ref="M578:M579" si="69">ROUND(I578*J578,0)</f>
        <v>15600000</v>
      </c>
      <c r="N578" s="66" t="s">
        <v>282</v>
      </c>
      <c r="O578" s="66" t="s">
        <v>276</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s="339" customFormat="1" ht="15.75" customHeight="1">
      <c r="A579" s="334" t="str">
        <f>IF(B579&lt;&gt;"",IF(AND(B579='IN-TC'!$S$4,OR(TH!N579="1111",TH!O579="1111")),TH!D579,""),"")</f>
        <v/>
      </c>
      <c r="B579" s="63">
        <v>9</v>
      </c>
      <c r="C579" s="1234">
        <v>42633</v>
      </c>
      <c r="D579" s="64" t="s">
        <v>685</v>
      </c>
      <c r="E579" s="64">
        <f t="shared" si="68"/>
        <v>42633</v>
      </c>
      <c r="F579" s="1238" t="s">
        <v>2022</v>
      </c>
      <c r="G579" s="67"/>
      <c r="H579" s="72" t="s">
        <v>446</v>
      </c>
      <c r="I579" s="1235">
        <v>95</v>
      </c>
      <c r="J579" s="1235">
        <v>13500</v>
      </c>
      <c r="K579" s="430"/>
      <c r="L579" s="439"/>
      <c r="M579" s="65">
        <f t="shared" si="69"/>
        <v>1282500</v>
      </c>
      <c r="N579" s="66" t="s">
        <v>282</v>
      </c>
      <c r="O579" s="66" t="s">
        <v>276</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s="339" customFormat="1" ht="15.75" customHeight="1">
      <c r="A580" s="334" t="str">
        <f>IF(B580&lt;&gt;"",IF(AND(B580='IN-TC'!$S$4,OR(TH!N580="1111",TH!O580="1111")),TH!D580,""),"")</f>
        <v/>
      </c>
      <c r="B580" s="63">
        <v>9</v>
      </c>
      <c r="C580" s="1234">
        <v>42633</v>
      </c>
      <c r="D580" s="64" t="s">
        <v>685</v>
      </c>
      <c r="E580" s="64">
        <f t="shared" si="66"/>
        <v>42633</v>
      </c>
      <c r="F580" s="1238" t="s">
        <v>1838</v>
      </c>
      <c r="G580" s="67"/>
      <c r="H580" s="72" t="s">
        <v>446</v>
      </c>
      <c r="I580" s="1235">
        <v>4</v>
      </c>
      <c r="J580" s="1235">
        <v>37000</v>
      </c>
      <c r="K580" s="430"/>
      <c r="L580" s="439"/>
      <c r="M580" s="65">
        <f t="shared" si="67"/>
        <v>148000</v>
      </c>
      <c r="N580" s="66" t="s">
        <v>282</v>
      </c>
      <c r="O580" s="66" t="s">
        <v>276</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s="339" customFormat="1" ht="15.75" customHeight="1">
      <c r="A581" s="334" t="str">
        <f>IF(B581&lt;&gt;"",IF(AND(B581='IN-TC'!$S$4,OR(TH!N581="1111",TH!O581="1111")),TH!D581,""),"")</f>
        <v/>
      </c>
      <c r="B581" s="63">
        <v>10</v>
      </c>
      <c r="C581" s="1234">
        <v>42644</v>
      </c>
      <c r="D581" s="64" t="s">
        <v>683</v>
      </c>
      <c r="E581" s="64">
        <f t="shared" ref="E581" si="70">C581</f>
        <v>42644</v>
      </c>
      <c r="F581" s="769" t="s">
        <v>339</v>
      </c>
      <c r="G581" s="67"/>
      <c r="H581" s="72" t="s">
        <v>446</v>
      </c>
      <c r="I581" s="1235">
        <v>50</v>
      </c>
      <c r="J581" s="1235">
        <v>35444.4444</v>
      </c>
      <c r="K581" s="430"/>
      <c r="L581" s="439"/>
      <c r="M581" s="65">
        <f t="shared" ref="M581" si="71">ROUND(I581*J581,0)</f>
        <v>1772222</v>
      </c>
      <c r="N581" s="66" t="s">
        <v>282</v>
      </c>
      <c r="O581" s="66" t="s">
        <v>276</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s="339" customFormat="1" ht="15.75" customHeight="1">
      <c r="A582" s="334" t="str">
        <f>IF(B582&lt;&gt;"",IF(AND(B582='IN-TC'!$S$4,OR(TH!N582="1111",TH!O582="1111")),TH!D582,""),"")</f>
        <v/>
      </c>
      <c r="B582" s="63">
        <v>10</v>
      </c>
      <c r="C582" s="1234">
        <v>42644</v>
      </c>
      <c r="D582" s="64" t="s">
        <v>683</v>
      </c>
      <c r="E582" s="64">
        <f t="shared" ref="E582:E597" si="72">C582</f>
        <v>42644</v>
      </c>
      <c r="F582" s="774" t="s">
        <v>345</v>
      </c>
      <c r="G582" s="67"/>
      <c r="H582" s="72" t="s">
        <v>446</v>
      </c>
      <c r="I582" s="1235">
        <v>80</v>
      </c>
      <c r="J582" s="1235">
        <v>46741</v>
      </c>
      <c r="K582" s="430"/>
      <c r="L582" s="439"/>
      <c r="M582" s="65">
        <f t="shared" ref="M582:M597" si="73">ROUND(I582*J582,0)</f>
        <v>3739280</v>
      </c>
      <c r="N582" s="66" t="s">
        <v>282</v>
      </c>
      <c r="O582" s="66" t="s">
        <v>276</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s="339" customFormat="1" ht="15.75" customHeight="1">
      <c r="A583" s="334" t="str">
        <f>IF(B583&lt;&gt;"",IF(AND(B583='IN-TC'!$S$4,OR(TH!N583="1111",TH!O583="1111")),TH!D583,""),"")</f>
        <v/>
      </c>
      <c r="B583" s="63">
        <v>10</v>
      </c>
      <c r="C583" s="1234">
        <v>42644</v>
      </c>
      <c r="D583" s="64" t="s">
        <v>683</v>
      </c>
      <c r="E583" s="64">
        <f t="shared" si="72"/>
        <v>42644</v>
      </c>
      <c r="F583" s="774" t="s">
        <v>348</v>
      </c>
      <c r="G583" s="67"/>
      <c r="H583" s="72" t="s">
        <v>446</v>
      </c>
      <c r="I583" s="1235">
        <v>450</v>
      </c>
      <c r="J583" s="1235">
        <v>14095</v>
      </c>
      <c r="K583" s="430"/>
      <c r="L583" s="439"/>
      <c r="M583" s="65">
        <f t="shared" si="73"/>
        <v>6342750</v>
      </c>
      <c r="N583" s="66" t="s">
        <v>282</v>
      </c>
      <c r="O583" s="66" t="s">
        <v>276</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x</v>
      </c>
      <c r="AD583" s="82" t="str">
        <f>IF(AND(N583="1521",MONTH(C583)='BK-NL'!$M$11),"x","")</f>
        <v/>
      </c>
    </row>
    <row r="584" spans="1:30" s="339" customFormat="1" ht="15.75" customHeight="1">
      <c r="A584" s="334" t="str">
        <f>IF(B584&lt;&gt;"",IF(AND(B584='IN-TC'!$S$4,OR(TH!N584="1111",TH!O584="1111")),TH!D584,""),"")</f>
        <v/>
      </c>
      <c r="B584" s="63">
        <v>10</v>
      </c>
      <c r="C584" s="1234">
        <v>42644</v>
      </c>
      <c r="D584" s="64" t="s">
        <v>683</v>
      </c>
      <c r="E584" s="64">
        <f t="shared" si="72"/>
        <v>42644</v>
      </c>
      <c r="F584" s="774" t="s">
        <v>353</v>
      </c>
      <c r="G584" s="67"/>
      <c r="H584" s="72" t="s">
        <v>446</v>
      </c>
      <c r="I584" s="1235">
        <v>1500</v>
      </c>
      <c r="J584" s="1235">
        <v>3200</v>
      </c>
      <c r="K584" s="430"/>
      <c r="L584" s="439"/>
      <c r="M584" s="65">
        <f t="shared" si="73"/>
        <v>4800000</v>
      </c>
      <c r="N584" s="66" t="s">
        <v>282</v>
      </c>
      <c r="O584" s="66" t="s">
        <v>276</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s="339" customFormat="1" ht="15.75" customHeight="1">
      <c r="A585" s="334" t="str">
        <f>IF(B585&lt;&gt;"",IF(AND(B585='IN-TC'!$S$4,OR(TH!N585="1111",TH!O585="1111")),TH!D585,""),"")</f>
        <v/>
      </c>
      <c r="B585" s="63">
        <v>10</v>
      </c>
      <c r="C585" s="1234">
        <v>42644</v>
      </c>
      <c r="D585" s="64" t="s">
        <v>683</v>
      </c>
      <c r="E585" s="64">
        <f t="shared" si="72"/>
        <v>42644</v>
      </c>
      <c r="F585" s="1236" t="s">
        <v>356</v>
      </c>
      <c r="G585" s="67"/>
      <c r="H585" s="72" t="s">
        <v>446</v>
      </c>
      <c r="I585" s="1235">
        <v>1310</v>
      </c>
      <c r="J585" s="1235">
        <v>14728</v>
      </c>
      <c r="K585" s="430"/>
      <c r="L585" s="439"/>
      <c r="M585" s="65">
        <f t="shared" si="73"/>
        <v>19293680</v>
      </c>
      <c r="N585" s="66" t="s">
        <v>282</v>
      </c>
      <c r="O585" s="66" t="s">
        <v>276</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s="339" customFormat="1" ht="15.75" customHeight="1">
      <c r="A586" s="334" t="str">
        <f>IF(B586&lt;&gt;"",IF(AND(B586='IN-TC'!$S$4,OR(TH!N586="1111",TH!O586="1111")),TH!D586,""),"")</f>
        <v/>
      </c>
      <c r="B586" s="63">
        <v>10</v>
      </c>
      <c r="C586" s="1234">
        <v>42644</v>
      </c>
      <c r="D586" s="64" t="s">
        <v>683</v>
      </c>
      <c r="E586" s="64">
        <f t="shared" si="72"/>
        <v>42644</v>
      </c>
      <c r="F586" s="1236" t="s">
        <v>1402</v>
      </c>
      <c r="G586" s="67"/>
      <c r="H586" s="72" t="s">
        <v>446</v>
      </c>
      <c r="I586" s="1235">
        <v>50</v>
      </c>
      <c r="J586" s="1239">
        <v>12728</v>
      </c>
      <c r="K586" s="430"/>
      <c r="L586" s="439"/>
      <c r="M586" s="65">
        <f t="shared" si="73"/>
        <v>636400</v>
      </c>
      <c r="N586" s="66" t="s">
        <v>282</v>
      </c>
      <c r="O586" s="66" t="s">
        <v>276</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s="339" customFormat="1" ht="15.75" customHeight="1">
      <c r="A587" s="334" t="str">
        <f>IF(B587&lt;&gt;"",IF(AND(B587='IN-TC'!$S$4,OR(TH!N587="1111",TH!O587="1111")),TH!D587,""),"")</f>
        <v/>
      </c>
      <c r="B587" s="63">
        <v>10</v>
      </c>
      <c r="C587" s="1234">
        <v>42653</v>
      </c>
      <c r="D587" s="64" t="s">
        <v>684</v>
      </c>
      <c r="E587" s="64">
        <f t="shared" si="72"/>
        <v>42653</v>
      </c>
      <c r="F587" s="1236" t="s">
        <v>359</v>
      </c>
      <c r="G587" s="67"/>
      <c r="H587" s="72" t="s">
        <v>446</v>
      </c>
      <c r="I587" s="1235">
        <v>150</v>
      </c>
      <c r="J587" s="1235">
        <v>8000</v>
      </c>
      <c r="K587" s="430"/>
      <c r="L587" s="439"/>
      <c r="M587" s="65">
        <f t="shared" si="73"/>
        <v>1200000</v>
      </c>
      <c r="N587" s="66" t="s">
        <v>282</v>
      </c>
      <c r="O587" s="66" t="s">
        <v>276</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s="339" customFormat="1" ht="15.75" customHeight="1">
      <c r="A588" s="334" t="str">
        <f>IF(B588&lt;&gt;"",IF(AND(B588='IN-TC'!$S$4,OR(TH!N588="1111",TH!O588="1111")),TH!D588,""),"")</f>
        <v/>
      </c>
      <c r="B588" s="63">
        <v>10</v>
      </c>
      <c r="C588" s="1234">
        <v>42653</v>
      </c>
      <c r="D588" s="64" t="s">
        <v>684</v>
      </c>
      <c r="E588" s="64">
        <f t="shared" si="72"/>
        <v>42653</v>
      </c>
      <c r="F588" s="1238" t="s">
        <v>650</v>
      </c>
      <c r="G588" s="67"/>
      <c r="H588" s="72" t="s">
        <v>446</v>
      </c>
      <c r="I588" s="1235">
        <v>1600</v>
      </c>
      <c r="J588" s="1239">
        <v>14000</v>
      </c>
      <c r="K588" s="430"/>
      <c r="L588" s="439"/>
      <c r="M588" s="65">
        <f t="shared" si="73"/>
        <v>22400000</v>
      </c>
      <c r="N588" s="66" t="s">
        <v>282</v>
      </c>
      <c r="O588" s="66" t="s">
        <v>276</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x</v>
      </c>
      <c r="AC588" s="82" t="str">
        <f>IF(AND(OR(LEFT(TH!N588,2)="15",LEFT(TH!O588,2)="15"),TK!$E$7=TH!F588),"x","")</f>
        <v/>
      </c>
      <c r="AD588" s="82" t="str">
        <f>IF(AND(N588="1521",MONTH(C588)='BK-NL'!$M$11),"x","")</f>
        <v/>
      </c>
    </row>
    <row r="589" spans="1:30" s="339" customFormat="1" ht="15.75" customHeight="1">
      <c r="A589" s="334" t="str">
        <f>IF(B589&lt;&gt;"",IF(AND(B589='IN-TC'!$S$4,OR(TH!N589="1111",TH!O589="1111")),TH!D589,""),"")</f>
        <v/>
      </c>
      <c r="B589" s="63">
        <v>10</v>
      </c>
      <c r="C589" s="1234">
        <v>42653</v>
      </c>
      <c r="D589" s="64" t="s">
        <v>684</v>
      </c>
      <c r="E589" s="64">
        <f t="shared" si="72"/>
        <v>42653</v>
      </c>
      <c r="F589" s="1237" t="s">
        <v>401</v>
      </c>
      <c r="G589" s="67"/>
      <c r="H589" s="72" t="s">
        <v>446</v>
      </c>
      <c r="I589" s="1239">
        <v>252</v>
      </c>
      <c r="J589" s="1239">
        <v>18200</v>
      </c>
      <c r="K589" s="430"/>
      <c r="L589" s="439"/>
      <c r="M589" s="65">
        <f t="shared" si="73"/>
        <v>4586400</v>
      </c>
      <c r="N589" s="66" t="s">
        <v>282</v>
      </c>
      <c r="O589" s="66" t="s">
        <v>276</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s="339" customFormat="1" ht="15.75" customHeight="1">
      <c r="A590" s="334" t="str">
        <f>IF(B590&lt;&gt;"",IF(AND(B590='IN-TC'!$S$4,OR(TH!N590="1111",TH!O590="1111")),TH!D590,""),"")</f>
        <v/>
      </c>
      <c r="B590" s="63">
        <v>10</v>
      </c>
      <c r="C590" s="1234">
        <v>42653</v>
      </c>
      <c r="D590" s="64" t="s">
        <v>684</v>
      </c>
      <c r="E590" s="64">
        <f t="shared" si="72"/>
        <v>42653</v>
      </c>
      <c r="F590" s="1238" t="s">
        <v>387</v>
      </c>
      <c r="G590" s="67"/>
      <c r="H590" s="72" t="s">
        <v>446</v>
      </c>
      <c r="I590" s="1239">
        <v>250</v>
      </c>
      <c r="J590" s="1239">
        <v>16800</v>
      </c>
      <c r="K590" s="430"/>
      <c r="L590" s="439"/>
      <c r="M590" s="65">
        <f t="shared" si="73"/>
        <v>4200000</v>
      </c>
      <c r="N590" s="66" t="s">
        <v>282</v>
      </c>
      <c r="O590" s="66" t="s">
        <v>276</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s="339" customFormat="1" ht="15.75" customHeight="1">
      <c r="A591" s="334" t="str">
        <f>IF(B591&lt;&gt;"",IF(AND(B591='IN-TC'!$S$4,OR(TH!N591="1111",TH!O591="1111")),TH!D591,""),"")</f>
        <v/>
      </c>
      <c r="B591" s="63">
        <v>10</v>
      </c>
      <c r="C591" s="1234">
        <v>42653</v>
      </c>
      <c r="D591" s="64" t="s">
        <v>684</v>
      </c>
      <c r="E591" s="64">
        <f t="shared" si="72"/>
        <v>42653</v>
      </c>
      <c r="F591" s="1238" t="s">
        <v>387</v>
      </c>
      <c r="G591" s="67"/>
      <c r="H591" s="72" t="s">
        <v>446</v>
      </c>
      <c r="I591" s="1239">
        <v>2350</v>
      </c>
      <c r="J591" s="1239">
        <v>16800</v>
      </c>
      <c r="K591" s="430"/>
      <c r="L591" s="439"/>
      <c r="M591" s="65">
        <f t="shared" si="73"/>
        <v>39480000</v>
      </c>
      <c r="N591" s="66" t="s">
        <v>282</v>
      </c>
      <c r="O591" s="66" t="s">
        <v>276</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s="339" customFormat="1" ht="15.75" customHeight="1">
      <c r="A592" s="334" t="str">
        <f>IF(B592&lt;&gt;"",IF(AND(B592='IN-TC'!$S$4,OR(TH!N592="1111",TH!O592="1111")),TH!D592,""),"")</f>
        <v/>
      </c>
      <c r="B592" s="63">
        <v>10</v>
      </c>
      <c r="C592" s="1234">
        <v>42653</v>
      </c>
      <c r="D592" s="64" t="s">
        <v>684</v>
      </c>
      <c r="E592" s="64">
        <f t="shared" si="72"/>
        <v>42653</v>
      </c>
      <c r="F592" s="1238" t="s">
        <v>1839</v>
      </c>
      <c r="G592" s="67"/>
      <c r="H592" s="72" t="s">
        <v>446</v>
      </c>
      <c r="I592" s="1239">
        <v>95</v>
      </c>
      <c r="J592" s="1239">
        <v>37000</v>
      </c>
      <c r="K592" s="430"/>
      <c r="L592" s="439"/>
      <c r="M592" s="65">
        <f t="shared" si="73"/>
        <v>3515000</v>
      </c>
      <c r="N592" s="66" t="s">
        <v>282</v>
      </c>
      <c r="O592" s="66" t="s">
        <v>276</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1" s="339" customFormat="1" ht="15.75" customHeight="1">
      <c r="A593" s="334" t="str">
        <f>IF(B593&lt;&gt;"",IF(AND(B593='IN-TC'!$S$4,OR(TH!N593="1111",TH!O593="1111")),TH!D593,""),"")</f>
        <v/>
      </c>
      <c r="B593" s="63">
        <v>10</v>
      </c>
      <c r="C593" s="1234">
        <v>42653</v>
      </c>
      <c r="D593" s="64" t="s">
        <v>685</v>
      </c>
      <c r="E593" s="64">
        <f t="shared" si="72"/>
        <v>42653</v>
      </c>
      <c r="F593" s="1238" t="s">
        <v>1829</v>
      </c>
      <c r="G593" s="67"/>
      <c r="H593" s="72" t="s">
        <v>446</v>
      </c>
      <c r="I593" s="1239">
        <v>840</v>
      </c>
      <c r="J593" s="1239">
        <v>10000</v>
      </c>
      <c r="K593" s="430"/>
      <c r="L593" s="439"/>
      <c r="M593" s="65">
        <f t="shared" si="73"/>
        <v>8400000</v>
      </c>
      <c r="N593" s="66" t="s">
        <v>282</v>
      </c>
      <c r="O593" s="66" t="s">
        <v>276</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1" s="339" customFormat="1" ht="15.75" customHeight="1">
      <c r="A594" s="334" t="str">
        <f>IF(B594&lt;&gt;"",IF(AND(B594='IN-TC'!$S$4,OR(TH!N594="1111",TH!O594="1111")),TH!D594,""),"")</f>
        <v/>
      </c>
      <c r="B594" s="63">
        <v>10</v>
      </c>
      <c r="C594" s="1234">
        <v>42653</v>
      </c>
      <c r="D594" s="64" t="s">
        <v>685</v>
      </c>
      <c r="E594" s="64">
        <f t="shared" si="72"/>
        <v>42653</v>
      </c>
      <c r="F594" s="1238" t="s">
        <v>2023</v>
      </c>
      <c r="G594" s="67"/>
      <c r="H594" s="72" t="s">
        <v>446</v>
      </c>
      <c r="I594" s="1239">
        <v>4468</v>
      </c>
      <c r="J594" s="1239">
        <v>10300</v>
      </c>
      <c r="K594" s="430"/>
      <c r="L594" s="439"/>
      <c r="M594" s="65">
        <f t="shared" si="73"/>
        <v>46020400</v>
      </c>
      <c r="N594" s="66" t="s">
        <v>282</v>
      </c>
      <c r="O594" s="66" t="s">
        <v>276</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1" s="339" customFormat="1" ht="15.75" customHeight="1">
      <c r="A595" s="334" t="str">
        <f>IF(B595&lt;&gt;"",IF(AND(B595='IN-TC'!$S$4,OR(TH!N595="1111",TH!O595="1111")),TH!D595,""),"")</f>
        <v/>
      </c>
      <c r="B595" s="63">
        <v>10</v>
      </c>
      <c r="C595" s="1234">
        <v>42653</v>
      </c>
      <c r="D595" s="64" t="s">
        <v>685</v>
      </c>
      <c r="E595" s="64">
        <f t="shared" si="72"/>
        <v>42653</v>
      </c>
      <c r="F595" s="1238" t="s">
        <v>1834</v>
      </c>
      <c r="G595" s="67"/>
      <c r="H595" s="72" t="s">
        <v>446</v>
      </c>
      <c r="I595" s="1239">
        <v>2000</v>
      </c>
      <c r="J595" s="1239">
        <v>11500</v>
      </c>
      <c r="K595" s="430"/>
      <c r="L595" s="439"/>
      <c r="M595" s="65">
        <f t="shared" si="73"/>
        <v>23000000</v>
      </c>
      <c r="N595" s="66" t="s">
        <v>282</v>
      </c>
      <c r="O595" s="66" t="s">
        <v>276</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1" s="339" customFormat="1" ht="15.75" customHeight="1">
      <c r="A596" s="334" t="str">
        <f>IF(B596&lt;&gt;"",IF(AND(B596='IN-TC'!$S$4,OR(TH!N596="1111",TH!O596="1111")),TH!D596,""),"")</f>
        <v/>
      </c>
      <c r="B596" s="63">
        <v>10</v>
      </c>
      <c r="C596" s="1234">
        <v>42653</v>
      </c>
      <c r="D596" s="64" t="s">
        <v>685</v>
      </c>
      <c r="E596" s="64">
        <f t="shared" si="72"/>
        <v>42653</v>
      </c>
      <c r="F596" s="1238" t="s">
        <v>2024</v>
      </c>
      <c r="G596" s="67"/>
      <c r="H596" s="72" t="s">
        <v>446</v>
      </c>
      <c r="I596" s="1239">
        <v>1077</v>
      </c>
      <c r="J596" s="1239">
        <v>13500</v>
      </c>
      <c r="K596" s="430"/>
      <c r="L596" s="439"/>
      <c r="M596" s="65">
        <f t="shared" si="73"/>
        <v>14539500</v>
      </c>
      <c r="N596" s="66" t="s">
        <v>282</v>
      </c>
      <c r="O596" s="66" t="s">
        <v>276</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1" s="339" customFormat="1" ht="15.75" customHeight="1">
      <c r="A597" s="334" t="str">
        <f>IF(B597&lt;&gt;"",IF(AND(B597='IN-TC'!$S$4,OR(TH!N597="1111",TH!O597="1111")),TH!D597,""),"")</f>
        <v/>
      </c>
      <c r="B597" s="63">
        <v>10</v>
      </c>
      <c r="C597" s="1234">
        <v>42653</v>
      </c>
      <c r="D597" s="64" t="s">
        <v>685</v>
      </c>
      <c r="E597" s="64">
        <f t="shared" si="72"/>
        <v>42653</v>
      </c>
      <c r="F597" s="1241" t="s">
        <v>1836</v>
      </c>
      <c r="G597" s="67"/>
      <c r="H597" s="72" t="s">
        <v>446</v>
      </c>
      <c r="I597" s="1239">
        <v>51800</v>
      </c>
      <c r="J597" s="1239">
        <v>1150</v>
      </c>
      <c r="K597" s="430"/>
      <c r="L597" s="439"/>
      <c r="M597" s="65">
        <f t="shared" si="73"/>
        <v>59570000</v>
      </c>
      <c r="N597" s="66" t="s">
        <v>282</v>
      </c>
      <c r="O597" s="66" t="s">
        <v>276</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1" ht="15.75" customHeight="1">
      <c r="A598" s="334" t="str">
        <f>IF(B598&lt;&gt;"",IF(AND(B598='IN-TC'!$S$4,OR(TH!N598="1111",TH!O598="1111")),TH!D598,""),"")</f>
        <v/>
      </c>
      <c r="B598" s="63">
        <f t="shared" si="63"/>
        <v>1</v>
      </c>
      <c r="C598" s="78">
        <f t="shared" ref="C598:C661" si="74">E598</f>
        <v>42374</v>
      </c>
      <c r="D598" s="78" t="s">
        <v>930</v>
      </c>
      <c r="E598" s="78">
        <v>42374</v>
      </c>
      <c r="F598" s="67" t="s">
        <v>681</v>
      </c>
      <c r="G598" s="79"/>
      <c r="H598" s="87" t="s">
        <v>425</v>
      </c>
      <c r="I598" s="436">
        <v>7560</v>
      </c>
      <c r="J598" s="436">
        <v>16000</v>
      </c>
      <c r="K598" s="427"/>
      <c r="L598" s="436"/>
      <c r="M598" s="81">
        <f t="shared" si="62"/>
        <v>120960000</v>
      </c>
      <c r="N598" s="82" t="s">
        <v>274</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c r="AE598" s="1136" t="str">
        <f t="shared" ref="AE598:AE608" si="75">IF(H598&lt;&gt;VLOOKUP(H598,DSKH,1,0),"","x")</f>
        <v>x</v>
      </c>
    </row>
    <row r="599" spans="1:31" ht="15.75" customHeight="1">
      <c r="A599" s="334" t="str">
        <f>IF(B599&lt;&gt;"",IF(AND(B599='IN-TC'!$S$4,OR(TH!N599="1111",TH!O599="1111")),TH!D599,""),"")</f>
        <v/>
      </c>
      <c r="B599" s="63">
        <f t="shared" si="63"/>
        <v>1</v>
      </c>
      <c r="C599" s="78">
        <f t="shared" si="74"/>
        <v>42374</v>
      </c>
      <c r="D599" s="78" t="s">
        <v>931</v>
      </c>
      <c r="E599" s="78">
        <v>42374</v>
      </c>
      <c r="F599" s="67" t="s">
        <v>681</v>
      </c>
      <c r="G599" s="79"/>
      <c r="H599" s="80" t="s">
        <v>428</v>
      </c>
      <c r="I599" s="435">
        <v>7450</v>
      </c>
      <c r="J599" s="436">
        <v>16000</v>
      </c>
      <c r="K599" s="426"/>
      <c r="L599" s="435"/>
      <c r="M599" s="81">
        <f t="shared" si="62"/>
        <v>119200000</v>
      </c>
      <c r="N599" s="82" t="s">
        <v>274</v>
      </c>
      <c r="O599" s="82" t="s">
        <v>8</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c r="AE599" s="1136" t="str">
        <f t="shared" si="75"/>
        <v>x</v>
      </c>
    </row>
    <row r="600" spans="1:31" ht="15.75" customHeight="1">
      <c r="A600" s="334" t="str">
        <f>IF(B600&lt;&gt;"",IF(AND(B600='IN-TC'!$S$4,OR(TH!N600="1111",TH!O600="1111")),TH!D600,""),"")</f>
        <v/>
      </c>
      <c r="B600" s="63">
        <f t="shared" si="63"/>
        <v>1</v>
      </c>
      <c r="C600" s="78">
        <f t="shared" si="74"/>
        <v>42374</v>
      </c>
      <c r="D600" s="78" t="s">
        <v>932</v>
      </c>
      <c r="E600" s="78">
        <v>42374</v>
      </c>
      <c r="F600" s="67" t="s">
        <v>681</v>
      </c>
      <c r="G600" s="79"/>
      <c r="H600" s="80" t="s">
        <v>430</v>
      </c>
      <c r="I600" s="435">
        <v>7510</v>
      </c>
      <c r="J600" s="436">
        <v>16000</v>
      </c>
      <c r="K600" s="426"/>
      <c r="L600" s="435"/>
      <c r="M600" s="81">
        <f t="shared" si="62"/>
        <v>120160000</v>
      </c>
      <c r="N600" s="82" t="s">
        <v>274</v>
      </c>
      <c r="O600" s="82" t="s">
        <v>8</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c r="AE600" s="1136" t="str">
        <f t="shared" si="75"/>
        <v>x</v>
      </c>
    </row>
    <row r="601" spans="1:31" ht="15.75" customHeight="1">
      <c r="A601" s="334" t="str">
        <f>IF(B601&lt;&gt;"",IF(AND(B601='IN-TC'!$S$4,OR(TH!N601="1111",TH!O601="1111")),TH!D601,""),"")</f>
        <v/>
      </c>
      <c r="B601" s="63">
        <f t="shared" si="63"/>
        <v>1</v>
      </c>
      <c r="C601" s="78">
        <f t="shared" si="74"/>
        <v>42380</v>
      </c>
      <c r="D601" s="78" t="s">
        <v>933</v>
      </c>
      <c r="E601" s="78">
        <v>42380</v>
      </c>
      <c r="F601" s="67" t="s">
        <v>681</v>
      </c>
      <c r="G601" s="79"/>
      <c r="H601" s="80" t="s">
        <v>428</v>
      </c>
      <c r="I601" s="435">
        <v>7980</v>
      </c>
      <c r="J601" s="436">
        <v>16000</v>
      </c>
      <c r="K601" s="426"/>
      <c r="L601" s="435"/>
      <c r="M601" s="81">
        <f t="shared" si="62"/>
        <v>127680000</v>
      </c>
      <c r="N601" s="82" t="s">
        <v>274</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c r="AE601" s="1136" t="str">
        <f t="shared" si="75"/>
        <v>x</v>
      </c>
    </row>
    <row r="602" spans="1:31" ht="15.75" customHeight="1">
      <c r="A602" s="334" t="str">
        <f>IF(B602&lt;&gt;"",IF(AND(B602='IN-TC'!$S$4,OR(TH!N602="1111",TH!O602="1111")),TH!D602,""),"")</f>
        <v/>
      </c>
      <c r="B602" s="63">
        <f t="shared" si="63"/>
        <v>1</v>
      </c>
      <c r="C602" s="78">
        <f t="shared" si="74"/>
        <v>42380</v>
      </c>
      <c r="D602" s="78" t="s">
        <v>934</v>
      </c>
      <c r="E602" s="78">
        <v>42380</v>
      </c>
      <c r="F602" s="67" t="s">
        <v>681</v>
      </c>
      <c r="G602" s="79"/>
      <c r="H602" s="80" t="s">
        <v>432</v>
      </c>
      <c r="I602" s="435">
        <v>7460</v>
      </c>
      <c r="J602" s="436">
        <v>16000</v>
      </c>
      <c r="K602" s="426"/>
      <c r="L602" s="435"/>
      <c r="M602" s="81">
        <f t="shared" si="62"/>
        <v>119360000</v>
      </c>
      <c r="N602" s="82" t="s">
        <v>274</v>
      </c>
      <c r="O602" s="82" t="s">
        <v>8</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c r="AE602" s="1136" t="str">
        <f t="shared" si="75"/>
        <v>x</v>
      </c>
    </row>
    <row r="603" spans="1:31" ht="15.75" customHeight="1">
      <c r="A603" s="334" t="str">
        <f>IF(B603&lt;&gt;"",IF(AND(B603='IN-TC'!$S$4,OR(TH!N603="1111",TH!O603="1111")),TH!D603,""),"")</f>
        <v/>
      </c>
      <c r="B603" s="63">
        <f t="shared" si="63"/>
        <v>1</v>
      </c>
      <c r="C603" s="78">
        <f t="shared" si="74"/>
        <v>42380</v>
      </c>
      <c r="D603" s="78" t="s">
        <v>935</v>
      </c>
      <c r="E603" s="78">
        <v>42380</v>
      </c>
      <c r="F603" s="67" t="s">
        <v>681</v>
      </c>
      <c r="G603" s="79"/>
      <c r="H603" s="80" t="s">
        <v>434</v>
      </c>
      <c r="I603" s="435">
        <v>7780</v>
      </c>
      <c r="J603" s="436">
        <v>16000</v>
      </c>
      <c r="K603" s="426"/>
      <c r="L603" s="435"/>
      <c r="M603" s="81">
        <f t="shared" si="62"/>
        <v>124480000</v>
      </c>
      <c r="N603" s="82" t="s">
        <v>274</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c r="AE603" s="1136" t="str">
        <f t="shared" si="75"/>
        <v>x</v>
      </c>
    </row>
    <row r="604" spans="1:31" ht="15.75" customHeight="1">
      <c r="A604" s="334" t="str">
        <f>IF(B604&lt;&gt;"",IF(AND(B604='IN-TC'!$S$4,OR(TH!N604="1111",TH!O604="1111")),TH!D604,""),"")</f>
        <v/>
      </c>
      <c r="B604" s="63">
        <f t="shared" si="63"/>
        <v>1</v>
      </c>
      <c r="C604" s="78">
        <f t="shared" si="74"/>
        <v>42384</v>
      </c>
      <c r="D604" s="78" t="s">
        <v>936</v>
      </c>
      <c r="E604" s="78">
        <v>42384</v>
      </c>
      <c r="F604" s="67" t="s">
        <v>681</v>
      </c>
      <c r="G604" s="79"/>
      <c r="H604" s="80" t="s">
        <v>435</v>
      </c>
      <c r="I604" s="435">
        <v>7589</v>
      </c>
      <c r="J604" s="436">
        <v>16000</v>
      </c>
      <c r="K604" s="426"/>
      <c r="L604" s="435"/>
      <c r="M604" s="81">
        <f t="shared" si="62"/>
        <v>121424000</v>
      </c>
      <c r="N604" s="82" t="s">
        <v>274</v>
      </c>
      <c r="O604" s="82" t="s">
        <v>8</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c r="AE604" s="1136" t="str">
        <f t="shared" si="75"/>
        <v>x</v>
      </c>
    </row>
    <row r="605" spans="1:31" ht="15.75" customHeight="1">
      <c r="A605" s="334" t="str">
        <f>IF(B605&lt;&gt;"",IF(AND(B605='IN-TC'!$S$4,OR(TH!N605="1111",TH!O605="1111")),TH!D605,""),"")</f>
        <v/>
      </c>
      <c r="B605" s="63">
        <f t="shared" si="63"/>
        <v>1</v>
      </c>
      <c r="C605" s="78">
        <f t="shared" si="74"/>
        <v>42384</v>
      </c>
      <c r="D605" s="78" t="s">
        <v>937</v>
      </c>
      <c r="E605" s="78">
        <v>42384</v>
      </c>
      <c r="F605" s="67" t="s">
        <v>681</v>
      </c>
      <c r="G605" s="79"/>
      <c r="H605" s="80" t="s">
        <v>430</v>
      </c>
      <c r="I605" s="435">
        <v>7980</v>
      </c>
      <c r="J605" s="436">
        <v>16000</v>
      </c>
      <c r="K605" s="426"/>
      <c r="L605" s="435"/>
      <c r="M605" s="81">
        <f t="shared" si="62"/>
        <v>127680000</v>
      </c>
      <c r="N605" s="82" t="s">
        <v>274</v>
      </c>
      <c r="O605" s="82" t="s">
        <v>8</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c r="AE605" s="1136" t="str">
        <f t="shared" si="75"/>
        <v>x</v>
      </c>
    </row>
    <row r="606" spans="1:31" ht="15.75" customHeight="1">
      <c r="A606" s="334" t="str">
        <f>IF(B606&lt;&gt;"",IF(AND(B606='IN-TC'!$S$4,OR(TH!N606="1111",TH!O606="1111")),TH!D606,""),"")</f>
        <v/>
      </c>
      <c r="B606" s="63">
        <f t="shared" si="63"/>
        <v>1</v>
      </c>
      <c r="C606" s="78">
        <f t="shared" si="74"/>
        <v>42384</v>
      </c>
      <c r="D606" s="78" t="s">
        <v>938</v>
      </c>
      <c r="E606" s="78">
        <v>42384</v>
      </c>
      <c r="F606" s="67" t="s">
        <v>681</v>
      </c>
      <c r="G606" s="79"/>
      <c r="H606" s="80" t="s">
        <v>432</v>
      </c>
      <c r="I606" s="435">
        <v>7860</v>
      </c>
      <c r="J606" s="436">
        <v>16000</v>
      </c>
      <c r="K606" s="426"/>
      <c r="L606" s="435"/>
      <c r="M606" s="81">
        <f t="shared" si="62"/>
        <v>125760000</v>
      </c>
      <c r="N606" s="82" t="s">
        <v>274</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c r="AE606" s="1136" t="str">
        <f t="shared" si="75"/>
        <v>x</v>
      </c>
    </row>
    <row r="607" spans="1:31" ht="15.75" customHeight="1">
      <c r="A607" s="334" t="str">
        <f>IF(B607&lt;&gt;"",IF(AND(B607='IN-TC'!$S$4,OR(TH!N607="1111",TH!O607="1111")),TH!D607,""),"")</f>
        <v/>
      </c>
      <c r="B607" s="63">
        <f t="shared" si="63"/>
        <v>1</v>
      </c>
      <c r="C607" s="78">
        <f t="shared" si="74"/>
        <v>42390</v>
      </c>
      <c r="D607" s="78" t="s">
        <v>939</v>
      </c>
      <c r="E607" s="78">
        <v>42390</v>
      </c>
      <c r="F607" s="67" t="s">
        <v>681</v>
      </c>
      <c r="G607" s="79"/>
      <c r="H607" s="80" t="s">
        <v>441</v>
      </c>
      <c r="I607" s="435">
        <v>7960</v>
      </c>
      <c r="J607" s="436">
        <v>16000</v>
      </c>
      <c r="K607" s="426"/>
      <c r="L607" s="435"/>
      <c r="M607" s="81">
        <f t="shared" si="62"/>
        <v>127360000</v>
      </c>
      <c r="N607" s="82" t="s">
        <v>274</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c r="AE607" s="1136" t="str">
        <f t="shared" si="75"/>
        <v>x</v>
      </c>
    </row>
    <row r="608" spans="1:31" ht="15.75" customHeight="1">
      <c r="A608" s="334" t="str">
        <f>IF(B608&lt;&gt;"",IF(AND(B608='IN-TC'!$S$4,OR(TH!N608="1111",TH!O608="1111")),TH!D608,""),"")</f>
        <v/>
      </c>
      <c r="B608" s="63">
        <f t="shared" si="63"/>
        <v>1</v>
      </c>
      <c r="C608" s="78">
        <f t="shared" si="74"/>
        <v>42390</v>
      </c>
      <c r="D608" s="78" t="s">
        <v>940</v>
      </c>
      <c r="E608" s="78">
        <v>42390</v>
      </c>
      <c r="F608" s="67" t="s">
        <v>681</v>
      </c>
      <c r="G608" s="79"/>
      <c r="H608" s="80" t="s">
        <v>443</v>
      </c>
      <c r="I608" s="435">
        <v>7786</v>
      </c>
      <c r="J608" s="436">
        <v>16000</v>
      </c>
      <c r="K608" s="426"/>
      <c r="L608" s="435"/>
      <c r="M608" s="81">
        <f t="shared" si="62"/>
        <v>124576000</v>
      </c>
      <c r="N608" s="82" t="s">
        <v>274</v>
      </c>
      <c r="O608" s="82" t="s">
        <v>8</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c r="AE608" s="1136" t="str">
        <f t="shared" si="75"/>
        <v>x</v>
      </c>
    </row>
    <row r="609" spans="1:31" ht="15.75" customHeight="1">
      <c r="A609" s="334" t="str">
        <f>IF(B609&lt;&gt;"",IF(AND(B609='IN-TC'!$S$4,OR(TH!N609="1111",TH!O609="1111")),TH!D609,""),"")</f>
        <v/>
      </c>
      <c r="B609" s="63">
        <f t="shared" si="63"/>
        <v>1</v>
      </c>
      <c r="C609" s="78">
        <f t="shared" si="74"/>
        <v>42390</v>
      </c>
      <c r="D609" s="78" t="s">
        <v>946</v>
      </c>
      <c r="E609" s="78">
        <v>42390</v>
      </c>
      <c r="F609" s="67" t="s">
        <v>681</v>
      </c>
      <c r="G609" s="79"/>
      <c r="H609" s="80" t="s">
        <v>430</v>
      </c>
      <c r="I609" s="435">
        <v>7385</v>
      </c>
      <c r="J609" s="436">
        <v>16000</v>
      </c>
      <c r="K609" s="426"/>
      <c r="L609" s="435"/>
      <c r="M609" s="81">
        <f t="shared" si="62"/>
        <v>118160000</v>
      </c>
      <c r="N609" s="82" t="s">
        <v>274</v>
      </c>
      <c r="O609" s="82" t="s">
        <v>8</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c r="AE609" s="1136" t="str">
        <f t="shared" ref="AE609" si="76">IF(H609&lt;&gt;VLOOKUP(H609,DSKH,1,0),"","x")</f>
        <v>x</v>
      </c>
    </row>
    <row r="610" spans="1:31" ht="15.75" customHeight="1">
      <c r="A610" s="334" t="str">
        <f>IF(B610&lt;&gt;"",IF(AND(B610='IN-TC'!$S$4,OR(TH!N610="1111",TH!O610="1111")),TH!D610,""),"")</f>
        <v/>
      </c>
      <c r="B610" s="63">
        <f t="shared" si="63"/>
        <v>1</v>
      </c>
      <c r="C610" s="92">
        <f t="shared" si="74"/>
        <v>42376</v>
      </c>
      <c r="D610" s="92" t="s">
        <v>690</v>
      </c>
      <c r="E610" s="92">
        <v>42376</v>
      </c>
      <c r="F610" s="67" t="s">
        <v>681</v>
      </c>
      <c r="G610" s="93"/>
      <c r="H610" s="94" t="s">
        <v>446</v>
      </c>
      <c r="I610" s="443">
        <v>22520</v>
      </c>
      <c r="J610" s="1174">
        <v>16000</v>
      </c>
      <c r="K610" s="434"/>
      <c r="L610" s="443"/>
      <c r="M610" s="95">
        <f t="shared" si="62"/>
        <v>360320000</v>
      </c>
      <c r="N610" s="83" t="s">
        <v>282</v>
      </c>
      <c r="O610" s="83" t="s">
        <v>274</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1" ht="15.75" customHeight="1">
      <c r="A611" s="334" t="str">
        <f>IF(B611&lt;&gt;"",IF(AND(B611='IN-TC'!$S$4,OR(TH!N611="1111",TH!O611="1111")),TH!D611,""),"")</f>
        <v/>
      </c>
      <c r="B611" s="63">
        <f t="shared" si="63"/>
        <v>1</v>
      </c>
      <c r="C611" s="92">
        <f t="shared" si="74"/>
        <v>42380</v>
      </c>
      <c r="D611" s="92" t="s">
        <v>691</v>
      </c>
      <c r="E611" s="92">
        <v>42380</v>
      </c>
      <c r="F611" s="67" t="s">
        <v>681</v>
      </c>
      <c r="G611" s="93"/>
      <c r="H611" s="94" t="s">
        <v>446</v>
      </c>
      <c r="I611" s="443">
        <v>23220</v>
      </c>
      <c r="J611" s="1174">
        <v>16000</v>
      </c>
      <c r="K611" s="434"/>
      <c r="L611" s="443"/>
      <c r="M611" s="95">
        <f t="shared" si="62"/>
        <v>371520000</v>
      </c>
      <c r="N611" s="83" t="s">
        <v>282</v>
      </c>
      <c r="O611" s="83" t="s">
        <v>274</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1" ht="15.75" customHeight="1">
      <c r="A612" s="334" t="str">
        <f>IF(B612&lt;&gt;"",IF(AND(B612='IN-TC'!$S$4,OR(TH!N612="1111",TH!O612="1111")),TH!D612,""),"")</f>
        <v/>
      </c>
      <c r="B612" s="63">
        <f t="shared" si="63"/>
        <v>1</v>
      </c>
      <c r="C612" s="92">
        <f t="shared" si="74"/>
        <v>42384</v>
      </c>
      <c r="D612" s="92" t="s">
        <v>693</v>
      </c>
      <c r="E612" s="92">
        <v>42384</v>
      </c>
      <c r="F612" s="67" t="s">
        <v>681</v>
      </c>
      <c r="G612" s="93"/>
      <c r="H612" s="94" t="s">
        <v>446</v>
      </c>
      <c r="I612" s="1175">
        <v>23429</v>
      </c>
      <c r="J612" s="1174">
        <v>16000</v>
      </c>
      <c r="K612" s="1176"/>
      <c r="L612" s="1175"/>
      <c r="M612" s="95">
        <f t="shared" si="62"/>
        <v>374864000</v>
      </c>
      <c r="N612" s="83" t="s">
        <v>282</v>
      </c>
      <c r="O612" s="83" t="s">
        <v>274</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1" ht="15.75" customHeight="1">
      <c r="A613" s="334" t="str">
        <f>IF(B613&lt;&gt;"",IF(AND(B613='IN-TC'!$S$4,OR(TH!N613="1111",TH!O613="1111")),TH!D613,""),"")</f>
        <v/>
      </c>
      <c r="B613" s="63">
        <f t="shared" si="63"/>
        <v>1</v>
      </c>
      <c r="C613" s="92">
        <f t="shared" si="74"/>
        <v>42388</v>
      </c>
      <c r="D613" s="92" t="s">
        <v>942</v>
      </c>
      <c r="E613" s="92">
        <v>42388</v>
      </c>
      <c r="F613" s="67" t="s">
        <v>681</v>
      </c>
      <c r="G613" s="93"/>
      <c r="H613" s="94" t="s">
        <v>446</v>
      </c>
      <c r="I613" s="443">
        <v>23131</v>
      </c>
      <c r="J613" s="1174">
        <v>16000</v>
      </c>
      <c r="K613" s="434"/>
      <c r="L613" s="443"/>
      <c r="M613" s="95">
        <f t="shared" si="62"/>
        <v>370096000</v>
      </c>
      <c r="N613" s="83" t="s">
        <v>282</v>
      </c>
      <c r="O613" s="83" t="s">
        <v>274</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1" s="339" customFormat="1" ht="15.75" customHeight="1">
      <c r="A614" s="334" t="str">
        <f>IF(B614&lt;&gt;"",IF(AND(B614='IN-TC'!$S$4,OR(TH!N614="1111",TH!O614="1111")),TH!D614,""),"")</f>
        <v/>
      </c>
      <c r="B614" s="63">
        <f t="shared" si="63"/>
        <v>1</v>
      </c>
      <c r="C614" s="92">
        <f t="shared" si="74"/>
        <v>42371</v>
      </c>
      <c r="D614" s="92" t="s">
        <v>682</v>
      </c>
      <c r="E614" s="92">
        <v>42371</v>
      </c>
      <c r="F614" s="67" t="s">
        <v>680</v>
      </c>
      <c r="G614" s="93"/>
      <c r="H614" s="94" t="s">
        <v>446</v>
      </c>
      <c r="I614" s="1175">
        <v>38400</v>
      </c>
      <c r="J614" s="1175">
        <v>18500</v>
      </c>
      <c r="K614" s="1176"/>
      <c r="L614" s="1175"/>
      <c r="M614" s="95">
        <f t="shared" si="62"/>
        <v>710400000</v>
      </c>
      <c r="N614" s="83" t="s">
        <v>282</v>
      </c>
      <c r="O614" s="83" t="s">
        <v>274</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1" s="339" customFormat="1" ht="15.75" customHeight="1">
      <c r="A615" s="334" t="str">
        <f>IF(B615&lt;&gt;"",IF(AND(B615='IN-TC'!$S$4,OR(TH!N615="1111",TH!O615="1111")),TH!D615,""),"")</f>
        <v/>
      </c>
      <c r="B615" s="63">
        <f t="shared" si="63"/>
        <v>1</v>
      </c>
      <c r="C615" s="92">
        <f t="shared" si="74"/>
        <v>42374</v>
      </c>
      <c r="D615" s="92" t="s">
        <v>689</v>
      </c>
      <c r="E615" s="92">
        <v>42374</v>
      </c>
      <c r="F615" s="67" t="s">
        <v>681</v>
      </c>
      <c r="G615" s="93"/>
      <c r="H615" s="94" t="s">
        <v>446</v>
      </c>
      <c r="I615" s="1175">
        <v>26500</v>
      </c>
      <c r="J615" s="1175">
        <v>14500</v>
      </c>
      <c r="K615" s="1176"/>
      <c r="L615" s="1175"/>
      <c r="M615" s="95">
        <f t="shared" si="62"/>
        <v>384250000</v>
      </c>
      <c r="N615" s="83" t="s">
        <v>282</v>
      </c>
      <c r="O615" s="83" t="s">
        <v>274</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1" s="339" customFormat="1" ht="15.75" customHeight="1">
      <c r="A616" s="334" t="str">
        <f>IF(B616&lt;&gt;"",IF(AND(B616='IN-TC'!$S$4,OR(TH!N616="1111",TH!O616="1111")),TH!D616,""),"")</f>
        <v/>
      </c>
      <c r="B616" s="63">
        <f t="shared" si="63"/>
        <v>1</v>
      </c>
      <c r="C616" s="92">
        <f t="shared" si="74"/>
        <v>42382</v>
      </c>
      <c r="D616" s="92" t="s">
        <v>692</v>
      </c>
      <c r="E616" s="92">
        <v>42382</v>
      </c>
      <c r="F616" s="67" t="s">
        <v>681</v>
      </c>
      <c r="G616" s="93"/>
      <c r="H616" s="94" t="s">
        <v>446</v>
      </c>
      <c r="I616" s="1175">
        <v>26500</v>
      </c>
      <c r="J616" s="1175">
        <v>14500</v>
      </c>
      <c r="K616" s="1176"/>
      <c r="L616" s="1175"/>
      <c r="M616" s="95">
        <f t="shared" si="62"/>
        <v>384250000</v>
      </c>
      <c r="N616" s="83" t="s">
        <v>282</v>
      </c>
      <c r="O616" s="83" t="s">
        <v>274</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1" s="339" customFormat="1" ht="15.75" customHeight="1">
      <c r="A617" s="334" t="str">
        <f>IF(B617&lt;&gt;"",IF(AND(B617='IN-TC'!$S$4,OR(TH!N617="1111",TH!O617="1111")),TH!D617,""),"")</f>
        <v/>
      </c>
      <c r="B617" s="63">
        <f t="shared" si="63"/>
        <v>1</v>
      </c>
      <c r="C617" s="92">
        <f t="shared" si="74"/>
        <v>42386</v>
      </c>
      <c r="D617" s="92" t="s">
        <v>941</v>
      </c>
      <c r="E617" s="92">
        <v>42386</v>
      </c>
      <c r="F617" s="67" t="s">
        <v>681</v>
      </c>
      <c r="G617" s="1138"/>
      <c r="H617" s="94" t="s">
        <v>446</v>
      </c>
      <c r="I617" s="1175">
        <v>26500</v>
      </c>
      <c r="J617" s="1175">
        <v>14500</v>
      </c>
      <c r="K617" s="1176"/>
      <c r="L617" s="1175"/>
      <c r="M617" s="95">
        <f t="shared" si="62"/>
        <v>384250000</v>
      </c>
      <c r="N617" s="83" t="s">
        <v>282</v>
      </c>
      <c r="O617" s="83" t="s">
        <v>274</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1" s="339" customFormat="1" ht="15.75" customHeight="1">
      <c r="A618" s="334" t="str">
        <f>IF(B618&lt;&gt;"",IF(AND(B618='IN-TC'!$S$4,OR(TH!N618="1111",TH!O618="1111")),TH!D618,""),"")</f>
        <v/>
      </c>
      <c r="B618" s="63">
        <f t="shared" si="63"/>
        <v>1</v>
      </c>
      <c r="C618" s="92">
        <f t="shared" si="74"/>
        <v>42390</v>
      </c>
      <c r="D618" s="92" t="s">
        <v>943</v>
      </c>
      <c r="E618" s="92">
        <v>42390</v>
      </c>
      <c r="F618" s="67" t="s">
        <v>681</v>
      </c>
      <c r="G618" s="93"/>
      <c r="H618" s="94" t="s">
        <v>446</v>
      </c>
      <c r="I618" s="443">
        <v>26500</v>
      </c>
      <c r="J618" s="443">
        <v>14500</v>
      </c>
      <c r="K618" s="434"/>
      <c r="L618" s="443"/>
      <c r="M618" s="95">
        <f t="shared" si="62"/>
        <v>384250000</v>
      </c>
      <c r="N618" s="83" t="s">
        <v>282</v>
      </c>
      <c r="O618" s="83" t="s">
        <v>274</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1" s="339" customFormat="1" ht="15.75" customHeight="1">
      <c r="A619" s="334" t="str">
        <f>IF(B619&lt;&gt;"",IF(AND(B619='IN-TC'!$S$4,OR(TH!N619="1111",TH!O619="1111")),TH!D619,""),"")</f>
        <v/>
      </c>
      <c r="B619" s="63">
        <f t="shared" si="63"/>
        <v>1</v>
      </c>
      <c r="C619" s="92">
        <f t="shared" si="74"/>
        <v>42394</v>
      </c>
      <c r="D619" s="92" t="s">
        <v>944</v>
      </c>
      <c r="E619" s="92">
        <v>42394</v>
      </c>
      <c r="F619" s="67" t="s">
        <v>681</v>
      </c>
      <c r="G619" s="93"/>
      <c r="H619" s="94" t="s">
        <v>446</v>
      </c>
      <c r="I619" s="443">
        <v>26000</v>
      </c>
      <c r="J619" s="443">
        <v>14500</v>
      </c>
      <c r="K619" s="434"/>
      <c r="L619" s="443"/>
      <c r="M619" s="95">
        <f t="shared" si="62"/>
        <v>377000000</v>
      </c>
      <c r="N619" s="83" t="s">
        <v>282</v>
      </c>
      <c r="O619" s="83" t="s">
        <v>274</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1" ht="15.75" customHeight="1">
      <c r="A620" s="334" t="str">
        <f>IF(B620&lt;&gt;"",IF(AND(B620='IN-TC'!$S$4,OR(TH!N620="1111",TH!O620="1111")),TH!D620,""),"")</f>
        <v/>
      </c>
      <c r="B620" s="63">
        <f t="shared" si="63"/>
        <v>1</v>
      </c>
      <c r="C620" s="78">
        <f t="shared" si="74"/>
        <v>42392</v>
      </c>
      <c r="D620" s="78" t="s">
        <v>946</v>
      </c>
      <c r="E620" s="78">
        <v>42392</v>
      </c>
      <c r="F620" s="67" t="s">
        <v>681</v>
      </c>
      <c r="G620" s="79"/>
      <c r="H620" s="87" t="s">
        <v>425</v>
      </c>
      <c r="I620" s="436">
        <v>7580</v>
      </c>
      <c r="J620" s="436">
        <v>14500</v>
      </c>
      <c r="K620" s="427"/>
      <c r="L620" s="436"/>
      <c r="M620" s="81">
        <f t="shared" si="62"/>
        <v>109910000</v>
      </c>
      <c r="N620" s="82" t="s">
        <v>274</v>
      </c>
      <c r="O620" s="82" t="s">
        <v>8</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c r="AE620" s="1136" t="str">
        <f t="shared" ref="AE620:AE631" si="77">IF(H620&lt;&gt;VLOOKUP(H620,DSKH,1,0),"","x")</f>
        <v>x</v>
      </c>
    </row>
    <row r="621" spans="1:31" ht="15.75" customHeight="1">
      <c r="A621" s="334" t="str">
        <f>IF(B621&lt;&gt;"",IF(AND(B621='IN-TC'!$S$4,OR(TH!N621="1111",TH!O621="1111")),TH!D621,""),"")</f>
        <v/>
      </c>
      <c r="B621" s="63">
        <f t="shared" si="63"/>
        <v>1</v>
      </c>
      <c r="C621" s="78">
        <f t="shared" si="74"/>
        <v>42392</v>
      </c>
      <c r="D621" s="78" t="s">
        <v>947</v>
      </c>
      <c r="E621" s="78">
        <v>42392</v>
      </c>
      <c r="F621" s="67" t="s">
        <v>681</v>
      </c>
      <c r="G621" s="79"/>
      <c r="H621" s="80" t="s">
        <v>428</v>
      </c>
      <c r="I621" s="435">
        <v>7840</v>
      </c>
      <c r="J621" s="436">
        <v>14500</v>
      </c>
      <c r="K621" s="426"/>
      <c r="L621" s="435"/>
      <c r="M621" s="81">
        <f t="shared" si="62"/>
        <v>113680000</v>
      </c>
      <c r="N621" s="82" t="s">
        <v>274</v>
      </c>
      <c r="O621" s="82" t="s">
        <v>8</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c r="AE621" s="1136" t="str">
        <f t="shared" si="77"/>
        <v>x</v>
      </c>
    </row>
    <row r="622" spans="1:31" ht="15.75" customHeight="1">
      <c r="A622" s="334" t="str">
        <f>IF(B622&lt;&gt;"",IF(AND(B622='IN-TC'!$S$4,OR(TH!N622="1111",TH!O622="1111")),TH!D622,""),"")</f>
        <v/>
      </c>
      <c r="B622" s="63">
        <f t="shared" si="63"/>
        <v>1</v>
      </c>
      <c r="C622" s="78">
        <f t="shared" si="74"/>
        <v>42392</v>
      </c>
      <c r="D622" s="78" t="s">
        <v>948</v>
      </c>
      <c r="E622" s="78">
        <v>42392</v>
      </c>
      <c r="F622" s="67" t="s">
        <v>681</v>
      </c>
      <c r="G622" s="79"/>
      <c r="H622" s="80" t="s">
        <v>430</v>
      </c>
      <c r="I622" s="435">
        <v>7460</v>
      </c>
      <c r="J622" s="436">
        <v>14500</v>
      </c>
      <c r="K622" s="426"/>
      <c r="L622" s="435"/>
      <c r="M622" s="81">
        <f t="shared" si="62"/>
        <v>108170000</v>
      </c>
      <c r="N622" s="82" t="s">
        <v>274</v>
      </c>
      <c r="O622" s="82" t="s">
        <v>8</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c r="AE622" s="1136" t="str">
        <f t="shared" si="77"/>
        <v>x</v>
      </c>
    </row>
    <row r="623" spans="1:31" ht="15.75" customHeight="1">
      <c r="A623" s="334" t="str">
        <f>IF(B623&lt;&gt;"",IF(AND(B623='IN-TC'!$S$4,OR(TH!N623="1111",TH!O623="1111")),TH!D623,""),"")</f>
        <v/>
      </c>
      <c r="B623" s="63">
        <f t="shared" si="63"/>
        <v>1</v>
      </c>
      <c r="C623" s="78">
        <f t="shared" si="74"/>
        <v>42392</v>
      </c>
      <c r="D623" s="78" t="s">
        <v>949</v>
      </c>
      <c r="E623" s="78">
        <v>42392</v>
      </c>
      <c r="F623" s="67" t="s">
        <v>681</v>
      </c>
      <c r="G623" s="79"/>
      <c r="H623" s="80" t="s">
        <v>441</v>
      </c>
      <c r="I623" s="435">
        <v>7740</v>
      </c>
      <c r="J623" s="436">
        <v>14500</v>
      </c>
      <c r="K623" s="426"/>
      <c r="L623" s="435"/>
      <c r="M623" s="81">
        <f t="shared" si="62"/>
        <v>112230000</v>
      </c>
      <c r="N623" s="82" t="s">
        <v>274</v>
      </c>
      <c r="O623" s="82" t="s">
        <v>8</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c r="AE623" s="1136" t="str">
        <f t="shared" si="77"/>
        <v>x</v>
      </c>
    </row>
    <row r="624" spans="1:31" ht="15.75" customHeight="1">
      <c r="A624" s="334" t="str">
        <f>IF(B624&lt;&gt;"",IF(AND(B624='IN-TC'!$S$4,OR(TH!N624="1111",TH!O624="1111")),TH!D624,""),"")</f>
        <v/>
      </c>
      <c r="B624" s="63">
        <f t="shared" si="63"/>
        <v>1</v>
      </c>
      <c r="C624" s="78">
        <f t="shared" si="74"/>
        <v>42396</v>
      </c>
      <c r="D624" s="78" t="s">
        <v>950</v>
      </c>
      <c r="E624" s="78">
        <v>42396</v>
      </c>
      <c r="F624" s="67" t="s">
        <v>681</v>
      </c>
      <c r="G624" s="79"/>
      <c r="H624" s="80" t="s">
        <v>432</v>
      </c>
      <c r="I624" s="435">
        <v>7456</v>
      </c>
      <c r="J624" s="436">
        <v>14500</v>
      </c>
      <c r="K624" s="426"/>
      <c r="L624" s="435"/>
      <c r="M624" s="81">
        <f t="shared" si="62"/>
        <v>108112000</v>
      </c>
      <c r="N624" s="82" t="s">
        <v>274</v>
      </c>
      <c r="O624" s="82" t="s">
        <v>8</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c r="AE624" s="1136" t="str">
        <f t="shared" si="77"/>
        <v>x</v>
      </c>
    </row>
    <row r="625" spans="1:31" ht="15.75" customHeight="1">
      <c r="A625" s="334" t="str">
        <f>IF(B625&lt;&gt;"",IF(AND(B625='IN-TC'!$S$4,OR(TH!N625="1111",TH!O625="1111")),TH!D625,""),"")</f>
        <v/>
      </c>
      <c r="B625" s="63">
        <f t="shared" si="63"/>
        <v>1</v>
      </c>
      <c r="C625" s="78">
        <f t="shared" si="74"/>
        <v>42396</v>
      </c>
      <c r="D625" s="78" t="s">
        <v>951</v>
      </c>
      <c r="E625" s="78">
        <v>42396</v>
      </c>
      <c r="F625" s="67" t="s">
        <v>681</v>
      </c>
      <c r="G625" s="79"/>
      <c r="H625" s="80" t="s">
        <v>434</v>
      </c>
      <c r="I625" s="435">
        <v>7016</v>
      </c>
      <c r="J625" s="436">
        <v>14500</v>
      </c>
      <c r="K625" s="426"/>
      <c r="L625" s="435"/>
      <c r="M625" s="81">
        <f t="shared" si="62"/>
        <v>101732000</v>
      </c>
      <c r="N625" s="82" t="s">
        <v>274</v>
      </c>
      <c r="O625" s="82" t="s">
        <v>8</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c r="AE625" s="1136" t="str">
        <f t="shared" si="77"/>
        <v>x</v>
      </c>
    </row>
    <row r="626" spans="1:31" ht="15.75" customHeight="1">
      <c r="A626" s="334" t="str">
        <f>IF(B626&lt;&gt;"",IF(AND(B626='IN-TC'!$S$4,OR(TH!N626="1111",TH!O626="1111")),TH!D626,""),"")</f>
        <v/>
      </c>
      <c r="B626" s="63">
        <f t="shared" si="63"/>
        <v>1</v>
      </c>
      <c r="C626" s="78">
        <f t="shared" si="74"/>
        <v>42396</v>
      </c>
      <c r="D626" s="78" t="s">
        <v>952</v>
      </c>
      <c r="E626" s="78">
        <v>42396</v>
      </c>
      <c r="F626" s="67" t="s">
        <v>681</v>
      </c>
      <c r="G626" s="79"/>
      <c r="H626" s="80" t="s">
        <v>435</v>
      </c>
      <c r="I626" s="435">
        <v>6980</v>
      </c>
      <c r="J626" s="436">
        <v>14500</v>
      </c>
      <c r="K626" s="426"/>
      <c r="L626" s="435"/>
      <c r="M626" s="81">
        <f t="shared" si="62"/>
        <v>101210000</v>
      </c>
      <c r="N626" s="82" t="s">
        <v>274</v>
      </c>
      <c r="O626" s="82" t="s">
        <v>8</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c r="AE626" s="1136" t="str">
        <f t="shared" si="77"/>
        <v>x</v>
      </c>
    </row>
    <row r="627" spans="1:31" ht="15.75" customHeight="1">
      <c r="A627" s="334" t="str">
        <f>IF(B627&lt;&gt;"",IF(AND(B627='IN-TC'!$S$4,OR(TH!N627="1111",TH!O627="1111")),TH!D627,""),"")</f>
        <v/>
      </c>
      <c r="B627" s="63">
        <f t="shared" si="63"/>
        <v>1</v>
      </c>
      <c r="C627" s="78">
        <f t="shared" si="74"/>
        <v>42396</v>
      </c>
      <c r="D627" s="78" t="s">
        <v>953</v>
      </c>
      <c r="E627" s="78">
        <v>42396</v>
      </c>
      <c r="F627" s="67" t="s">
        <v>681</v>
      </c>
      <c r="G627" s="79"/>
      <c r="H627" s="80" t="s">
        <v>430</v>
      </c>
      <c r="I627" s="435">
        <v>7125</v>
      </c>
      <c r="J627" s="436">
        <v>14500</v>
      </c>
      <c r="K627" s="426"/>
      <c r="L627" s="435"/>
      <c r="M627" s="81">
        <f t="shared" si="62"/>
        <v>103312500</v>
      </c>
      <c r="N627" s="82" t="s">
        <v>274</v>
      </c>
      <c r="O627" s="82" t="s">
        <v>8</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c r="AE627" s="1136" t="str">
        <f t="shared" si="77"/>
        <v>x</v>
      </c>
    </row>
    <row r="628" spans="1:31" ht="15.75" customHeight="1">
      <c r="A628" s="334" t="str">
        <f>IF(B628&lt;&gt;"",IF(AND(B628='IN-TC'!$S$4,OR(TH!N628="1111",TH!O628="1111")),TH!D628,""),"")</f>
        <v/>
      </c>
      <c r="B628" s="63">
        <f t="shared" si="63"/>
        <v>1</v>
      </c>
      <c r="C628" s="78">
        <f t="shared" si="74"/>
        <v>42400</v>
      </c>
      <c r="D628" s="78" t="s">
        <v>954</v>
      </c>
      <c r="E628" s="78">
        <v>42400</v>
      </c>
      <c r="F628" s="67" t="s">
        <v>681</v>
      </c>
      <c r="G628" s="79"/>
      <c r="H628" s="80" t="s">
        <v>428</v>
      </c>
      <c r="I628" s="435">
        <v>7041</v>
      </c>
      <c r="J628" s="436">
        <v>14500</v>
      </c>
      <c r="K628" s="426"/>
      <c r="L628" s="435"/>
      <c r="M628" s="81">
        <f t="shared" si="62"/>
        <v>102094500</v>
      </c>
      <c r="N628" s="82" t="s">
        <v>274</v>
      </c>
      <c r="O628" s="82" t="s">
        <v>8</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c r="AE628" s="1136" t="str">
        <f t="shared" si="77"/>
        <v>x</v>
      </c>
    </row>
    <row r="629" spans="1:31" ht="15.75" customHeight="1">
      <c r="A629" s="334" t="str">
        <f>IF(B629&lt;&gt;"",IF(AND(B629='IN-TC'!$S$4,OR(TH!N629="1111",TH!O629="1111")),TH!D629,""),"")</f>
        <v/>
      </c>
      <c r="B629" s="63">
        <f t="shared" si="63"/>
        <v>1</v>
      </c>
      <c r="C629" s="78">
        <f t="shared" si="74"/>
        <v>42400</v>
      </c>
      <c r="D629" s="78" t="s">
        <v>955</v>
      </c>
      <c r="E629" s="78">
        <v>42400</v>
      </c>
      <c r="F629" s="67" t="s">
        <v>681</v>
      </c>
      <c r="G629" s="79"/>
      <c r="H629" s="80" t="s">
        <v>430</v>
      </c>
      <c r="I629" s="435">
        <v>7046</v>
      </c>
      <c r="J629" s="436">
        <v>14500</v>
      </c>
      <c r="K629" s="426"/>
      <c r="L629" s="435"/>
      <c r="M629" s="81">
        <f t="shared" si="62"/>
        <v>102167000</v>
      </c>
      <c r="N629" s="82" t="s">
        <v>274</v>
      </c>
      <c r="O629" s="82" t="s">
        <v>8</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c r="AE629" s="1136" t="str">
        <f t="shared" si="77"/>
        <v>x</v>
      </c>
    </row>
    <row r="630" spans="1:31" ht="15.75" customHeight="1">
      <c r="A630" s="334" t="str">
        <f>IF(B630&lt;&gt;"",IF(AND(B630='IN-TC'!$S$4,OR(TH!N630="1111",TH!O630="1111")),TH!D630,""),"")</f>
        <v/>
      </c>
      <c r="B630" s="63">
        <f t="shared" si="63"/>
        <v>1</v>
      </c>
      <c r="C630" s="78">
        <f t="shared" si="74"/>
        <v>42400</v>
      </c>
      <c r="D630" s="78" t="s">
        <v>956</v>
      </c>
      <c r="E630" s="78">
        <v>42400</v>
      </c>
      <c r="F630" s="67" t="s">
        <v>681</v>
      </c>
      <c r="G630" s="79"/>
      <c r="H630" s="80" t="s">
        <v>435</v>
      </c>
      <c r="I630" s="435">
        <v>7049</v>
      </c>
      <c r="J630" s="436">
        <v>14500</v>
      </c>
      <c r="K630" s="426"/>
      <c r="L630" s="435"/>
      <c r="M630" s="81">
        <f t="shared" si="62"/>
        <v>102210500</v>
      </c>
      <c r="N630" s="82" t="s">
        <v>274</v>
      </c>
      <c r="O630" s="82" t="s">
        <v>8</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c r="AE630" s="1136" t="str">
        <f t="shared" si="77"/>
        <v>x</v>
      </c>
    </row>
    <row r="631" spans="1:31" ht="15.75" customHeight="1">
      <c r="A631" s="334" t="str">
        <f>IF(B631&lt;&gt;"",IF(AND(B631='IN-TC'!$S$4,OR(TH!N631="1111",TH!O631="1111")),TH!D631,""),"")</f>
        <v/>
      </c>
      <c r="B631" s="63">
        <f t="shared" si="63"/>
        <v>1</v>
      </c>
      <c r="C631" s="78">
        <f t="shared" si="74"/>
        <v>42400</v>
      </c>
      <c r="D631" s="78" t="s">
        <v>957</v>
      </c>
      <c r="E631" s="78">
        <v>42400</v>
      </c>
      <c r="F631" s="67" t="s">
        <v>681</v>
      </c>
      <c r="G631" s="79"/>
      <c r="H631" s="80" t="s">
        <v>439</v>
      </c>
      <c r="I631" s="435">
        <v>7667</v>
      </c>
      <c r="J631" s="436">
        <v>14500</v>
      </c>
      <c r="K631" s="426"/>
      <c r="L631" s="435"/>
      <c r="M631" s="81">
        <f t="shared" si="62"/>
        <v>111171500</v>
      </c>
      <c r="N631" s="82" t="s">
        <v>274</v>
      </c>
      <c r="O631" s="82" t="s">
        <v>8</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c r="AE631" s="1136" t="str">
        <f t="shared" si="77"/>
        <v>x</v>
      </c>
    </row>
    <row r="632" spans="1:31" s="339" customFormat="1" ht="15.75" customHeight="1">
      <c r="A632" s="334" t="str">
        <f>IF(B632&lt;&gt;"",IF(AND(B632='IN-TC'!$S$4,OR(TH!N632="1111",TH!O632="1111")),TH!D632,""),"")</f>
        <v/>
      </c>
      <c r="B632" s="63">
        <f t="shared" si="63"/>
        <v>2</v>
      </c>
      <c r="C632" s="92">
        <f t="shared" si="74"/>
        <v>42415</v>
      </c>
      <c r="D632" s="92" t="s">
        <v>690</v>
      </c>
      <c r="E632" s="92">
        <v>42415</v>
      </c>
      <c r="F632" s="67" t="s">
        <v>681</v>
      </c>
      <c r="G632" s="93"/>
      <c r="H632" s="94" t="s">
        <v>446</v>
      </c>
      <c r="I632" s="1175">
        <v>30620</v>
      </c>
      <c r="J632" s="1174">
        <v>14500</v>
      </c>
      <c r="K632" s="1176"/>
      <c r="L632" s="1175"/>
      <c r="M632" s="95">
        <f t="shared" si="62"/>
        <v>443990000</v>
      </c>
      <c r="N632" s="83" t="s">
        <v>282</v>
      </c>
      <c r="O632" s="83" t="s">
        <v>274</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1" s="339" customFormat="1" ht="15.75" customHeight="1">
      <c r="A633" s="334" t="str">
        <f>IF(B633&lt;&gt;"",IF(AND(B633='IN-TC'!$S$4,OR(TH!N633="1111",TH!O633="1111")),TH!D633,""),"")</f>
        <v/>
      </c>
      <c r="B633" s="63">
        <f t="shared" si="63"/>
        <v>2</v>
      </c>
      <c r="C633" s="92">
        <f t="shared" si="74"/>
        <v>42418</v>
      </c>
      <c r="D633" s="92" t="s">
        <v>691</v>
      </c>
      <c r="E633" s="92">
        <v>42418</v>
      </c>
      <c r="F633" s="67" t="s">
        <v>681</v>
      </c>
      <c r="G633" s="1138"/>
      <c r="H633" s="94" t="s">
        <v>446</v>
      </c>
      <c r="I633" s="1175">
        <v>28577</v>
      </c>
      <c r="J633" s="1174">
        <v>14500</v>
      </c>
      <c r="K633" s="1176"/>
      <c r="L633" s="1175"/>
      <c r="M633" s="95">
        <f t="shared" si="62"/>
        <v>414366500</v>
      </c>
      <c r="N633" s="83" t="s">
        <v>282</v>
      </c>
      <c r="O633" s="83" t="s">
        <v>274</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1" s="339" customFormat="1" ht="15.75" customHeight="1">
      <c r="A634" s="334" t="str">
        <f>IF(B634&lt;&gt;"",IF(AND(B634='IN-TC'!$S$4,OR(TH!N634="1111",TH!O634="1111")),TH!D634,""),"")</f>
        <v/>
      </c>
      <c r="B634" s="63">
        <f t="shared" si="63"/>
        <v>2</v>
      </c>
      <c r="C634" s="92">
        <f t="shared" si="74"/>
        <v>42423</v>
      </c>
      <c r="D634" s="92" t="s">
        <v>692</v>
      </c>
      <c r="E634" s="92">
        <v>42423</v>
      </c>
      <c r="F634" s="67" t="s">
        <v>681</v>
      </c>
      <c r="G634" s="93"/>
      <c r="H634" s="94" t="s">
        <v>446</v>
      </c>
      <c r="I634" s="443">
        <v>28803</v>
      </c>
      <c r="J634" s="1174">
        <v>14500</v>
      </c>
      <c r="K634" s="434"/>
      <c r="L634" s="443"/>
      <c r="M634" s="95">
        <f t="shared" si="62"/>
        <v>417643500</v>
      </c>
      <c r="N634" s="83" t="s">
        <v>282</v>
      </c>
      <c r="O634" s="83" t="s">
        <v>274</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1" s="339" customFormat="1" ht="15.75" customHeight="1">
      <c r="A635" s="334" t="str">
        <f>IF(B635&lt;&gt;"",IF(AND(B635='IN-TC'!$S$4,OR(TH!N635="1111",TH!O635="1111")),TH!D635,""),"")</f>
        <v/>
      </c>
      <c r="B635" s="63">
        <f t="shared" si="63"/>
        <v>2</v>
      </c>
      <c r="C635" s="78">
        <f t="shared" si="74"/>
        <v>42401</v>
      </c>
      <c r="D635" s="78" t="s">
        <v>930</v>
      </c>
      <c r="E635" s="78">
        <v>42401</v>
      </c>
      <c r="F635" s="67" t="s">
        <v>1969</v>
      </c>
      <c r="G635" s="79"/>
      <c r="H635" s="80" t="s">
        <v>378</v>
      </c>
      <c r="I635" s="435">
        <v>6540</v>
      </c>
      <c r="J635" s="436">
        <v>17500</v>
      </c>
      <c r="K635" s="426"/>
      <c r="L635" s="435"/>
      <c r="M635" s="81">
        <f t="shared" si="62"/>
        <v>114450000</v>
      </c>
      <c r="N635" s="82" t="s">
        <v>274</v>
      </c>
      <c r="O635" s="82" t="s">
        <v>8</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x</v>
      </c>
      <c r="AE635" s="1136" t="str">
        <f t="shared" ref="AE635:AE646" si="78">IF(H635&lt;&gt;VLOOKUP(H635,DSKH,1,0),"","x")</f>
        <v>x</v>
      </c>
    </row>
    <row r="636" spans="1:31" ht="15.75" customHeight="1">
      <c r="A636" s="334" t="str">
        <f>IF(B636&lt;&gt;"",IF(AND(B636='IN-TC'!$S$4,OR(TH!N636="1111",TH!O636="1111")),TH!D636,""),"")</f>
        <v/>
      </c>
      <c r="B636" s="63">
        <f t="shared" si="63"/>
        <v>2</v>
      </c>
      <c r="C636" s="78">
        <f t="shared" si="74"/>
        <v>42401</v>
      </c>
      <c r="D636" s="78" t="s">
        <v>931</v>
      </c>
      <c r="E636" s="78">
        <v>42401</v>
      </c>
      <c r="F636" s="67" t="s">
        <v>1969</v>
      </c>
      <c r="G636" s="79"/>
      <c r="H636" s="87" t="s">
        <v>383</v>
      </c>
      <c r="I636" s="436">
        <v>6358</v>
      </c>
      <c r="J636" s="436">
        <v>17500</v>
      </c>
      <c r="K636" s="427"/>
      <c r="L636" s="436"/>
      <c r="M636" s="81">
        <f t="shared" si="62"/>
        <v>111265000</v>
      </c>
      <c r="N636" s="82" t="s">
        <v>274</v>
      </c>
      <c r="O636" s="82" t="s">
        <v>8</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x</v>
      </c>
      <c r="AE636" s="1136" t="str">
        <f t="shared" si="78"/>
        <v>x</v>
      </c>
    </row>
    <row r="637" spans="1:31" ht="15.75" customHeight="1">
      <c r="A637" s="334" t="str">
        <f>IF(B637&lt;&gt;"",IF(AND(B637='IN-TC'!$S$4,OR(TH!N637="1111",TH!O637="1111")),TH!D637,""),"")</f>
        <v/>
      </c>
      <c r="B637" s="63">
        <f t="shared" si="63"/>
        <v>2</v>
      </c>
      <c r="C637" s="78">
        <f t="shared" si="74"/>
        <v>42401</v>
      </c>
      <c r="D637" s="78" t="s">
        <v>932</v>
      </c>
      <c r="E637" s="78">
        <v>42401</v>
      </c>
      <c r="F637" s="67" t="s">
        <v>1969</v>
      </c>
      <c r="G637" s="79"/>
      <c r="H637" s="80" t="s">
        <v>385</v>
      </c>
      <c r="I637" s="435">
        <v>6259</v>
      </c>
      <c r="J637" s="436">
        <v>17500</v>
      </c>
      <c r="K637" s="426"/>
      <c r="L637" s="435"/>
      <c r="M637" s="81">
        <f t="shared" si="62"/>
        <v>109532500</v>
      </c>
      <c r="N637" s="82" t="s">
        <v>274</v>
      </c>
      <c r="O637" s="82" t="s">
        <v>8</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x</v>
      </c>
      <c r="AE637" s="1136" t="str">
        <f t="shared" si="78"/>
        <v>x</v>
      </c>
    </row>
    <row r="638" spans="1:31" ht="15.75" customHeight="1">
      <c r="A638" s="334" t="str">
        <f>IF(B638&lt;&gt;"",IF(AND(B638='IN-TC'!$S$4,OR(TH!N638="1111",TH!O638="1111")),TH!D638,""),"")</f>
        <v/>
      </c>
      <c r="B638" s="63">
        <f t="shared" si="63"/>
        <v>2</v>
      </c>
      <c r="C638" s="78">
        <f t="shared" si="74"/>
        <v>42408</v>
      </c>
      <c r="D638" s="78" t="s">
        <v>933</v>
      </c>
      <c r="E638" s="78">
        <v>42408</v>
      </c>
      <c r="F638" s="67" t="s">
        <v>1969</v>
      </c>
      <c r="G638" s="79"/>
      <c r="H638" s="80" t="s">
        <v>391</v>
      </c>
      <c r="I638" s="435">
        <v>6583</v>
      </c>
      <c r="J638" s="436">
        <v>17500</v>
      </c>
      <c r="K638" s="426"/>
      <c r="L638" s="435"/>
      <c r="M638" s="81">
        <f t="shared" si="62"/>
        <v>115202500</v>
      </c>
      <c r="N638" s="82" t="s">
        <v>274</v>
      </c>
      <c r="O638" s="82" t="s">
        <v>8</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x</v>
      </c>
      <c r="AE638" s="1136" t="str">
        <f t="shared" si="78"/>
        <v>x</v>
      </c>
    </row>
    <row r="639" spans="1:31" ht="15.75" customHeight="1">
      <c r="A639" s="334" t="str">
        <f>IF(B639&lt;&gt;"",IF(AND(B639='IN-TC'!$S$4,OR(TH!N639="1111",TH!O639="1111")),TH!D639,""),"")</f>
        <v/>
      </c>
      <c r="B639" s="63">
        <f t="shared" si="63"/>
        <v>2</v>
      </c>
      <c r="C639" s="78">
        <f t="shared" si="74"/>
        <v>42408</v>
      </c>
      <c r="D639" s="78" t="s">
        <v>934</v>
      </c>
      <c r="E639" s="78">
        <v>42408</v>
      </c>
      <c r="F639" s="67" t="s">
        <v>1969</v>
      </c>
      <c r="G639" s="79"/>
      <c r="H639" s="80" t="s">
        <v>393</v>
      </c>
      <c r="I639" s="435">
        <v>6930</v>
      </c>
      <c r="J639" s="436">
        <v>17500</v>
      </c>
      <c r="K639" s="426"/>
      <c r="L639" s="435"/>
      <c r="M639" s="81">
        <f t="shared" si="62"/>
        <v>121275000</v>
      </c>
      <c r="N639" s="82" t="s">
        <v>274</v>
      </c>
      <c r="O639" s="82" t="s">
        <v>8</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x</v>
      </c>
      <c r="AE639" s="1136" t="str">
        <f t="shared" si="78"/>
        <v>x</v>
      </c>
    </row>
    <row r="640" spans="1:31" ht="15.75" customHeight="1">
      <c r="A640" s="334" t="str">
        <f>IF(B640&lt;&gt;"",IF(AND(B640='IN-TC'!$S$4,OR(TH!N640="1111",TH!O640="1111")),TH!D640,""),"")</f>
        <v/>
      </c>
      <c r="B640" s="63">
        <f t="shared" si="63"/>
        <v>2</v>
      </c>
      <c r="C640" s="78">
        <f t="shared" si="74"/>
        <v>42408</v>
      </c>
      <c r="D640" s="78" t="s">
        <v>935</v>
      </c>
      <c r="E640" s="78">
        <v>42408</v>
      </c>
      <c r="F640" s="67" t="s">
        <v>1969</v>
      </c>
      <c r="G640" s="79"/>
      <c r="H640" s="80" t="s">
        <v>395</v>
      </c>
      <c r="I640" s="435">
        <v>6045</v>
      </c>
      <c r="J640" s="436">
        <v>17500</v>
      </c>
      <c r="K640" s="426"/>
      <c r="L640" s="435"/>
      <c r="M640" s="81">
        <f t="shared" si="62"/>
        <v>105787500</v>
      </c>
      <c r="N640" s="82" t="s">
        <v>274</v>
      </c>
      <c r="O640" s="82" t="s">
        <v>8</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x</v>
      </c>
      <c r="AE640" s="1136" t="str">
        <f t="shared" si="78"/>
        <v>x</v>
      </c>
    </row>
    <row r="641" spans="1:31" s="339" customFormat="1" ht="15.75" customHeight="1">
      <c r="A641" s="334" t="str">
        <f>IF(B641&lt;&gt;"",IF(AND(B641='IN-TC'!$S$4,OR(TH!N641="1111",TH!O641="1111")),TH!D641,""),"")</f>
        <v/>
      </c>
      <c r="B641" s="63">
        <f t="shared" si="63"/>
        <v>2</v>
      </c>
      <c r="C641" s="78">
        <f t="shared" si="74"/>
        <v>42415</v>
      </c>
      <c r="D641" s="78" t="s">
        <v>936</v>
      </c>
      <c r="E641" s="78">
        <v>42415</v>
      </c>
      <c r="F641" s="67" t="s">
        <v>1969</v>
      </c>
      <c r="G641" s="79"/>
      <c r="H641" s="80" t="s">
        <v>388</v>
      </c>
      <c r="I641" s="435">
        <v>6647</v>
      </c>
      <c r="J641" s="436">
        <v>17500</v>
      </c>
      <c r="K641" s="426"/>
      <c r="L641" s="435"/>
      <c r="M641" s="81">
        <f t="shared" si="62"/>
        <v>116322500</v>
      </c>
      <c r="N641" s="82" t="s">
        <v>274</v>
      </c>
      <c r="O641" s="82" t="s">
        <v>8</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x</v>
      </c>
      <c r="AE641" s="1136" t="str">
        <f t="shared" si="78"/>
        <v>x</v>
      </c>
    </row>
    <row r="642" spans="1:31" ht="15.75" customHeight="1">
      <c r="A642" s="334" t="str">
        <f>IF(B642&lt;&gt;"",IF(AND(B642='IN-TC'!$S$4,OR(TH!N642="1111",TH!O642="1111")),TH!D642,""),"")</f>
        <v/>
      </c>
      <c r="B642" s="63">
        <f t="shared" si="63"/>
        <v>2</v>
      </c>
      <c r="C642" s="78">
        <f t="shared" si="74"/>
        <v>42415</v>
      </c>
      <c r="D642" s="78" t="s">
        <v>937</v>
      </c>
      <c r="E642" s="78">
        <v>42415</v>
      </c>
      <c r="F642" s="67" t="s">
        <v>1969</v>
      </c>
      <c r="G642" s="79"/>
      <c r="H642" s="80" t="s">
        <v>385</v>
      </c>
      <c r="I642" s="436">
        <v>6123</v>
      </c>
      <c r="J642" s="436">
        <v>17500</v>
      </c>
      <c r="K642" s="427"/>
      <c r="L642" s="436"/>
      <c r="M642" s="81">
        <f t="shared" si="62"/>
        <v>107152500</v>
      </c>
      <c r="N642" s="82" t="s">
        <v>274</v>
      </c>
      <c r="O642" s="82" t="s">
        <v>8</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x</v>
      </c>
      <c r="AE642" s="1136" t="str">
        <f t="shared" si="78"/>
        <v>x</v>
      </c>
    </row>
    <row r="643" spans="1:31" ht="15.75" customHeight="1">
      <c r="A643" s="334" t="str">
        <f>IF(B643&lt;&gt;"",IF(AND(B643='IN-TC'!$S$4,OR(TH!N643="1111",TH!O643="1111")),TH!D643,""),"")</f>
        <v/>
      </c>
      <c r="B643" s="63">
        <f t="shared" si="63"/>
        <v>2</v>
      </c>
      <c r="C643" s="78">
        <f t="shared" si="74"/>
        <v>42415</v>
      </c>
      <c r="D643" s="78" t="s">
        <v>938</v>
      </c>
      <c r="E643" s="78">
        <v>42415</v>
      </c>
      <c r="F643" s="67" t="s">
        <v>1969</v>
      </c>
      <c r="G643" s="79"/>
      <c r="H643" s="80" t="s">
        <v>391</v>
      </c>
      <c r="I643" s="435">
        <v>6652</v>
      </c>
      <c r="J643" s="436">
        <v>17500</v>
      </c>
      <c r="K643" s="426"/>
      <c r="L643" s="435"/>
      <c r="M643" s="81">
        <f t="shared" si="62"/>
        <v>116410000</v>
      </c>
      <c r="N643" s="82" t="s">
        <v>274</v>
      </c>
      <c r="O643" s="82" t="s">
        <v>8</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x</v>
      </c>
      <c r="AE643" s="1136" t="str">
        <f t="shared" si="78"/>
        <v>x</v>
      </c>
    </row>
    <row r="644" spans="1:31" ht="15.75" customHeight="1">
      <c r="A644" s="334" t="str">
        <f>IF(B644&lt;&gt;"",IF(AND(B644='IN-TC'!$S$4,OR(TH!N644="1111",TH!O644="1111")),TH!D644,""),"")</f>
        <v/>
      </c>
      <c r="B644" s="63">
        <f t="shared" si="63"/>
        <v>2</v>
      </c>
      <c r="C644" s="78">
        <f t="shared" si="74"/>
        <v>42423</v>
      </c>
      <c r="D644" s="78" t="s">
        <v>948</v>
      </c>
      <c r="E644" s="78">
        <v>42423</v>
      </c>
      <c r="F644" s="67" t="s">
        <v>1969</v>
      </c>
      <c r="G644" s="79"/>
      <c r="H644" s="80" t="s">
        <v>385</v>
      </c>
      <c r="I644" s="435">
        <v>6980</v>
      </c>
      <c r="J644" s="436">
        <v>17500</v>
      </c>
      <c r="K644" s="426"/>
      <c r="L644" s="435"/>
      <c r="M644" s="81">
        <f t="shared" si="62"/>
        <v>122150000</v>
      </c>
      <c r="N644" s="82" t="s">
        <v>274</v>
      </c>
      <c r="O644" s="82" t="s">
        <v>8</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x</v>
      </c>
      <c r="AE644" s="1136" t="str">
        <f t="shared" si="78"/>
        <v>x</v>
      </c>
    </row>
    <row r="645" spans="1:31" ht="15.75" customHeight="1">
      <c r="A645" s="334" t="str">
        <f>IF(B645&lt;&gt;"",IF(AND(B645='IN-TC'!$S$4,OR(TH!N645="1111",TH!O645="1111")),TH!D645,""),"")</f>
        <v/>
      </c>
      <c r="B645" s="63">
        <f t="shared" si="63"/>
        <v>2</v>
      </c>
      <c r="C645" s="78">
        <f t="shared" si="74"/>
        <v>42423</v>
      </c>
      <c r="D645" s="78" t="s">
        <v>949</v>
      </c>
      <c r="E645" s="78">
        <v>42423</v>
      </c>
      <c r="F645" s="67" t="s">
        <v>1969</v>
      </c>
      <c r="G645" s="79"/>
      <c r="H645" s="80" t="s">
        <v>378</v>
      </c>
      <c r="I645" s="435">
        <v>6750</v>
      </c>
      <c r="J645" s="436">
        <v>17500</v>
      </c>
      <c r="K645" s="426"/>
      <c r="L645" s="435"/>
      <c r="M645" s="81">
        <f t="shared" si="62"/>
        <v>118125000</v>
      </c>
      <c r="N645" s="82" t="s">
        <v>274</v>
      </c>
      <c r="O645" s="82" t="s">
        <v>8</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x</v>
      </c>
      <c r="AE645" s="1136" t="str">
        <f t="shared" si="78"/>
        <v>x</v>
      </c>
    </row>
    <row r="646" spans="1:31" ht="15.75" customHeight="1">
      <c r="A646" s="334" t="str">
        <f>IF(B646&lt;&gt;"",IF(AND(B646='IN-TC'!$S$4,OR(TH!N646="1111",TH!O646="1111")),TH!D646,""),"")</f>
        <v/>
      </c>
      <c r="B646" s="63">
        <f t="shared" si="63"/>
        <v>2</v>
      </c>
      <c r="C646" s="78">
        <f t="shared" si="74"/>
        <v>42423</v>
      </c>
      <c r="D646" s="78" t="s">
        <v>950</v>
      </c>
      <c r="E646" s="78">
        <v>42423</v>
      </c>
      <c r="F646" s="67" t="s">
        <v>1969</v>
      </c>
      <c r="G646" s="79"/>
      <c r="H646" s="87" t="s">
        <v>383</v>
      </c>
      <c r="I646" s="435">
        <v>6133</v>
      </c>
      <c r="J646" s="436">
        <v>17500</v>
      </c>
      <c r="K646" s="426"/>
      <c r="L646" s="435"/>
      <c r="M646" s="81">
        <f t="shared" si="62"/>
        <v>107327500</v>
      </c>
      <c r="N646" s="82" t="s">
        <v>274</v>
      </c>
      <c r="O646" s="82" t="s">
        <v>8</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x</v>
      </c>
      <c r="AE646" s="1136" t="str">
        <f t="shared" si="78"/>
        <v>x</v>
      </c>
    </row>
    <row r="647" spans="1:31" s="339" customFormat="1" ht="15.75" customHeight="1">
      <c r="A647" s="334" t="str">
        <f>IF(B647&lt;&gt;"",IF(AND(B647='IN-TC'!$S$4,OR(TH!N647="1111",TH!O647="1111")),TH!D647,""),"")</f>
        <v/>
      </c>
      <c r="B647" s="63">
        <f t="shared" si="63"/>
        <v>2</v>
      </c>
      <c r="C647" s="92">
        <f t="shared" si="74"/>
        <v>42401</v>
      </c>
      <c r="D647" s="92" t="s">
        <v>682</v>
      </c>
      <c r="E647" s="92">
        <v>42401</v>
      </c>
      <c r="F647" s="67" t="s">
        <v>1969</v>
      </c>
      <c r="G647" s="93"/>
      <c r="H647" s="94" t="s">
        <v>446</v>
      </c>
      <c r="I647" s="1175">
        <v>19157</v>
      </c>
      <c r="J647" s="1174">
        <v>17500</v>
      </c>
      <c r="K647" s="1176"/>
      <c r="L647" s="1175"/>
      <c r="M647" s="95">
        <f t="shared" si="62"/>
        <v>335247500</v>
      </c>
      <c r="N647" s="83" t="s">
        <v>282</v>
      </c>
      <c r="O647" s="83" t="s">
        <v>274</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1" s="339" customFormat="1" ht="15.75" customHeight="1">
      <c r="A648" s="334" t="str">
        <f>IF(B648&lt;&gt;"",IF(AND(B648='IN-TC'!$S$4,OR(TH!N648="1111",TH!O648="1111")),TH!D648,""),"")</f>
        <v/>
      </c>
      <c r="B648" s="63">
        <f t="shared" si="63"/>
        <v>2</v>
      </c>
      <c r="C648" s="92">
        <f t="shared" si="74"/>
        <v>42408</v>
      </c>
      <c r="D648" s="92" t="s">
        <v>689</v>
      </c>
      <c r="E648" s="92">
        <v>42408</v>
      </c>
      <c r="F648" s="67" t="s">
        <v>1969</v>
      </c>
      <c r="G648" s="93"/>
      <c r="H648" s="94" t="s">
        <v>446</v>
      </c>
      <c r="I648" s="443">
        <v>19558</v>
      </c>
      <c r="J648" s="1174">
        <v>17500</v>
      </c>
      <c r="K648" s="434"/>
      <c r="L648" s="443"/>
      <c r="M648" s="95">
        <f t="shared" si="62"/>
        <v>342265000</v>
      </c>
      <c r="N648" s="83" t="s">
        <v>282</v>
      </c>
      <c r="O648" s="83" t="s">
        <v>274</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1" s="339" customFormat="1" ht="15.75" customHeight="1">
      <c r="A649" s="334" t="str">
        <f>IF(B649&lt;&gt;"",IF(AND(B649='IN-TC'!$S$4,OR(TH!N649="1111",TH!O649="1111")),TH!D649,""),"")</f>
        <v/>
      </c>
      <c r="B649" s="63">
        <f t="shared" si="63"/>
        <v>2</v>
      </c>
      <c r="C649" s="92">
        <f t="shared" si="74"/>
        <v>42415</v>
      </c>
      <c r="D649" s="92" t="s">
        <v>690</v>
      </c>
      <c r="E649" s="92">
        <v>42415</v>
      </c>
      <c r="F649" s="67" t="s">
        <v>1969</v>
      </c>
      <c r="G649" s="93"/>
      <c r="H649" s="94" t="s">
        <v>446</v>
      </c>
      <c r="I649" s="1175">
        <v>19422</v>
      </c>
      <c r="J649" s="1174">
        <v>17500</v>
      </c>
      <c r="K649" s="1176"/>
      <c r="L649" s="1175"/>
      <c r="M649" s="95">
        <f t="shared" ref="M649:M712" si="79">ROUND(I649*J649,0)</f>
        <v>339885000</v>
      </c>
      <c r="N649" s="83" t="s">
        <v>282</v>
      </c>
      <c r="O649" s="83" t="s">
        <v>274</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1" s="339" customFormat="1" ht="15.75" customHeight="1">
      <c r="A650" s="334" t="str">
        <f>IF(B650&lt;&gt;"",IF(AND(B650='IN-TC'!$S$4,OR(TH!N650="1111",TH!O650="1111")),TH!D650,""),"")</f>
        <v/>
      </c>
      <c r="B650" s="63">
        <f t="shared" si="63"/>
        <v>2</v>
      </c>
      <c r="C650" s="92">
        <f t="shared" si="74"/>
        <v>42423</v>
      </c>
      <c r="D650" s="92" t="s">
        <v>692</v>
      </c>
      <c r="E650" s="92">
        <v>42423</v>
      </c>
      <c r="F650" s="67" t="s">
        <v>1969</v>
      </c>
      <c r="G650" s="93"/>
      <c r="H650" s="94" t="s">
        <v>446</v>
      </c>
      <c r="I650" s="443">
        <v>19863</v>
      </c>
      <c r="J650" s="1174">
        <v>17500</v>
      </c>
      <c r="K650" s="434"/>
      <c r="L650" s="443"/>
      <c r="M650" s="95">
        <f t="shared" si="79"/>
        <v>347602500</v>
      </c>
      <c r="N650" s="83" t="s">
        <v>282</v>
      </c>
      <c r="O650" s="83" t="s">
        <v>274</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1" ht="15.75" customHeight="1">
      <c r="A651" s="334" t="str">
        <f>IF(B651&lt;&gt;"",IF(AND(B651='IN-TC'!$S$4,OR(TH!N651="1111",TH!O651="1111")),TH!D651,""),"")</f>
        <v/>
      </c>
      <c r="B651" s="63">
        <f t="shared" si="63"/>
        <v>2</v>
      </c>
      <c r="C651" s="78">
        <f t="shared" si="74"/>
        <v>42417</v>
      </c>
      <c r="D651" s="78" t="s">
        <v>939</v>
      </c>
      <c r="E651" s="78">
        <v>42417</v>
      </c>
      <c r="F651" s="67" t="s">
        <v>681</v>
      </c>
      <c r="G651" s="79"/>
      <c r="H651" s="87" t="s">
        <v>425</v>
      </c>
      <c r="I651" s="436">
        <v>7043</v>
      </c>
      <c r="J651" s="436">
        <v>14300</v>
      </c>
      <c r="K651" s="427"/>
      <c r="L651" s="436"/>
      <c r="M651" s="81">
        <f t="shared" si="79"/>
        <v>100714900</v>
      </c>
      <c r="N651" s="82" t="s">
        <v>274</v>
      </c>
      <c r="O651" s="82" t="s">
        <v>8</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x</v>
      </c>
      <c r="AE651" s="1136" t="str">
        <f t="shared" ref="AE651:AE657" si="80">IF(H651&lt;&gt;VLOOKUP(H651,DSKH,1,0),"","x")</f>
        <v>x</v>
      </c>
    </row>
    <row r="652" spans="1:31" ht="15.75" customHeight="1">
      <c r="A652" s="334" t="str">
        <f>IF(B652&lt;&gt;"",IF(AND(B652='IN-TC'!$S$4,OR(TH!N652="1111",TH!O652="1111")),TH!D652,""),"")</f>
        <v/>
      </c>
      <c r="B652" s="63">
        <f t="shared" si="63"/>
        <v>2</v>
      </c>
      <c r="C652" s="78">
        <f t="shared" si="74"/>
        <v>42417</v>
      </c>
      <c r="D652" s="78" t="s">
        <v>940</v>
      </c>
      <c r="E652" s="78">
        <v>42417</v>
      </c>
      <c r="F652" s="67" t="s">
        <v>681</v>
      </c>
      <c r="G652" s="79"/>
      <c r="H652" s="80" t="s">
        <v>432</v>
      </c>
      <c r="I652" s="435">
        <v>7150</v>
      </c>
      <c r="J652" s="436">
        <v>14300</v>
      </c>
      <c r="K652" s="426"/>
      <c r="L652" s="435"/>
      <c r="M652" s="81">
        <f t="shared" si="79"/>
        <v>102245000</v>
      </c>
      <c r="N652" s="82" t="s">
        <v>274</v>
      </c>
      <c r="O652" s="82" t="s">
        <v>8</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x</v>
      </c>
      <c r="AE652" s="1136" t="str">
        <f t="shared" si="80"/>
        <v>x</v>
      </c>
    </row>
    <row r="653" spans="1:31" ht="15.75" customHeight="1">
      <c r="A653" s="334" t="str">
        <f>IF(B653&lt;&gt;"",IF(AND(B653='IN-TC'!$S$4,OR(TH!N653="1111",TH!O653="1111")),TH!D653,""),"")</f>
        <v/>
      </c>
      <c r="B653" s="63">
        <f t="shared" si="63"/>
        <v>2</v>
      </c>
      <c r="C653" s="78">
        <f t="shared" si="74"/>
        <v>42417</v>
      </c>
      <c r="D653" s="78" t="s">
        <v>946</v>
      </c>
      <c r="E653" s="78">
        <v>42417</v>
      </c>
      <c r="F653" s="67" t="s">
        <v>681</v>
      </c>
      <c r="G653" s="79"/>
      <c r="H653" s="80" t="s">
        <v>434</v>
      </c>
      <c r="I653" s="435">
        <v>6970</v>
      </c>
      <c r="J653" s="436">
        <v>14300</v>
      </c>
      <c r="K653" s="426"/>
      <c r="L653" s="435"/>
      <c r="M653" s="81">
        <f t="shared" si="79"/>
        <v>99671000</v>
      </c>
      <c r="N653" s="82" t="s">
        <v>274</v>
      </c>
      <c r="O653" s="82" t="s">
        <v>8</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x</v>
      </c>
      <c r="AE653" s="1136" t="str">
        <f t="shared" si="80"/>
        <v>x</v>
      </c>
    </row>
    <row r="654" spans="1:31" ht="15.75" customHeight="1">
      <c r="A654" s="334" t="str">
        <f>IF(B654&lt;&gt;"",IF(AND(B654='IN-TC'!$S$4,OR(TH!N654="1111",TH!O654="1111")),TH!D654,""),"")</f>
        <v/>
      </c>
      <c r="B654" s="63">
        <f t="shared" si="63"/>
        <v>2</v>
      </c>
      <c r="C654" s="78">
        <f t="shared" si="74"/>
        <v>42417</v>
      </c>
      <c r="D654" s="78" t="s">
        <v>947</v>
      </c>
      <c r="E654" s="78">
        <v>42417</v>
      </c>
      <c r="F654" s="67" t="s">
        <v>681</v>
      </c>
      <c r="G654" s="79"/>
      <c r="H654" s="80" t="s">
        <v>441</v>
      </c>
      <c r="I654" s="435">
        <v>7450</v>
      </c>
      <c r="J654" s="436">
        <v>14300</v>
      </c>
      <c r="K654" s="426"/>
      <c r="L654" s="435"/>
      <c r="M654" s="81">
        <f t="shared" si="79"/>
        <v>106535000</v>
      </c>
      <c r="N654" s="82" t="s">
        <v>274</v>
      </c>
      <c r="O654" s="82" t="s">
        <v>8</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x</v>
      </c>
      <c r="AE654" s="1136" t="str">
        <f t="shared" si="80"/>
        <v>x</v>
      </c>
    </row>
    <row r="655" spans="1:31" ht="15.75" customHeight="1">
      <c r="A655" s="334" t="str">
        <f>IF(B655&lt;&gt;"",IF(AND(B655='IN-TC'!$S$4,OR(TH!N655="1111",TH!O655="1111")),TH!D655,""),"")</f>
        <v/>
      </c>
      <c r="B655" s="63">
        <f t="shared" si="63"/>
        <v>2</v>
      </c>
      <c r="C655" s="78">
        <f t="shared" si="74"/>
        <v>42424</v>
      </c>
      <c r="D655" s="78" t="s">
        <v>951</v>
      </c>
      <c r="E655" s="78">
        <v>42424</v>
      </c>
      <c r="F655" s="67" t="s">
        <v>681</v>
      </c>
      <c r="G655" s="79"/>
      <c r="H655" s="80" t="s">
        <v>432</v>
      </c>
      <c r="I655" s="435">
        <v>7460</v>
      </c>
      <c r="J655" s="436">
        <v>14300</v>
      </c>
      <c r="K655" s="426"/>
      <c r="L655" s="435"/>
      <c r="M655" s="81">
        <f t="shared" si="79"/>
        <v>106678000</v>
      </c>
      <c r="N655" s="82" t="s">
        <v>274</v>
      </c>
      <c r="O655" s="82" t="s">
        <v>8</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x</v>
      </c>
      <c r="AE655" s="1136" t="str">
        <f t="shared" si="80"/>
        <v>x</v>
      </c>
    </row>
    <row r="656" spans="1:31" ht="15.75" customHeight="1">
      <c r="A656" s="334" t="str">
        <f>IF(B656&lt;&gt;"",IF(AND(B656='IN-TC'!$S$4,OR(TH!N656="1111",TH!O656="1111")),TH!D656,""),"")</f>
        <v/>
      </c>
      <c r="B656" s="63">
        <f t="shared" si="63"/>
        <v>2</v>
      </c>
      <c r="C656" s="78">
        <f t="shared" si="74"/>
        <v>42424</v>
      </c>
      <c r="D656" s="78" t="s">
        <v>952</v>
      </c>
      <c r="E656" s="78">
        <v>42424</v>
      </c>
      <c r="F656" s="67" t="s">
        <v>681</v>
      </c>
      <c r="G656" s="79"/>
      <c r="H656" s="80" t="s">
        <v>434</v>
      </c>
      <c r="I656" s="435">
        <v>7328</v>
      </c>
      <c r="J656" s="436">
        <v>14300</v>
      </c>
      <c r="K656" s="426"/>
      <c r="L656" s="435"/>
      <c r="M656" s="81">
        <f t="shared" si="79"/>
        <v>104790400</v>
      </c>
      <c r="N656" s="82" t="s">
        <v>274</v>
      </c>
      <c r="O656" s="82" t="s">
        <v>8</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x</v>
      </c>
      <c r="AE656" s="1136" t="str">
        <f t="shared" si="80"/>
        <v>x</v>
      </c>
    </row>
    <row r="657" spans="1:31" ht="15.75" customHeight="1">
      <c r="A657" s="334" t="str">
        <f>IF(B657&lt;&gt;"",IF(AND(B657='IN-TC'!$S$4,OR(TH!N657="1111",TH!O657="1111")),TH!D657,""),"")</f>
        <v/>
      </c>
      <c r="B657" s="63">
        <f t="shared" si="63"/>
        <v>2</v>
      </c>
      <c r="C657" s="78">
        <f t="shared" si="74"/>
        <v>42424</v>
      </c>
      <c r="D657" s="78" t="s">
        <v>953</v>
      </c>
      <c r="E657" s="78">
        <v>42424</v>
      </c>
      <c r="F657" s="67" t="s">
        <v>681</v>
      </c>
      <c r="G657" s="79"/>
      <c r="H657" s="80" t="s">
        <v>435</v>
      </c>
      <c r="I657" s="435">
        <f>7046-947</f>
        <v>6099</v>
      </c>
      <c r="J657" s="436">
        <v>14300</v>
      </c>
      <c r="K657" s="426"/>
      <c r="L657" s="435"/>
      <c r="M657" s="81">
        <f t="shared" si="79"/>
        <v>87215700</v>
      </c>
      <c r="N657" s="82" t="s">
        <v>274</v>
      </c>
      <c r="O657" s="82" t="s">
        <v>8</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x</v>
      </c>
      <c r="AE657" s="1136" t="str">
        <f t="shared" si="80"/>
        <v>x</v>
      </c>
    </row>
    <row r="658" spans="1:31" ht="15.75" customHeight="1">
      <c r="A658" s="334" t="str">
        <f>IF(B658&lt;&gt;"",IF(AND(B658='IN-TC'!$S$4,OR(TH!N658="1111",TH!O658="1111")),TH!D658,""),"")</f>
        <v/>
      </c>
      <c r="B658" s="63">
        <f t="shared" si="63"/>
        <v>2</v>
      </c>
      <c r="C658" s="78">
        <f t="shared" si="74"/>
        <v>42426</v>
      </c>
      <c r="D658" s="78" t="s">
        <v>954</v>
      </c>
      <c r="E658" s="78">
        <v>42426</v>
      </c>
      <c r="F658" s="67" t="s">
        <v>1952</v>
      </c>
      <c r="G658" s="975" t="s">
        <v>1954</v>
      </c>
      <c r="H658" s="80" t="s">
        <v>1539</v>
      </c>
      <c r="I658" s="435">
        <v>16100</v>
      </c>
      <c r="J658" s="436">
        <v>11165</v>
      </c>
      <c r="K658" s="426">
        <f>M658/L658</f>
        <v>8050</v>
      </c>
      <c r="L658" s="435">
        <v>22330</v>
      </c>
      <c r="M658" s="81">
        <f t="shared" si="79"/>
        <v>179756500</v>
      </c>
      <c r="N658" s="82" t="s">
        <v>274</v>
      </c>
      <c r="O658" s="82" t="s">
        <v>585</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x</v>
      </c>
      <c r="AE658" s="1136"/>
    </row>
    <row r="659" spans="1:31" ht="15.75" customHeight="1">
      <c r="A659" s="334" t="str">
        <f>IF(B659&lt;&gt;"",IF(AND(B659='IN-TC'!$S$4,OR(TH!N659="1111",TH!O659="1111")),TH!D659,""),"")</f>
        <v/>
      </c>
      <c r="B659" s="63">
        <f t="shared" si="63"/>
        <v>2</v>
      </c>
      <c r="C659" s="78">
        <f t="shared" si="74"/>
        <v>42426</v>
      </c>
      <c r="D659" s="78" t="s">
        <v>955</v>
      </c>
      <c r="E659" s="78">
        <v>42426</v>
      </c>
      <c r="F659" s="67" t="s">
        <v>1953</v>
      </c>
      <c r="G659" s="975" t="s">
        <v>1954</v>
      </c>
      <c r="H659" s="80" t="s">
        <v>1539</v>
      </c>
      <c r="I659" s="435">
        <v>7700</v>
      </c>
      <c r="J659" s="436">
        <v>11165</v>
      </c>
      <c r="K659" s="426">
        <f>M659/L659</f>
        <v>3850</v>
      </c>
      <c r="L659" s="435">
        <v>22330</v>
      </c>
      <c r="M659" s="81">
        <f t="shared" si="79"/>
        <v>85970500</v>
      </c>
      <c r="N659" s="82" t="s">
        <v>274</v>
      </c>
      <c r="O659" s="82" t="s">
        <v>585</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x</v>
      </c>
      <c r="AE659" s="1136"/>
    </row>
    <row r="660" spans="1:31" s="339" customFormat="1" ht="15.75" customHeight="1">
      <c r="A660" s="334" t="str">
        <f>IF(B660&lt;&gt;"",IF(AND(B660='IN-TC'!$S$4,OR(TH!N660="1111",TH!O660="1111")),TH!D660,""),"")</f>
        <v/>
      </c>
      <c r="B660" s="63">
        <f t="shared" ref="B660:B723" si="81">IF(C660&lt;&gt;"",MONTH(C660),"")</f>
        <v>3</v>
      </c>
      <c r="C660" s="92">
        <f t="shared" si="74"/>
        <v>42430</v>
      </c>
      <c r="D660" s="92" t="s">
        <v>682</v>
      </c>
      <c r="E660" s="92">
        <v>42430</v>
      </c>
      <c r="F660" s="67" t="s">
        <v>681</v>
      </c>
      <c r="G660" s="93"/>
      <c r="H660" s="94" t="s">
        <v>446</v>
      </c>
      <c r="I660" s="1175">
        <v>28613</v>
      </c>
      <c r="J660" s="1174">
        <v>14300</v>
      </c>
      <c r="K660" s="1176"/>
      <c r="L660" s="1175"/>
      <c r="M660" s="95">
        <f t="shared" si="79"/>
        <v>409165900</v>
      </c>
      <c r="N660" s="83" t="s">
        <v>282</v>
      </c>
      <c r="O660" s="83" t="s">
        <v>274</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1" s="339" customFormat="1" ht="15.75" customHeight="1">
      <c r="A661" s="334" t="str">
        <f>IF(B661&lt;&gt;"",IF(AND(B661='IN-TC'!$S$4,OR(TH!N661="1111",TH!O661="1111")),TH!D661,""),"")</f>
        <v/>
      </c>
      <c r="B661" s="63">
        <f t="shared" si="81"/>
        <v>3</v>
      </c>
      <c r="C661" s="92">
        <f t="shared" si="74"/>
        <v>42436</v>
      </c>
      <c r="D661" s="92" t="s">
        <v>689</v>
      </c>
      <c r="E661" s="92">
        <v>42436</v>
      </c>
      <c r="F661" s="67" t="s">
        <v>681</v>
      </c>
      <c r="G661" s="1138"/>
      <c r="H661" s="94" t="s">
        <v>446</v>
      </c>
      <c r="I661" s="1175">
        <v>20887</v>
      </c>
      <c r="J661" s="1174">
        <v>14300</v>
      </c>
      <c r="K661" s="1176"/>
      <c r="L661" s="1175"/>
      <c r="M661" s="95">
        <f t="shared" si="79"/>
        <v>298684100</v>
      </c>
      <c r="N661" s="83" t="s">
        <v>282</v>
      </c>
      <c r="O661" s="83" t="s">
        <v>274</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1" s="339" customFormat="1" ht="15.75" customHeight="1">
      <c r="A662" s="334" t="str">
        <f>IF(B662&lt;&gt;"",IF(AND(B662='IN-TC'!$S$4,OR(TH!N662="1111",TH!O662="1111")),TH!D662,""),"")</f>
        <v/>
      </c>
      <c r="B662" s="63">
        <f t="shared" si="81"/>
        <v>3</v>
      </c>
      <c r="C662" s="78">
        <f t="shared" ref="C662:C725" si="82">E662</f>
        <v>42437</v>
      </c>
      <c r="D662" s="78" t="s">
        <v>933</v>
      </c>
      <c r="E662" s="78">
        <v>42437</v>
      </c>
      <c r="F662" s="67" t="s">
        <v>680</v>
      </c>
      <c r="G662" s="79"/>
      <c r="H662" s="80" t="s">
        <v>364</v>
      </c>
      <c r="I662" s="435">
        <v>4013</v>
      </c>
      <c r="J662" s="436">
        <v>18500</v>
      </c>
      <c r="K662" s="426"/>
      <c r="L662" s="435"/>
      <c r="M662" s="81">
        <f t="shared" si="79"/>
        <v>74240500</v>
      </c>
      <c r="N662" s="82" t="s">
        <v>274</v>
      </c>
      <c r="O662" s="82" t="s">
        <v>8</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c r="AE662" s="1136" t="str">
        <f t="shared" ref="AE662:AE668" si="83">IF(H662&lt;&gt;VLOOKUP(H662,DSKH,1,0),"","x")</f>
        <v>x</v>
      </c>
    </row>
    <row r="663" spans="1:31" ht="15.75" customHeight="1">
      <c r="A663" s="334" t="str">
        <f>IF(B663&lt;&gt;"",IF(AND(B663='IN-TC'!$S$4,OR(TH!N663="1111",TH!O663="1111")),TH!D663,""),"")</f>
        <v/>
      </c>
      <c r="B663" s="63">
        <f t="shared" si="81"/>
        <v>3</v>
      </c>
      <c r="C663" s="78">
        <f t="shared" si="82"/>
        <v>42437</v>
      </c>
      <c r="D663" s="78" t="s">
        <v>934</v>
      </c>
      <c r="E663" s="78">
        <v>42437</v>
      </c>
      <c r="F663" s="67" t="s">
        <v>680</v>
      </c>
      <c r="G663" s="79"/>
      <c r="H663" s="87" t="s">
        <v>346</v>
      </c>
      <c r="I663" s="436">
        <v>3980</v>
      </c>
      <c r="J663" s="436">
        <v>18500</v>
      </c>
      <c r="K663" s="427"/>
      <c r="L663" s="436"/>
      <c r="M663" s="81">
        <f t="shared" si="79"/>
        <v>73630000</v>
      </c>
      <c r="N663" s="82" t="s">
        <v>274</v>
      </c>
      <c r="O663" s="82" t="s">
        <v>8</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c r="AE663" s="1136" t="str">
        <f t="shared" si="83"/>
        <v>x</v>
      </c>
    </row>
    <row r="664" spans="1:31" ht="15.75" customHeight="1">
      <c r="A664" s="334" t="str">
        <f>IF(B664&lt;&gt;"",IF(AND(B664='IN-TC'!$S$4,OR(TH!N664="1111",TH!O664="1111")),TH!D664,""),"")</f>
        <v/>
      </c>
      <c r="B664" s="63">
        <f t="shared" si="81"/>
        <v>3</v>
      </c>
      <c r="C664" s="78">
        <f t="shared" si="82"/>
        <v>42437</v>
      </c>
      <c r="D664" s="78" t="s">
        <v>935</v>
      </c>
      <c r="E664" s="78">
        <v>42437</v>
      </c>
      <c r="F664" s="67" t="s">
        <v>680</v>
      </c>
      <c r="G664" s="79"/>
      <c r="H664" s="80" t="s">
        <v>349</v>
      </c>
      <c r="I664" s="435">
        <v>4013</v>
      </c>
      <c r="J664" s="436">
        <v>18500</v>
      </c>
      <c r="K664" s="426"/>
      <c r="L664" s="435"/>
      <c r="M664" s="81">
        <f t="shared" si="79"/>
        <v>74240500</v>
      </c>
      <c r="N664" s="82" t="s">
        <v>274</v>
      </c>
      <c r="O664" s="82" t="s">
        <v>8</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c r="AE664" s="1136" t="str">
        <f t="shared" si="83"/>
        <v>x</v>
      </c>
    </row>
    <row r="665" spans="1:31" ht="15.75" customHeight="1">
      <c r="A665" s="334" t="str">
        <f>IF(B665&lt;&gt;"",IF(AND(B665='IN-TC'!$S$4,OR(TH!N665="1111",TH!O665="1111")),TH!D665,""),"")</f>
        <v/>
      </c>
      <c r="B665" s="63">
        <f t="shared" si="81"/>
        <v>3</v>
      </c>
      <c r="C665" s="78">
        <f t="shared" si="82"/>
        <v>42437</v>
      </c>
      <c r="D665" s="78" t="s">
        <v>936</v>
      </c>
      <c r="E665" s="78">
        <v>42437</v>
      </c>
      <c r="F665" s="67" t="s">
        <v>680</v>
      </c>
      <c r="G665" s="79"/>
      <c r="H665" s="80" t="s">
        <v>361</v>
      </c>
      <c r="I665" s="435">
        <v>4170</v>
      </c>
      <c r="J665" s="436">
        <v>18500</v>
      </c>
      <c r="K665" s="426"/>
      <c r="L665" s="435"/>
      <c r="M665" s="81">
        <f t="shared" si="79"/>
        <v>77145000</v>
      </c>
      <c r="N665" s="82" t="s">
        <v>274</v>
      </c>
      <c r="O665" s="82" t="s">
        <v>8</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c r="AE665" s="1136" t="str">
        <f t="shared" si="83"/>
        <v>x</v>
      </c>
    </row>
    <row r="666" spans="1:31" ht="15.75" customHeight="1">
      <c r="A666" s="334" t="str">
        <f>IF(B666&lt;&gt;"",IF(AND(B666='IN-TC'!$S$4,OR(TH!N666="1111",TH!O666="1111")),TH!D666,""),"")</f>
        <v/>
      </c>
      <c r="B666" s="63">
        <f t="shared" si="81"/>
        <v>3</v>
      </c>
      <c r="C666" s="78">
        <f t="shared" si="82"/>
        <v>42448</v>
      </c>
      <c r="D666" s="78" t="s">
        <v>948</v>
      </c>
      <c r="E666" s="78">
        <v>42448</v>
      </c>
      <c r="F666" s="67" t="s">
        <v>680</v>
      </c>
      <c r="G666" s="79"/>
      <c r="H666" s="80" t="s">
        <v>364</v>
      </c>
      <c r="I666" s="435">
        <v>4301</v>
      </c>
      <c r="J666" s="436">
        <v>18500</v>
      </c>
      <c r="K666" s="426"/>
      <c r="L666" s="435"/>
      <c r="M666" s="81">
        <f t="shared" si="79"/>
        <v>79568500</v>
      </c>
      <c r="N666" s="82" t="s">
        <v>274</v>
      </c>
      <c r="O666" s="82" t="s">
        <v>8</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c r="AE666" s="1136" t="str">
        <f t="shared" si="83"/>
        <v>x</v>
      </c>
    </row>
    <row r="667" spans="1:31" ht="15.75" customHeight="1">
      <c r="A667" s="334" t="str">
        <f>IF(B667&lt;&gt;"",IF(AND(B667='IN-TC'!$S$4,OR(TH!N667="1111",TH!O667="1111")),TH!D667,""),"")</f>
        <v/>
      </c>
      <c r="B667" s="63">
        <f t="shared" si="81"/>
        <v>3</v>
      </c>
      <c r="C667" s="78">
        <f t="shared" si="82"/>
        <v>42448</v>
      </c>
      <c r="D667" s="78" t="s">
        <v>949</v>
      </c>
      <c r="E667" s="78">
        <v>42448</v>
      </c>
      <c r="F667" s="67" t="s">
        <v>680</v>
      </c>
      <c r="G667" s="79"/>
      <c r="H667" s="80" t="s">
        <v>367</v>
      </c>
      <c r="I667" s="435">
        <v>4102</v>
      </c>
      <c r="J667" s="436">
        <v>18500</v>
      </c>
      <c r="K667" s="426"/>
      <c r="L667" s="435"/>
      <c r="M667" s="81">
        <f t="shared" si="79"/>
        <v>75887000</v>
      </c>
      <c r="N667" s="82" t="s">
        <v>274</v>
      </c>
      <c r="O667" s="82" t="s">
        <v>8</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c r="AE667" s="1136" t="str">
        <f t="shared" si="83"/>
        <v>x</v>
      </c>
    </row>
    <row r="668" spans="1:31" ht="15.75" customHeight="1">
      <c r="A668" s="334" t="str">
        <f>IF(B668&lt;&gt;"",IF(AND(B668='IN-TC'!$S$4,OR(TH!N668="1111",TH!O668="1111")),TH!D668,""),"")</f>
        <v/>
      </c>
      <c r="B668" s="63">
        <f t="shared" si="81"/>
        <v>3</v>
      </c>
      <c r="C668" s="78">
        <f t="shared" si="82"/>
        <v>42448</v>
      </c>
      <c r="D668" s="78" t="s">
        <v>950</v>
      </c>
      <c r="E668" s="78">
        <v>42448</v>
      </c>
      <c r="F668" s="67" t="s">
        <v>680</v>
      </c>
      <c r="G668" s="79"/>
      <c r="H668" s="80" t="s">
        <v>361</v>
      </c>
      <c r="I668" s="435">
        <v>3950</v>
      </c>
      <c r="J668" s="436">
        <v>18500</v>
      </c>
      <c r="K668" s="426"/>
      <c r="L668" s="435"/>
      <c r="M668" s="81">
        <f t="shared" si="79"/>
        <v>73075000</v>
      </c>
      <c r="N668" s="82" t="s">
        <v>274</v>
      </c>
      <c r="O668" s="82" t="s">
        <v>8</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c r="AE668" s="1136" t="str">
        <f t="shared" si="83"/>
        <v>x</v>
      </c>
    </row>
    <row r="669" spans="1:31" ht="15.75" customHeight="1">
      <c r="A669" s="334" t="str">
        <f>IF(B669&lt;&gt;"",IF(AND(B669='IN-TC'!$S$4,OR(TH!N669="1111",TH!O669="1111")),TH!D669,""),"")</f>
        <v/>
      </c>
      <c r="B669" s="63">
        <f t="shared" si="81"/>
        <v>3</v>
      </c>
      <c r="C669" s="78">
        <f t="shared" si="82"/>
        <v>42448</v>
      </c>
      <c r="D669" s="78" t="s">
        <v>951</v>
      </c>
      <c r="E669" s="78">
        <v>42448</v>
      </c>
      <c r="F669" s="67" t="s">
        <v>680</v>
      </c>
      <c r="G669" s="79"/>
      <c r="H669" s="80" t="s">
        <v>349</v>
      </c>
      <c r="I669" s="435">
        <v>3471</v>
      </c>
      <c r="J669" s="436">
        <v>18500</v>
      </c>
      <c r="K669" s="426"/>
      <c r="L669" s="435"/>
      <c r="M669" s="81">
        <f t="shared" si="79"/>
        <v>64213500</v>
      </c>
      <c r="N669" s="82" t="s">
        <v>274</v>
      </c>
      <c r="O669" s="82" t="s">
        <v>8</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c r="AE669" s="1136" t="str">
        <f t="shared" ref="AE669" si="84">IF(H669&lt;&gt;VLOOKUP(H669,DSKH,1,0),"","x")</f>
        <v>x</v>
      </c>
    </row>
    <row r="670" spans="1:31" s="339" customFormat="1" ht="15.75" customHeight="1">
      <c r="A670" s="334" t="str">
        <f>IF(B670&lt;&gt;"",IF(AND(B670='IN-TC'!$S$4,OR(TH!N670="1111",TH!O670="1111")),TH!D670,""),"")</f>
        <v/>
      </c>
      <c r="B670" s="63">
        <f t="shared" si="81"/>
        <v>3</v>
      </c>
      <c r="C670" s="92">
        <f t="shared" si="82"/>
        <v>42439</v>
      </c>
      <c r="D670" s="92" t="s">
        <v>690</v>
      </c>
      <c r="E670" s="92">
        <v>42439</v>
      </c>
      <c r="F670" s="67" t="s">
        <v>680</v>
      </c>
      <c r="G670" s="93"/>
      <c r="H670" s="94" t="s">
        <v>446</v>
      </c>
      <c r="I670" s="1175">
        <v>21136</v>
      </c>
      <c r="J670" s="1174">
        <v>18500</v>
      </c>
      <c r="K670" s="1176"/>
      <c r="L670" s="1175"/>
      <c r="M670" s="95">
        <f t="shared" si="79"/>
        <v>391016000</v>
      </c>
      <c r="N670" s="83" t="s">
        <v>282</v>
      </c>
      <c r="O670" s="83" t="s">
        <v>274</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1" s="339" customFormat="1" ht="15.75" customHeight="1">
      <c r="A671" s="334" t="str">
        <f>IF(B671&lt;&gt;"",IF(AND(B671='IN-TC'!$S$4,OR(TH!N671="1111",TH!O671="1111")),TH!D671,""),"")</f>
        <v/>
      </c>
      <c r="B671" s="63">
        <f t="shared" si="81"/>
        <v>3</v>
      </c>
      <c r="C671" s="92">
        <f t="shared" si="82"/>
        <v>42449</v>
      </c>
      <c r="D671" s="92" t="s">
        <v>693</v>
      </c>
      <c r="E671" s="92">
        <v>42449</v>
      </c>
      <c r="F671" s="67" t="s">
        <v>680</v>
      </c>
      <c r="G671" s="93"/>
      <c r="H671" s="94" t="s">
        <v>446</v>
      </c>
      <c r="I671" s="443">
        <v>18864</v>
      </c>
      <c r="J671" s="1174">
        <v>18500</v>
      </c>
      <c r="K671" s="434"/>
      <c r="L671" s="443"/>
      <c r="M671" s="95">
        <f t="shared" si="79"/>
        <v>348984000</v>
      </c>
      <c r="N671" s="83" t="s">
        <v>282</v>
      </c>
      <c r="O671" s="83" t="s">
        <v>274</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1" s="339" customFormat="1" ht="15.75" customHeight="1">
      <c r="A672" s="334" t="str">
        <f>IF(B672&lt;&gt;"",IF(AND(B672='IN-TC'!$S$4,OR(TH!N672="1111",TH!O672="1111")),TH!D672,""),"")</f>
        <v/>
      </c>
      <c r="B672" s="63">
        <f t="shared" si="81"/>
        <v>3</v>
      </c>
      <c r="C672" s="78">
        <f t="shared" si="82"/>
        <v>42430</v>
      </c>
      <c r="D672" s="78" t="s">
        <v>930</v>
      </c>
      <c r="E672" s="78">
        <v>42430</v>
      </c>
      <c r="F672" s="67" t="s">
        <v>1969</v>
      </c>
      <c r="G672" s="79"/>
      <c r="H672" s="80" t="s">
        <v>378</v>
      </c>
      <c r="I672" s="435">
        <v>6540</v>
      </c>
      <c r="J672" s="436">
        <v>17500</v>
      </c>
      <c r="K672" s="426"/>
      <c r="L672" s="435"/>
      <c r="M672" s="81">
        <f t="shared" si="79"/>
        <v>114450000</v>
      </c>
      <c r="N672" s="82" t="s">
        <v>274</v>
      </c>
      <c r="O672" s="82" t="s">
        <v>8</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c r="AE672" s="1136" t="str">
        <f t="shared" ref="AE672:AE677" si="85">IF(H672&lt;&gt;VLOOKUP(H672,DSKH,1,0),"","x")</f>
        <v>x</v>
      </c>
    </row>
    <row r="673" spans="1:31" ht="15.75" customHeight="1">
      <c r="A673" s="334" t="str">
        <f>IF(B673&lt;&gt;"",IF(AND(B673='IN-TC'!$S$4,OR(TH!N673="1111",TH!O673="1111")),TH!D673,""),"")</f>
        <v/>
      </c>
      <c r="B673" s="63">
        <f t="shared" si="81"/>
        <v>3</v>
      </c>
      <c r="C673" s="78">
        <f t="shared" si="82"/>
        <v>42430</v>
      </c>
      <c r="D673" s="78" t="s">
        <v>931</v>
      </c>
      <c r="E673" s="78">
        <v>42430</v>
      </c>
      <c r="F673" s="67" t="s">
        <v>1969</v>
      </c>
      <c r="G673" s="79"/>
      <c r="H673" s="87" t="s">
        <v>383</v>
      </c>
      <c r="I673" s="436">
        <v>6358</v>
      </c>
      <c r="J673" s="436">
        <v>17500</v>
      </c>
      <c r="K673" s="427"/>
      <c r="L673" s="436"/>
      <c r="M673" s="81">
        <f t="shared" si="79"/>
        <v>111265000</v>
      </c>
      <c r="N673" s="82" t="s">
        <v>274</v>
      </c>
      <c r="O673" s="82" t="s">
        <v>8</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c r="AE673" s="1136" t="str">
        <f t="shared" si="85"/>
        <v>x</v>
      </c>
    </row>
    <row r="674" spans="1:31" ht="15.75" customHeight="1">
      <c r="A674" s="334" t="str">
        <f>IF(B674&lt;&gt;"",IF(AND(B674='IN-TC'!$S$4,OR(TH!N674="1111",TH!O674="1111")),TH!D674,""),"")</f>
        <v/>
      </c>
      <c r="B674" s="63">
        <f t="shared" si="81"/>
        <v>3</v>
      </c>
      <c r="C674" s="78">
        <f t="shared" si="82"/>
        <v>42430</v>
      </c>
      <c r="D674" s="78" t="s">
        <v>932</v>
      </c>
      <c r="E674" s="78">
        <v>42430</v>
      </c>
      <c r="F674" s="67" t="s">
        <v>1969</v>
      </c>
      <c r="G674" s="79"/>
      <c r="H674" s="80" t="s">
        <v>385</v>
      </c>
      <c r="I674" s="435">
        <v>6259</v>
      </c>
      <c r="J674" s="436">
        <v>17500</v>
      </c>
      <c r="K674" s="426"/>
      <c r="L674" s="435"/>
      <c r="M674" s="81">
        <f t="shared" si="79"/>
        <v>109532500</v>
      </c>
      <c r="N674" s="82" t="s">
        <v>274</v>
      </c>
      <c r="O674" s="82" t="s">
        <v>8</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c r="AE674" s="1136" t="str">
        <f t="shared" si="85"/>
        <v>x</v>
      </c>
    </row>
    <row r="675" spans="1:31" ht="15.75" customHeight="1">
      <c r="A675" s="334" t="str">
        <f>IF(B675&lt;&gt;"",IF(AND(B675='IN-TC'!$S$4,OR(TH!N675="1111",TH!O675="1111")),TH!D675,""),"")</f>
        <v/>
      </c>
      <c r="B675" s="63">
        <f t="shared" si="81"/>
        <v>3</v>
      </c>
      <c r="C675" s="78">
        <f t="shared" si="82"/>
        <v>42438</v>
      </c>
      <c r="D675" s="78" t="s">
        <v>937</v>
      </c>
      <c r="E675" s="78">
        <v>42438</v>
      </c>
      <c r="F675" s="67" t="s">
        <v>1969</v>
      </c>
      <c r="G675" s="79"/>
      <c r="H675" s="80" t="s">
        <v>391</v>
      </c>
      <c r="I675" s="435">
        <v>6583</v>
      </c>
      <c r="J675" s="436">
        <v>17500</v>
      </c>
      <c r="K675" s="426"/>
      <c r="L675" s="435"/>
      <c r="M675" s="81">
        <f t="shared" si="79"/>
        <v>115202500</v>
      </c>
      <c r="N675" s="82" t="s">
        <v>274</v>
      </c>
      <c r="O675" s="82" t="s">
        <v>8</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c r="AE675" s="1136" t="str">
        <f t="shared" si="85"/>
        <v>x</v>
      </c>
    </row>
    <row r="676" spans="1:31" ht="15.75" customHeight="1">
      <c r="A676" s="334" t="str">
        <f>IF(B676&lt;&gt;"",IF(AND(B676='IN-TC'!$S$4,OR(TH!N676="1111",TH!O676="1111")),TH!D676,""),"")</f>
        <v/>
      </c>
      <c r="B676" s="63">
        <f t="shared" si="81"/>
        <v>3</v>
      </c>
      <c r="C676" s="78">
        <f t="shared" si="82"/>
        <v>42438</v>
      </c>
      <c r="D676" s="78" t="s">
        <v>938</v>
      </c>
      <c r="E676" s="78">
        <v>42438</v>
      </c>
      <c r="F676" s="67" t="s">
        <v>1969</v>
      </c>
      <c r="G676" s="79"/>
      <c r="H676" s="80" t="s">
        <v>393</v>
      </c>
      <c r="I676" s="435">
        <v>6930</v>
      </c>
      <c r="J676" s="436">
        <v>17500</v>
      </c>
      <c r="K676" s="426"/>
      <c r="L676" s="435"/>
      <c r="M676" s="81">
        <f t="shared" si="79"/>
        <v>121275000</v>
      </c>
      <c r="N676" s="82" t="s">
        <v>274</v>
      </c>
      <c r="O676" s="82" t="s">
        <v>8</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c r="AE676" s="1136" t="str">
        <f t="shared" si="85"/>
        <v>x</v>
      </c>
    </row>
    <row r="677" spans="1:31" ht="15.75" customHeight="1">
      <c r="A677" s="334" t="str">
        <f>IF(B677&lt;&gt;"",IF(AND(B677='IN-TC'!$S$4,OR(TH!N677="1111",TH!O677="1111")),TH!D677,""),"")</f>
        <v/>
      </c>
      <c r="B677" s="63">
        <f t="shared" si="81"/>
        <v>3</v>
      </c>
      <c r="C677" s="78">
        <f t="shared" si="82"/>
        <v>42438</v>
      </c>
      <c r="D677" s="78" t="s">
        <v>939</v>
      </c>
      <c r="E677" s="78">
        <v>42438</v>
      </c>
      <c r="F677" s="67" t="s">
        <v>1969</v>
      </c>
      <c r="G677" s="79"/>
      <c r="H677" s="80" t="s">
        <v>395</v>
      </c>
      <c r="I677" s="435">
        <v>6045</v>
      </c>
      <c r="J677" s="436">
        <v>17500</v>
      </c>
      <c r="K677" s="426"/>
      <c r="L677" s="435"/>
      <c r="M677" s="81">
        <f t="shared" si="79"/>
        <v>105787500</v>
      </c>
      <c r="N677" s="82" t="s">
        <v>274</v>
      </c>
      <c r="O677" s="82" t="s">
        <v>8</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c r="AE677" s="1136" t="str">
        <f t="shared" si="85"/>
        <v>x</v>
      </c>
    </row>
    <row r="678" spans="1:31" s="339" customFormat="1" ht="15.75" customHeight="1">
      <c r="A678" s="334" t="str">
        <f>IF(B678&lt;&gt;"",IF(AND(B678='IN-TC'!$S$4,OR(TH!N678="1111",TH!O678="1111")),TH!D678,""),"")</f>
        <v/>
      </c>
      <c r="B678" s="63">
        <f t="shared" si="81"/>
        <v>3</v>
      </c>
      <c r="C678" s="78">
        <f t="shared" si="82"/>
        <v>42446</v>
      </c>
      <c r="D678" s="78" t="s">
        <v>940</v>
      </c>
      <c r="E678" s="78">
        <v>42446</v>
      </c>
      <c r="F678" s="67" t="s">
        <v>1969</v>
      </c>
      <c r="G678" s="79"/>
      <c r="H678" s="80" t="s">
        <v>388</v>
      </c>
      <c r="I678" s="435">
        <v>6647</v>
      </c>
      <c r="J678" s="436">
        <v>17500</v>
      </c>
      <c r="K678" s="426"/>
      <c r="L678" s="435"/>
      <c r="M678" s="81">
        <f t="shared" si="79"/>
        <v>116322500</v>
      </c>
      <c r="N678" s="82" t="s">
        <v>274</v>
      </c>
      <c r="O678" s="82" t="s">
        <v>8</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c r="AE678" s="1136" t="str">
        <f t="shared" ref="AE678:AE683" si="86">IF(H678&lt;&gt;VLOOKUP(H678,DSKH,1,0),"","x")</f>
        <v>x</v>
      </c>
    </row>
    <row r="679" spans="1:31" ht="15.75" customHeight="1">
      <c r="A679" s="334" t="str">
        <f>IF(B679&lt;&gt;"",IF(AND(B679='IN-TC'!$S$4,OR(TH!N679="1111",TH!O679="1111")),TH!D679,""),"")</f>
        <v/>
      </c>
      <c r="B679" s="63">
        <f t="shared" si="81"/>
        <v>3</v>
      </c>
      <c r="C679" s="78">
        <f t="shared" si="82"/>
        <v>42446</v>
      </c>
      <c r="D679" s="78" t="s">
        <v>946</v>
      </c>
      <c r="E679" s="78">
        <v>42446</v>
      </c>
      <c r="F679" s="67" t="s">
        <v>1969</v>
      </c>
      <c r="G679" s="79"/>
      <c r="H679" s="80" t="s">
        <v>385</v>
      </c>
      <c r="I679" s="436">
        <v>6123</v>
      </c>
      <c r="J679" s="436">
        <v>17500</v>
      </c>
      <c r="K679" s="427"/>
      <c r="L679" s="436"/>
      <c r="M679" s="81">
        <f t="shared" si="79"/>
        <v>107152500</v>
      </c>
      <c r="N679" s="82" t="s">
        <v>274</v>
      </c>
      <c r="O679" s="82" t="s">
        <v>8</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c r="AE679" s="1136" t="str">
        <f t="shared" si="86"/>
        <v>x</v>
      </c>
    </row>
    <row r="680" spans="1:31" ht="15.75" customHeight="1">
      <c r="A680" s="334" t="str">
        <f>IF(B680&lt;&gt;"",IF(AND(B680='IN-TC'!$S$4,OR(TH!N680="1111",TH!O680="1111")),TH!D680,""),"")</f>
        <v/>
      </c>
      <c r="B680" s="63">
        <f t="shared" si="81"/>
        <v>3</v>
      </c>
      <c r="C680" s="78">
        <f t="shared" si="82"/>
        <v>42446</v>
      </c>
      <c r="D680" s="78" t="s">
        <v>947</v>
      </c>
      <c r="E680" s="78">
        <v>42446</v>
      </c>
      <c r="F680" s="67" t="s">
        <v>1969</v>
      </c>
      <c r="G680" s="79"/>
      <c r="H680" s="80" t="s">
        <v>391</v>
      </c>
      <c r="I680" s="435">
        <v>6652</v>
      </c>
      <c r="J680" s="436">
        <v>17500</v>
      </c>
      <c r="K680" s="426"/>
      <c r="L680" s="435"/>
      <c r="M680" s="81">
        <f t="shared" si="79"/>
        <v>116410000</v>
      </c>
      <c r="N680" s="82" t="s">
        <v>274</v>
      </c>
      <c r="O680" s="82" t="s">
        <v>8</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c r="AE680" s="1136" t="str">
        <f t="shared" si="86"/>
        <v>x</v>
      </c>
    </row>
    <row r="681" spans="1:31" ht="15.75" customHeight="1">
      <c r="A681" s="334" t="str">
        <f>IF(B681&lt;&gt;"",IF(AND(B681='IN-TC'!$S$4,OR(TH!N681="1111",TH!O681="1111")),TH!D681,""),"")</f>
        <v/>
      </c>
      <c r="B681" s="63">
        <f t="shared" si="81"/>
        <v>3</v>
      </c>
      <c r="C681" s="78">
        <f t="shared" si="82"/>
        <v>42454</v>
      </c>
      <c r="D681" s="78" t="s">
        <v>952</v>
      </c>
      <c r="E681" s="78">
        <v>42454</v>
      </c>
      <c r="F681" s="67" t="s">
        <v>1969</v>
      </c>
      <c r="G681" s="79"/>
      <c r="H681" s="80" t="s">
        <v>385</v>
      </c>
      <c r="I681" s="435">
        <v>6980</v>
      </c>
      <c r="J681" s="436">
        <v>17500</v>
      </c>
      <c r="K681" s="426"/>
      <c r="L681" s="435"/>
      <c r="M681" s="81">
        <f t="shared" si="79"/>
        <v>122150000</v>
      </c>
      <c r="N681" s="82" t="s">
        <v>274</v>
      </c>
      <c r="O681" s="82" t="s">
        <v>8</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c r="AE681" s="1136" t="str">
        <f t="shared" si="86"/>
        <v>x</v>
      </c>
    </row>
    <row r="682" spans="1:31" ht="15.75" customHeight="1">
      <c r="A682" s="334" t="str">
        <f>IF(B682&lt;&gt;"",IF(AND(B682='IN-TC'!$S$4,OR(TH!N682="1111",TH!O682="1111")),TH!D682,""),"")</f>
        <v/>
      </c>
      <c r="B682" s="63">
        <f t="shared" si="81"/>
        <v>3</v>
      </c>
      <c r="C682" s="78">
        <f t="shared" si="82"/>
        <v>42454</v>
      </c>
      <c r="D682" s="78" t="s">
        <v>953</v>
      </c>
      <c r="E682" s="78">
        <v>42454</v>
      </c>
      <c r="F682" s="67" t="s">
        <v>1969</v>
      </c>
      <c r="G682" s="79"/>
      <c r="H682" s="80" t="s">
        <v>378</v>
      </c>
      <c r="I682" s="435">
        <v>6750</v>
      </c>
      <c r="J682" s="436">
        <v>17500</v>
      </c>
      <c r="K682" s="426"/>
      <c r="L682" s="435"/>
      <c r="M682" s="81">
        <f t="shared" si="79"/>
        <v>118125000</v>
      </c>
      <c r="N682" s="82" t="s">
        <v>274</v>
      </c>
      <c r="O682" s="82" t="s">
        <v>8</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c r="AE682" s="1136" t="str">
        <f t="shared" si="86"/>
        <v>x</v>
      </c>
    </row>
    <row r="683" spans="1:31" ht="15.75" customHeight="1">
      <c r="A683" s="334" t="str">
        <f>IF(B683&lt;&gt;"",IF(AND(B683='IN-TC'!$S$4,OR(TH!N683="1111",TH!O683="1111")),TH!D683,""),"")</f>
        <v/>
      </c>
      <c r="B683" s="63">
        <f t="shared" si="81"/>
        <v>3</v>
      </c>
      <c r="C683" s="78">
        <f t="shared" si="82"/>
        <v>42454</v>
      </c>
      <c r="D683" s="78" t="s">
        <v>954</v>
      </c>
      <c r="E683" s="78">
        <v>42454</v>
      </c>
      <c r="F683" s="67" t="s">
        <v>1969</v>
      </c>
      <c r="G683" s="79"/>
      <c r="H683" s="87" t="s">
        <v>383</v>
      </c>
      <c r="I683" s="435">
        <v>6133</v>
      </c>
      <c r="J683" s="436">
        <v>17500</v>
      </c>
      <c r="K683" s="426"/>
      <c r="L683" s="435"/>
      <c r="M683" s="81">
        <f t="shared" si="79"/>
        <v>107327500</v>
      </c>
      <c r="N683" s="82" t="s">
        <v>274</v>
      </c>
      <c r="O683" s="82" t="s">
        <v>8</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c r="AE683" s="1136" t="str">
        <f t="shared" si="86"/>
        <v>x</v>
      </c>
    </row>
    <row r="684" spans="1:31" s="339" customFormat="1" ht="15.75" customHeight="1">
      <c r="A684" s="334" t="str">
        <f>IF(B684&lt;&gt;"",IF(AND(B684='IN-TC'!$S$4,OR(TH!N684="1111",TH!O684="1111")),TH!D684,""),"")</f>
        <v/>
      </c>
      <c r="B684" s="63">
        <f t="shared" si="81"/>
        <v>3</v>
      </c>
      <c r="C684" s="92">
        <f t="shared" si="82"/>
        <v>42430</v>
      </c>
      <c r="D684" s="92" t="s">
        <v>682</v>
      </c>
      <c r="E684" s="92">
        <v>42430</v>
      </c>
      <c r="F684" s="67" t="s">
        <v>1969</v>
      </c>
      <c r="G684" s="93"/>
      <c r="H684" s="94" t="s">
        <v>446</v>
      </c>
      <c r="I684" s="1175">
        <v>19157</v>
      </c>
      <c r="J684" s="1174">
        <v>17500</v>
      </c>
      <c r="K684" s="1176"/>
      <c r="L684" s="1175"/>
      <c r="M684" s="95">
        <f t="shared" si="79"/>
        <v>335247500</v>
      </c>
      <c r="N684" s="83" t="s">
        <v>282</v>
      </c>
      <c r="O684" s="83" t="s">
        <v>274</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1" s="339" customFormat="1" ht="15.75" customHeight="1">
      <c r="A685" s="334" t="str">
        <f>IF(B685&lt;&gt;"",IF(AND(B685='IN-TC'!$S$4,OR(TH!N685="1111",TH!O685="1111")),TH!D685,""),"")</f>
        <v/>
      </c>
      <c r="B685" s="63">
        <f t="shared" si="81"/>
        <v>3</v>
      </c>
      <c r="C685" s="92">
        <f t="shared" si="82"/>
        <v>42438</v>
      </c>
      <c r="D685" s="92" t="s">
        <v>691</v>
      </c>
      <c r="E685" s="92">
        <v>42438</v>
      </c>
      <c r="F685" s="67" t="s">
        <v>1969</v>
      </c>
      <c r="G685" s="93"/>
      <c r="H685" s="94" t="s">
        <v>446</v>
      </c>
      <c r="I685" s="443">
        <v>19558</v>
      </c>
      <c r="J685" s="1174">
        <v>17500</v>
      </c>
      <c r="K685" s="434"/>
      <c r="L685" s="443"/>
      <c r="M685" s="95">
        <f t="shared" si="79"/>
        <v>342265000</v>
      </c>
      <c r="N685" s="83" t="s">
        <v>282</v>
      </c>
      <c r="O685" s="83" t="s">
        <v>274</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1" s="339" customFormat="1" ht="15.75" customHeight="1">
      <c r="A686" s="334" t="str">
        <f>IF(B686&lt;&gt;"",IF(AND(B686='IN-TC'!$S$4,OR(TH!N686="1111",TH!O686="1111")),TH!D686,""),"")</f>
        <v/>
      </c>
      <c r="B686" s="63">
        <f t="shared" si="81"/>
        <v>3</v>
      </c>
      <c r="C686" s="92">
        <f t="shared" si="82"/>
        <v>42446</v>
      </c>
      <c r="D686" s="92" t="s">
        <v>692</v>
      </c>
      <c r="E686" s="92">
        <v>42446</v>
      </c>
      <c r="F686" s="67" t="s">
        <v>1969</v>
      </c>
      <c r="G686" s="93"/>
      <c r="H686" s="94" t="s">
        <v>446</v>
      </c>
      <c r="I686" s="1175">
        <v>19422</v>
      </c>
      <c r="J686" s="1174">
        <v>17500</v>
      </c>
      <c r="K686" s="1176"/>
      <c r="L686" s="1175"/>
      <c r="M686" s="95">
        <f t="shared" si="79"/>
        <v>339885000</v>
      </c>
      <c r="N686" s="83" t="s">
        <v>282</v>
      </c>
      <c r="O686" s="83" t="s">
        <v>274</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1" s="339" customFormat="1" ht="15.75" customHeight="1">
      <c r="A687" s="334" t="str">
        <f>IF(B687&lt;&gt;"",IF(AND(B687='IN-TC'!$S$4,OR(TH!N687="1111",TH!O687="1111")),TH!D687,""),"")</f>
        <v/>
      </c>
      <c r="B687" s="63">
        <f t="shared" si="81"/>
        <v>3</v>
      </c>
      <c r="C687" s="92">
        <f t="shared" si="82"/>
        <v>42454</v>
      </c>
      <c r="D687" s="92" t="s">
        <v>941</v>
      </c>
      <c r="E687" s="92">
        <v>42454</v>
      </c>
      <c r="F687" s="67" t="s">
        <v>1969</v>
      </c>
      <c r="G687" s="93"/>
      <c r="H687" s="94" t="s">
        <v>446</v>
      </c>
      <c r="I687" s="443">
        <v>19863</v>
      </c>
      <c r="J687" s="1174">
        <v>17500</v>
      </c>
      <c r="K687" s="434"/>
      <c r="L687" s="443"/>
      <c r="M687" s="95">
        <f t="shared" si="79"/>
        <v>347602500</v>
      </c>
      <c r="N687" s="83" t="s">
        <v>282</v>
      </c>
      <c r="O687" s="83" t="s">
        <v>274</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1" s="339" customFormat="1" ht="15.75" customHeight="1">
      <c r="A688" s="334" t="str">
        <f>IF(B688&lt;&gt;"",IF(AND(B688='IN-TC'!$S$4,OR(TH!N688="1111",TH!O688="1111")),TH!D688,""),"")</f>
        <v/>
      </c>
      <c r="B688" s="63">
        <f t="shared" si="81"/>
        <v>4</v>
      </c>
      <c r="C688" s="78">
        <f t="shared" si="82"/>
        <v>42461</v>
      </c>
      <c r="D688" s="78" t="s">
        <v>930</v>
      </c>
      <c r="E688" s="78">
        <v>42461</v>
      </c>
      <c r="F688" s="67" t="s">
        <v>680</v>
      </c>
      <c r="G688" s="79"/>
      <c r="H688" s="80" t="s">
        <v>364</v>
      </c>
      <c r="I688" s="435">
        <v>3986</v>
      </c>
      <c r="J688" s="436">
        <v>18000</v>
      </c>
      <c r="K688" s="426"/>
      <c r="L688" s="435"/>
      <c r="M688" s="81">
        <f t="shared" si="79"/>
        <v>71748000</v>
      </c>
      <c r="N688" s="82" t="s">
        <v>274</v>
      </c>
      <c r="O688" s="82" t="s">
        <v>8</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c r="AE688" s="1136" t="str">
        <f t="shared" ref="AE688:AE694" si="87">IF(H688&lt;&gt;VLOOKUP(H688,DSKH,1,0),"","x")</f>
        <v>x</v>
      </c>
    </row>
    <row r="689" spans="1:31" ht="15.75" customHeight="1">
      <c r="A689" s="334" t="str">
        <f>IF(B689&lt;&gt;"",IF(AND(B689='IN-TC'!$S$4,OR(TH!N689="1111",TH!O689="1111")),TH!D689,""),"")</f>
        <v/>
      </c>
      <c r="B689" s="63">
        <f t="shared" si="81"/>
        <v>4</v>
      </c>
      <c r="C689" s="78">
        <f t="shared" si="82"/>
        <v>42461</v>
      </c>
      <c r="D689" s="78" t="s">
        <v>931</v>
      </c>
      <c r="E689" s="78">
        <v>42461</v>
      </c>
      <c r="F689" s="67" t="s">
        <v>680</v>
      </c>
      <c r="G689" s="79"/>
      <c r="H689" s="87" t="s">
        <v>346</v>
      </c>
      <c r="I689" s="436">
        <v>4179</v>
      </c>
      <c r="J689" s="436">
        <v>18000</v>
      </c>
      <c r="K689" s="427"/>
      <c r="L689" s="436"/>
      <c r="M689" s="81">
        <f t="shared" si="79"/>
        <v>75222000</v>
      </c>
      <c r="N689" s="82" t="s">
        <v>274</v>
      </c>
      <c r="O689" s="82" t="s">
        <v>8</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c r="AE689" s="1136" t="str">
        <f t="shared" si="87"/>
        <v>x</v>
      </c>
    </row>
    <row r="690" spans="1:31" ht="15.75" customHeight="1">
      <c r="A690" s="334" t="str">
        <f>IF(B690&lt;&gt;"",IF(AND(B690='IN-TC'!$S$4,OR(TH!N690="1111",TH!O690="1111")),TH!D690,""),"")</f>
        <v/>
      </c>
      <c r="B690" s="63">
        <f t="shared" si="81"/>
        <v>4</v>
      </c>
      <c r="C690" s="78">
        <f t="shared" si="82"/>
        <v>42461</v>
      </c>
      <c r="D690" s="78" t="s">
        <v>932</v>
      </c>
      <c r="E690" s="78">
        <v>42461</v>
      </c>
      <c r="F690" s="67" t="s">
        <v>680</v>
      </c>
      <c r="G690" s="79"/>
      <c r="H690" s="80" t="s">
        <v>349</v>
      </c>
      <c r="I690" s="435">
        <v>3982</v>
      </c>
      <c r="J690" s="436">
        <v>18000</v>
      </c>
      <c r="K690" s="426"/>
      <c r="L690" s="435"/>
      <c r="M690" s="81">
        <f t="shared" si="79"/>
        <v>71676000</v>
      </c>
      <c r="N690" s="82" t="s">
        <v>274</v>
      </c>
      <c r="O690" s="82" t="s">
        <v>8</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c r="AE690" s="1136" t="str">
        <f t="shared" si="87"/>
        <v>x</v>
      </c>
    </row>
    <row r="691" spans="1:31" ht="15.75" customHeight="1">
      <c r="A691" s="334" t="str">
        <f>IF(B691&lt;&gt;"",IF(AND(B691='IN-TC'!$S$4,OR(TH!N691="1111",TH!O691="1111")),TH!D691,""),"")</f>
        <v/>
      </c>
      <c r="B691" s="63">
        <f t="shared" si="81"/>
        <v>4</v>
      </c>
      <c r="C691" s="78">
        <f t="shared" si="82"/>
        <v>42464</v>
      </c>
      <c r="D691" s="78" t="s">
        <v>933</v>
      </c>
      <c r="E691" s="78">
        <v>42464</v>
      </c>
      <c r="F691" s="67" t="s">
        <v>680</v>
      </c>
      <c r="G691" s="79"/>
      <c r="H691" s="80" t="s">
        <v>361</v>
      </c>
      <c r="I691" s="435">
        <v>4572</v>
      </c>
      <c r="J691" s="436">
        <v>18000</v>
      </c>
      <c r="K691" s="426"/>
      <c r="L691" s="435"/>
      <c r="M691" s="81">
        <f t="shared" si="79"/>
        <v>82296000</v>
      </c>
      <c r="N691" s="82" t="s">
        <v>274</v>
      </c>
      <c r="O691" s="82" t="s">
        <v>8</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c r="AE691" s="1136" t="str">
        <f t="shared" si="87"/>
        <v>x</v>
      </c>
    </row>
    <row r="692" spans="1:31" ht="15.75" customHeight="1">
      <c r="A692" s="334" t="str">
        <f>IF(B692&lt;&gt;"",IF(AND(B692='IN-TC'!$S$4,OR(TH!N692="1111",TH!O692="1111")),TH!D692,""),"")</f>
        <v/>
      </c>
      <c r="B692" s="63">
        <f t="shared" si="81"/>
        <v>4</v>
      </c>
      <c r="C692" s="78">
        <f t="shared" si="82"/>
        <v>42464</v>
      </c>
      <c r="D692" s="78" t="s">
        <v>934</v>
      </c>
      <c r="E692" s="78">
        <v>42464</v>
      </c>
      <c r="F692" s="67" t="s">
        <v>680</v>
      </c>
      <c r="G692" s="79"/>
      <c r="H692" s="80" t="s">
        <v>364</v>
      </c>
      <c r="I692" s="435">
        <v>4780</v>
      </c>
      <c r="J692" s="436">
        <v>18000</v>
      </c>
      <c r="K692" s="426"/>
      <c r="L692" s="435"/>
      <c r="M692" s="81">
        <f t="shared" si="79"/>
        <v>86040000</v>
      </c>
      <c r="N692" s="82" t="s">
        <v>274</v>
      </c>
      <c r="O692" s="82" t="s">
        <v>8</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c r="AE692" s="1136" t="str">
        <f t="shared" si="87"/>
        <v>x</v>
      </c>
    </row>
    <row r="693" spans="1:31" ht="15.75" customHeight="1">
      <c r="A693" s="334" t="str">
        <f>IF(B693&lt;&gt;"",IF(AND(B693='IN-TC'!$S$4,OR(TH!N693="1111",TH!O693="1111")),TH!D693,""),"")</f>
        <v/>
      </c>
      <c r="B693" s="63">
        <f t="shared" si="81"/>
        <v>4</v>
      </c>
      <c r="C693" s="78">
        <f t="shared" si="82"/>
        <v>42470</v>
      </c>
      <c r="D693" s="78" t="s">
        <v>935</v>
      </c>
      <c r="E693" s="78">
        <v>42470</v>
      </c>
      <c r="F693" s="67" t="s">
        <v>680</v>
      </c>
      <c r="G693" s="79"/>
      <c r="H693" s="80" t="s">
        <v>367</v>
      </c>
      <c r="I693" s="435">
        <v>4106</v>
      </c>
      <c r="J693" s="436">
        <v>18000</v>
      </c>
      <c r="K693" s="426"/>
      <c r="L693" s="435"/>
      <c r="M693" s="81">
        <f t="shared" si="79"/>
        <v>73908000</v>
      </c>
      <c r="N693" s="82" t="s">
        <v>274</v>
      </c>
      <c r="O693" s="82" t="s">
        <v>8</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c r="AE693" s="1136" t="str">
        <f t="shared" si="87"/>
        <v>x</v>
      </c>
    </row>
    <row r="694" spans="1:31" ht="15.75" customHeight="1">
      <c r="A694" s="334" t="str">
        <f>IF(B694&lt;&gt;"",IF(AND(B694='IN-TC'!$S$4,OR(TH!N694="1111",TH!O694="1111")),TH!D694,""),"")</f>
        <v/>
      </c>
      <c r="B694" s="63">
        <f t="shared" si="81"/>
        <v>4</v>
      </c>
      <c r="C694" s="78">
        <f t="shared" si="82"/>
        <v>42470</v>
      </c>
      <c r="D694" s="78" t="s">
        <v>936</v>
      </c>
      <c r="E694" s="78">
        <v>42470</v>
      </c>
      <c r="F694" s="67" t="s">
        <v>680</v>
      </c>
      <c r="G694" s="79"/>
      <c r="H694" s="80" t="s">
        <v>361</v>
      </c>
      <c r="I694" s="435">
        <v>4795</v>
      </c>
      <c r="J694" s="436">
        <v>18000</v>
      </c>
      <c r="K694" s="426"/>
      <c r="L694" s="435"/>
      <c r="M694" s="81">
        <f t="shared" si="79"/>
        <v>86310000</v>
      </c>
      <c r="N694" s="82" t="s">
        <v>274</v>
      </c>
      <c r="O694" s="82" t="s">
        <v>8</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c r="AE694" s="1136" t="str">
        <f t="shared" si="87"/>
        <v>x</v>
      </c>
    </row>
    <row r="695" spans="1:31" s="339" customFormat="1" ht="15.75" customHeight="1">
      <c r="A695" s="334" t="str">
        <f>IF(B695&lt;&gt;"",IF(AND(B695='IN-TC'!$S$4,OR(TH!N695="1111",TH!O695="1111")),TH!D695,""),"")</f>
        <v/>
      </c>
      <c r="B695" s="63">
        <f t="shared" si="81"/>
        <v>4</v>
      </c>
      <c r="C695" s="92">
        <f t="shared" si="82"/>
        <v>42461</v>
      </c>
      <c r="D695" s="92" t="s">
        <v>682</v>
      </c>
      <c r="E695" s="92">
        <v>42461</v>
      </c>
      <c r="F695" s="67" t="s">
        <v>680</v>
      </c>
      <c r="G695" s="93"/>
      <c r="H695" s="94" t="s">
        <v>446</v>
      </c>
      <c r="I695" s="1175">
        <v>12147</v>
      </c>
      <c r="J695" s="1174">
        <v>18000</v>
      </c>
      <c r="K695" s="1176"/>
      <c r="L695" s="1175"/>
      <c r="M695" s="95">
        <f t="shared" si="79"/>
        <v>218646000</v>
      </c>
      <c r="N695" s="83" t="s">
        <v>282</v>
      </c>
      <c r="O695" s="83" t="s">
        <v>274</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1" s="339" customFormat="1" ht="15.75" customHeight="1">
      <c r="A696" s="334" t="str">
        <f>IF(B696&lt;&gt;"",IF(AND(B696='IN-TC'!$S$4,OR(TH!N696="1111",TH!O696="1111")),TH!D696,""),"")</f>
        <v/>
      </c>
      <c r="B696" s="63">
        <f t="shared" si="81"/>
        <v>4</v>
      </c>
      <c r="C696" s="92">
        <f t="shared" si="82"/>
        <v>42464</v>
      </c>
      <c r="D696" s="92" t="s">
        <v>689</v>
      </c>
      <c r="E696" s="92">
        <v>42464</v>
      </c>
      <c r="F696" s="67" t="s">
        <v>680</v>
      </c>
      <c r="G696" s="93"/>
      <c r="H696" s="94" t="s">
        <v>446</v>
      </c>
      <c r="I696" s="443">
        <v>9352</v>
      </c>
      <c r="J696" s="1174">
        <v>18000</v>
      </c>
      <c r="K696" s="434"/>
      <c r="L696" s="443"/>
      <c r="M696" s="95">
        <f t="shared" si="79"/>
        <v>168336000</v>
      </c>
      <c r="N696" s="83" t="s">
        <v>282</v>
      </c>
      <c r="O696" s="83" t="s">
        <v>274</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1" s="339" customFormat="1" ht="15.75" customHeight="1">
      <c r="A697" s="334" t="str">
        <f>IF(B697&lt;&gt;"",IF(AND(B697='IN-TC'!$S$4,OR(TH!N697="1111",TH!O697="1111")),TH!D697,""),"")</f>
        <v/>
      </c>
      <c r="B697" s="63">
        <f t="shared" si="81"/>
        <v>4</v>
      </c>
      <c r="C697" s="92">
        <f t="shared" si="82"/>
        <v>42470</v>
      </c>
      <c r="D697" s="92" t="s">
        <v>690</v>
      </c>
      <c r="E697" s="92">
        <v>42470</v>
      </c>
      <c r="F697" s="67" t="s">
        <v>680</v>
      </c>
      <c r="G697" s="93"/>
      <c r="H697" s="94" t="s">
        <v>446</v>
      </c>
      <c r="I697" s="443">
        <v>8901</v>
      </c>
      <c r="J697" s="1174">
        <v>18000</v>
      </c>
      <c r="K697" s="434"/>
      <c r="L697" s="443"/>
      <c r="M697" s="95">
        <f t="shared" si="79"/>
        <v>160218000</v>
      </c>
      <c r="N697" s="83" t="s">
        <v>282</v>
      </c>
      <c r="O697" s="83" t="s">
        <v>274</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1" ht="15.75" customHeight="1">
      <c r="A698" s="334" t="str">
        <f>IF(B698&lt;&gt;"",IF(AND(B698='IN-TC'!$S$4,OR(TH!N698="1111",TH!O698="1111")),TH!D698,""),"")</f>
        <v/>
      </c>
      <c r="B698" s="63">
        <f t="shared" si="81"/>
        <v>4</v>
      </c>
      <c r="C698" s="78">
        <f t="shared" si="82"/>
        <v>42475</v>
      </c>
      <c r="D698" s="78" t="s">
        <v>937</v>
      </c>
      <c r="E698" s="78">
        <v>42475</v>
      </c>
      <c r="F698" s="67" t="s">
        <v>681</v>
      </c>
      <c r="G698" s="79"/>
      <c r="H698" s="80" t="s">
        <v>435</v>
      </c>
      <c r="I698" s="435">
        <v>8972</v>
      </c>
      <c r="J698" s="436">
        <v>15500</v>
      </c>
      <c r="K698" s="426"/>
      <c r="L698" s="435"/>
      <c r="M698" s="81">
        <f t="shared" si="79"/>
        <v>139066000</v>
      </c>
      <c r="N698" s="82" t="s">
        <v>274</v>
      </c>
      <c r="O698" s="82" t="s">
        <v>8</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c r="AE698" s="1136" t="str">
        <f t="shared" ref="AE698:AE703" si="88">IF(H698&lt;&gt;VLOOKUP(H698,DSKH,1,0),"","x")</f>
        <v>x</v>
      </c>
    </row>
    <row r="699" spans="1:31" ht="15.75" customHeight="1">
      <c r="A699" s="334" t="str">
        <f>IF(B699&lt;&gt;"",IF(AND(B699='IN-TC'!$S$4,OR(TH!N699="1111",TH!O699="1111")),TH!D699,""),"")</f>
        <v/>
      </c>
      <c r="B699" s="63">
        <f t="shared" si="81"/>
        <v>4</v>
      </c>
      <c r="C699" s="78">
        <f t="shared" si="82"/>
        <v>42475</v>
      </c>
      <c r="D699" s="78" t="s">
        <v>938</v>
      </c>
      <c r="E699" s="78">
        <v>42475</v>
      </c>
      <c r="F699" s="67" t="s">
        <v>681</v>
      </c>
      <c r="G699" s="79"/>
      <c r="H699" s="80" t="s">
        <v>430</v>
      </c>
      <c r="I699" s="435">
        <v>9850</v>
      </c>
      <c r="J699" s="436">
        <v>15500</v>
      </c>
      <c r="K699" s="426"/>
      <c r="L699" s="435"/>
      <c r="M699" s="81">
        <f t="shared" si="79"/>
        <v>152675000</v>
      </c>
      <c r="N699" s="82" t="s">
        <v>274</v>
      </c>
      <c r="O699" s="82" t="s">
        <v>8</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c r="AE699" s="1136" t="str">
        <f t="shared" si="88"/>
        <v>x</v>
      </c>
    </row>
    <row r="700" spans="1:31" ht="15.75" customHeight="1">
      <c r="A700" s="334" t="str">
        <f>IF(B700&lt;&gt;"",IF(AND(B700='IN-TC'!$S$4,OR(TH!N700="1111",TH!O700="1111")),TH!D700,""),"")</f>
        <v/>
      </c>
      <c r="B700" s="63">
        <f t="shared" si="81"/>
        <v>4</v>
      </c>
      <c r="C700" s="78">
        <f t="shared" si="82"/>
        <v>42475</v>
      </c>
      <c r="D700" s="78" t="s">
        <v>939</v>
      </c>
      <c r="E700" s="78">
        <v>42475</v>
      </c>
      <c r="F700" s="67" t="s">
        <v>681</v>
      </c>
      <c r="G700" s="79"/>
      <c r="H700" s="80" t="s">
        <v>428</v>
      </c>
      <c r="I700" s="435">
        <v>8759</v>
      </c>
      <c r="J700" s="436">
        <v>15500</v>
      </c>
      <c r="K700" s="426"/>
      <c r="L700" s="435"/>
      <c r="M700" s="81">
        <f t="shared" si="79"/>
        <v>135764500</v>
      </c>
      <c r="N700" s="82" t="s">
        <v>274</v>
      </c>
      <c r="O700" s="82" t="s">
        <v>8</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c r="AE700" s="1136" t="str">
        <f t="shared" si="88"/>
        <v>x</v>
      </c>
    </row>
    <row r="701" spans="1:31" ht="15.75" customHeight="1">
      <c r="A701" s="334" t="str">
        <f>IF(B701&lt;&gt;"",IF(AND(B701='IN-TC'!$S$4,OR(TH!N701="1111",TH!O701="1111")),TH!D701,""),"")</f>
        <v/>
      </c>
      <c r="B701" s="63">
        <f t="shared" si="81"/>
        <v>4</v>
      </c>
      <c r="C701" s="78">
        <f t="shared" si="82"/>
        <v>42484</v>
      </c>
      <c r="D701" s="78" t="s">
        <v>940</v>
      </c>
      <c r="E701" s="78">
        <v>42484</v>
      </c>
      <c r="F701" s="67" t="s">
        <v>681</v>
      </c>
      <c r="G701" s="79"/>
      <c r="H701" s="80" t="s">
        <v>430</v>
      </c>
      <c r="I701" s="435">
        <v>8960</v>
      </c>
      <c r="J701" s="436">
        <v>15500</v>
      </c>
      <c r="K701" s="426"/>
      <c r="L701" s="435"/>
      <c r="M701" s="81">
        <f t="shared" si="79"/>
        <v>138880000</v>
      </c>
      <c r="N701" s="82" t="s">
        <v>274</v>
      </c>
      <c r="O701" s="82" t="s">
        <v>8</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c r="AE701" s="1136" t="str">
        <f t="shared" si="88"/>
        <v>x</v>
      </c>
    </row>
    <row r="702" spans="1:31" ht="15.75" customHeight="1">
      <c r="A702" s="334" t="str">
        <f>IF(B702&lt;&gt;"",IF(AND(B702='IN-TC'!$S$4,OR(TH!N702="1111",TH!O702="1111")),TH!D702,""),"")</f>
        <v/>
      </c>
      <c r="B702" s="63">
        <f t="shared" si="81"/>
        <v>4</v>
      </c>
      <c r="C702" s="78">
        <f t="shared" si="82"/>
        <v>42484</v>
      </c>
      <c r="D702" s="78" t="s">
        <v>946</v>
      </c>
      <c r="E702" s="78">
        <v>42484</v>
      </c>
      <c r="F702" s="67" t="s">
        <v>681</v>
      </c>
      <c r="G702" s="79"/>
      <c r="H702" s="80" t="s">
        <v>435</v>
      </c>
      <c r="I702" s="435">
        <v>8742</v>
      </c>
      <c r="J702" s="436">
        <v>15500</v>
      </c>
      <c r="K702" s="426"/>
      <c r="L702" s="435"/>
      <c r="M702" s="81">
        <f t="shared" si="79"/>
        <v>135501000</v>
      </c>
      <c r="N702" s="82" t="s">
        <v>274</v>
      </c>
      <c r="O702" s="82" t="s">
        <v>8</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c r="AE702" s="1136" t="str">
        <f t="shared" si="88"/>
        <v>x</v>
      </c>
    </row>
    <row r="703" spans="1:31" ht="15.75" customHeight="1">
      <c r="A703" s="334" t="str">
        <f>IF(B703&lt;&gt;"",IF(AND(B703='IN-TC'!$S$4,OR(TH!N703="1111",TH!O703="1111")),TH!D703,""),"")</f>
        <v/>
      </c>
      <c r="B703" s="63">
        <f t="shared" si="81"/>
        <v>4</v>
      </c>
      <c r="C703" s="78">
        <f t="shared" si="82"/>
        <v>42484</v>
      </c>
      <c r="D703" s="78" t="s">
        <v>947</v>
      </c>
      <c r="E703" s="78">
        <v>42484</v>
      </c>
      <c r="F703" s="67" t="s">
        <v>681</v>
      </c>
      <c r="G703" s="79"/>
      <c r="H703" s="80" t="s">
        <v>439</v>
      </c>
      <c r="I703" s="435">
        <v>8537</v>
      </c>
      <c r="J703" s="436">
        <v>15500</v>
      </c>
      <c r="K703" s="426"/>
      <c r="L703" s="435"/>
      <c r="M703" s="81">
        <f t="shared" si="79"/>
        <v>132323500</v>
      </c>
      <c r="N703" s="82" t="s">
        <v>274</v>
      </c>
      <c r="O703" s="82" t="s">
        <v>8</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c r="AE703" s="1136" t="str">
        <f t="shared" si="88"/>
        <v>x</v>
      </c>
    </row>
    <row r="704" spans="1:31" s="339" customFormat="1" ht="15.75" customHeight="1">
      <c r="A704" s="334" t="str">
        <f>IF(B704&lt;&gt;"",IF(AND(B704='IN-TC'!$S$4,OR(TH!N704="1111",TH!O704="1111")),TH!D704,""),"")</f>
        <v/>
      </c>
      <c r="B704" s="63">
        <f t="shared" si="81"/>
        <v>5</v>
      </c>
      <c r="C704" s="78">
        <f t="shared" si="82"/>
        <v>42491</v>
      </c>
      <c r="D704" s="92" t="s">
        <v>682</v>
      </c>
      <c r="E704" s="92">
        <v>42491</v>
      </c>
      <c r="F704" s="67" t="s">
        <v>681</v>
      </c>
      <c r="G704" s="93"/>
      <c r="H704" s="94" t="s">
        <v>446</v>
      </c>
      <c r="I704" s="1175">
        <v>27581</v>
      </c>
      <c r="J704" s="1174">
        <v>15500</v>
      </c>
      <c r="K704" s="1176"/>
      <c r="L704" s="1175"/>
      <c r="M704" s="95">
        <f t="shared" si="79"/>
        <v>427505500</v>
      </c>
      <c r="N704" s="83" t="s">
        <v>282</v>
      </c>
      <c r="O704" s="83" t="s">
        <v>274</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1" s="339" customFormat="1" ht="15.75" customHeight="1">
      <c r="A705" s="334" t="str">
        <f>IF(B705&lt;&gt;"",IF(AND(B705='IN-TC'!$S$4,OR(TH!N705="1111",TH!O705="1111")),TH!D705,""),"")</f>
        <v/>
      </c>
      <c r="B705" s="63">
        <f t="shared" si="81"/>
        <v>5</v>
      </c>
      <c r="C705" s="78">
        <f t="shared" si="82"/>
        <v>42497</v>
      </c>
      <c r="D705" s="92" t="s">
        <v>690</v>
      </c>
      <c r="E705" s="92">
        <v>42497</v>
      </c>
      <c r="F705" s="67" t="s">
        <v>681</v>
      </c>
      <c r="G705" s="1138"/>
      <c r="H705" s="94" t="s">
        <v>446</v>
      </c>
      <c r="I705" s="1175">
        <v>26239</v>
      </c>
      <c r="J705" s="1174">
        <v>15500</v>
      </c>
      <c r="K705" s="1176"/>
      <c r="L705" s="1175"/>
      <c r="M705" s="95">
        <f t="shared" si="79"/>
        <v>406704500</v>
      </c>
      <c r="N705" s="83" t="s">
        <v>282</v>
      </c>
      <c r="O705" s="83" t="s">
        <v>274</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1" s="339" customFormat="1" ht="15.75" customHeight="1">
      <c r="A706" s="334" t="str">
        <f>IF(B706&lt;&gt;"",IF(AND(B706='IN-TC'!$S$4,OR(TH!N706="1111",TH!O706="1111")),TH!D706,""),"")</f>
        <v/>
      </c>
      <c r="B706" s="63">
        <f t="shared" si="81"/>
        <v>4</v>
      </c>
      <c r="C706" s="78">
        <f t="shared" si="82"/>
        <v>42489</v>
      </c>
      <c r="D706" s="78" t="s">
        <v>948</v>
      </c>
      <c r="E706" s="78">
        <v>42489</v>
      </c>
      <c r="F706" s="67" t="s">
        <v>1946</v>
      </c>
      <c r="G706" s="79"/>
      <c r="H706" s="80" t="s">
        <v>349</v>
      </c>
      <c r="I706" s="435">
        <v>4400</v>
      </c>
      <c r="J706" s="436">
        <v>29500</v>
      </c>
      <c r="K706" s="426"/>
      <c r="L706" s="435"/>
      <c r="M706" s="81">
        <f t="shared" si="79"/>
        <v>129800000</v>
      </c>
      <c r="N706" s="82" t="s">
        <v>274</v>
      </c>
      <c r="O706" s="82" t="s">
        <v>8</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c r="AE706" s="1136" t="str">
        <f t="shared" ref="AE706:AE719" si="89">IF(H706&lt;&gt;VLOOKUP(H706,DSKH,1,0),"","x")</f>
        <v>x</v>
      </c>
    </row>
    <row r="707" spans="1:31" ht="15.75" customHeight="1">
      <c r="A707" s="334" t="str">
        <f>IF(B707&lt;&gt;"",IF(AND(B707='IN-TC'!$S$4,OR(TH!N707="1111",TH!O707="1111")),TH!D707,""),"")</f>
        <v/>
      </c>
      <c r="B707" s="63">
        <f t="shared" si="81"/>
        <v>4</v>
      </c>
      <c r="C707" s="78">
        <f t="shared" si="82"/>
        <v>42489</v>
      </c>
      <c r="D707" s="78" t="s">
        <v>948</v>
      </c>
      <c r="E707" s="78">
        <v>42489</v>
      </c>
      <c r="F707" s="67" t="s">
        <v>1947</v>
      </c>
      <c r="G707" s="79"/>
      <c r="H707" s="80" t="s">
        <v>349</v>
      </c>
      <c r="I707" s="436">
        <v>3000</v>
      </c>
      <c r="J707" s="436">
        <v>28700</v>
      </c>
      <c r="K707" s="427"/>
      <c r="L707" s="436"/>
      <c r="M707" s="81">
        <f t="shared" si="79"/>
        <v>86100000</v>
      </c>
      <c r="N707" s="82" t="s">
        <v>274</v>
      </c>
      <c r="O707" s="82" t="s">
        <v>8</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c r="AE707" s="1136" t="str">
        <f t="shared" si="89"/>
        <v>x</v>
      </c>
    </row>
    <row r="708" spans="1:31" s="339" customFormat="1" ht="15.75" customHeight="1">
      <c r="A708" s="334" t="str">
        <f>IF(B708&lt;&gt;"",IF(AND(B708='IN-TC'!$S$4,OR(TH!N708="1111",TH!O708="1111")),TH!D708,""),"")</f>
        <v/>
      </c>
      <c r="B708" s="63">
        <f t="shared" si="81"/>
        <v>5</v>
      </c>
      <c r="C708" s="92">
        <f t="shared" si="82"/>
        <v>42491</v>
      </c>
      <c r="D708" s="92" t="s">
        <v>682</v>
      </c>
      <c r="E708" s="92">
        <v>42491</v>
      </c>
      <c r="F708" s="67" t="s">
        <v>1946</v>
      </c>
      <c r="G708" s="93"/>
      <c r="H708" s="94" t="s">
        <v>446</v>
      </c>
      <c r="I708" s="1175">
        <v>4400</v>
      </c>
      <c r="J708" s="1174">
        <v>29500</v>
      </c>
      <c r="K708" s="1176"/>
      <c r="L708" s="1175"/>
      <c r="M708" s="95">
        <f t="shared" si="79"/>
        <v>129800000</v>
      </c>
      <c r="N708" s="83" t="s">
        <v>282</v>
      </c>
      <c r="O708" s="83" t="s">
        <v>274</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row>
    <row r="709" spans="1:31" s="339" customFormat="1" ht="15.75" customHeight="1">
      <c r="A709" s="334" t="str">
        <f>IF(B709&lt;&gt;"",IF(AND(B709='IN-TC'!$S$4,OR(TH!N709="1111",TH!O709="1111")),TH!D709,""),"")</f>
        <v/>
      </c>
      <c r="B709" s="63">
        <f t="shared" si="81"/>
        <v>5</v>
      </c>
      <c r="C709" s="92">
        <f t="shared" si="82"/>
        <v>42491</v>
      </c>
      <c r="D709" s="92" t="s">
        <v>682</v>
      </c>
      <c r="E709" s="92">
        <v>42491</v>
      </c>
      <c r="F709" s="67" t="s">
        <v>1947</v>
      </c>
      <c r="G709" s="93"/>
      <c r="H709" s="94" t="s">
        <v>446</v>
      </c>
      <c r="I709" s="1175">
        <v>3000</v>
      </c>
      <c r="J709" s="1174">
        <v>28700</v>
      </c>
      <c r="K709" s="1176"/>
      <c r="L709" s="1175"/>
      <c r="M709" s="95">
        <f t="shared" si="79"/>
        <v>86100000</v>
      </c>
      <c r="N709" s="83" t="s">
        <v>282</v>
      </c>
      <c r="O709" s="83" t="s">
        <v>274</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1" s="339" customFormat="1" ht="15.75" customHeight="1">
      <c r="A710" s="334" t="str">
        <f>IF(B710&lt;&gt;"",IF(AND(B710='IN-TC'!$S$4,OR(TH!N710="1111",TH!O710="1111")),TH!D710,""),"")</f>
        <v/>
      </c>
      <c r="B710" s="63">
        <f t="shared" si="81"/>
        <v>5</v>
      </c>
      <c r="C710" s="78">
        <f t="shared" si="82"/>
        <v>42491</v>
      </c>
      <c r="D710" s="78" t="s">
        <v>930</v>
      </c>
      <c r="E710" s="78">
        <v>42491</v>
      </c>
      <c r="F710" s="67" t="s">
        <v>680</v>
      </c>
      <c r="G710" s="79"/>
      <c r="H710" s="80" t="s">
        <v>361</v>
      </c>
      <c r="I710" s="435">
        <v>4426</v>
      </c>
      <c r="J710" s="436">
        <v>18500</v>
      </c>
      <c r="K710" s="426"/>
      <c r="L710" s="435"/>
      <c r="M710" s="81">
        <f t="shared" si="79"/>
        <v>81881000</v>
      </c>
      <c r="N710" s="82" t="s">
        <v>274</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c r="AE710" s="1136" t="str">
        <f t="shared" si="89"/>
        <v>x</v>
      </c>
    </row>
    <row r="711" spans="1:31" ht="15.75" customHeight="1">
      <c r="A711" s="334" t="str">
        <f>IF(B711&lt;&gt;"",IF(AND(B711='IN-TC'!$S$4,OR(TH!N711="1111",TH!O711="1111")),TH!D711,""),"")</f>
        <v/>
      </c>
      <c r="B711" s="63">
        <f t="shared" si="81"/>
        <v>5</v>
      </c>
      <c r="C711" s="78">
        <f t="shared" si="82"/>
        <v>42491</v>
      </c>
      <c r="D711" s="78" t="s">
        <v>931</v>
      </c>
      <c r="E711" s="78">
        <v>42491</v>
      </c>
      <c r="F711" s="67" t="s">
        <v>680</v>
      </c>
      <c r="G711" s="79"/>
      <c r="H711" s="87" t="s">
        <v>346</v>
      </c>
      <c r="I711" s="436">
        <v>4074</v>
      </c>
      <c r="J711" s="436">
        <v>18500</v>
      </c>
      <c r="K711" s="427"/>
      <c r="L711" s="436"/>
      <c r="M711" s="81">
        <f t="shared" si="79"/>
        <v>75369000</v>
      </c>
      <c r="N711" s="82" t="s">
        <v>274</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c r="AE711" s="1136" t="str">
        <f t="shared" si="89"/>
        <v>x</v>
      </c>
    </row>
    <row r="712" spans="1:31" ht="15.75" customHeight="1">
      <c r="A712" s="334" t="str">
        <f>IF(B712&lt;&gt;"",IF(AND(B712='IN-TC'!$S$4,OR(TH!N712="1111",TH!O712="1111")),TH!D712,""),"")</f>
        <v/>
      </c>
      <c r="B712" s="63">
        <f t="shared" si="81"/>
        <v>5</v>
      </c>
      <c r="C712" s="78">
        <f t="shared" si="82"/>
        <v>42494</v>
      </c>
      <c r="D712" s="78" t="s">
        <v>932</v>
      </c>
      <c r="E712" s="78">
        <v>42494</v>
      </c>
      <c r="F712" s="67" t="s">
        <v>680</v>
      </c>
      <c r="G712" s="79"/>
      <c r="H712" s="80" t="s">
        <v>349</v>
      </c>
      <c r="I712" s="435">
        <v>4790</v>
      </c>
      <c r="J712" s="436">
        <v>18500</v>
      </c>
      <c r="K712" s="426"/>
      <c r="L712" s="435"/>
      <c r="M712" s="81">
        <f t="shared" si="79"/>
        <v>88615000</v>
      </c>
      <c r="N712" s="82" t="s">
        <v>274</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c r="AE712" s="1136" t="str">
        <f t="shared" si="89"/>
        <v>x</v>
      </c>
    </row>
    <row r="713" spans="1:31" ht="15.75" customHeight="1">
      <c r="A713" s="334" t="str">
        <f>IF(B713&lt;&gt;"",IF(AND(B713='IN-TC'!$S$4,OR(TH!N713="1111",TH!O713="1111")),TH!D713,""),"")</f>
        <v/>
      </c>
      <c r="B713" s="63">
        <f t="shared" si="81"/>
        <v>5</v>
      </c>
      <c r="C713" s="78">
        <f t="shared" si="82"/>
        <v>42494</v>
      </c>
      <c r="D713" s="78" t="s">
        <v>933</v>
      </c>
      <c r="E713" s="78">
        <v>42494</v>
      </c>
      <c r="F713" s="67" t="s">
        <v>680</v>
      </c>
      <c r="G713" s="79"/>
      <c r="H713" s="80" t="s">
        <v>367</v>
      </c>
      <c r="I713" s="435">
        <v>4859</v>
      </c>
      <c r="J713" s="436">
        <v>18500</v>
      </c>
      <c r="K713" s="426"/>
      <c r="L713" s="435"/>
      <c r="M713" s="81">
        <f t="shared" ref="M713:M776" si="90">ROUND(I713*J713,0)</f>
        <v>89891500</v>
      </c>
      <c r="N713" s="82" t="s">
        <v>274</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c r="AE713" s="1136" t="str">
        <f t="shared" si="89"/>
        <v>x</v>
      </c>
    </row>
    <row r="714" spans="1:31" ht="15.75" customHeight="1">
      <c r="A714" s="334" t="str">
        <f>IF(B714&lt;&gt;"",IF(AND(B714='IN-TC'!$S$4,OR(TH!N714="1111",TH!O714="1111")),TH!D714,""),"")</f>
        <v/>
      </c>
      <c r="B714" s="63">
        <f t="shared" si="81"/>
        <v>5</v>
      </c>
      <c r="C714" s="78">
        <f t="shared" si="82"/>
        <v>42494</v>
      </c>
      <c r="D714" s="78" t="s">
        <v>934</v>
      </c>
      <c r="E714" s="78">
        <v>42494</v>
      </c>
      <c r="F714" s="67" t="s">
        <v>680</v>
      </c>
      <c r="G714" s="79"/>
      <c r="H714" s="80" t="s">
        <v>364</v>
      </c>
      <c r="I714" s="435">
        <v>4960</v>
      </c>
      <c r="J714" s="436">
        <v>18500</v>
      </c>
      <c r="K714" s="426"/>
      <c r="L714" s="435"/>
      <c r="M714" s="81">
        <f t="shared" si="90"/>
        <v>91760000</v>
      </c>
      <c r="N714" s="82" t="s">
        <v>274</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c r="AE714" s="1136" t="str">
        <f t="shared" si="89"/>
        <v>x</v>
      </c>
    </row>
    <row r="715" spans="1:31" ht="15.75" customHeight="1">
      <c r="A715" s="334" t="str">
        <f>IF(B715&lt;&gt;"",IF(AND(B715='IN-TC'!$S$4,OR(TH!N715="1111",TH!O715="1111")),TH!D715,""),"")</f>
        <v/>
      </c>
      <c r="B715" s="63">
        <f t="shared" si="81"/>
        <v>5</v>
      </c>
      <c r="C715" s="78">
        <f t="shared" si="82"/>
        <v>42494</v>
      </c>
      <c r="D715" s="78" t="s">
        <v>935</v>
      </c>
      <c r="E715" s="78">
        <v>42494</v>
      </c>
      <c r="F715" s="67" t="s">
        <v>680</v>
      </c>
      <c r="G715" s="79"/>
      <c r="H715" s="87" t="s">
        <v>346</v>
      </c>
      <c r="I715" s="435">
        <v>4586</v>
      </c>
      <c r="J715" s="436">
        <v>18500</v>
      </c>
      <c r="K715" s="426"/>
      <c r="L715" s="435"/>
      <c r="M715" s="81">
        <f t="shared" si="90"/>
        <v>84841000</v>
      </c>
      <c r="N715" s="82" t="s">
        <v>274</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c r="AE715" s="1136" t="str">
        <f t="shared" si="89"/>
        <v>x</v>
      </c>
    </row>
    <row r="716" spans="1:31" ht="15.75" customHeight="1">
      <c r="A716" s="334" t="str">
        <f>IF(B716&lt;&gt;"",IF(AND(B716='IN-TC'!$S$4,OR(TH!N716="1111",TH!O716="1111")),TH!D716,""),"")</f>
        <v/>
      </c>
      <c r="B716" s="63">
        <f t="shared" si="81"/>
        <v>5</v>
      </c>
      <c r="C716" s="78">
        <f t="shared" si="82"/>
        <v>42500</v>
      </c>
      <c r="D716" s="78" t="s">
        <v>936</v>
      </c>
      <c r="E716" s="78">
        <v>42500</v>
      </c>
      <c r="F716" s="67" t="s">
        <v>680</v>
      </c>
      <c r="G716" s="79"/>
      <c r="H716" s="80" t="s">
        <v>361</v>
      </c>
      <c r="I716" s="435">
        <v>4860</v>
      </c>
      <c r="J716" s="436">
        <v>18500</v>
      </c>
      <c r="K716" s="426"/>
      <c r="L716" s="435"/>
      <c r="M716" s="81">
        <f t="shared" si="90"/>
        <v>89910000</v>
      </c>
      <c r="N716" s="82" t="s">
        <v>274</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c r="AE716" s="1136" t="str">
        <f t="shared" si="89"/>
        <v>x</v>
      </c>
    </row>
    <row r="717" spans="1:31" ht="15.75" customHeight="1">
      <c r="A717" s="334" t="str">
        <f>IF(B717&lt;&gt;"",IF(AND(B717='IN-TC'!$S$4,OR(TH!N717="1111",TH!O717="1111")),TH!D717,""),"")</f>
        <v/>
      </c>
      <c r="B717" s="63">
        <f t="shared" si="81"/>
        <v>5</v>
      </c>
      <c r="C717" s="78">
        <f t="shared" si="82"/>
        <v>42500</v>
      </c>
      <c r="D717" s="78" t="s">
        <v>937</v>
      </c>
      <c r="E717" s="78">
        <v>42500</v>
      </c>
      <c r="F717" s="67" t="s">
        <v>680</v>
      </c>
      <c r="G717" s="79"/>
      <c r="H717" s="87" t="s">
        <v>346</v>
      </c>
      <c r="I717" s="435">
        <v>4972</v>
      </c>
      <c r="J717" s="436">
        <v>18500</v>
      </c>
      <c r="K717" s="426"/>
      <c r="L717" s="435"/>
      <c r="M717" s="81">
        <f t="shared" si="90"/>
        <v>91982000</v>
      </c>
      <c r="N717" s="82" t="s">
        <v>274</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c r="AE717" s="1136" t="str">
        <f t="shared" si="89"/>
        <v>x</v>
      </c>
    </row>
    <row r="718" spans="1:31" ht="15.75" customHeight="1">
      <c r="A718" s="334" t="str">
        <f>IF(B718&lt;&gt;"",IF(AND(B718='IN-TC'!$S$4,OR(TH!N718="1111",TH!O718="1111")),TH!D718,""),"")</f>
        <v/>
      </c>
      <c r="B718" s="63">
        <f t="shared" si="81"/>
        <v>5</v>
      </c>
      <c r="C718" s="78">
        <f t="shared" si="82"/>
        <v>42500</v>
      </c>
      <c r="D718" s="78" t="s">
        <v>938</v>
      </c>
      <c r="E718" s="78">
        <v>42500</v>
      </c>
      <c r="F718" s="67" t="s">
        <v>680</v>
      </c>
      <c r="G718" s="79"/>
      <c r="H718" s="80" t="s">
        <v>367</v>
      </c>
      <c r="I718" s="435">
        <v>4860</v>
      </c>
      <c r="J718" s="436">
        <v>18500</v>
      </c>
      <c r="K718" s="426"/>
      <c r="L718" s="435"/>
      <c r="M718" s="81">
        <f t="shared" si="90"/>
        <v>89910000</v>
      </c>
      <c r="N718" s="82" t="s">
        <v>274</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c r="AE718" s="1136" t="str">
        <f t="shared" si="89"/>
        <v>x</v>
      </c>
    </row>
    <row r="719" spans="1:31" ht="15.75" customHeight="1">
      <c r="A719" s="334" t="str">
        <f>IF(B719&lt;&gt;"",IF(AND(B719='IN-TC'!$S$4,OR(TH!N719="1111",TH!O719="1111")),TH!D719,""),"")</f>
        <v/>
      </c>
      <c r="B719" s="63">
        <f t="shared" si="81"/>
        <v>5</v>
      </c>
      <c r="C719" s="78">
        <f t="shared" si="82"/>
        <v>42500</v>
      </c>
      <c r="D719" s="78" t="s">
        <v>939</v>
      </c>
      <c r="E719" s="78">
        <v>42500</v>
      </c>
      <c r="F719" s="67" t="s">
        <v>680</v>
      </c>
      <c r="G719" s="79"/>
      <c r="H719" s="80" t="s">
        <v>364</v>
      </c>
      <c r="I719" s="435">
        <v>4513</v>
      </c>
      <c r="J719" s="436">
        <v>18500</v>
      </c>
      <c r="K719" s="426"/>
      <c r="L719" s="435"/>
      <c r="M719" s="81">
        <f t="shared" si="90"/>
        <v>83490500</v>
      </c>
      <c r="N719" s="82" t="s">
        <v>274</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c r="AE719" s="1136" t="str">
        <f t="shared" si="89"/>
        <v>x</v>
      </c>
    </row>
    <row r="720" spans="1:31" s="339" customFormat="1" ht="15.75" customHeight="1">
      <c r="A720" s="334" t="str">
        <f>IF(B720&lt;&gt;"",IF(AND(B720='IN-TC'!$S$4,OR(TH!N720="1111",TH!O720="1111")),TH!D720,""),"")</f>
        <v/>
      </c>
      <c r="B720" s="63">
        <f t="shared" si="81"/>
        <v>5</v>
      </c>
      <c r="C720" s="92">
        <f t="shared" si="82"/>
        <v>42491</v>
      </c>
      <c r="D720" s="92" t="s">
        <v>682</v>
      </c>
      <c r="E720" s="92">
        <v>42491</v>
      </c>
      <c r="F720" s="67" t="s">
        <v>680</v>
      </c>
      <c r="G720" s="93"/>
      <c r="H720" s="94" t="s">
        <v>446</v>
      </c>
      <c r="I720" s="1175">
        <v>8500</v>
      </c>
      <c r="J720" s="1174">
        <v>18500</v>
      </c>
      <c r="K720" s="1176"/>
      <c r="L720" s="1175"/>
      <c r="M720" s="95">
        <f t="shared" si="90"/>
        <v>157250000</v>
      </c>
      <c r="N720" s="83" t="s">
        <v>282</v>
      </c>
      <c r="O720" s="83" t="s">
        <v>274</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1" s="339" customFormat="1" ht="15.75" customHeight="1">
      <c r="A721" s="334" t="str">
        <f>IF(B721&lt;&gt;"",IF(AND(B721='IN-TC'!$S$4,OR(TH!N721="1111",TH!O721="1111")),TH!D721,""),"")</f>
        <v/>
      </c>
      <c r="B721" s="63">
        <f t="shared" si="81"/>
        <v>5</v>
      </c>
      <c r="C721" s="92">
        <f t="shared" si="82"/>
        <v>42494</v>
      </c>
      <c r="D721" s="92" t="s">
        <v>689</v>
      </c>
      <c r="E721" s="92">
        <v>42494</v>
      </c>
      <c r="F721" s="67" t="s">
        <v>680</v>
      </c>
      <c r="G721" s="93"/>
      <c r="H721" s="94" t="s">
        <v>446</v>
      </c>
      <c r="I721" s="443">
        <v>19195</v>
      </c>
      <c r="J721" s="1174">
        <v>18500</v>
      </c>
      <c r="K721" s="434"/>
      <c r="L721" s="443"/>
      <c r="M721" s="95">
        <f t="shared" si="90"/>
        <v>355107500</v>
      </c>
      <c r="N721" s="83" t="s">
        <v>282</v>
      </c>
      <c r="O721" s="83" t="s">
        <v>274</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1" s="339" customFormat="1" ht="15.75" customHeight="1">
      <c r="A722" s="334" t="str">
        <f>IF(B722&lt;&gt;"",IF(AND(B722='IN-TC'!$S$4,OR(TH!N722="1111",TH!O722="1111")),TH!D722,""),"")</f>
        <v/>
      </c>
      <c r="B722" s="63">
        <f t="shared" si="81"/>
        <v>5</v>
      </c>
      <c r="C722" s="92">
        <f t="shared" si="82"/>
        <v>42500</v>
      </c>
      <c r="D722" s="92" t="s">
        <v>691</v>
      </c>
      <c r="E722" s="92">
        <v>42500</v>
      </c>
      <c r="F722" s="67" t="s">
        <v>680</v>
      </c>
      <c r="G722" s="93"/>
      <c r="H722" s="94" t="s">
        <v>446</v>
      </c>
      <c r="I722" s="443">
        <v>19205</v>
      </c>
      <c r="J722" s="1174">
        <v>18500</v>
      </c>
      <c r="K722" s="434"/>
      <c r="L722" s="443"/>
      <c r="M722" s="95">
        <f t="shared" si="90"/>
        <v>355292500</v>
      </c>
      <c r="N722" s="83" t="s">
        <v>282</v>
      </c>
      <c r="O722" s="83" t="s">
        <v>274</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1" ht="15.75" customHeight="1">
      <c r="A723" s="334" t="str">
        <f>IF(B723&lt;&gt;"",IF(AND(B723='IN-TC'!$S$4,OR(TH!N723="1111",TH!O723="1111")),TH!D723,""),"")</f>
        <v/>
      </c>
      <c r="B723" s="63">
        <f t="shared" si="81"/>
        <v>5</v>
      </c>
      <c r="C723" s="78">
        <f t="shared" si="82"/>
        <v>42505</v>
      </c>
      <c r="D723" s="78" t="s">
        <v>940</v>
      </c>
      <c r="E723" s="78">
        <v>42505</v>
      </c>
      <c r="F723" s="67" t="s">
        <v>681</v>
      </c>
      <c r="G723" s="79"/>
      <c r="H723" s="87" t="s">
        <v>425</v>
      </c>
      <c r="I723" s="436">
        <v>7489</v>
      </c>
      <c r="J723" s="436">
        <v>14300</v>
      </c>
      <c r="K723" s="427"/>
      <c r="L723" s="436"/>
      <c r="M723" s="81">
        <f t="shared" si="90"/>
        <v>107092700</v>
      </c>
      <c r="N723" s="82" t="s">
        <v>274</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c r="AE723" s="1136" t="str">
        <f t="shared" ref="AE723:AE737" si="91">IF(H723&lt;&gt;VLOOKUP(H723,DSKH,1,0),"","x")</f>
        <v>x</v>
      </c>
    </row>
    <row r="724" spans="1:31" ht="15.75" customHeight="1">
      <c r="A724" s="334" t="str">
        <f>IF(B724&lt;&gt;"",IF(AND(B724='IN-TC'!$S$4,OR(TH!N724="1111",TH!O724="1111")),TH!D724,""),"")</f>
        <v/>
      </c>
      <c r="B724" s="63">
        <f t="shared" ref="B724:B787" si="92">IF(C724&lt;&gt;"",MONTH(C724),"")</f>
        <v>5</v>
      </c>
      <c r="C724" s="78">
        <f t="shared" si="82"/>
        <v>42505</v>
      </c>
      <c r="D724" s="78" t="s">
        <v>946</v>
      </c>
      <c r="E724" s="78">
        <v>42505</v>
      </c>
      <c r="F724" s="67" t="s">
        <v>681</v>
      </c>
      <c r="G724" s="79"/>
      <c r="H724" s="80" t="s">
        <v>428</v>
      </c>
      <c r="I724" s="435">
        <v>7046</v>
      </c>
      <c r="J724" s="436">
        <v>14300</v>
      </c>
      <c r="K724" s="426"/>
      <c r="L724" s="435"/>
      <c r="M724" s="81">
        <f t="shared" si="90"/>
        <v>100757800</v>
      </c>
      <c r="N724" s="82" t="s">
        <v>274</v>
      </c>
      <c r="O724" s="82" t="s">
        <v>8</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c r="AE724" s="1136" t="str">
        <f t="shared" si="91"/>
        <v>x</v>
      </c>
    </row>
    <row r="725" spans="1:31" ht="15.75" customHeight="1">
      <c r="A725" s="334" t="str">
        <f>IF(B725&lt;&gt;"",IF(AND(B725='IN-TC'!$S$4,OR(TH!N725="1111",TH!O725="1111")),TH!D725,""),"")</f>
        <v/>
      </c>
      <c r="B725" s="63">
        <f t="shared" si="92"/>
        <v>5</v>
      </c>
      <c r="C725" s="78">
        <f t="shared" si="82"/>
        <v>42505</v>
      </c>
      <c r="D725" s="78" t="s">
        <v>947</v>
      </c>
      <c r="E725" s="78">
        <v>42505</v>
      </c>
      <c r="F725" s="67" t="s">
        <v>681</v>
      </c>
      <c r="G725" s="79"/>
      <c r="H725" s="80" t="s">
        <v>430</v>
      </c>
      <c r="I725" s="435">
        <v>7596</v>
      </c>
      <c r="J725" s="436">
        <v>14300</v>
      </c>
      <c r="K725" s="426"/>
      <c r="L725" s="435"/>
      <c r="M725" s="81">
        <f t="shared" si="90"/>
        <v>108622800</v>
      </c>
      <c r="N725" s="82" t="s">
        <v>274</v>
      </c>
      <c r="O725" s="82" t="s">
        <v>8</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c r="AE725" s="1136" t="str">
        <f t="shared" si="91"/>
        <v>x</v>
      </c>
    </row>
    <row r="726" spans="1:31" ht="15.75" customHeight="1">
      <c r="A726" s="334" t="str">
        <f>IF(B726&lt;&gt;"",IF(AND(B726='IN-TC'!$S$4,OR(TH!N726="1111",TH!O726="1111")),TH!D726,""),"")</f>
        <v/>
      </c>
      <c r="B726" s="63">
        <f t="shared" si="92"/>
        <v>5</v>
      </c>
      <c r="C726" s="78">
        <f t="shared" ref="C726:C789" si="93">E726</f>
        <v>42505</v>
      </c>
      <c r="D726" s="78" t="s">
        <v>948</v>
      </c>
      <c r="E726" s="78">
        <v>42505</v>
      </c>
      <c r="F726" s="67" t="s">
        <v>681</v>
      </c>
      <c r="G726" s="79"/>
      <c r="H726" s="80" t="s">
        <v>439</v>
      </c>
      <c r="I726" s="435">
        <v>7019</v>
      </c>
      <c r="J726" s="436">
        <v>14300</v>
      </c>
      <c r="K726" s="426"/>
      <c r="L726" s="435"/>
      <c r="M726" s="81">
        <f t="shared" si="90"/>
        <v>100371700</v>
      </c>
      <c r="N726" s="82" t="s">
        <v>274</v>
      </c>
      <c r="O726" s="82" t="s">
        <v>8</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c r="AE726" s="1136" t="str">
        <f t="shared" si="91"/>
        <v>x</v>
      </c>
    </row>
    <row r="727" spans="1:31" ht="15.75" customHeight="1">
      <c r="A727" s="334" t="str">
        <f>IF(B727&lt;&gt;"",IF(AND(B727='IN-TC'!$S$4,OR(TH!N727="1111",TH!O727="1111")),TH!D727,""),"")</f>
        <v/>
      </c>
      <c r="B727" s="63">
        <f t="shared" si="92"/>
        <v>5</v>
      </c>
      <c r="C727" s="78">
        <f t="shared" si="93"/>
        <v>42505</v>
      </c>
      <c r="D727" s="78" t="s">
        <v>949</v>
      </c>
      <c r="E727" s="78">
        <v>42505</v>
      </c>
      <c r="F727" s="67" t="s">
        <v>681</v>
      </c>
      <c r="G727" s="79"/>
      <c r="H727" s="80" t="s">
        <v>443</v>
      </c>
      <c r="I727" s="435">
        <v>7982</v>
      </c>
      <c r="J727" s="436">
        <v>14300</v>
      </c>
      <c r="K727" s="426"/>
      <c r="L727" s="435"/>
      <c r="M727" s="81">
        <f t="shared" si="90"/>
        <v>114142600</v>
      </c>
      <c r="N727" s="82" t="s">
        <v>274</v>
      </c>
      <c r="O727" s="82" t="s">
        <v>8</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c r="AE727" s="1136" t="str">
        <f t="shared" si="91"/>
        <v>x</v>
      </c>
    </row>
    <row r="728" spans="1:31" ht="15.75" customHeight="1">
      <c r="A728" s="334" t="str">
        <f>IF(B728&lt;&gt;"",IF(AND(B728='IN-TC'!$S$4,OR(TH!N728="1111",TH!O728="1111")),TH!D728,""),"")</f>
        <v/>
      </c>
      <c r="B728" s="63">
        <f t="shared" si="92"/>
        <v>5</v>
      </c>
      <c r="C728" s="78">
        <f t="shared" si="93"/>
        <v>42511</v>
      </c>
      <c r="D728" s="78" t="s">
        <v>950</v>
      </c>
      <c r="E728" s="78">
        <v>42511</v>
      </c>
      <c r="F728" s="67" t="s">
        <v>681</v>
      </c>
      <c r="G728" s="79"/>
      <c r="H728" s="80" t="s">
        <v>434</v>
      </c>
      <c r="I728" s="435">
        <v>7430</v>
      </c>
      <c r="J728" s="436">
        <v>14300</v>
      </c>
      <c r="K728" s="426"/>
      <c r="L728" s="435"/>
      <c r="M728" s="81">
        <f t="shared" si="90"/>
        <v>106249000</v>
      </c>
      <c r="N728" s="82" t="s">
        <v>274</v>
      </c>
      <c r="O728" s="82" t="s">
        <v>8</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c r="AE728" s="1136" t="str">
        <f t="shared" si="91"/>
        <v>x</v>
      </c>
    </row>
    <row r="729" spans="1:31" ht="15.75" customHeight="1">
      <c r="A729" s="334" t="str">
        <f>IF(B729&lt;&gt;"",IF(AND(B729='IN-TC'!$S$4,OR(TH!N729="1111",TH!O729="1111")),TH!D729,""),"")</f>
        <v/>
      </c>
      <c r="B729" s="63">
        <f t="shared" si="92"/>
        <v>5</v>
      </c>
      <c r="C729" s="78">
        <f t="shared" si="93"/>
        <v>42511</v>
      </c>
      <c r="D729" s="78" t="s">
        <v>951</v>
      </c>
      <c r="E729" s="78">
        <v>42511</v>
      </c>
      <c r="F729" s="67" t="s">
        <v>681</v>
      </c>
      <c r="G729" s="79"/>
      <c r="H729" s="80" t="s">
        <v>435</v>
      </c>
      <c r="I729" s="435">
        <v>7410</v>
      </c>
      <c r="J729" s="436">
        <v>14300</v>
      </c>
      <c r="K729" s="426"/>
      <c r="L729" s="435"/>
      <c r="M729" s="81">
        <f t="shared" si="90"/>
        <v>105963000</v>
      </c>
      <c r="N729" s="82" t="s">
        <v>274</v>
      </c>
      <c r="O729" s="82" t="s">
        <v>8</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c r="AE729" s="1136" t="str">
        <f t="shared" si="91"/>
        <v>x</v>
      </c>
    </row>
    <row r="730" spans="1:31" ht="15.75" customHeight="1">
      <c r="A730" s="334" t="str">
        <f>IF(B730&lt;&gt;"",IF(AND(B730='IN-TC'!$S$4,OR(TH!N730="1111",TH!O730="1111")),TH!D730,""),"")</f>
        <v/>
      </c>
      <c r="B730" s="63">
        <f t="shared" si="92"/>
        <v>5</v>
      </c>
      <c r="C730" s="78">
        <f t="shared" si="93"/>
        <v>42511</v>
      </c>
      <c r="D730" s="78" t="s">
        <v>952</v>
      </c>
      <c r="E730" s="78">
        <v>42511</v>
      </c>
      <c r="F730" s="67" t="s">
        <v>681</v>
      </c>
      <c r="G730" s="79"/>
      <c r="H730" s="80" t="s">
        <v>439</v>
      </c>
      <c r="I730" s="435">
        <v>7201</v>
      </c>
      <c r="J730" s="436">
        <v>14300</v>
      </c>
      <c r="K730" s="426"/>
      <c r="L730" s="435"/>
      <c r="M730" s="81">
        <f t="shared" si="90"/>
        <v>102974300</v>
      </c>
      <c r="N730" s="82" t="s">
        <v>274</v>
      </c>
      <c r="O730" s="82" t="s">
        <v>8</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c r="AE730" s="1136" t="str">
        <f t="shared" si="91"/>
        <v>x</v>
      </c>
    </row>
    <row r="731" spans="1:31" ht="15.75" customHeight="1">
      <c r="A731" s="334" t="str">
        <f>IF(B731&lt;&gt;"",IF(AND(B731='IN-TC'!$S$4,OR(TH!N731="1111",TH!O731="1111")),TH!D731,""),"")</f>
        <v/>
      </c>
      <c r="B731" s="63">
        <f t="shared" si="92"/>
        <v>5</v>
      </c>
      <c r="C731" s="78">
        <f t="shared" si="93"/>
        <v>42511</v>
      </c>
      <c r="D731" s="78" t="s">
        <v>953</v>
      </c>
      <c r="E731" s="78">
        <v>42511</v>
      </c>
      <c r="F731" s="67" t="s">
        <v>681</v>
      </c>
      <c r="G731" s="79"/>
      <c r="H731" s="80" t="s">
        <v>443</v>
      </c>
      <c r="I731" s="435">
        <v>7015</v>
      </c>
      <c r="J731" s="436">
        <v>14300</v>
      </c>
      <c r="K731" s="426"/>
      <c r="L731" s="435"/>
      <c r="M731" s="81">
        <f t="shared" si="90"/>
        <v>100314500</v>
      </c>
      <c r="N731" s="82" t="s">
        <v>274</v>
      </c>
      <c r="O731" s="82" t="s">
        <v>8</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c r="AE731" s="1136" t="str">
        <f t="shared" si="91"/>
        <v>x</v>
      </c>
    </row>
    <row r="732" spans="1:31" ht="15.75" customHeight="1">
      <c r="A732" s="334" t="str">
        <f>IF(B732&lt;&gt;"",IF(AND(B732='IN-TC'!$S$4,OR(TH!N732="1111",TH!O732="1111")),TH!D732,""),"")</f>
        <v/>
      </c>
      <c r="B732" s="63">
        <f t="shared" si="92"/>
        <v>5</v>
      </c>
      <c r="C732" s="78">
        <f t="shared" si="93"/>
        <v>42511</v>
      </c>
      <c r="D732" s="78" t="s">
        <v>954</v>
      </c>
      <c r="E732" s="78">
        <v>42511</v>
      </c>
      <c r="F732" s="67" t="s">
        <v>681</v>
      </c>
      <c r="G732" s="79"/>
      <c r="H732" s="80" t="s">
        <v>435</v>
      </c>
      <c r="I732" s="435">
        <v>7049</v>
      </c>
      <c r="J732" s="436">
        <v>14300</v>
      </c>
      <c r="K732" s="426"/>
      <c r="L732" s="435"/>
      <c r="M732" s="81">
        <f t="shared" si="90"/>
        <v>100800700</v>
      </c>
      <c r="N732" s="82" t="s">
        <v>274</v>
      </c>
      <c r="O732" s="82" t="s">
        <v>8</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c r="AE732" s="1136" t="str">
        <f t="shared" si="91"/>
        <v>x</v>
      </c>
    </row>
    <row r="733" spans="1:31" ht="15.75" customHeight="1">
      <c r="A733" s="334" t="str">
        <f>IF(B733&lt;&gt;"",IF(AND(B733='IN-TC'!$S$4,OR(TH!N733="1111",TH!O733="1111")),TH!D733,""),"")</f>
        <v/>
      </c>
      <c r="B733" s="63">
        <f t="shared" si="92"/>
        <v>5</v>
      </c>
      <c r="C733" s="78">
        <f t="shared" si="93"/>
        <v>42516</v>
      </c>
      <c r="D733" s="78" t="s">
        <v>955</v>
      </c>
      <c r="E733" s="78">
        <v>42516</v>
      </c>
      <c r="F733" s="67" t="s">
        <v>681</v>
      </c>
      <c r="G733" s="79"/>
      <c r="H733" s="80" t="s">
        <v>430</v>
      </c>
      <c r="I733" s="435">
        <v>7152</v>
      </c>
      <c r="J733" s="436">
        <v>14300</v>
      </c>
      <c r="K733" s="426"/>
      <c r="L733" s="435"/>
      <c r="M733" s="81">
        <f t="shared" si="90"/>
        <v>102273600</v>
      </c>
      <c r="N733" s="82" t="s">
        <v>274</v>
      </c>
      <c r="O733" s="82" t="s">
        <v>8</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c r="AE733" s="1136" t="str">
        <f t="shared" si="91"/>
        <v>x</v>
      </c>
    </row>
    <row r="734" spans="1:31" ht="15.75" customHeight="1">
      <c r="A734" s="334" t="str">
        <f>IF(B734&lt;&gt;"",IF(AND(B734='IN-TC'!$S$4,OR(TH!N734="1111",TH!O734="1111")),TH!D734,""),"")</f>
        <v/>
      </c>
      <c r="B734" s="63">
        <f t="shared" si="92"/>
        <v>5</v>
      </c>
      <c r="C734" s="78">
        <f t="shared" si="93"/>
        <v>42516</v>
      </c>
      <c r="D734" s="78" t="s">
        <v>956</v>
      </c>
      <c r="E734" s="78">
        <v>42516</v>
      </c>
      <c r="F734" s="67" t="s">
        <v>681</v>
      </c>
      <c r="G734" s="79"/>
      <c r="H734" s="80" t="s">
        <v>428</v>
      </c>
      <c r="I734" s="435">
        <v>7186</v>
      </c>
      <c r="J734" s="436">
        <v>14300</v>
      </c>
      <c r="K734" s="426"/>
      <c r="L734" s="435"/>
      <c r="M734" s="81">
        <f t="shared" si="90"/>
        <v>102759800</v>
      </c>
      <c r="N734" s="82" t="s">
        <v>274</v>
      </c>
      <c r="O734" s="82" t="s">
        <v>8</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c r="AE734" s="1136" t="str">
        <f t="shared" si="91"/>
        <v>x</v>
      </c>
    </row>
    <row r="735" spans="1:31" ht="15.75" customHeight="1">
      <c r="A735" s="334" t="str">
        <f>IF(B735&lt;&gt;"",IF(AND(B735='IN-TC'!$S$4,OR(TH!N735="1111",TH!O735="1111")),TH!D735,""),"")</f>
        <v/>
      </c>
      <c r="B735" s="63">
        <f t="shared" si="92"/>
        <v>5</v>
      </c>
      <c r="C735" s="78">
        <f t="shared" si="93"/>
        <v>42516</v>
      </c>
      <c r="D735" s="78" t="s">
        <v>957</v>
      </c>
      <c r="E735" s="78">
        <v>42516</v>
      </c>
      <c r="F735" s="67" t="s">
        <v>681</v>
      </c>
      <c r="G735" s="79"/>
      <c r="H735" s="80" t="s">
        <v>443</v>
      </c>
      <c r="I735" s="435">
        <v>7420</v>
      </c>
      <c r="J735" s="436">
        <v>14300</v>
      </c>
      <c r="K735" s="426"/>
      <c r="L735" s="435"/>
      <c r="M735" s="81">
        <f t="shared" si="90"/>
        <v>106106000</v>
      </c>
      <c r="N735" s="82" t="s">
        <v>274</v>
      </c>
      <c r="O735" s="82" t="s">
        <v>8</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c r="AE735" s="1136" t="str">
        <f t="shared" si="91"/>
        <v>x</v>
      </c>
    </row>
    <row r="736" spans="1:31" ht="15.75" customHeight="1">
      <c r="A736" s="334" t="str">
        <f>IF(B736&lt;&gt;"",IF(AND(B736='IN-TC'!$S$4,OR(TH!N736="1111",TH!O736="1111")),TH!D736,""),"")</f>
        <v/>
      </c>
      <c r="B736" s="63">
        <f t="shared" si="92"/>
        <v>5</v>
      </c>
      <c r="C736" s="78">
        <f t="shared" si="93"/>
        <v>42516</v>
      </c>
      <c r="D736" s="78" t="s">
        <v>1957</v>
      </c>
      <c r="E736" s="78">
        <v>42516</v>
      </c>
      <c r="F736" s="67" t="s">
        <v>681</v>
      </c>
      <c r="G736" s="79"/>
      <c r="H736" s="80" t="s">
        <v>435</v>
      </c>
      <c r="I736" s="435">
        <v>7540</v>
      </c>
      <c r="J736" s="436">
        <v>14300</v>
      </c>
      <c r="K736" s="426"/>
      <c r="L736" s="435"/>
      <c r="M736" s="81">
        <f t="shared" si="90"/>
        <v>107822000</v>
      </c>
      <c r="N736" s="82" t="s">
        <v>274</v>
      </c>
      <c r="O736" s="82" t="s">
        <v>8</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c r="AE736" s="1136" t="str">
        <f t="shared" si="91"/>
        <v>x</v>
      </c>
    </row>
    <row r="737" spans="1:31" ht="15.75" customHeight="1">
      <c r="A737" s="334" t="str">
        <f>IF(B737&lt;&gt;"",IF(AND(B737='IN-TC'!$S$4,OR(TH!N737="1111",TH!O737="1111")),TH!D737,""),"")</f>
        <v/>
      </c>
      <c r="B737" s="63">
        <f t="shared" si="92"/>
        <v>5</v>
      </c>
      <c r="C737" s="78">
        <f t="shared" si="93"/>
        <v>42516</v>
      </c>
      <c r="D737" s="78" t="s">
        <v>1958</v>
      </c>
      <c r="E737" s="78">
        <v>42516</v>
      </c>
      <c r="F737" s="67" t="s">
        <v>681</v>
      </c>
      <c r="G737" s="79"/>
      <c r="H737" s="80" t="s">
        <v>439</v>
      </c>
      <c r="I737" s="435">
        <v>7465</v>
      </c>
      <c r="J737" s="436">
        <v>14300</v>
      </c>
      <c r="K737" s="426"/>
      <c r="L737" s="435"/>
      <c r="M737" s="81">
        <f t="shared" si="90"/>
        <v>106749500</v>
      </c>
      <c r="N737" s="82" t="s">
        <v>274</v>
      </c>
      <c r="O737" s="82" t="s">
        <v>8</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c r="AE737" s="1136" t="str">
        <f t="shared" si="91"/>
        <v>x</v>
      </c>
    </row>
    <row r="738" spans="1:31" s="339" customFormat="1" ht="15.75" customHeight="1">
      <c r="A738" s="334" t="str">
        <f>IF(B738&lt;&gt;"",IF(AND(B738='IN-TC'!$S$4,OR(TH!N738="1111",TH!O738="1111")),TH!D738,""),"")</f>
        <v/>
      </c>
      <c r="B738" s="63">
        <f t="shared" si="92"/>
        <v>6</v>
      </c>
      <c r="C738" s="92">
        <f t="shared" si="93"/>
        <v>42522</v>
      </c>
      <c r="D738" s="92" t="s">
        <v>682</v>
      </c>
      <c r="E738" s="92">
        <v>42522</v>
      </c>
      <c r="F738" s="67" t="s">
        <v>681</v>
      </c>
      <c r="G738" s="93"/>
      <c r="H738" s="94" t="s">
        <v>446</v>
      </c>
      <c r="I738" s="1175">
        <v>37132</v>
      </c>
      <c r="J738" s="1174">
        <v>14300</v>
      </c>
      <c r="K738" s="1176"/>
      <c r="L738" s="1175"/>
      <c r="M738" s="95">
        <f t="shared" si="90"/>
        <v>530987600</v>
      </c>
      <c r="N738" s="83" t="s">
        <v>282</v>
      </c>
      <c r="O738" s="83" t="s">
        <v>274</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1" s="339" customFormat="1" ht="15.75" customHeight="1">
      <c r="A739" s="334" t="str">
        <f>IF(B739&lt;&gt;"",IF(AND(B739='IN-TC'!$S$4,OR(TH!N739="1111",TH!O739="1111")),TH!D739,""),"")</f>
        <v/>
      </c>
      <c r="B739" s="63">
        <f t="shared" si="92"/>
        <v>6</v>
      </c>
      <c r="C739" s="92">
        <f t="shared" si="93"/>
        <v>42525</v>
      </c>
      <c r="D739" s="92" t="s">
        <v>690</v>
      </c>
      <c r="E739" s="92">
        <v>42525</v>
      </c>
      <c r="F739" s="67" t="s">
        <v>681</v>
      </c>
      <c r="G739" s="1138"/>
      <c r="H739" s="94" t="s">
        <v>446</v>
      </c>
      <c r="I739" s="1175">
        <v>36105</v>
      </c>
      <c r="J739" s="1174">
        <v>14300</v>
      </c>
      <c r="K739" s="1176"/>
      <c r="L739" s="1175"/>
      <c r="M739" s="95">
        <f t="shared" si="90"/>
        <v>516301500</v>
      </c>
      <c r="N739" s="83" t="s">
        <v>282</v>
      </c>
      <c r="O739" s="83" t="s">
        <v>274</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row>
    <row r="740" spans="1:31" s="339" customFormat="1" ht="15.75" customHeight="1">
      <c r="A740" s="334" t="str">
        <f>IF(B740&lt;&gt;"",IF(AND(B740='IN-TC'!$S$4,OR(TH!N740="1111",TH!O740="1111")),TH!D740,""),"")</f>
        <v/>
      </c>
      <c r="B740" s="63">
        <f t="shared" si="92"/>
        <v>6</v>
      </c>
      <c r="C740" s="92">
        <f t="shared" si="93"/>
        <v>42528</v>
      </c>
      <c r="D740" s="92" t="s">
        <v>692</v>
      </c>
      <c r="E740" s="92">
        <v>42528</v>
      </c>
      <c r="F740" s="67" t="s">
        <v>681</v>
      </c>
      <c r="G740" s="93"/>
      <c r="H740" s="94" t="s">
        <v>446</v>
      </c>
      <c r="I740" s="443">
        <v>36763</v>
      </c>
      <c r="J740" s="1174">
        <v>14300</v>
      </c>
      <c r="K740" s="434"/>
      <c r="L740" s="443"/>
      <c r="M740" s="95">
        <f t="shared" si="90"/>
        <v>525710900</v>
      </c>
      <c r="N740" s="83" t="s">
        <v>282</v>
      </c>
      <c r="O740" s="83" t="s">
        <v>274</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1" ht="15.75" customHeight="1">
      <c r="A741" s="334" t="str">
        <f>IF(B741&lt;&gt;"",IF(AND(B741='IN-TC'!$S$4,OR(TH!N741="1111",TH!O741="1111")),TH!D741,""),"")</f>
        <v/>
      </c>
      <c r="B741" s="63">
        <f t="shared" si="92"/>
        <v>5</v>
      </c>
      <c r="C741" s="78">
        <f t="shared" si="93"/>
        <v>42518</v>
      </c>
      <c r="D741" s="78" t="s">
        <v>1959</v>
      </c>
      <c r="E741" s="78">
        <v>42518</v>
      </c>
      <c r="F741" s="67" t="s">
        <v>681</v>
      </c>
      <c r="G741" s="79"/>
      <c r="H741" s="80" t="s">
        <v>435</v>
      </c>
      <c r="I741" s="435">
        <v>6970</v>
      </c>
      <c r="J741" s="436">
        <v>15500</v>
      </c>
      <c r="K741" s="426"/>
      <c r="L741" s="435"/>
      <c r="M741" s="81">
        <f t="shared" si="90"/>
        <v>108035000</v>
      </c>
      <c r="N741" s="82" t="s">
        <v>274</v>
      </c>
      <c r="O741" s="82" t="s">
        <v>8</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c r="AE741" s="1136" t="str">
        <f>IF(H741&lt;&gt;VLOOKUP(H741,DSKH,1,0),"","x")</f>
        <v>x</v>
      </c>
    </row>
    <row r="742" spans="1:31" ht="15.75" customHeight="1">
      <c r="A742" s="334" t="str">
        <f>IF(B742&lt;&gt;"",IF(AND(B742='IN-TC'!$S$4,OR(TH!N742="1111",TH!O742="1111")),TH!D742,""),"")</f>
        <v/>
      </c>
      <c r="B742" s="63">
        <f t="shared" si="92"/>
        <v>5</v>
      </c>
      <c r="C742" s="78">
        <f t="shared" si="93"/>
        <v>42518</v>
      </c>
      <c r="D742" s="78" t="s">
        <v>1960</v>
      </c>
      <c r="E742" s="78">
        <v>42518</v>
      </c>
      <c r="F742" s="67" t="s">
        <v>681</v>
      </c>
      <c r="G742" s="79"/>
      <c r="H742" s="80" t="s">
        <v>439</v>
      </c>
      <c r="I742" s="435">
        <v>6030</v>
      </c>
      <c r="J742" s="436">
        <v>15500</v>
      </c>
      <c r="K742" s="426"/>
      <c r="L742" s="435"/>
      <c r="M742" s="81">
        <f t="shared" si="90"/>
        <v>93465000</v>
      </c>
      <c r="N742" s="82" t="s">
        <v>274</v>
      </c>
      <c r="O742" s="82" t="s">
        <v>8</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c r="AE742" s="1136" t="str">
        <f>IF(H742&lt;&gt;VLOOKUP(H742,DSKH,1,0),"","x")</f>
        <v>x</v>
      </c>
    </row>
    <row r="743" spans="1:31" s="339" customFormat="1" ht="15.75" customHeight="1">
      <c r="A743" s="334" t="str">
        <f>IF(B743&lt;&gt;"",IF(AND(B743='IN-TC'!$S$4,OR(TH!N743="1111",TH!O743="1111")),TH!D743,""),"")</f>
        <v/>
      </c>
      <c r="B743" s="63">
        <f t="shared" si="92"/>
        <v>6</v>
      </c>
      <c r="C743" s="92">
        <f t="shared" si="93"/>
        <v>42522</v>
      </c>
      <c r="D743" s="92" t="s">
        <v>682</v>
      </c>
      <c r="E743" s="92">
        <v>42522</v>
      </c>
      <c r="F743" s="67" t="s">
        <v>681</v>
      </c>
      <c r="G743" s="93"/>
      <c r="H743" s="94" t="s">
        <v>446</v>
      </c>
      <c r="I743" s="1175">
        <v>13000</v>
      </c>
      <c r="J743" s="1174">
        <v>15500</v>
      </c>
      <c r="K743" s="1176"/>
      <c r="L743" s="1175"/>
      <c r="M743" s="95">
        <f t="shared" si="90"/>
        <v>201500000</v>
      </c>
      <c r="N743" s="83" t="s">
        <v>282</v>
      </c>
      <c r="O743" s="83" t="s">
        <v>274</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1" ht="15.75" customHeight="1">
      <c r="A744" s="334" t="str">
        <f>IF(B744&lt;&gt;"",IF(AND(B744='IN-TC'!$S$4,OR(TH!N744="1111",TH!O744="1111")),TH!D744,""),"")</f>
        <v/>
      </c>
      <c r="B744" s="63">
        <f t="shared" si="92"/>
        <v>5</v>
      </c>
      <c r="C744" s="78">
        <f t="shared" si="93"/>
        <v>42521</v>
      </c>
      <c r="D744" s="78" t="s">
        <v>1961</v>
      </c>
      <c r="E744" s="78">
        <v>42521</v>
      </c>
      <c r="F744" s="67" t="s">
        <v>680</v>
      </c>
      <c r="G744" s="79"/>
      <c r="H744" s="87" t="s">
        <v>346</v>
      </c>
      <c r="I744" s="435">
        <v>4013</v>
      </c>
      <c r="J744" s="436">
        <v>18500</v>
      </c>
      <c r="K744" s="426"/>
      <c r="L744" s="435"/>
      <c r="M744" s="81">
        <f t="shared" si="90"/>
        <v>74240500</v>
      </c>
      <c r="N744" s="82" t="s">
        <v>274</v>
      </c>
      <c r="O744" s="82" t="s">
        <v>8</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c r="AE744" s="1136" t="str">
        <f t="shared" ref="AE744:AE749" si="94">IF(H744&lt;&gt;VLOOKUP(H744,DSKH,1,0),"","x")</f>
        <v>x</v>
      </c>
    </row>
    <row r="745" spans="1:31" ht="15.75" customHeight="1">
      <c r="A745" s="334" t="str">
        <f>IF(B745&lt;&gt;"",IF(AND(B745='IN-TC'!$S$4,OR(TH!N745="1111",TH!O745="1111")),TH!D745,""),"")</f>
        <v/>
      </c>
      <c r="B745" s="63">
        <f t="shared" si="92"/>
        <v>5</v>
      </c>
      <c r="C745" s="78">
        <f t="shared" si="93"/>
        <v>42521</v>
      </c>
      <c r="D745" s="78" t="s">
        <v>1962</v>
      </c>
      <c r="E745" s="78">
        <v>42521</v>
      </c>
      <c r="F745" s="67" t="s">
        <v>680</v>
      </c>
      <c r="G745" s="79"/>
      <c r="H745" s="80" t="s">
        <v>349</v>
      </c>
      <c r="I745" s="435">
        <v>3980</v>
      </c>
      <c r="J745" s="436">
        <v>18500</v>
      </c>
      <c r="K745" s="426"/>
      <c r="L745" s="435"/>
      <c r="M745" s="81">
        <f t="shared" si="90"/>
        <v>73630000</v>
      </c>
      <c r="N745" s="82" t="s">
        <v>274</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c r="AE745" s="1136" t="str">
        <f t="shared" si="94"/>
        <v>x</v>
      </c>
    </row>
    <row r="746" spans="1:31" ht="15.75" customHeight="1">
      <c r="A746" s="334" t="str">
        <f>IF(B746&lt;&gt;"",IF(AND(B746='IN-TC'!$S$4,OR(TH!N746="1111",TH!O746="1111")),TH!D746,""),"")</f>
        <v/>
      </c>
      <c r="B746" s="63">
        <f t="shared" si="92"/>
        <v>5</v>
      </c>
      <c r="C746" s="78">
        <f t="shared" si="93"/>
        <v>42521</v>
      </c>
      <c r="D746" s="78" t="s">
        <v>1963</v>
      </c>
      <c r="E746" s="78">
        <v>42521</v>
      </c>
      <c r="F746" s="67" t="s">
        <v>680</v>
      </c>
      <c r="G746" s="79"/>
      <c r="H746" s="80" t="s">
        <v>367</v>
      </c>
      <c r="I746" s="435">
        <v>3590</v>
      </c>
      <c r="J746" s="436">
        <v>18500</v>
      </c>
      <c r="K746" s="426"/>
      <c r="L746" s="435"/>
      <c r="M746" s="81">
        <f t="shared" si="90"/>
        <v>66415000</v>
      </c>
      <c r="N746" s="82" t="s">
        <v>274</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c r="AE746" s="1136" t="str">
        <f t="shared" si="94"/>
        <v>x</v>
      </c>
    </row>
    <row r="747" spans="1:31" ht="15.75" customHeight="1">
      <c r="A747" s="334" t="str">
        <f>IF(B747&lt;&gt;"",IF(AND(B747='IN-TC'!$S$4,OR(TH!N747="1111",TH!O747="1111")),TH!D747,""),"")</f>
        <v/>
      </c>
      <c r="B747" s="63">
        <f t="shared" si="92"/>
        <v>6</v>
      </c>
      <c r="C747" s="78">
        <f t="shared" si="93"/>
        <v>42525</v>
      </c>
      <c r="D747" s="78" t="s">
        <v>934</v>
      </c>
      <c r="E747" s="78">
        <v>42525</v>
      </c>
      <c r="F747" s="67" t="s">
        <v>680</v>
      </c>
      <c r="G747" s="79"/>
      <c r="H747" s="80" t="s">
        <v>349</v>
      </c>
      <c r="I747" s="435">
        <v>4012</v>
      </c>
      <c r="J747" s="436">
        <v>18500</v>
      </c>
      <c r="K747" s="426"/>
      <c r="L747" s="435"/>
      <c r="M747" s="81">
        <f t="shared" si="90"/>
        <v>74222000</v>
      </c>
      <c r="N747" s="82" t="s">
        <v>274</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c r="AE747" s="1136" t="str">
        <f t="shared" si="94"/>
        <v>x</v>
      </c>
    </row>
    <row r="748" spans="1:31" ht="15.75" customHeight="1">
      <c r="A748" s="334" t="str">
        <f>IF(B748&lt;&gt;"",IF(AND(B748='IN-TC'!$S$4,OR(TH!N748="1111",TH!O748="1111")),TH!D748,""),"")</f>
        <v/>
      </c>
      <c r="B748" s="63">
        <f t="shared" si="92"/>
        <v>6</v>
      </c>
      <c r="C748" s="78">
        <f t="shared" si="93"/>
        <v>42525</v>
      </c>
      <c r="D748" s="78" t="s">
        <v>935</v>
      </c>
      <c r="E748" s="78">
        <v>42525</v>
      </c>
      <c r="F748" s="67" t="s">
        <v>680</v>
      </c>
      <c r="G748" s="79"/>
      <c r="H748" s="80" t="s">
        <v>361</v>
      </c>
      <c r="I748" s="435">
        <v>3520</v>
      </c>
      <c r="J748" s="436">
        <v>18500</v>
      </c>
      <c r="K748" s="426"/>
      <c r="L748" s="435"/>
      <c r="M748" s="81">
        <f t="shared" si="90"/>
        <v>65120000</v>
      </c>
      <c r="N748" s="82" t="s">
        <v>274</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c r="AE748" s="1136" t="str">
        <f t="shared" si="94"/>
        <v>x</v>
      </c>
    </row>
    <row r="749" spans="1:31" ht="15.75" customHeight="1">
      <c r="A749" s="334" t="str">
        <f>IF(B749&lt;&gt;"",IF(AND(B749='IN-TC'!$S$4,OR(TH!N749="1111",TH!O749="1111")),TH!D749,""),"")</f>
        <v/>
      </c>
      <c r="B749" s="63">
        <f t="shared" si="92"/>
        <v>6</v>
      </c>
      <c r="C749" s="78">
        <f t="shared" si="93"/>
        <v>42525</v>
      </c>
      <c r="D749" s="78" t="s">
        <v>936</v>
      </c>
      <c r="E749" s="78">
        <v>42525</v>
      </c>
      <c r="F749" s="67" t="s">
        <v>680</v>
      </c>
      <c r="G749" s="79"/>
      <c r="H749" s="80" t="s">
        <v>364</v>
      </c>
      <c r="I749" s="435">
        <v>3325</v>
      </c>
      <c r="J749" s="436">
        <v>18500</v>
      </c>
      <c r="K749" s="426"/>
      <c r="L749" s="435"/>
      <c r="M749" s="81">
        <f t="shared" si="90"/>
        <v>61512500</v>
      </c>
      <c r="N749" s="82" t="s">
        <v>274</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c r="AE749" s="1136" t="str">
        <f t="shared" si="94"/>
        <v>x</v>
      </c>
    </row>
    <row r="750" spans="1:31" s="339" customFormat="1" ht="15.75" customHeight="1">
      <c r="A750" s="334" t="str">
        <f>IF(B750&lt;&gt;"",IF(AND(B750='IN-TC'!$S$4,OR(TH!N750="1111",TH!O750="1111")),TH!D750,""),"")</f>
        <v/>
      </c>
      <c r="B750" s="63">
        <f t="shared" si="92"/>
        <v>6</v>
      </c>
      <c r="C750" s="92">
        <f t="shared" si="93"/>
        <v>42522</v>
      </c>
      <c r="D750" s="92" t="s">
        <v>682</v>
      </c>
      <c r="E750" s="92">
        <v>42522</v>
      </c>
      <c r="F750" s="67" t="s">
        <v>680</v>
      </c>
      <c r="G750" s="93"/>
      <c r="H750" s="94" t="s">
        <v>446</v>
      </c>
      <c r="I750" s="1175">
        <v>11583</v>
      </c>
      <c r="J750" s="1174">
        <v>18500</v>
      </c>
      <c r="K750" s="1176"/>
      <c r="L750" s="1175"/>
      <c r="M750" s="95">
        <f t="shared" si="90"/>
        <v>214285500</v>
      </c>
      <c r="N750" s="83" t="s">
        <v>282</v>
      </c>
      <c r="O750" s="83" t="s">
        <v>274</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1" s="339" customFormat="1" ht="15.75" customHeight="1">
      <c r="A751" s="334" t="str">
        <f>IF(B751&lt;&gt;"",IF(AND(B751='IN-TC'!$S$4,OR(TH!N751="1111",TH!O751="1111")),TH!D751,""),"")</f>
        <v/>
      </c>
      <c r="B751" s="63">
        <f t="shared" si="92"/>
        <v>6</v>
      </c>
      <c r="C751" s="92">
        <f t="shared" si="93"/>
        <v>42525</v>
      </c>
      <c r="D751" s="92" t="s">
        <v>690</v>
      </c>
      <c r="E751" s="92">
        <v>42525</v>
      </c>
      <c r="F751" s="67" t="s">
        <v>680</v>
      </c>
      <c r="G751" s="93"/>
      <c r="H751" s="94" t="s">
        <v>446</v>
      </c>
      <c r="I751" s="443">
        <v>10857</v>
      </c>
      <c r="J751" s="1174">
        <v>18500</v>
      </c>
      <c r="K751" s="434"/>
      <c r="L751" s="443"/>
      <c r="M751" s="95">
        <f t="shared" si="90"/>
        <v>200854500</v>
      </c>
      <c r="N751" s="83" t="s">
        <v>282</v>
      </c>
      <c r="O751" s="83" t="s">
        <v>274</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1" s="339" customFormat="1" ht="15.75" customHeight="1">
      <c r="A752" s="334" t="str">
        <f>IF(B752&lt;&gt;"",IF(AND(B752='IN-TC'!$S$4,OR(TH!N752="1111",TH!O752="1111")),TH!D752,""),"")</f>
        <v/>
      </c>
      <c r="B752" s="63">
        <f t="shared" si="92"/>
        <v>6</v>
      </c>
      <c r="C752" s="92">
        <f t="shared" si="93"/>
        <v>42522</v>
      </c>
      <c r="D752" s="92" t="s">
        <v>689</v>
      </c>
      <c r="E752" s="92">
        <v>42522</v>
      </c>
      <c r="F752" s="67" t="s">
        <v>1952</v>
      </c>
      <c r="G752" s="93"/>
      <c r="H752" s="94" t="s">
        <v>446</v>
      </c>
      <c r="I752" s="1175">
        <v>1750</v>
      </c>
      <c r="J752" s="1174">
        <v>11165</v>
      </c>
      <c r="K752" s="1176"/>
      <c r="L752" s="1175"/>
      <c r="M752" s="95">
        <f t="shared" si="90"/>
        <v>19538750</v>
      </c>
      <c r="N752" s="83" t="s">
        <v>282</v>
      </c>
      <c r="O752" s="83" t="s">
        <v>274</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row>
    <row r="753" spans="1:31" s="339" customFormat="1" ht="15.75" customHeight="1">
      <c r="A753" s="334" t="str">
        <f>IF(B753&lt;&gt;"",IF(AND(B753='IN-TC'!$S$4,OR(TH!N753="1111",TH!O753="1111")),TH!D753,""),"")</f>
        <v/>
      </c>
      <c r="B753" s="63">
        <f t="shared" si="92"/>
        <v>6</v>
      </c>
      <c r="C753" s="92">
        <f t="shared" si="93"/>
        <v>42522</v>
      </c>
      <c r="D753" s="92" t="s">
        <v>689</v>
      </c>
      <c r="E753" s="92">
        <v>42522</v>
      </c>
      <c r="F753" s="67" t="s">
        <v>1953</v>
      </c>
      <c r="G753" s="93"/>
      <c r="H753" s="94" t="s">
        <v>446</v>
      </c>
      <c r="I753" s="443">
        <v>5390</v>
      </c>
      <c r="J753" s="1174">
        <v>11165</v>
      </c>
      <c r="K753" s="434"/>
      <c r="L753" s="443"/>
      <c r="M753" s="95">
        <f t="shared" si="90"/>
        <v>60179350</v>
      </c>
      <c r="N753" s="83" t="s">
        <v>282</v>
      </c>
      <c r="O753" s="83" t="s">
        <v>274</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1" ht="15.75" customHeight="1">
      <c r="A754" s="334" t="str">
        <f>IF(B754&lt;&gt;"",IF(AND(B754='IN-TC'!$S$4,OR(TH!N754="1111",TH!O754="1111")),TH!D754,""),"")</f>
        <v/>
      </c>
      <c r="B754" s="63">
        <f t="shared" si="92"/>
        <v>6</v>
      </c>
      <c r="C754" s="78">
        <f t="shared" si="93"/>
        <v>42522</v>
      </c>
      <c r="D754" s="78" t="s">
        <v>930</v>
      </c>
      <c r="E754" s="78">
        <v>42522</v>
      </c>
      <c r="F754" s="67" t="s">
        <v>1951</v>
      </c>
      <c r="G754" s="79"/>
      <c r="H754" s="80" t="s">
        <v>443</v>
      </c>
      <c r="I754" s="436">
        <v>2750</v>
      </c>
      <c r="J754" s="436">
        <v>105000</v>
      </c>
      <c r="K754" s="427"/>
      <c r="L754" s="436"/>
      <c r="M754" s="81">
        <f t="shared" si="90"/>
        <v>288750000</v>
      </c>
      <c r="N754" s="82" t="s">
        <v>274</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c r="AE754" s="1136" t="str">
        <f t="shared" ref="AE754:AE764" si="95">IF(H754&lt;&gt;VLOOKUP(H754,DSKH,1,0),"","x")</f>
        <v>x</v>
      </c>
    </row>
    <row r="755" spans="1:31" ht="15.75" customHeight="1">
      <c r="A755" s="334" t="str">
        <f>IF(B755&lt;&gt;"",IF(AND(B755='IN-TC'!$S$4,OR(TH!N755="1111",TH!O755="1111")),TH!D755,""),"")</f>
        <v/>
      </c>
      <c r="B755" s="63">
        <f t="shared" si="92"/>
        <v>6</v>
      </c>
      <c r="C755" s="78">
        <f t="shared" si="93"/>
        <v>42522</v>
      </c>
      <c r="D755" s="78" t="s">
        <v>931</v>
      </c>
      <c r="E755" s="78">
        <v>42522</v>
      </c>
      <c r="F755" s="67" t="s">
        <v>1951</v>
      </c>
      <c r="G755" s="79"/>
      <c r="H755" s="80" t="s">
        <v>1964</v>
      </c>
      <c r="I755" s="435">
        <v>2589</v>
      </c>
      <c r="J755" s="436">
        <v>105000</v>
      </c>
      <c r="K755" s="426"/>
      <c r="L755" s="435"/>
      <c r="M755" s="81">
        <f t="shared" si="90"/>
        <v>271845000</v>
      </c>
      <c r="N755" s="82" t="s">
        <v>274</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c r="AE755" s="1136" t="str">
        <f t="shared" si="95"/>
        <v>x</v>
      </c>
    </row>
    <row r="756" spans="1:31" ht="15.75" customHeight="1">
      <c r="A756" s="334" t="str">
        <f>IF(B756&lt;&gt;"",IF(AND(B756='IN-TC'!$S$4,OR(TH!N756="1111",TH!O756="1111")),TH!D756,""),"")</f>
        <v/>
      </c>
      <c r="B756" s="63">
        <f t="shared" si="92"/>
        <v>6</v>
      </c>
      <c r="C756" s="78">
        <f t="shared" si="93"/>
        <v>42522</v>
      </c>
      <c r="D756" s="78" t="s">
        <v>932</v>
      </c>
      <c r="E756" s="78">
        <v>42522</v>
      </c>
      <c r="F756" s="67" t="s">
        <v>1951</v>
      </c>
      <c r="G756" s="79"/>
      <c r="H756" s="80" t="s">
        <v>1965</v>
      </c>
      <c r="I756" s="435">
        <v>2472</v>
      </c>
      <c r="J756" s="436">
        <v>105000</v>
      </c>
      <c r="K756" s="426"/>
      <c r="L756" s="435"/>
      <c r="M756" s="81">
        <f t="shared" si="90"/>
        <v>259560000</v>
      </c>
      <c r="N756" s="82" t="s">
        <v>274</v>
      </c>
      <c r="O756" s="82" t="s">
        <v>8</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c r="AE756" s="1136" t="str">
        <f t="shared" si="95"/>
        <v>x</v>
      </c>
    </row>
    <row r="757" spans="1:31" ht="15.75" customHeight="1">
      <c r="A757" s="334" t="str">
        <f>IF(B757&lt;&gt;"",IF(AND(B757='IN-TC'!$S$4,OR(TH!N757="1111",TH!O757="1111")),TH!D757,""),"")</f>
        <v/>
      </c>
      <c r="B757" s="63">
        <f t="shared" si="92"/>
        <v>6</v>
      </c>
      <c r="C757" s="78">
        <f t="shared" si="93"/>
        <v>42522</v>
      </c>
      <c r="D757" s="78" t="s">
        <v>933</v>
      </c>
      <c r="E757" s="78">
        <v>42522</v>
      </c>
      <c r="F757" s="67" t="s">
        <v>1951</v>
      </c>
      <c r="G757" s="79"/>
      <c r="H757" s="80" t="s">
        <v>1966</v>
      </c>
      <c r="I757" s="435">
        <v>1579</v>
      </c>
      <c r="J757" s="436">
        <v>105000</v>
      </c>
      <c r="K757" s="426"/>
      <c r="L757" s="435"/>
      <c r="M757" s="81">
        <f t="shared" si="90"/>
        <v>165795000</v>
      </c>
      <c r="N757" s="82" t="s">
        <v>274</v>
      </c>
      <c r="O757" s="82" t="s">
        <v>8</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c r="AE757" s="1136" t="str">
        <f t="shared" si="95"/>
        <v>x</v>
      </c>
    </row>
    <row r="758" spans="1:31" ht="15.75" customHeight="1">
      <c r="A758" s="334" t="str">
        <f>IF(B758&lt;&gt;"",IF(AND(B758='IN-TC'!$S$4,OR(TH!N758="1111",TH!O758="1111")),TH!D758,""),"")</f>
        <v/>
      </c>
      <c r="B758" s="63">
        <f t="shared" si="92"/>
        <v>6</v>
      </c>
      <c r="C758" s="78">
        <f t="shared" si="93"/>
        <v>42526</v>
      </c>
      <c r="D758" s="78" t="s">
        <v>937</v>
      </c>
      <c r="E758" s="78">
        <v>42526</v>
      </c>
      <c r="F758" s="67" t="s">
        <v>1951</v>
      </c>
      <c r="G758" s="79"/>
      <c r="H758" s="80" t="s">
        <v>1967</v>
      </c>
      <c r="I758" s="435">
        <v>1790</v>
      </c>
      <c r="J758" s="436">
        <v>105000</v>
      </c>
      <c r="K758" s="426"/>
      <c r="L758" s="435"/>
      <c r="M758" s="81">
        <f t="shared" si="90"/>
        <v>187950000</v>
      </c>
      <c r="N758" s="82" t="s">
        <v>274</v>
      </c>
      <c r="O758" s="82" t="s">
        <v>8</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c r="AE758" s="1136" t="str">
        <f t="shared" si="95"/>
        <v>x</v>
      </c>
    </row>
    <row r="759" spans="1:31" ht="15.75" customHeight="1">
      <c r="A759" s="334" t="str">
        <f>IF(B759&lt;&gt;"",IF(AND(B759='IN-TC'!$S$4,OR(TH!N759="1111",TH!O759="1111")),TH!D759,""),"")</f>
        <v/>
      </c>
      <c r="B759" s="63">
        <f t="shared" si="92"/>
        <v>6</v>
      </c>
      <c r="C759" s="78">
        <f t="shared" si="93"/>
        <v>42526</v>
      </c>
      <c r="D759" s="78" t="s">
        <v>938</v>
      </c>
      <c r="E759" s="78">
        <v>42526</v>
      </c>
      <c r="F759" s="67" t="s">
        <v>1951</v>
      </c>
      <c r="G759" s="79"/>
      <c r="H759" s="80" t="s">
        <v>1964</v>
      </c>
      <c r="I759" s="435">
        <v>1980</v>
      </c>
      <c r="J759" s="436">
        <v>105000</v>
      </c>
      <c r="K759" s="426"/>
      <c r="L759" s="435"/>
      <c r="M759" s="81">
        <f t="shared" si="90"/>
        <v>207900000</v>
      </c>
      <c r="N759" s="82" t="s">
        <v>274</v>
      </c>
      <c r="O759" s="82" t="s">
        <v>8</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c r="AE759" s="1136" t="str">
        <f t="shared" si="95"/>
        <v>x</v>
      </c>
    </row>
    <row r="760" spans="1:31" ht="15.75" customHeight="1">
      <c r="A760" s="334" t="str">
        <f>IF(B760&lt;&gt;"",IF(AND(B760='IN-TC'!$S$4,OR(TH!N760="1111",TH!O760="1111")),TH!D760,""),"")</f>
        <v/>
      </c>
      <c r="B760" s="63">
        <f t="shared" si="92"/>
        <v>6</v>
      </c>
      <c r="C760" s="78">
        <f t="shared" si="93"/>
        <v>42526</v>
      </c>
      <c r="D760" s="78" t="s">
        <v>939</v>
      </c>
      <c r="E760" s="78">
        <v>42526</v>
      </c>
      <c r="F760" s="67" t="s">
        <v>1951</v>
      </c>
      <c r="G760" s="79"/>
      <c r="H760" s="80" t="s">
        <v>1966</v>
      </c>
      <c r="I760" s="435">
        <v>2016</v>
      </c>
      <c r="J760" s="436">
        <v>105000</v>
      </c>
      <c r="K760" s="426"/>
      <c r="L760" s="435"/>
      <c r="M760" s="81">
        <f t="shared" si="90"/>
        <v>211680000</v>
      </c>
      <c r="N760" s="82" t="s">
        <v>274</v>
      </c>
      <c r="O760" s="82" t="s">
        <v>8</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c r="AE760" s="1136" t="str">
        <f t="shared" si="95"/>
        <v>x</v>
      </c>
    </row>
    <row r="761" spans="1:31" ht="15.75" customHeight="1">
      <c r="A761" s="334" t="str">
        <f>IF(B761&lt;&gt;"",IF(AND(B761='IN-TC'!$S$4,OR(TH!N761="1111",TH!O761="1111")),TH!D761,""),"")</f>
        <v/>
      </c>
      <c r="B761" s="63">
        <f t="shared" si="92"/>
        <v>6</v>
      </c>
      <c r="C761" s="78">
        <f t="shared" si="93"/>
        <v>42528</v>
      </c>
      <c r="D761" s="78" t="s">
        <v>940</v>
      </c>
      <c r="E761" s="78">
        <v>42528</v>
      </c>
      <c r="F761" s="67" t="s">
        <v>1951</v>
      </c>
      <c r="G761" s="79"/>
      <c r="H761" s="80" t="s">
        <v>1966</v>
      </c>
      <c r="I761" s="435">
        <v>1980</v>
      </c>
      <c r="J761" s="436">
        <v>105000</v>
      </c>
      <c r="K761" s="426"/>
      <c r="L761" s="435"/>
      <c r="M761" s="81">
        <f t="shared" si="90"/>
        <v>207900000</v>
      </c>
      <c r="N761" s="82" t="s">
        <v>274</v>
      </c>
      <c r="O761" s="82" t="s">
        <v>8</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c r="AE761" s="1136" t="str">
        <f t="shared" si="95"/>
        <v>x</v>
      </c>
    </row>
    <row r="762" spans="1:31" ht="15.75" customHeight="1">
      <c r="A762" s="334" t="str">
        <f>IF(B762&lt;&gt;"",IF(AND(B762='IN-TC'!$S$4,OR(TH!N762="1111",TH!O762="1111")),TH!D762,""),"")</f>
        <v/>
      </c>
      <c r="B762" s="63">
        <f t="shared" si="92"/>
        <v>6</v>
      </c>
      <c r="C762" s="78">
        <f t="shared" si="93"/>
        <v>42528</v>
      </c>
      <c r="D762" s="78" t="s">
        <v>946</v>
      </c>
      <c r="E762" s="78">
        <v>42528</v>
      </c>
      <c r="F762" s="67" t="s">
        <v>1951</v>
      </c>
      <c r="G762" s="79"/>
      <c r="H762" s="80" t="s">
        <v>1967</v>
      </c>
      <c r="I762" s="435">
        <v>2540</v>
      </c>
      <c r="J762" s="436">
        <v>105000</v>
      </c>
      <c r="K762" s="426"/>
      <c r="L762" s="435"/>
      <c r="M762" s="81">
        <f t="shared" si="90"/>
        <v>266700000</v>
      </c>
      <c r="N762" s="82" t="s">
        <v>274</v>
      </c>
      <c r="O762" s="82" t="s">
        <v>8</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c r="AE762" s="1136" t="str">
        <f t="shared" si="95"/>
        <v>x</v>
      </c>
    </row>
    <row r="763" spans="1:31" ht="15.75" customHeight="1">
      <c r="A763" s="334" t="str">
        <f>IF(B763&lt;&gt;"",IF(AND(B763='IN-TC'!$S$4,OR(TH!N763="1111",TH!O763="1111")),TH!D763,""),"")</f>
        <v/>
      </c>
      <c r="B763" s="63">
        <f t="shared" si="92"/>
        <v>6</v>
      </c>
      <c r="C763" s="78">
        <f t="shared" si="93"/>
        <v>42528</v>
      </c>
      <c r="D763" s="78" t="s">
        <v>947</v>
      </c>
      <c r="E763" s="78">
        <v>42528</v>
      </c>
      <c r="F763" s="67" t="s">
        <v>1951</v>
      </c>
      <c r="G763" s="79"/>
      <c r="H763" s="80" t="s">
        <v>1965</v>
      </c>
      <c r="I763" s="435">
        <v>1940</v>
      </c>
      <c r="J763" s="436">
        <v>105000</v>
      </c>
      <c r="K763" s="426"/>
      <c r="L763" s="435"/>
      <c r="M763" s="81">
        <f t="shared" si="90"/>
        <v>203700000</v>
      </c>
      <c r="N763" s="82" t="s">
        <v>274</v>
      </c>
      <c r="O763" s="82" t="s">
        <v>8</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c r="AE763" s="1136" t="str">
        <f t="shared" si="95"/>
        <v>x</v>
      </c>
    </row>
    <row r="764" spans="1:31" ht="15.75" customHeight="1">
      <c r="A764" s="334" t="str">
        <f>IF(B764&lt;&gt;"",IF(AND(B764='IN-TC'!$S$4,OR(TH!N764="1111",TH!O764="1111")),TH!D764,""),"")</f>
        <v/>
      </c>
      <c r="B764" s="63">
        <f t="shared" si="92"/>
        <v>6</v>
      </c>
      <c r="C764" s="78">
        <f t="shared" si="93"/>
        <v>42528</v>
      </c>
      <c r="D764" s="78" t="s">
        <v>948</v>
      </c>
      <c r="E764" s="78">
        <v>42528</v>
      </c>
      <c r="F764" s="67" t="s">
        <v>1951</v>
      </c>
      <c r="G764" s="79"/>
      <c r="H764" s="80" t="s">
        <v>1964</v>
      </c>
      <c r="I764" s="435">
        <v>2532</v>
      </c>
      <c r="J764" s="436">
        <v>105000</v>
      </c>
      <c r="K764" s="426"/>
      <c r="L764" s="435"/>
      <c r="M764" s="81">
        <f t="shared" si="90"/>
        <v>265860000</v>
      </c>
      <c r="N764" s="82" t="s">
        <v>274</v>
      </c>
      <c r="O764" s="82" t="s">
        <v>8</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c r="AE764" s="1136" t="str">
        <f t="shared" si="95"/>
        <v>x</v>
      </c>
    </row>
    <row r="765" spans="1:31" s="339" customFormat="1" ht="15.75" customHeight="1">
      <c r="A765" s="334" t="str">
        <f>IF(B765&lt;&gt;"",IF(AND(B765='IN-TC'!$S$4,OR(TH!N765="1111",TH!O765="1111")),TH!D765,""),"")</f>
        <v/>
      </c>
      <c r="B765" s="63">
        <f t="shared" si="92"/>
        <v>6</v>
      </c>
      <c r="C765" s="92">
        <f t="shared" si="93"/>
        <v>42522</v>
      </c>
      <c r="D765" s="92" t="s">
        <v>689</v>
      </c>
      <c r="E765" s="92">
        <v>42522</v>
      </c>
      <c r="F765" s="67" t="s">
        <v>1951</v>
      </c>
      <c r="G765" s="93"/>
      <c r="H765" s="94" t="s">
        <v>446</v>
      </c>
      <c r="I765" s="1175">
        <v>9390</v>
      </c>
      <c r="J765" s="1174">
        <v>105000</v>
      </c>
      <c r="K765" s="1176"/>
      <c r="L765" s="1175"/>
      <c r="M765" s="95">
        <f t="shared" si="90"/>
        <v>985950000</v>
      </c>
      <c r="N765" s="83" t="s">
        <v>282</v>
      </c>
      <c r="O765" s="83" t="s">
        <v>274</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1" s="339" customFormat="1" ht="15.75" customHeight="1">
      <c r="A766" s="334" t="str">
        <f>IF(B766&lt;&gt;"",IF(AND(B766='IN-TC'!$S$4,OR(TH!N766="1111",TH!O766="1111")),TH!D766,""),"")</f>
        <v/>
      </c>
      <c r="B766" s="63">
        <f t="shared" si="92"/>
        <v>6</v>
      </c>
      <c r="C766" s="92">
        <f t="shared" si="93"/>
        <v>42526</v>
      </c>
      <c r="D766" s="92" t="s">
        <v>691</v>
      </c>
      <c r="E766" s="92">
        <v>42526</v>
      </c>
      <c r="F766" s="67" t="s">
        <v>1951</v>
      </c>
      <c r="G766" s="1138"/>
      <c r="H766" s="94" t="s">
        <v>446</v>
      </c>
      <c r="I766" s="1175">
        <v>5786</v>
      </c>
      <c r="J766" s="1174">
        <v>105000</v>
      </c>
      <c r="K766" s="1176"/>
      <c r="L766" s="1175"/>
      <c r="M766" s="95">
        <f t="shared" si="90"/>
        <v>607530000</v>
      </c>
      <c r="N766" s="83" t="s">
        <v>282</v>
      </c>
      <c r="O766" s="83" t="s">
        <v>274</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1" s="339" customFormat="1" ht="15.75" customHeight="1">
      <c r="A767" s="334" t="str">
        <f>IF(B767&lt;&gt;"",IF(AND(B767='IN-TC'!$S$4,OR(TH!N767="1111",TH!O767="1111")),TH!D767,""),"")</f>
        <v/>
      </c>
      <c r="B767" s="63">
        <f t="shared" si="92"/>
        <v>6</v>
      </c>
      <c r="C767" s="92">
        <f t="shared" si="93"/>
        <v>42528</v>
      </c>
      <c r="D767" s="92" t="s">
        <v>692</v>
      </c>
      <c r="E767" s="92">
        <v>42528</v>
      </c>
      <c r="F767" s="67" t="s">
        <v>1951</v>
      </c>
      <c r="G767" s="93"/>
      <c r="H767" s="94" t="s">
        <v>446</v>
      </c>
      <c r="I767" s="443">
        <v>8992</v>
      </c>
      <c r="J767" s="1174">
        <v>105000</v>
      </c>
      <c r="K767" s="434"/>
      <c r="L767" s="443"/>
      <c r="M767" s="95">
        <f t="shared" si="90"/>
        <v>944160000</v>
      </c>
      <c r="N767" s="83" t="s">
        <v>282</v>
      </c>
      <c r="O767" s="83" t="s">
        <v>274</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1" ht="15.75" customHeight="1">
      <c r="A768" s="334" t="str">
        <f>IF(B768&lt;&gt;"",IF(AND(B768='IN-TC'!$S$4,OR(TH!N768="1111",TH!O768="1111")),TH!D768,""),"")</f>
        <v/>
      </c>
      <c r="B768" s="63">
        <f t="shared" si="92"/>
        <v>6</v>
      </c>
      <c r="C768" s="78">
        <f t="shared" si="93"/>
        <v>42536</v>
      </c>
      <c r="D768" s="78" t="s">
        <v>949</v>
      </c>
      <c r="E768" s="78">
        <v>42536</v>
      </c>
      <c r="F768" s="67" t="s">
        <v>680</v>
      </c>
      <c r="G768" s="79"/>
      <c r="H768" s="87" t="s">
        <v>346</v>
      </c>
      <c r="I768" s="435">
        <v>6750</v>
      </c>
      <c r="J768" s="436">
        <v>18500</v>
      </c>
      <c r="K768" s="426"/>
      <c r="L768" s="435"/>
      <c r="M768" s="81">
        <f t="shared" si="90"/>
        <v>124875000</v>
      </c>
      <c r="N768" s="82" t="s">
        <v>274</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c r="AE768" s="1136" t="str">
        <f t="shared" ref="AE768:AE773" si="96">IF(H768&lt;&gt;VLOOKUP(H768,DSKH,1,0),"","x")</f>
        <v>x</v>
      </c>
    </row>
    <row r="769" spans="1:31" ht="15.75" customHeight="1">
      <c r="A769" s="334" t="str">
        <f>IF(B769&lt;&gt;"",IF(AND(B769='IN-TC'!$S$4,OR(TH!N769="1111",TH!O769="1111")),TH!D769,""),"")</f>
        <v/>
      </c>
      <c r="B769" s="63">
        <f t="shared" si="92"/>
        <v>6</v>
      </c>
      <c r="C769" s="78">
        <f t="shared" si="93"/>
        <v>42536</v>
      </c>
      <c r="D769" s="78" t="s">
        <v>950</v>
      </c>
      <c r="E769" s="78">
        <v>42536</v>
      </c>
      <c r="F769" s="67" t="s">
        <v>680</v>
      </c>
      <c r="G769" s="79"/>
      <c r="H769" s="80" t="s">
        <v>349</v>
      </c>
      <c r="I769" s="435">
        <v>6680</v>
      </c>
      <c r="J769" s="436">
        <v>18500</v>
      </c>
      <c r="K769" s="426"/>
      <c r="L769" s="435"/>
      <c r="M769" s="81">
        <f t="shared" si="90"/>
        <v>123580000</v>
      </c>
      <c r="N769" s="82" t="s">
        <v>274</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c r="AE769" s="1136" t="str">
        <f t="shared" si="96"/>
        <v>x</v>
      </c>
    </row>
    <row r="770" spans="1:31" ht="15.75" customHeight="1">
      <c r="A770" s="334" t="str">
        <f>IF(B770&lt;&gt;"",IF(AND(B770='IN-TC'!$S$4,OR(TH!N770="1111",TH!O770="1111")),TH!D770,""),"")</f>
        <v/>
      </c>
      <c r="B770" s="63">
        <f t="shared" si="92"/>
        <v>6</v>
      </c>
      <c r="C770" s="78">
        <f t="shared" si="93"/>
        <v>42536</v>
      </c>
      <c r="D770" s="78" t="s">
        <v>951</v>
      </c>
      <c r="E770" s="78">
        <v>42536</v>
      </c>
      <c r="F770" s="67" t="s">
        <v>680</v>
      </c>
      <c r="G770" s="79"/>
      <c r="H770" s="80" t="s">
        <v>367</v>
      </c>
      <c r="I770" s="435">
        <v>5923</v>
      </c>
      <c r="J770" s="436">
        <v>18500</v>
      </c>
      <c r="K770" s="426"/>
      <c r="L770" s="435"/>
      <c r="M770" s="81">
        <f t="shared" si="90"/>
        <v>109575500</v>
      </c>
      <c r="N770" s="82" t="s">
        <v>274</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c r="AE770" s="1136" t="str">
        <f t="shared" si="96"/>
        <v>x</v>
      </c>
    </row>
    <row r="771" spans="1:31" ht="15.75" customHeight="1">
      <c r="A771" s="334" t="str">
        <f>IF(B771&lt;&gt;"",IF(AND(B771='IN-TC'!$S$4,OR(TH!N771="1111",TH!O771="1111")),TH!D771,""),"")</f>
        <v/>
      </c>
      <c r="B771" s="63">
        <f t="shared" si="92"/>
        <v>6</v>
      </c>
      <c r="C771" s="78">
        <f t="shared" si="93"/>
        <v>42540</v>
      </c>
      <c r="D771" s="78" t="s">
        <v>952</v>
      </c>
      <c r="E771" s="78">
        <v>42540</v>
      </c>
      <c r="F771" s="67" t="s">
        <v>680</v>
      </c>
      <c r="G771" s="79"/>
      <c r="H771" s="80" t="s">
        <v>349</v>
      </c>
      <c r="I771" s="435">
        <v>6450</v>
      </c>
      <c r="J771" s="436">
        <v>18500</v>
      </c>
      <c r="K771" s="426"/>
      <c r="L771" s="435"/>
      <c r="M771" s="81">
        <f t="shared" si="90"/>
        <v>119325000</v>
      </c>
      <c r="N771" s="82" t="s">
        <v>274</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c r="AE771" s="1136" t="str">
        <f t="shared" si="96"/>
        <v>x</v>
      </c>
    </row>
    <row r="772" spans="1:31" ht="15.75" customHeight="1">
      <c r="A772" s="334" t="str">
        <f>IF(B772&lt;&gt;"",IF(AND(B772='IN-TC'!$S$4,OR(TH!N772="1111",TH!O772="1111")),TH!D772,""),"")</f>
        <v/>
      </c>
      <c r="B772" s="63">
        <f t="shared" si="92"/>
        <v>6</v>
      </c>
      <c r="C772" s="78">
        <f t="shared" si="93"/>
        <v>42540</v>
      </c>
      <c r="D772" s="78" t="s">
        <v>953</v>
      </c>
      <c r="E772" s="78">
        <v>42540</v>
      </c>
      <c r="F772" s="67" t="s">
        <v>680</v>
      </c>
      <c r="G772" s="79"/>
      <c r="H772" s="80" t="s">
        <v>361</v>
      </c>
      <c r="I772" s="435">
        <v>6580</v>
      </c>
      <c r="J772" s="436">
        <v>18500</v>
      </c>
      <c r="K772" s="426"/>
      <c r="L772" s="435"/>
      <c r="M772" s="81">
        <f t="shared" si="90"/>
        <v>121730000</v>
      </c>
      <c r="N772" s="82" t="s">
        <v>274</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c r="AE772" s="1136" t="str">
        <f t="shared" si="96"/>
        <v>x</v>
      </c>
    </row>
    <row r="773" spans="1:31" ht="15.75" customHeight="1">
      <c r="A773" s="334" t="str">
        <f>IF(B773&lt;&gt;"",IF(AND(B773='IN-TC'!$S$4,OR(TH!N773="1111",TH!O773="1111")),TH!D773,""),"")</f>
        <v/>
      </c>
      <c r="B773" s="63">
        <f t="shared" si="92"/>
        <v>6</v>
      </c>
      <c r="C773" s="78">
        <f t="shared" si="93"/>
        <v>42540</v>
      </c>
      <c r="D773" s="78" t="s">
        <v>954</v>
      </c>
      <c r="E773" s="78">
        <v>42540</v>
      </c>
      <c r="F773" s="67" t="s">
        <v>680</v>
      </c>
      <c r="G773" s="79"/>
      <c r="H773" s="80" t="s">
        <v>364</v>
      </c>
      <c r="I773" s="435">
        <v>6017</v>
      </c>
      <c r="J773" s="436">
        <v>18500</v>
      </c>
      <c r="K773" s="426"/>
      <c r="L773" s="435"/>
      <c r="M773" s="81">
        <f t="shared" si="90"/>
        <v>111314500</v>
      </c>
      <c r="N773" s="82" t="s">
        <v>274</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c r="AE773" s="1136" t="str">
        <f t="shared" si="96"/>
        <v>x</v>
      </c>
    </row>
    <row r="774" spans="1:31" s="339" customFormat="1" ht="15.75" customHeight="1">
      <c r="A774" s="334" t="str">
        <f>IF(B774&lt;&gt;"",IF(AND(B774='IN-TC'!$S$4,OR(TH!N774="1111",TH!O774="1111")),TH!D774,""),"")</f>
        <v/>
      </c>
      <c r="B774" s="63">
        <f t="shared" si="92"/>
        <v>7</v>
      </c>
      <c r="C774" s="92">
        <f t="shared" si="93"/>
        <v>42552</v>
      </c>
      <c r="D774" s="92" t="s">
        <v>682</v>
      </c>
      <c r="E774" s="92">
        <v>42552</v>
      </c>
      <c r="F774" s="67" t="s">
        <v>680</v>
      </c>
      <c r="G774" s="93"/>
      <c r="H774" s="94" t="s">
        <v>446</v>
      </c>
      <c r="I774" s="1175">
        <v>19353</v>
      </c>
      <c r="J774" s="1174">
        <v>18500</v>
      </c>
      <c r="K774" s="1176"/>
      <c r="L774" s="1175"/>
      <c r="M774" s="95">
        <f t="shared" si="90"/>
        <v>358030500</v>
      </c>
      <c r="N774" s="83" t="s">
        <v>282</v>
      </c>
      <c r="O774" s="83" t="s">
        <v>274</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1" s="339" customFormat="1" ht="15.75" customHeight="1">
      <c r="A775" s="334" t="str">
        <f>IF(B775&lt;&gt;"",IF(AND(B775='IN-TC'!$S$4,OR(TH!N775="1111",TH!O775="1111")),TH!D775,""),"")</f>
        <v/>
      </c>
      <c r="B775" s="63">
        <f t="shared" si="92"/>
        <v>7</v>
      </c>
      <c r="C775" s="92">
        <f t="shared" si="93"/>
        <v>42558</v>
      </c>
      <c r="D775" s="92" t="s">
        <v>689</v>
      </c>
      <c r="E775" s="92">
        <v>42558</v>
      </c>
      <c r="F775" s="67" t="s">
        <v>680</v>
      </c>
      <c r="G775" s="93"/>
      <c r="H775" s="94" t="s">
        <v>446</v>
      </c>
      <c r="I775" s="443">
        <v>19047</v>
      </c>
      <c r="J775" s="1174">
        <v>18500</v>
      </c>
      <c r="K775" s="434"/>
      <c r="L775" s="443"/>
      <c r="M775" s="95">
        <f t="shared" si="90"/>
        <v>352369500</v>
      </c>
      <c r="N775" s="83" t="s">
        <v>282</v>
      </c>
      <c r="O775" s="83" t="s">
        <v>274</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1" ht="15.75" customHeight="1">
      <c r="A776" s="334" t="str">
        <f>IF(B776&lt;&gt;"",IF(AND(B776='IN-TC'!$S$4,OR(TH!N776="1111",TH!O776="1111")),TH!D776,""),"")</f>
        <v/>
      </c>
      <c r="B776" s="63">
        <f t="shared" si="92"/>
        <v>6</v>
      </c>
      <c r="C776" s="78">
        <f t="shared" si="93"/>
        <v>42544</v>
      </c>
      <c r="D776" s="78" t="s">
        <v>955</v>
      </c>
      <c r="E776" s="78">
        <v>42544</v>
      </c>
      <c r="F776" s="67" t="s">
        <v>1968</v>
      </c>
      <c r="G776" s="79"/>
      <c r="H776" s="80" t="s">
        <v>398</v>
      </c>
      <c r="I776" s="435">
        <v>4580</v>
      </c>
      <c r="J776" s="436">
        <v>24500</v>
      </c>
      <c r="K776" s="426"/>
      <c r="L776" s="435"/>
      <c r="M776" s="81">
        <f t="shared" si="90"/>
        <v>112210000</v>
      </c>
      <c r="N776" s="82" t="s">
        <v>274</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c r="AE776" s="1136" t="str">
        <f>IF(H776&lt;&gt;VLOOKUP(H776,DSKH,1,0),"","x")</f>
        <v>x</v>
      </c>
    </row>
    <row r="777" spans="1:31" ht="15.75" customHeight="1">
      <c r="A777" s="334" t="str">
        <f>IF(B777&lt;&gt;"",IF(AND(B777='IN-TC'!$S$4,OR(TH!N777="1111",TH!O777="1111")),TH!D777,""),"")</f>
        <v/>
      </c>
      <c r="B777" s="63">
        <f t="shared" si="92"/>
        <v>6</v>
      </c>
      <c r="C777" s="78">
        <f t="shared" si="93"/>
        <v>42544</v>
      </c>
      <c r="D777" s="78" t="s">
        <v>956</v>
      </c>
      <c r="E777" s="78">
        <v>42544</v>
      </c>
      <c r="F777" s="67" t="s">
        <v>1968</v>
      </c>
      <c r="G777" s="79"/>
      <c r="H777" s="80" t="s">
        <v>402</v>
      </c>
      <c r="I777" s="435">
        <v>5540</v>
      </c>
      <c r="J777" s="436">
        <v>24500</v>
      </c>
      <c r="K777" s="426"/>
      <c r="L777" s="435"/>
      <c r="M777" s="81">
        <f t="shared" ref="M777:M839" si="97">ROUND(I777*J777,0)</f>
        <v>135730000</v>
      </c>
      <c r="N777" s="82" t="s">
        <v>274</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c r="AE777" s="1136" t="str">
        <f>IF(H777&lt;&gt;VLOOKUP(H777,DSKH,1,0),"","x")</f>
        <v>x</v>
      </c>
    </row>
    <row r="778" spans="1:31" ht="15.75" customHeight="1">
      <c r="A778" s="334" t="str">
        <f>IF(B778&lt;&gt;"",IF(AND(B778='IN-TC'!$S$4,OR(TH!N778="1111",TH!O778="1111")),TH!D778,""),"")</f>
        <v/>
      </c>
      <c r="B778" s="63">
        <f t="shared" si="92"/>
        <v>6</v>
      </c>
      <c r="C778" s="78">
        <f t="shared" si="93"/>
        <v>42547</v>
      </c>
      <c r="D778" s="78" t="s">
        <v>957</v>
      </c>
      <c r="E778" s="78">
        <v>42547</v>
      </c>
      <c r="F778" s="67" t="s">
        <v>1968</v>
      </c>
      <c r="G778" s="79"/>
      <c r="H778" s="80" t="s">
        <v>403</v>
      </c>
      <c r="I778" s="435">
        <v>4980</v>
      </c>
      <c r="J778" s="436">
        <v>24500</v>
      </c>
      <c r="K778" s="426"/>
      <c r="L778" s="435"/>
      <c r="M778" s="81">
        <f t="shared" si="97"/>
        <v>122010000</v>
      </c>
      <c r="N778" s="82" t="s">
        <v>274</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c r="AE778" s="1136" t="str">
        <f>IF(H778&lt;&gt;VLOOKUP(H778,DSKH,1,0),"","x")</f>
        <v>x</v>
      </c>
    </row>
    <row r="779" spans="1:31" ht="15.75" customHeight="1">
      <c r="A779" s="334" t="str">
        <f>IF(B779&lt;&gt;"",IF(AND(B779='IN-TC'!$S$4,OR(TH!N779="1111",TH!O779="1111")),TH!D779,""),"")</f>
        <v/>
      </c>
      <c r="B779" s="63">
        <f t="shared" si="92"/>
        <v>6</v>
      </c>
      <c r="C779" s="78">
        <f t="shared" si="93"/>
        <v>42547</v>
      </c>
      <c r="D779" s="78" t="s">
        <v>1957</v>
      </c>
      <c r="E779" s="78">
        <v>42547</v>
      </c>
      <c r="F779" s="67" t="s">
        <v>1968</v>
      </c>
      <c r="G779" s="79"/>
      <c r="H779" s="80" t="s">
        <v>402</v>
      </c>
      <c r="I779" s="435">
        <v>5330</v>
      </c>
      <c r="J779" s="436">
        <v>24500</v>
      </c>
      <c r="K779" s="426"/>
      <c r="L779" s="435"/>
      <c r="M779" s="81">
        <f t="shared" si="97"/>
        <v>130585000</v>
      </c>
      <c r="N779" s="82" t="s">
        <v>274</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c r="AE779" s="1136" t="str">
        <f>IF(H779&lt;&gt;VLOOKUP(H779,DSKH,1,0),"","x")</f>
        <v>x</v>
      </c>
    </row>
    <row r="780" spans="1:31" s="339" customFormat="1" ht="15.75" customHeight="1">
      <c r="A780" s="334" t="str">
        <f>IF(B780&lt;&gt;"",IF(AND(B780='IN-TC'!$S$4,OR(TH!N780="1111",TH!O780="1111")),TH!D780,""),"")</f>
        <v/>
      </c>
      <c r="B780" s="63">
        <f t="shared" si="92"/>
        <v>7</v>
      </c>
      <c r="C780" s="92">
        <f t="shared" si="93"/>
        <v>42552</v>
      </c>
      <c r="D780" s="92" t="s">
        <v>682</v>
      </c>
      <c r="E780" s="92">
        <v>42552</v>
      </c>
      <c r="F780" s="67" t="s">
        <v>1968</v>
      </c>
      <c r="G780" s="93"/>
      <c r="H780" s="94" t="s">
        <v>446</v>
      </c>
      <c r="I780" s="1175">
        <v>10120</v>
      </c>
      <c r="J780" s="1174">
        <v>24500</v>
      </c>
      <c r="K780" s="1176"/>
      <c r="L780" s="1175"/>
      <c r="M780" s="95">
        <f t="shared" si="97"/>
        <v>247940000</v>
      </c>
      <c r="N780" s="83" t="s">
        <v>282</v>
      </c>
      <c r="O780" s="83" t="s">
        <v>274</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1" s="339" customFormat="1" ht="15.75" customHeight="1">
      <c r="A781" s="334" t="str">
        <f>IF(B781&lt;&gt;"",IF(AND(B781='IN-TC'!$S$4,OR(TH!N781="1111",TH!O781="1111")),TH!D781,""),"")</f>
        <v/>
      </c>
      <c r="B781" s="63">
        <f t="shared" si="92"/>
        <v>7</v>
      </c>
      <c r="C781" s="92">
        <f t="shared" si="93"/>
        <v>42558</v>
      </c>
      <c r="D781" s="92" t="s">
        <v>689</v>
      </c>
      <c r="E781" s="92">
        <v>42558</v>
      </c>
      <c r="F781" s="67" t="s">
        <v>1968</v>
      </c>
      <c r="G781" s="93"/>
      <c r="H781" s="94" t="s">
        <v>446</v>
      </c>
      <c r="I781" s="443">
        <v>10310</v>
      </c>
      <c r="J781" s="1174">
        <v>24500</v>
      </c>
      <c r="K781" s="434"/>
      <c r="L781" s="443"/>
      <c r="M781" s="95">
        <f t="shared" si="97"/>
        <v>252595000</v>
      </c>
      <c r="N781" s="83" t="s">
        <v>282</v>
      </c>
      <c r="O781" s="83" t="s">
        <v>274</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1" s="339" customFormat="1" ht="15.75" customHeight="1">
      <c r="A782" s="334" t="str">
        <f>IF(B782&lt;&gt;"",IF(AND(B782='IN-TC'!$S$4,OR(TH!N782="1111",TH!O782="1111")),TH!D782,""),"")</f>
        <v/>
      </c>
      <c r="B782" s="63">
        <f t="shared" si="92"/>
        <v>7</v>
      </c>
      <c r="C782" s="92">
        <f t="shared" si="93"/>
        <v>42561</v>
      </c>
      <c r="D782" s="92" t="s">
        <v>690</v>
      </c>
      <c r="E782" s="92">
        <v>42561</v>
      </c>
      <c r="F782" s="67" t="s">
        <v>1952</v>
      </c>
      <c r="G782" s="93"/>
      <c r="H782" s="94" t="s">
        <v>446</v>
      </c>
      <c r="I782" s="1175">
        <v>900</v>
      </c>
      <c r="J782" s="1174">
        <v>11165</v>
      </c>
      <c r="K782" s="1176"/>
      <c r="L782" s="1175"/>
      <c r="M782" s="95">
        <f t="shared" si="97"/>
        <v>10048500</v>
      </c>
      <c r="N782" s="83" t="s">
        <v>282</v>
      </c>
      <c r="O782" s="83" t="s">
        <v>274</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row>
    <row r="783" spans="1:31" ht="15.75" customHeight="1">
      <c r="A783" s="334" t="str">
        <f>IF(B783&lt;&gt;"",IF(AND(B783='IN-TC'!$S$4,OR(TH!N783="1111",TH!O783="1111")),TH!D783,""),"")</f>
        <v/>
      </c>
      <c r="B783" s="63">
        <f t="shared" si="92"/>
        <v>6</v>
      </c>
      <c r="C783" s="78">
        <f t="shared" si="93"/>
        <v>42548</v>
      </c>
      <c r="D783" s="78" t="s">
        <v>1958</v>
      </c>
      <c r="E783" s="78">
        <v>42548</v>
      </c>
      <c r="F783" s="67" t="s">
        <v>680</v>
      </c>
      <c r="G783" s="79"/>
      <c r="H783" s="80" t="s">
        <v>349</v>
      </c>
      <c r="I783" s="435">
        <v>3040</v>
      </c>
      <c r="J783" s="436">
        <v>18500</v>
      </c>
      <c r="K783" s="426"/>
      <c r="L783" s="435"/>
      <c r="M783" s="81">
        <f t="shared" si="97"/>
        <v>56240000</v>
      </c>
      <c r="N783" s="82" t="s">
        <v>274</v>
      </c>
      <c r="O783" s="82" t="s">
        <v>8</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c r="AE783" s="1136" t="str">
        <f>IF(H783&lt;&gt;VLOOKUP(H783,DSKH,1,0),"","x")</f>
        <v>x</v>
      </c>
    </row>
    <row r="784" spans="1:31" ht="15.75" customHeight="1">
      <c r="A784" s="334" t="str">
        <f>IF(B784&lt;&gt;"",IF(AND(B784='IN-TC'!$S$4,OR(TH!N784="1111",TH!O784="1111")),TH!D784,""),"")</f>
        <v/>
      </c>
      <c r="B784" s="63">
        <f t="shared" si="92"/>
        <v>6</v>
      </c>
      <c r="C784" s="78">
        <f t="shared" si="93"/>
        <v>42548</v>
      </c>
      <c r="D784" s="78" t="s">
        <v>1959</v>
      </c>
      <c r="E784" s="78">
        <v>42548</v>
      </c>
      <c r="F784" s="67" t="s">
        <v>680</v>
      </c>
      <c r="G784" s="79"/>
      <c r="H784" s="80" t="s">
        <v>367</v>
      </c>
      <c r="I784" s="435">
        <v>3150</v>
      </c>
      <c r="J784" s="436">
        <v>18500</v>
      </c>
      <c r="K784" s="426"/>
      <c r="L784" s="435"/>
      <c r="M784" s="81">
        <f t="shared" si="97"/>
        <v>58275000</v>
      </c>
      <c r="N784" s="82" t="s">
        <v>274</v>
      </c>
      <c r="O784" s="82" t="s">
        <v>8</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c r="AE784" s="1136" t="str">
        <f>IF(H784&lt;&gt;VLOOKUP(H784,DSKH,1,0),"","x")</f>
        <v>x</v>
      </c>
    </row>
    <row r="785" spans="1:31" ht="15.75" customHeight="1">
      <c r="A785" s="334" t="str">
        <f>IF(B785&lt;&gt;"",IF(AND(B785='IN-TC'!$S$4,OR(TH!N785="1111",TH!O785="1111")),TH!D785,""),"")</f>
        <v/>
      </c>
      <c r="B785" s="63">
        <f t="shared" si="92"/>
        <v>6</v>
      </c>
      <c r="C785" s="78">
        <f t="shared" si="93"/>
        <v>42551</v>
      </c>
      <c r="D785" s="78" t="s">
        <v>1960</v>
      </c>
      <c r="E785" s="78">
        <v>42551</v>
      </c>
      <c r="F785" s="67" t="s">
        <v>680</v>
      </c>
      <c r="G785" s="79"/>
      <c r="H785" s="80" t="s">
        <v>361</v>
      </c>
      <c r="I785" s="435">
        <v>4160</v>
      </c>
      <c r="J785" s="436">
        <v>18500</v>
      </c>
      <c r="K785" s="426"/>
      <c r="L785" s="435"/>
      <c r="M785" s="81">
        <f t="shared" si="97"/>
        <v>76960000</v>
      </c>
      <c r="N785" s="82" t="s">
        <v>274</v>
      </c>
      <c r="O785" s="82" t="s">
        <v>8</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c r="AE785" s="1136" t="str">
        <f>IF(H785&lt;&gt;VLOOKUP(H785,DSKH,1,0),"","x")</f>
        <v>x</v>
      </c>
    </row>
    <row r="786" spans="1:31" ht="15.75" customHeight="1">
      <c r="A786" s="334" t="str">
        <f>IF(B786&lt;&gt;"",IF(AND(B786='IN-TC'!$S$4,OR(TH!N786="1111",TH!O786="1111")),TH!D786,""),"")</f>
        <v/>
      </c>
      <c r="B786" s="63">
        <f t="shared" si="92"/>
        <v>6</v>
      </c>
      <c r="C786" s="78">
        <f t="shared" si="93"/>
        <v>42551</v>
      </c>
      <c r="D786" s="78" t="s">
        <v>1961</v>
      </c>
      <c r="E786" s="78">
        <v>42551</v>
      </c>
      <c r="F786" s="67" t="s">
        <v>680</v>
      </c>
      <c r="G786" s="79"/>
      <c r="H786" s="80" t="s">
        <v>364</v>
      </c>
      <c r="I786" s="435">
        <v>4610</v>
      </c>
      <c r="J786" s="436">
        <v>18500</v>
      </c>
      <c r="K786" s="426"/>
      <c r="L786" s="435"/>
      <c r="M786" s="81">
        <f t="shared" si="97"/>
        <v>85285000</v>
      </c>
      <c r="N786" s="82" t="s">
        <v>274</v>
      </c>
      <c r="O786" s="82" t="s">
        <v>8</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c r="AE786" s="1136" t="str">
        <f>IF(H786&lt;&gt;VLOOKUP(H786,DSKH,1,0),"","x")</f>
        <v>x</v>
      </c>
    </row>
    <row r="787" spans="1:31" s="339" customFormat="1" ht="15.75" customHeight="1">
      <c r="A787" s="334" t="str">
        <f>IF(B787&lt;&gt;"",IF(AND(B787='IN-TC'!$S$4,OR(TH!N787="1111",TH!O787="1111")),TH!D787,""),"")</f>
        <v/>
      </c>
      <c r="B787" s="63">
        <f t="shared" si="92"/>
        <v>7</v>
      </c>
      <c r="C787" s="92">
        <f t="shared" si="93"/>
        <v>42567</v>
      </c>
      <c r="D787" s="92" t="s">
        <v>692</v>
      </c>
      <c r="E787" s="92">
        <v>42567</v>
      </c>
      <c r="F787" s="67" t="s">
        <v>680</v>
      </c>
      <c r="G787" s="93"/>
      <c r="H787" s="94" t="s">
        <v>446</v>
      </c>
      <c r="I787" s="1175">
        <v>14960</v>
      </c>
      <c r="J787" s="1174">
        <v>18500</v>
      </c>
      <c r="K787" s="1176"/>
      <c r="L787" s="1175"/>
      <c r="M787" s="95">
        <f t="shared" si="97"/>
        <v>276760000</v>
      </c>
      <c r="N787" s="83" t="s">
        <v>282</v>
      </c>
      <c r="O787" s="83" t="s">
        <v>274</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1" ht="15.75" customHeight="1">
      <c r="A788" s="334" t="str">
        <f>IF(B788&lt;&gt;"",IF(AND(B788='IN-TC'!$S$4,OR(TH!N788="1111",TH!O788="1111")),TH!D788,""),"")</f>
        <v/>
      </c>
      <c r="B788" s="63">
        <f t="shared" ref="B788:B1030" si="98">IF(C788&lt;&gt;"",MONTH(C788),"")</f>
        <v>7</v>
      </c>
      <c r="C788" s="78">
        <f t="shared" si="93"/>
        <v>42552</v>
      </c>
      <c r="D788" s="78" t="s">
        <v>930</v>
      </c>
      <c r="E788" s="78">
        <v>42552</v>
      </c>
      <c r="F788" s="67" t="s">
        <v>681</v>
      </c>
      <c r="G788" s="79"/>
      <c r="H788" s="80" t="s">
        <v>428</v>
      </c>
      <c r="I788" s="435">
        <v>5420</v>
      </c>
      <c r="J788" s="436">
        <v>15500</v>
      </c>
      <c r="K788" s="426"/>
      <c r="L788" s="435"/>
      <c r="M788" s="81">
        <f t="shared" si="97"/>
        <v>84010000</v>
      </c>
      <c r="N788" s="82" t="s">
        <v>274</v>
      </c>
      <c r="O788" s="82" t="s">
        <v>8</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c r="AE788" s="1136" t="str">
        <f>IF(H788&lt;&gt;VLOOKUP(H788,DSKH,1,0),"","x")</f>
        <v>x</v>
      </c>
    </row>
    <row r="789" spans="1:31" ht="15.75" customHeight="1">
      <c r="A789" s="334" t="str">
        <f>IF(B789&lt;&gt;"",IF(AND(B789='IN-TC'!$S$4,OR(TH!N789="1111",TH!O789="1111")),TH!D789,""),"")</f>
        <v/>
      </c>
      <c r="B789" s="63">
        <f t="shared" si="98"/>
        <v>7</v>
      </c>
      <c r="C789" s="78">
        <f t="shared" si="93"/>
        <v>42552</v>
      </c>
      <c r="D789" s="78" t="s">
        <v>931</v>
      </c>
      <c r="E789" s="78">
        <v>42552</v>
      </c>
      <c r="F789" s="67" t="s">
        <v>681</v>
      </c>
      <c r="G789" s="79"/>
      <c r="H789" s="80" t="s">
        <v>443</v>
      </c>
      <c r="I789" s="435">
        <v>5780</v>
      </c>
      <c r="J789" s="436">
        <v>15500</v>
      </c>
      <c r="K789" s="426"/>
      <c r="L789" s="435"/>
      <c r="M789" s="81">
        <f t="shared" si="97"/>
        <v>89590000</v>
      </c>
      <c r="N789" s="82" t="s">
        <v>274</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c r="AE789" s="1136" t="str">
        <f>IF(H789&lt;&gt;VLOOKUP(H789,DSKH,1,0),"","x")</f>
        <v>x</v>
      </c>
    </row>
    <row r="790" spans="1:31" ht="15.75" customHeight="1">
      <c r="A790" s="334" t="str">
        <f>IF(B790&lt;&gt;"",IF(AND(B790='IN-TC'!$S$4,OR(TH!N790="1111",TH!O790="1111")),TH!D790,""),"")</f>
        <v/>
      </c>
      <c r="B790" s="63">
        <f t="shared" si="98"/>
        <v>7</v>
      </c>
      <c r="C790" s="78">
        <f t="shared" ref="C790:C837" si="99">E790</f>
        <v>42559</v>
      </c>
      <c r="D790" s="78" t="s">
        <v>932</v>
      </c>
      <c r="E790" s="78">
        <v>42559</v>
      </c>
      <c r="F790" s="67" t="s">
        <v>681</v>
      </c>
      <c r="G790" s="79"/>
      <c r="H790" s="80" t="s">
        <v>435</v>
      </c>
      <c r="I790" s="435">
        <v>5386</v>
      </c>
      <c r="J790" s="436">
        <v>15500</v>
      </c>
      <c r="K790" s="426"/>
      <c r="L790" s="435"/>
      <c r="M790" s="81">
        <f t="shared" si="97"/>
        <v>83483000</v>
      </c>
      <c r="N790" s="82" t="s">
        <v>274</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c r="AE790" s="1136" t="str">
        <f>IF(H790&lt;&gt;VLOOKUP(H790,DSKH,1,0),"","x")</f>
        <v>x</v>
      </c>
    </row>
    <row r="791" spans="1:31" ht="15.75" customHeight="1">
      <c r="A791" s="334" t="str">
        <f>IF(B791&lt;&gt;"",IF(AND(B791='IN-TC'!$S$4,OR(TH!N791="1111",TH!O791="1111")),TH!D791,""),"")</f>
        <v/>
      </c>
      <c r="B791" s="63">
        <f t="shared" si="98"/>
        <v>7</v>
      </c>
      <c r="C791" s="78">
        <f t="shared" si="99"/>
        <v>42559</v>
      </c>
      <c r="D791" s="78" t="s">
        <v>933</v>
      </c>
      <c r="E791" s="78">
        <v>42559</v>
      </c>
      <c r="F791" s="67" t="s">
        <v>681</v>
      </c>
      <c r="G791" s="79"/>
      <c r="H791" s="80" t="s">
        <v>439</v>
      </c>
      <c r="I791" s="435">
        <v>5514</v>
      </c>
      <c r="J791" s="436">
        <v>15500</v>
      </c>
      <c r="K791" s="426"/>
      <c r="L791" s="435"/>
      <c r="M791" s="81">
        <f t="shared" si="97"/>
        <v>85467000</v>
      </c>
      <c r="N791" s="82" t="s">
        <v>274</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c r="AE791" s="1136" t="str">
        <f>IF(H791&lt;&gt;VLOOKUP(H791,DSKH,1,0),"","x")</f>
        <v>x</v>
      </c>
    </row>
    <row r="792" spans="1:31" s="339" customFormat="1" ht="15.75" customHeight="1">
      <c r="A792" s="334" t="str">
        <f>IF(B792&lt;&gt;"",IF(AND(B792='IN-TC'!$S$4,OR(TH!N792="1111",TH!O792="1111")),TH!D792,""),"")</f>
        <v/>
      </c>
      <c r="B792" s="63">
        <f t="shared" si="98"/>
        <v>7</v>
      </c>
      <c r="C792" s="92">
        <f t="shared" si="99"/>
        <v>42570</v>
      </c>
      <c r="D792" s="92" t="s">
        <v>941</v>
      </c>
      <c r="E792" s="92">
        <v>42570</v>
      </c>
      <c r="F792" s="67" t="s">
        <v>681</v>
      </c>
      <c r="G792" s="93"/>
      <c r="H792" s="94" t="s">
        <v>446</v>
      </c>
      <c r="I792" s="1175">
        <v>22100</v>
      </c>
      <c r="J792" s="1174">
        <v>15500</v>
      </c>
      <c r="K792" s="1176"/>
      <c r="L792" s="1175"/>
      <c r="M792" s="95">
        <f t="shared" si="97"/>
        <v>342550000</v>
      </c>
      <c r="N792" s="83" t="s">
        <v>282</v>
      </c>
      <c r="O792" s="83" t="s">
        <v>274</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1" s="339" customFormat="1" ht="15.75" customHeight="1">
      <c r="A793" s="334" t="str">
        <f>IF(B793&lt;&gt;"",IF(AND(B793='IN-TC'!$S$4,OR(TH!N793="1111",TH!O793="1111")),TH!D793,""),"")</f>
        <v/>
      </c>
      <c r="B793" s="63">
        <f t="shared" si="98"/>
        <v>7</v>
      </c>
      <c r="C793" s="78">
        <f t="shared" si="99"/>
        <v>42560</v>
      </c>
      <c r="D793" s="78" t="s">
        <v>934</v>
      </c>
      <c r="E793" s="78">
        <v>42560</v>
      </c>
      <c r="F793" s="67" t="s">
        <v>1946</v>
      </c>
      <c r="G793" s="79"/>
      <c r="H793" s="80" t="s">
        <v>349</v>
      </c>
      <c r="I793" s="435">
        <v>5450</v>
      </c>
      <c r="J793" s="436">
        <v>29500</v>
      </c>
      <c r="K793" s="426"/>
      <c r="L793" s="435"/>
      <c r="M793" s="81">
        <f t="shared" si="97"/>
        <v>160775000</v>
      </c>
      <c r="N793" s="82" t="s">
        <v>274</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c r="AE793" s="1136" t="str">
        <f>IF(H793&lt;&gt;VLOOKUP(H793,DSKH,1,0),"","x")</f>
        <v>x</v>
      </c>
    </row>
    <row r="794" spans="1:31" ht="15.75" customHeight="1">
      <c r="A794" s="334" t="str">
        <f>IF(B794&lt;&gt;"",IF(AND(B794='IN-TC'!$S$4,OR(TH!N794="1111",TH!O794="1111")),TH!D794,""),"")</f>
        <v/>
      </c>
      <c r="B794" s="63">
        <f t="shared" si="98"/>
        <v>7</v>
      </c>
      <c r="C794" s="78">
        <f t="shared" si="99"/>
        <v>42560</v>
      </c>
      <c r="D794" s="78" t="s">
        <v>934</v>
      </c>
      <c r="E794" s="78">
        <v>42560</v>
      </c>
      <c r="F794" s="67" t="s">
        <v>1949</v>
      </c>
      <c r="G794" s="79"/>
      <c r="H794" s="80" t="s">
        <v>349</v>
      </c>
      <c r="I794" s="436">
        <v>1950</v>
      </c>
      <c r="J794" s="436">
        <v>35500</v>
      </c>
      <c r="K794" s="427"/>
      <c r="L794" s="436"/>
      <c r="M794" s="81">
        <f t="shared" si="97"/>
        <v>69225000</v>
      </c>
      <c r="N794" s="82" t="s">
        <v>274</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c r="AE794" s="1136" t="str">
        <f>IF(H794&lt;&gt;VLOOKUP(H794,DSKH,1,0),"","x")</f>
        <v>x</v>
      </c>
    </row>
    <row r="795" spans="1:31" s="339" customFormat="1" ht="15.75" customHeight="1">
      <c r="A795" s="334" t="str">
        <f>IF(B795&lt;&gt;"",IF(AND(B795='IN-TC'!$S$4,OR(TH!N795="1111",TH!O795="1111")),TH!D795,""),"")</f>
        <v/>
      </c>
      <c r="B795" s="63">
        <f t="shared" si="98"/>
        <v>7</v>
      </c>
      <c r="C795" s="92">
        <f t="shared" si="99"/>
        <v>42571</v>
      </c>
      <c r="D795" s="92" t="s">
        <v>942</v>
      </c>
      <c r="E795" s="92">
        <v>42571</v>
      </c>
      <c r="F795" s="67" t="s">
        <v>1946</v>
      </c>
      <c r="G795" s="93"/>
      <c r="H795" s="94" t="s">
        <v>446</v>
      </c>
      <c r="I795" s="1175">
        <v>5450</v>
      </c>
      <c r="J795" s="1174">
        <v>29500</v>
      </c>
      <c r="K795" s="1176"/>
      <c r="L795" s="1175"/>
      <c r="M795" s="95">
        <f t="shared" si="97"/>
        <v>160775000</v>
      </c>
      <c r="N795" s="83" t="s">
        <v>282</v>
      </c>
      <c r="O795" s="83" t="s">
        <v>274</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1" s="339" customFormat="1" ht="15.75" customHeight="1">
      <c r="A796" s="334" t="str">
        <f>IF(B796&lt;&gt;"",IF(AND(B796='IN-TC'!$S$4,OR(TH!N796="1111",TH!O796="1111")),TH!D796,""),"")</f>
        <v/>
      </c>
      <c r="B796" s="63">
        <f t="shared" si="98"/>
        <v>7</v>
      </c>
      <c r="C796" s="92">
        <f t="shared" si="99"/>
        <v>42571</v>
      </c>
      <c r="D796" s="92" t="s">
        <v>942</v>
      </c>
      <c r="E796" s="92">
        <v>42571</v>
      </c>
      <c r="F796" s="67" t="s">
        <v>1949</v>
      </c>
      <c r="G796" s="93"/>
      <c r="H796" s="94" t="s">
        <v>446</v>
      </c>
      <c r="I796" s="1175">
        <v>1950</v>
      </c>
      <c r="J796" s="1174">
        <v>35500</v>
      </c>
      <c r="K796" s="1176"/>
      <c r="L796" s="1175"/>
      <c r="M796" s="95">
        <f t="shared" si="97"/>
        <v>69225000</v>
      </c>
      <c r="N796" s="83" t="s">
        <v>282</v>
      </c>
      <c r="O796" s="83" t="s">
        <v>274</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1" ht="15.75" customHeight="1">
      <c r="A797" s="334" t="str">
        <f>IF(B797&lt;&gt;"",IF(AND(B797='IN-TC'!$S$4,OR(TH!N797="1111",TH!O797="1111")),TH!D797,""),"")</f>
        <v/>
      </c>
      <c r="B797" s="63">
        <f t="shared" si="98"/>
        <v>7</v>
      </c>
      <c r="C797" s="78">
        <f t="shared" si="99"/>
        <v>42561</v>
      </c>
      <c r="D797" s="78" t="s">
        <v>935</v>
      </c>
      <c r="E797" s="78">
        <v>42561</v>
      </c>
      <c r="F797" s="67" t="s">
        <v>1969</v>
      </c>
      <c r="G797" s="79"/>
      <c r="H797" s="87" t="s">
        <v>383</v>
      </c>
      <c r="I797" s="436">
        <v>8530</v>
      </c>
      <c r="J797" s="436">
        <v>17500</v>
      </c>
      <c r="K797" s="427"/>
      <c r="L797" s="436"/>
      <c r="M797" s="81">
        <f t="shared" si="97"/>
        <v>149275000</v>
      </c>
      <c r="N797" s="82" t="s">
        <v>274</v>
      </c>
      <c r="O797" s="82" t="s">
        <v>8</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c r="AE797" s="1136" t="str">
        <f t="shared" ref="AE797:AE805" si="100">IF(H797&lt;&gt;VLOOKUP(H797,DSKH,1,0),"","x")</f>
        <v>x</v>
      </c>
    </row>
    <row r="798" spans="1:31" ht="15.75" customHeight="1">
      <c r="A798" s="334" t="str">
        <f>IF(B798&lt;&gt;"",IF(AND(B798='IN-TC'!$S$4,OR(TH!N798="1111",TH!O798="1111")),TH!D798,""),"")</f>
        <v/>
      </c>
      <c r="B798" s="63">
        <f t="shared" si="98"/>
        <v>7</v>
      </c>
      <c r="C798" s="78">
        <f t="shared" si="99"/>
        <v>42561</v>
      </c>
      <c r="D798" s="78" t="s">
        <v>936</v>
      </c>
      <c r="E798" s="78">
        <v>42561</v>
      </c>
      <c r="F798" s="67" t="s">
        <v>1969</v>
      </c>
      <c r="G798" s="79"/>
      <c r="H798" s="80" t="s">
        <v>385</v>
      </c>
      <c r="I798" s="435">
        <v>9080</v>
      </c>
      <c r="J798" s="436">
        <v>17500</v>
      </c>
      <c r="K798" s="426"/>
      <c r="L798" s="435"/>
      <c r="M798" s="81">
        <f t="shared" si="97"/>
        <v>158900000</v>
      </c>
      <c r="N798" s="82" t="s">
        <v>274</v>
      </c>
      <c r="O798" s="82" t="s">
        <v>8</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c r="AE798" s="1136" t="str">
        <f t="shared" si="100"/>
        <v>x</v>
      </c>
    </row>
    <row r="799" spans="1:31" ht="15.75" customHeight="1">
      <c r="A799" s="334" t="str">
        <f>IF(B799&lt;&gt;"",IF(AND(B799='IN-TC'!$S$4,OR(TH!N799="1111",TH!O799="1111")),TH!D799,""),"")</f>
        <v/>
      </c>
      <c r="B799" s="63">
        <f t="shared" si="98"/>
        <v>7</v>
      </c>
      <c r="C799" s="78">
        <f t="shared" si="99"/>
        <v>42561</v>
      </c>
      <c r="D799" s="78" t="s">
        <v>937</v>
      </c>
      <c r="E799" s="78">
        <v>42561</v>
      </c>
      <c r="F799" s="67" t="s">
        <v>1969</v>
      </c>
      <c r="G799" s="79"/>
      <c r="H799" s="80" t="s">
        <v>1970</v>
      </c>
      <c r="I799" s="435">
        <v>8742</v>
      </c>
      <c r="J799" s="436">
        <v>17500</v>
      </c>
      <c r="K799" s="426"/>
      <c r="L799" s="435"/>
      <c r="M799" s="81">
        <f t="shared" si="97"/>
        <v>152985000</v>
      </c>
      <c r="N799" s="82" t="s">
        <v>274</v>
      </c>
      <c r="O799" s="82" t="s">
        <v>8</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c r="AE799" s="1136" t="str">
        <f t="shared" si="100"/>
        <v>x</v>
      </c>
    </row>
    <row r="800" spans="1:31" ht="15.75" customHeight="1">
      <c r="A800" s="334" t="str">
        <f>IF(B800&lt;&gt;"",IF(AND(B800='IN-TC'!$S$4,OR(TH!N800="1111",TH!O800="1111")),TH!D800,""),"")</f>
        <v/>
      </c>
      <c r="B800" s="63">
        <f t="shared" si="98"/>
        <v>7</v>
      </c>
      <c r="C800" s="78">
        <f t="shared" si="99"/>
        <v>42567</v>
      </c>
      <c r="D800" s="78" t="s">
        <v>938</v>
      </c>
      <c r="E800" s="78">
        <v>42567</v>
      </c>
      <c r="F800" s="67" t="s">
        <v>1969</v>
      </c>
      <c r="G800" s="79"/>
      <c r="H800" s="80" t="s">
        <v>391</v>
      </c>
      <c r="I800" s="435">
        <v>8075</v>
      </c>
      <c r="J800" s="436">
        <v>17500</v>
      </c>
      <c r="K800" s="426"/>
      <c r="L800" s="435"/>
      <c r="M800" s="81">
        <f t="shared" si="97"/>
        <v>141312500</v>
      </c>
      <c r="N800" s="82" t="s">
        <v>274</v>
      </c>
      <c r="O800" s="82" t="s">
        <v>8</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c r="AE800" s="1136" t="str">
        <f t="shared" si="100"/>
        <v>x</v>
      </c>
    </row>
    <row r="801" spans="1:31" ht="15.75" customHeight="1">
      <c r="A801" s="334" t="str">
        <f>IF(B801&lt;&gt;"",IF(AND(B801='IN-TC'!$S$4,OR(TH!N801="1111",TH!O801="1111")),TH!D801,""),"")</f>
        <v/>
      </c>
      <c r="B801" s="63">
        <f t="shared" si="98"/>
        <v>7</v>
      </c>
      <c r="C801" s="78">
        <f t="shared" si="99"/>
        <v>42567</v>
      </c>
      <c r="D801" s="78" t="s">
        <v>939</v>
      </c>
      <c r="E801" s="78">
        <v>42567</v>
      </c>
      <c r="F801" s="67" t="s">
        <v>1969</v>
      </c>
      <c r="G801" s="79"/>
      <c r="H801" s="80" t="s">
        <v>393</v>
      </c>
      <c r="I801" s="435">
        <v>9450</v>
      </c>
      <c r="J801" s="436">
        <v>17500</v>
      </c>
      <c r="K801" s="426"/>
      <c r="L801" s="435"/>
      <c r="M801" s="81">
        <f t="shared" si="97"/>
        <v>165375000</v>
      </c>
      <c r="N801" s="82" t="s">
        <v>274</v>
      </c>
      <c r="O801" s="82" t="s">
        <v>8</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c r="AE801" s="1136" t="str">
        <f t="shared" si="100"/>
        <v>x</v>
      </c>
    </row>
    <row r="802" spans="1:31" ht="15.75" customHeight="1">
      <c r="A802" s="334" t="str">
        <f>IF(B802&lt;&gt;"",IF(AND(B802='IN-TC'!$S$4,OR(TH!N802="1111",TH!O802="1111")),TH!D802,""),"")</f>
        <v/>
      </c>
      <c r="B802" s="63">
        <f t="shared" si="98"/>
        <v>7</v>
      </c>
      <c r="C802" s="78">
        <f t="shared" si="99"/>
        <v>42567</v>
      </c>
      <c r="D802" s="78" t="s">
        <v>940</v>
      </c>
      <c r="E802" s="78">
        <v>42567</v>
      </c>
      <c r="F802" s="67" t="s">
        <v>1969</v>
      </c>
      <c r="G802" s="79"/>
      <c r="H802" s="80" t="s">
        <v>383</v>
      </c>
      <c r="I802" s="435">
        <v>9035</v>
      </c>
      <c r="J802" s="436">
        <v>17500</v>
      </c>
      <c r="K802" s="426"/>
      <c r="L802" s="435"/>
      <c r="M802" s="81">
        <f t="shared" si="97"/>
        <v>158112500</v>
      </c>
      <c r="N802" s="82" t="s">
        <v>274</v>
      </c>
      <c r="O802" s="82" t="s">
        <v>8</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c r="AE802" s="1136" t="str">
        <f t="shared" si="100"/>
        <v>x</v>
      </c>
    </row>
    <row r="803" spans="1:31" ht="15.75" customHeight="1">
      <c r="A803" s="334" t="str">
        <f>IF(B803&lt;&gt;"",IF(AND(B803='IN-TC'!$S$4,OR(TH!N803="1111",TH!O803="1111")),TH!D803,""),"")</f>
        <v/>
      </c>
      <c r="B803" s="63">
        <f t="shared" si="98"/>
        <v>7</v>
      </c>
      <c r="C803" s="78">
        <f t="shared" si="99"/>
        <v>42570</v>
      </c>
      <c r="D803" s="78" t="s">
        <v>946</v>
      </c>
      <c r="E803" s="78">
        <v>42570</v>
      </c>
      <c r="F803" s="67" t="s">
        <v>1969</v>
      </c>
      <c r="G803" s="79"/>
      <c r="H803" s="80" t="s">
        <v>385</v>
      </c>
      <c r="I803" s="435">
        <v>8760</v>
      </c>
      <c r="J803" s="436">
        <v>17500</v>
      </c>
      <c r="K803" s="426"/>
      <c r="L803" s="435"/>
      <c r="M803" s="81">
        <f t="shared" si="97"/>
        <v>153300000</v>
      </c>
      <c r="N803" s="82" t="s">
        <v>274</v>
      </c>
      <c r="O803" s="82" t="s">
        <v>8</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c r="AE803" s="1136" t="str">
        <f t="shared" si="100"/>
        <v>x</v>
      </c>
    </row>
    <row r="804" spans="1:31" ht="15.75" customHeight="1">
      <c r="A804" s="334" t="str">
        <f>IF(B804&lt;&gt;"",IF(AND(B804='IN-TC'!$S$4,OR(TH!N804="1111",TH!O804="1111")),TH!D804,""),"")</f>
        <v/>
      </c>
      <c r="B804" s="63">
        <f t="shared" si="98"/>
        <v>7</v>
      </c>
      <c r="C804" s="78">
        <f t="shared" si="99"/>
        <v>42570</v>
      </c>
      <c r="D804" s="78" t="s">
        <v>947</v>
      </c>
      <c r="E804" s="78">
        <v>42570</v>
      </c>
      <c r="F804" s="67" t="s">
        <v>1969</v>
      </c>
      <c r="G804" s="79"/>
      <c r="H804" s="80" t="s">
        <v>1970</v>
      </c>
      <c r="I804" s="435">
        <v>8790</v>
      </c>
      <c r="J804" s="436">
        <v>17500</v>
      </c>
      <c r="K804" s="426"/>
      <c r="L804" s="435"/>
      <c r="M804" s="81">
        <f t="shared" si="97"/>
        <v>153825000</v>
      </c>
      <c r="N804" s="82" t="s">
        <v>274</v>
      </c>
      <c r="O804" s="82" t="s">
        <v>8</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c r="AE804" s="1136" t="str">
        <f>IF(H804&lt;&gt;VLOOKUP(H804,DSKH,1,0),"","x")</f>
        <v>x</v>
      </c>
    </row>
    <row r="805" spans="1:31" ht="15.75" customHeight="1">
      <c r="A805" s="334" t="str">
        <f>IF(B805&lt;&gt;"",IF(AND(B805='IN-TC'!$S$4,OR(TH!N805="1111",TH!O805="1111")),TH!D805,""),"")</f>
        <v/>
      </c>
      <c r="B805" s="63">
        <f t="shared" si="98"/>
        <v>7</v>
      </c>
      <c r="C805" s="78">
        <f t="shared" si="99"/>
        <v>42570</v>
      </c>
      <c r="D805" s="78" t="s">
        <v>948</v>
      </c>
      <c r="E805" s="78">
        <v>42570</v>
      </c>
      <c r="F805" s="67" t="s">
        <v>1969</v>
      </c>
      <c r="G805" s="79"/>
      <c r="H805" s="80" t="s">
        <v>391</v>
      </c>
      <c r="I805" s="435">
        <v>7538</v>
      </c>
      <c r="J805" s="436">
        <v>17500</v>
      </c>
      <c r="K805" s="426"/>
      <c r="L805" s="435"/>
      <c r="M805" s="81">
        <f t="shared" si="97"/>
        <v>131915000</v>
      </c>
      <c r="N805" s="82" t="s">
        <v>274</v>
      </c>
      <c r="O805" s="82" t="s">
        <v>8</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c r="AE805" s="1136" t="str">
        <f t="shared" si="100"/>
        <v>x</v>
      </c>
    </row>
    <row r="806" spans="1:31" s="339" customFormat="1" ht="15.75" customHeight="1">
      <c r="A806" s="334" t="str">
        <f>IF(B806&lt;&gt;"",IF(AND(B806='IN-TC'!$S$4,OR(TH!N806="1111",TH!O806="1111")),TH!D806,""),"")</f>
        <v/>
      </c>
      <c r="B806" s="63">
        <f t="shared" si="98"/>
        <v>7</v>
      </c>
      <c r="C806" s="92">
        <f t="shared" si="99"/>
        <v>42561</v>
      </c>
      <c r="D806" s="92" t="s">
        <v>690</v>
      </c>
      <c r="E806" s="92">
        <v>42561</v>
      </c>
      <c r="F806" s="67" t="s">
        <v>1969</v>
      </c>
      <c r="G806" s="93"/>
      <c r="H806" s="94" t="s">
        <v>446</v>
      </c>
      <c r="I806" s="1175">
        <v>26352</v>
      </c>
      <c r="J806" s="1174">
        <v>17500</v>
      </c>
      <c r="K806" s="1176"/>
      <c r="L806" s="1175"/>
      <c r="M806" s="95">
        <f t="shared" si="97"/>
        <v>461160000</v>
      </c>
      <c r="N806" s="83" t="s">
        <v>282</v>
      </c>
      <c r="O806" s="83" t="s">
        <v>274</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1" s="339" customFormat="1" ht="15.75" customHeight="1">
      <c r="A807" s="334" t="str">
        <f>IF(B807&lt;&gt;"",IF(AND(B807='IN-TC'!$S$4,OR(TH!N807="1111",TH!O807="1111")),TH!D807,""),"")</f>
        <v/>
      </c>
      <c r="B807" s="63">
        <f t="shared" si="98"/>
        <v>7</v>
      </c>
      <c r="C807" s="92">
        <f t="shared" si="99"/>
        <v>42567</v>
      </c>
      <c r="D807" s="92" t="s">
        <v>692</v>
      </c>
      <c r="E807" s="92">
        <v>42567</v>
      </c>
      <c r="F807" s="67" t="s">
        <v>1969</v>
      </c>
      <c r="G807" s="1138"/>
      <c r="H807" s="94" t="s">
        <v>446</v>
      </c>
      <c r="I807" s="1175">
        <v>26560</v>
      </c>
      <c r="J807" s="1174">
        <v>17500</v>
      </c>
      <c r="K807" s="1176"/>
      <c r="L807" s="1175"/>
      <c r="M807" s="95">
        <f t="shared" si="97"/>
        <v>464800000</v>
      </c>
      <c r="N807" s="83" t="s">
        <v>282</v>
      </c>
      <c r="O807" s="83" t="s">
        <v>274</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1" s="339" customFormat="1" ht="15.75" customHeight="1">
      <c r="A808" s="334" t="str">
        <f>IF(B808&lt;&gt;"",IF(AND(B808='IN-TC'!$S$4,OR(TH!N808="1111",TH!O808="1111")),TH!D808,""),"")</f>
        <v/>
      </c>
      <c r="B808" s="63">
        <f t="shared" si="98"/>
        <v>7</v>
      </c>
      <c r="C808" s="92">
        <f t="shared" si="99"/>
        <v>42570</v>
      </c>
      <c r="D808" s="92" t="s">
        <v>941</v>
      </c>
      <c r="E808" s="92">
        <v>42570</v>
      </c>
      <c r="F808" s="67" t="s">
        <v>1969</v>
      </c>
      <c r="G808" s="93"/>
      <c r="H808" s="94" t="s">
        <v>446</v>
      </c>
      <c r="I808" s="443">
        <v>25088</v>
      </c>
      <c r="J808" s="1174">
        <v>17500</v>
      </c>
      <c r="K808" s="434"/>
      <c r="L808" s="443"/>
      <c r="M808" s="95">
        <f t="shared" si="97"/>
        <v>439040000</v>
      </c>
      <c r="N808" s="83" t="s">
        <v>282</v>
      </c>
      <c r="O808" s="83" t="s">
        <v>274</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1" ht="15.75" customHeight="1">
      <c r="A809" s="334" t="str">
        <f>IF(B809&lt;&gt;"",IF(AND(B809='IN-TC'!$S$4,OR(TH!N809="1111",TH!O809="1111")),TH!D809,""),"")</f>
        <v/>
      </c>
      <c r="B809" s="63">
        <f t="shared" si="98"/>
        <v>7</v>
      </c>
      <c r="C809" s="78">
        <f t="shared" si="99"/>
        <v>42572</v>
      </c>
      <c r="D809" s="78" t="s">
        <v>949</v>
      </c>
      <c r="E809" s="78">
        <v>42572</v>
      </c>
      <c r="F809" s="67" t="s">
        <v>1950</v>
      </c>
      <c r="G809" s="79"/>
      <c r="H809" s="87" t="s">
        <v>430</v>
      </c>
      <c r="I809" s="436">
        <v>7580</v>
      </c>
      <c r="J809" s="436">
        <v>17500</v>
      </c>
      <c r="K809" s="427"/>
      <c r="L809" s="436"/>
      <c r="M809" s="81">
        <f t="shared" si="97"/>
        <v>132650000</v>
      </c>
      <c r="N809" s="82" t="s">
        <v>274</v>
      </c>
      <c r="O809" s="82" t="s">
        <v>8</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c r="AE809" s="1136" t="str">
        <f t="shared" ref="AE809:AE817" si="101">IF(H809&lt;&gt;VLOOKUP(H809,DSKH,1,0),"","x")</f>
        <v>x</v>
      </c>
    </row>
    <row r="810" spans="1:31" ht="15.75" customHeight="1">
      <c r="A810" s="334" t="str">
        <f>IF(B810&lt;&gt;"",IF(AND(B810='IN-TC'!$S$4,OR(TH!N810="1111",TH!O810="1111")),TH!D810,""),"")</f>
        <v/>
      </c>
      <c r="B810" s="63">
        <f t="shared" si="98"/>
        <v>7</v>
      </c>
      <c r="C810" s="78">
        <f t="shared" si="99"/>
        <v>42572</v>
      </c>
      <c r="D810" s="78" t="s">
        <v>950</v>
      </c>
      <c r="E810" s="78">
        <v>42572</v>
      </c>
      <c r="F810" s="67" t="s">
        <v>1950</v>
      </c>
      <c r="G810" s="79"/>
      <c r="H810" s="80" t="s">
        <v>1966</v>
      </c>
      <c r="I810" s="435">
        <v>7974</v>
      </c>
      <c r="J810" s="436">
        <v>17500</v>
      </c>
      <c r="K810" s="426"/>
      <c r="L810" s="435"/>
      <c r="M810" s="81">
        <f t="shared" si="97"/>
        <v>139545000</v>
      </c>
      <c r="N810" s="82" t="s">
        <v>274</v>
      </c>
      <c r="O810" s="82" t="s">
        <v>8</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c r="AE810" s="1136" t="str">
        <f t="shared" si="101"/>
        <v>x</v>
      </c>
    </row>
    <row r="811" spans="1:31" ht="15.75" customHeight="1">
      <c r="A811" s="334" t="str">
        <f>IF(B811&lt;&gt;"",IF(AND(B811='IN-TC'!$S$4,OR(TH!N811="1111",TH!O811="1111")),TH!D811,""),"")</f>
        <v/>
      </c>
      <c r="B811" s="63">
        <f t="shared" si="98"/>
        <v>7</v>
      </c>
      <c r="C811" s="78">
        <f t="shared" si="99"/>
        <v>42572</v>
      </c>
      <c r="D811" s="78" t="s">
        <v>951</v>
      </c>
      <c r="E811" s="78">
        <v>42572</v>
      </c>
      <c r="F811" s="67" t="s">
        <v>1950</v>
      </c>
      <c r="G811" s="79"/>
      <c r="H811" s="80" t="s">
        <v>1967</v>
      </c>
      <c r="I811" s="435">
        <v>7560</v>
      </c>
      <c r="J811" s="436">
        <v>17500</v>
      </c>
      <c r="K811" s="426"/>
      <c r="L811" s="435"/>
      <c r="M811" s="81">
        <f t="shared" si="97"/>
        <v>132300000</v>
      </c>
      <c r="N811" s="82" t="s">
        <v>274</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c r="AE811" s="1136" t="str">
        <f t="shared" si="101"/>
        <v>x</v>
      </c>
    </row>
    <row r="812" spans="1:31" ht="15.75" customHeight="1">
      <c r="A812" s="334" t="str">
        <f>IF(B812&lt;&gt;"",IF(AND(B812='IN-TC'!$S$4,OR(TH!N812="1111",TH!O812="1111")),TH!D812,""),"")</f>
        <v/>
      </c>
      <c r="B812" s="63">
        <f t="shared" si="98"/>
        <v>7</v>
      </c>
      <c r="C812" s="78">
        <f t="shared" si="99"/>
        <v>42575</v>
      </c>
      <c r="D812" s="78" t="s">
        <v>952</v>
      </c>
      <c r="E812" s="78">
        <v>42575</v>
      </c>
      <c r="F812" s="67" t="s">
        <v>1950</v>
      </c>
      <c r="G812" s="79"/>
      <c r="H812" s="80" t="s">
        <v>428</v>
      </c>
      <c r="I812" s="435">
        <v>7620</v>
      </c>
      <c r="J812" s="436">
        <v>17500</v>
      </c>
      <c r="K812" s="426"/>
      <c r="L812" s="435"/>
      <c r="M812" s="81">
        <f t="shared" si="97"/>
        <v>133350000</v>
      </c>
      <c r="N812" s="82" t="s">
        <v>274</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c r="AE812" s="1136" t="str">
        <f t="shared" si="101"/>
        <v>x</v>
      </c>
    </row>
    <row r="813" spans="1:31" ht="15.75" customHeight="1">
      <c r="A813" s="334" t="str">
        <f>IF(B813&lt;&gt;"",IF(AND(B813='IN-TC'!$S$4,OR(TH!N813="1111",TH!O813="1111")),TH!D813,""),"")</f>
        <v/>
      </c>
      <c r="B813" s="63">
        <f t="shared" si="98"/>
        <v>7</v>
      </c>
      <c r="C813" s="78">
        <f t="shared" si="99"/>
        <v>42575</v>
      </c>
      <c r="D813" s="78" t="s">
        <v>953</v>
      </c>
      <c r="E813" s="78">
        <v>42575</v>
      </c>
      <c r="F813" s="67" t="s">
        <v>1950</v>
      </c>
      <c r="G813" s="79"/>
      <c r="H813" s="80" t="s">
        <v>1967</v>
      </c>
      <c r="I813" s="435">
        <v>7980</v>
      </c>
      <c r="J813" s="436">
        <v>17500</v>
      </c>
      <c r="K813" s="426"/>
      <c r="L813" s="435"/>
      <c r="M813" s="81">
        <f t="shared" si="97"/>
        <v>139650000</v>
      </c>
      <c r="N813" s="82" t="s">
        <v>274</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c r="AE813" s="1136" t="str">
        <f t="shared" si="101"/>
        <v>x</v>
      </c>
    </row>
    <row r="814" spans="1:31" ht="15.75" customHeight="1">
      <c r="A814" s="334" t="str">
        <f>IF(B814&lt;&gt;"",IF(AND(B814='IN-TC'!$S$4,OR(TH!N814="1111",TH!O814="1111")),TH!D814,""),"")</f>
        <v/>
      </c>
      <c r="B814" s="63">
        <f t="shared" si="98"/>
        <v>7</v>
      </c>
      <c r="C814" s="78">
        <f t="shared" si="99"/>
        <v>42575</v>
      </c>
      <c r="D814" s="78" t="s">
        <v>954</v>
      </c>
      <c r="E814" s="78">
        <v>42575</v>
      </c>
      <c r="F814" s="67" t="s">
        <v>1950</v>
      </c>
      <c r="G814" s="79"/>
      <c r="H814" s="80" t="s">
        <v>425</v>
      </c>
      <c r="I814" s="435">
        <v>7530</v>
      </c>
      <c r="J814" s="436">
        <v>17500</v>
      </c>
      <c r="K814" s="426"/>
      <c r="L814" s="435"/>
      <c r="M814" s="81">
        <f t="shared" si="97"/>
        <v>131775000</v>
      </c>
      <c r="N814" s="82" t="s">
        <v>274</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c r="AE814" s="1136" t="str">
        <f t="shared" si="101"/>
        <v>x</v>
      </c>
    </row>
    <row r="815" spans="1:31" ht="15.75" customHeight="1">
      <c r="A815" s="334" t="str">
        <f>IF(B815&lt;&gt;"",IF(AND(B815='IN-TC'!$S$4,OR(TH!N815="1111",TH!O815="1111")),TH!D815,""),"")</f>
        <v/>
      </c>
      <c r="B815" s="63">
        <f t="shared" si="98"/>
        <v>7</v>
      </c>
      <c r="C815" s="78">
        <f t="shared" si="99"/>
        <v>42580</v>
      </c>
      <c r="D815" s="78" t="s">
        <v>955</v>
      </c>
      <c r="E815" s="78">
        <v>42580</v>
      </c>
      <c r="F815" s="67" t="s">
        <v>1950</v>
      </c>
      <c r="G815" s="79"/>
      <c r="H815" s="80" t="s">
        <v>1967</v>
      </c>
      <c r="I815" s="435">
        <v>7950</v>
      </c>
      <c r="J815" s="436">
        <v>17500</v>
      </c>
      <c r="K815" s="426"/>
      <c r="L815" s="435"/>
      <c r="M815" s="81">
        <f t="shared" si="97"/>
        <v>139125000</v>
      </c>
      <c r="N815" s="82" t="s">
        <v>274</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c r="AE815" s="1136" t="str">
        <f t="shared" si="101"/>
        <v>x</v>
      </c>
    </row>
    <row r="816" spans="1:31" ht="15.75" customHeight="1">
      <c r="A816" s="334" t="str">
        <f>IF(B816&lt;&gt;"",IF(AND(B816='IN-TC'!$S$4,OR(TH!N816="1111",TH!O816="1111")),TH!D816,""),"")</f>
        <v/>
      </c>
      <c r="B816" s="63">
        <f t="shared" si="98"/>
        <v>7</v>
      </c>
      <c r="C816" s="78">
        <f t="shared" si="99"/>
        <v>42580</v>
      </c>
      <c r="D816" s="78" t="s">
        <v>956</v>
      </c>
      <c r="E816" s="78">
        <v>42580</v>
      </c>
      <c r="F816" s="67" t="s">
        <v>1950</v>
      </c>
      <c r="G816" s="79"/>
      <c r="H816" s="80" t="s">
        <v>425</v>
      </c>
      <c r="I816" s="435">
        <v>7930</v>
      </c>
      <c r="J816" s="436">
        <v>17500</v>
      </c>
      <c r="K816" s="426"/>
      <c r="L816" s="435"/>
      <c r="M816" s="81">
        <f t="shared" si="97"/>
        <v>138775000</v>
      </c>
      <c r="N816" s="82" t="s">
        <v>274</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c r="AE816" s="1136" t="str">
        <f t="shared" si="101"/>
        <v>x</v>
      </c>
    </row>
    <row r="817" spans="1:31" ht="15.75" customHeight="1">
      <c r="A817" s="334" t="str">
        <f>IF(B817&lt;&gt;"",IF(AND(B817='IN-TC'!$S$4,OR(TH!N817="1111",TH!O817="1111")),TH!D817,""),"")</f>
        <v/>
      </c>
      <c r="B817" s="63">
        <f t="shared" si="98"/>
        <v>7</v>
      </c>
      <c r="C817" s="78">
        <f t="shared" si="99"/>
        <v>42580</v>
      </c>
      <c r="D817" s="78" t="s">
        <v>957</v>
      </c>
      <c r="E817" s="78">
        <v>42580</v>
      </c>
      <c r="F817" s="67" t="s">
        <v>1950</v>
      </c>
      <c r="G817" s="79"/>
      <c r="H817" s="87" t="s">
        <v>430</v>
      </c>
      <c r="I817" s="435">
        <v>7876</v>
      </c>
      <c r="J817" s="436">
        <v>17500</v>
      </c>
      <c r="K817" s="426"/>
      <c r="L817" s="435"/>
      <c r="M817" s="81">
        <f t="shared" si="97"/>
        <v>137830000</v>
      </c>
      <c r="N817" s="82" t="s">
        <v>274</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c r="AE817" s="1136" t="str">
        <f t="shared" si="101"/>
        <v>x</v>
      </c>
    </row>
    <row r="818" spans="1:31" s="339" customFormat="1" ht="15.75" customHeight="1">
      <c r="A818" s="334" t="str">
        <f>IF(B818&lt;&gt;"",IF(AND(B818='IN-TC'!$S$4,OR(TH!N818="1111",TH!O818="1111")),TH!D818,""),"")</f>
        <v/>
      </c>
      <c r="B818" s="63">
        <f t="shared" si="98"/>
        <v>8</v>
      </c>
      <c r="C818" s="92">
        <f t="shared" si="99"/>
        <v>42583</v>
      </c>
      <c r="D818" s="92" t="s">
        <v>682</v>
      </c>
      <c r="E818" s="92">
        <v>42583</v>
      </c>
      <c r="F818" s="67" t="s">
        <v>1950</v>
      </c>
      <c r="G818" s="93"/>
      <c r="H818" s="94" t="s">
        <v>446</v>
      </c>
      <c r="I818" s="1175">
        <v>23114</v>
      </c>
      <c r="J818" s="1174">
        <v>17500</v>
      </c>
      <c r="K818" s="1176"/>
      <c r="L818" s="1175"/>
      <c r="M818" s="95">
        <f t="shared" si="97"/>
        <v>404495000</v>
      </c>
      <c r="N818" s="83" t="s">
        <v>282</v>
      </c>
      <c r="O818" s="83" t="s">
        <v>274</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1" s="339" customFormat="1" ht="15.75" customHeight="1">
      <c r="A819" s="334" t="str">
        <f>IF(B819&lt;&gt;"",IF(AND(B819='IN-TC'!$S$4,OR(TH!N819="1111",TH!O819="1111")),TH!D819,""),"")</f>
        <v/>
      </c>
      <c r="B819" s="63">
        <f t="shared" si="98"/>
        <v>8</v>
      </c>
      <c r="C819" s="92">
        <f t="shared" si="99"/>
        <v>42588</v>
      </c>
      <c r="D819" s="92" t="s">
        <v>689</v>
      </c>
      <c r="E819" s="92">
        <v>42588</v>
      </c>
      <c r="F819" s="67" t="s">
        <v>1950</v>
      </c>
      <c r="G819" s="93"/>
      <c r="H819" s="94" t="s">
        <v>446</v>
      </c>
      <c r="I819" s="1175">
        <v>23130</v>
      </c>
      <c r="J819" s="1174">
        <v>17500</v>
      </c>
      <c r="K819" s="1176"/>
      <c r="L819" s="1175"/>
      <c r="M819" s="95">
        <f t="shared" si="97"/>
        <v>404775000</v>
      </c>
      <c r="N819" s="83" t="s">
        <v>282</v>
      </c>
      <c r="O819" s="83" t="s">
        <v>274</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1" s="339" customFormat="1" ht="15.75" customHeight="1">
      <c r="A820" s="334" t="str">
        <f>IF(B820&lt;&gt;"",IF(AND(B820='IN-TC'!$S$4,OR(TH!N820="1111",TH!O820="1111")),TH!D820,""),"")</f>
        <v/>
      </c>
      <c r="B820" s="63">
        <f t="shared" si="98"/>
        <v>8</v>
      </c>
      <c r="C820" s="92">
        <f t="shared" si="99"/>
        <v>42591</v>
      </c>
      <c r="D820" s="92" t="s">
        <v>690</v>
      </c>
      <c r="E820" s="92">
        <v>42591</v>
      </c>
      <c r="F820" s="67" t="s">
        <v>1950</v>
      </c>
      <c r="G820" s="93"/>
      <c r="H820" s="94" t="s">
        <v>446</v>
      </c>
      <c r="I820" s="1175">
        <v>23756</v>
      </c>
      <c r="J820" s="1174">
        <v>17500</v>
      </c>
      <c r="K820" s="1176"/>
      <c r="L820" s="1175"/>
      <c r="M820" s="95">
        <f t="shared" si="97"/>
        <v>415730000</v>
      </c>
      <c r="N820" s="83" t="s">
        <v>282</v>
      </c>
      <c r="O820" s="83" t="s">
        <v>274</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1" s="339" customFormat="1" ht="15.75" customHeight="1">
      <c r="A821" s="334" t="str">
        <f>IF(B821&lt;&gt;"",IF(AND(B821='IN-TC'!$S$4,OR(TH!N821="1111",TH!O821="1111")),TH!D821,""),"")</f>
        <v/>
      </c>
      <c r="B821" s="63">
        <f t="shared" si="98"/>
        <v>8</v>
      </c>
      <c r="C821" s="92">
        <f t="shared" si="99"/>
        <v>42592</v>
      </c>
      <c r="D821" s="92" t="s">
        <v>690</v>
      </c>
      <c r="E821" s="92">
        <v>42592</v>
      </c>
      <c r="F821" s="67" t="s">
        <v>1952</v>
      </c>
      <c r="G821" s="93"/>
      <c r="H821" s="94" t="s">
        <v>446</v>
      </c>
      <c r="I821" s="1175">
        <v>11250</v>
      </c>
      <c r="J821" s="1174">
        <v>11165</v>
      </c>
      <c r="K821" s="1176"/>
      <c r="L821" s="1175"/>
      <c r="M821" s="95">
        <f t="shared" si="97"/>
        <v>125606250</v>
      </c>
      <c r="N821" s="83" t="s">
        <v>282</v>
      </c>
      <c r="O821" s="83" t="s">
        <v>274</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1" ht="15.75" customHeight="1">
      <c r="A822" s="334" t="str">
        <f>IF(B822&lt;&gt;"",IF(AND(B822='IN-TC'!$S$4,OR(TH!N822="1111",TH!O822="1111")),TH!D822,""),"")</f>
        <v/>
      </c>
      <c r="B822" s="63">
        <f t="shared" si="98"/>
        <v>8</v>
      </c>
      <c r="C822" s="78">
        <f t="shared" si="99"/>
        <v>42602</v>
      </c>
      <c r="D822" s="78" t="s">
        <v>1957</v>
      </c>
      <c r="E822" s="78">
        <v>42602</v>
      </c>
      <c r="F822" s="67" t="s">
        <v>1948</v>
      </c>
      <c r="G822" s="79"/>
      <c r="H822" s="80" t="s">
        <v>409</v>
      </c>
      <c r="I822" s="435">
        <v>2500</v>
      </c>
      <c r="J822" s="436">
        <v>47000</v>
      </c>
      <c r="K822" s="426"/>
      <c r="L822" s="435"/>
      <c r="M822" s="81">
        <f t="shared" si="97"/>
        <v>117500000</v>
      </c>
      <c r="N822" s="82" t="s">
        <v>274</v>
      </c>
      <c r="O822" s="82" t="s">
        <v>8</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c r="AE822" s="1136" t="str">
        <f>IF(H822&lt;&gt;VLOOKUP(H822,DSKH,1,0),"","x")</f>
        <v>x</v>
      </c>
    </row>
    <row r="823" spans="1:31" s="339" customFormat="1" ht="15.75" customHeight="1">
      <c r="A823" s="334" t="str">
        <f>IF(B823&lt;&gt;"",IF(AND(B823='IN-TC'!$S$4,OR(TH!N823="1111",TH!O823="1111")),TH!D823,""),"")</f>
        <v/>
      </c>
      <c r="B823" s="63">
        <f t="shared" si="98"/>
        <v>8</v>
      </c>
      <c r="C823" s="92">
        <f t="shared" si="99"/>
        <v>42602</v>
      </c>
      <c r="D823" s="92" t="s">
        <v>693</v>
      </c>
      <c r="E823" s="92">
        <v>42602</v>
      </c>
      <c r="F823" s="67" t="s">
        <v>1948</v>
      </c>
      <c r="G823" s="93"/>
      <c r="H823" s="94" t="s">
        <v>446</v>
      </c>
      <c r="I823" s="1175">
        <v>2500</v>
      </c>
      <c r="J823" s="1174">
        <v>47000</v>
      </c>
      <c r="K823" s="1176"/>
      <c r="L823" s="1175"/>
      <c r="M823" s="95">
        <f t="shared" si="97"/>
        <v>117500000</v>
      </c>
      <c r="N823" s="83" t="s">
        <v>282</v>
      </c>
      <c r="O823" s="83" t="s">
        <v>274</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row>
    <row r="824" spans="1:31" ht="15.75" customHeight="1">
      <c r="A824" s="334" t="str">
        <f>IF(B824&lt;&gt;"",IF(AND(B824='IN-TC'!$S$4,OR(TH!N824="1111",TH!O824="1111")),TH!D824,""),"")</f>
        <v/>
      </c>
      <c r="B824" s="63">
        <f t="shared" si="98"/>
        <v>8</v>
      </c>
      <c r="C824" s="78">
        <f t="shared" si="99"/>
        <v>42583</v>
      </c>
      <c r="D824" s="78" t="s">
        <v>930</v>
      </c>
      <c r="E824" s="78">
        <v>42583</v>
      </c>
      <c r="F824" s="67" t="s">
        <v>1969</v>
      </c>
      <c r="G824" s="79"/>
      <c r="H824" s="87" t="s">
        <v>383</v>
      </c>
      <c r="I824" s="436">
        <v>7450</v>
      </c>
      <c r="J824" s="436">
        <v>17500</v>
      </c>
      <c r="K824" s="427"/>
      <c r="L824" s="436"/>
      <c r="M824" s="81">
        <f t="shared" si="97"/>
        <v>130375000</v>
      </c>
      <c r="N824" s="82" t="s">
        <v>274</v>
      </c>
      <c r="O824" s="82" t="s">
        <v>8</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c r="AE824" s="1136" t="str">
        <f t="shared" ref="AE824:AE832" si="102">IF(H824&lt;&gt;VLOOKUP(H824,DSKH,1,0),"","x")</f>
        <v>x</v>
      </c>
    </row>
    <row r="825" spans="1:31" ht="15.75" customHeight="1">
      <c r="A825" s="334" t="str">
        <f>IF(B825&lt;&gt;"",IF(AND(B825='IN-TC'!$S$4,OR(TH!N825="1111",TH!O825="1111")),TH!D825,""),"")</f>
        <v/>
      </c>
      <c r="B825" s="63">
        <f t="shared" si="98"/>
        <v>8</v>
      </c>
      <c r="C825" s="78">
        <f t="shared" si="99"/>
        <v>42583</v>
      </c>
      <c r="D825" s="78" t="s">
        <v>931</v>
      </c>
      <c r="E825" s="78">
        <v>42583</v>
      </c>
      <c r="F825" s="67" t="s">
        <v>1969</v>
      </c>
      <c r="G825" s="79"/>
      <c r="H825" s="80" t="s">
        <v>385</v>
      </c>
      <c r="I825" s="435">
        <v>8950</v>
      </c>
      <c r="J825" s="436">
        <v>17500</v>
      </c>
      <c r="K825" s="426"/>
      <c r="L825" s="435"/>
      <c r="M825" s="81">
        <f t="shared" si="97"/>
        <v>156625000</v>
      </c>
      <c r="N825" s="82" t="s">
        <v>274</v>
      </c>
      <c r="O825" s="82" t="s">
        <v>8</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c r="AE825" s="1136" t="str">
        <f t="shared" si="102"/>
        <v>x</v>
      </c>
    </row>
    <row r="826" spans="1:31" ht="15.75" customHeight="1">
      <c r="A826" s="334" t="str">
        <f>IF(B826&lt;&gt;"",IF(AND(B826='IN-TC'!$S$4,OR(TH!N826="1111",TH!O826="1111")),TH!D826,""),"")</f>
        <v/>
      </c>
      <c r="B826" s="63">
        <f t="shared" si="98"/>
        <v>8</v>
      </c>
      <c r="C826" s="78">
        <f t="shared" si="99"/>
        <v>42583</v>
      </c>
      <c r="D826" s="78" t="s">
        <v>932</v>
      </c>
      <c r="E826" s="78">
        <v>42583</v>
      </c>
      <c r="F826" s="67" t="s">
        <v>1969</v>
      </c>
      <c r="G826" s="79"/>
      <c r="H826" s="80" t="s">
        <v>1970</v>
      </c>
      <c r="I826" s="435">
        <v>8746</v>
      </c>
      <c r="J826" s="436">
        <v>17500</v>
      </c>
      <c r="K826" s="426"/>
      <c r="L826" s="435"/>
      <c r="M826" s="81">
        <f t="shared" si="97"/>
        <v>153055000</v>
      </c>
      <c r="N826" s="82" t="s">
        <v>274</v>
      </c>
      <c r="O826" s="82" t="s">
        <v>8</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c r="AE826" s="1136" t="str">
        <f t="shared" si="102"/>
        <v>x</v>
      </c>
    </row>
    <row r="827" spans="1:31" ht="15.75" customHeight="1">
      <c r="A827" s="334" t="str">
        <f>IF(B827&lt;&gt;"",IF(AND(B827='IN-TC'!$S$4,OR(TH!N827="1111",TH!O827="1111")),TH!D827,""),"")</f>
        <v/>
      </c>
      <c r="B827" s="63">
        <f t="shared" si="98"/>
        <v>8</v>
      </c>
      <c r="C827" s="78">
        <f t="shared" si="99"/>
        <v>42588</v>
      </c>
      <c r="D827" s="78" t="s">
        <v>933</v>
      </c>
      <c r="E827" s="78">
        <v>42588</v>
      </c>
      <c r="F827" s="67" t="s">
        <v>1969</v>
      </c>
      <c r="G827" s="79"/>
      <c r="H827" s="80" t="s">
        <v>391</v>
      </c>
      <c r="I827" s="435">
        <v>8750</v>
      </c>
      <c r="J827" s="436">
        <v>17500</v>
      </c>
      <c r="K827" s="426"/>
      <c r="L827" s="435"/>
      <c r="M827" s="81">
        <f t="shared" si="97"/>
        <v>153125000</v>
      </c>
      <c r="N827" s="82" t="s">
        <v>274</v>
      </c>
      <c r="O827" s="82" t="s">
        <v>8</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c r="AE827" s="1136" t="str">
        <f>IF(H827&lt;&gt;VLOOKUP(H827,DSKH,1,0),"","x")</f>
        <v>x</v>
      </c>
    </row>
    <row r="828" spans="1:31" ht="15.75" customHeight="1">
      <c r="A828" s="334" t="str">
        <f>IF(B828&lt;&gt;"",IF(AND(B828='IN-TC'!$S$4,OR(TH!N828="1111",TH!O828="1111")),TH!D828,""),"")</f>
        <v/>
      </c>
      <c r="B828" s="63">
        <f t="shared" si="98"/>
        <v>8</v>
      </c>
      <c r="C828" s="78">
        <f t="shared" si="99"/>
        <v>42588</v>
      </c>
      <c r="D828" s="78" t="s">
        <v>934</v>
      </c>
      <c r="E828" s="78">
        <v>42588</v>
      </c>
      <c r="F828" s="67" t="s">
        <v>1969</v>
      </c>
      <c r="G828" s="79"/>
      <c r="H828" s="80" t="s">
        <v>393</v>
      </c>
      <c r="I828" s="435">
        <v>8750</v>
      </c>
      <c r="J828" s="436">
        <v>17500</v>
      </c>
      <c r="K828" s="426"/>
      <c r="L828" s="435"/>
      <c r="M828" s="81">
        <f t="shared" si="97"/>
        <v>153125000</v>
      </c>
      <c r="N828" s="82" t="s">
        <v>274</v>
      </c>
      <c r="O828" s="82" t="s">
        <v>8</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c r="AE828" s="1136" t="str">
        <f t="shared" si="102"/>
        <v>x</v>
      </c>
    </row>
    <row r="829" spans="1:31" ht="15.75" customHeight="1">
      <c r="A829" s="334" t="str">
        <f>IF(B829&lt;&gt;"",IF(AND(B829='IN-TC'!$S$4,OR(TH!N829="1111",TH!O829="1111")),TH!D829,""),"")</f>
        <v/>
      </c>
      <c r="B829" s="63">
        <f t="shared" si="98"/>
        <v>8</v>
      </c>
      <c r="C829" s="78">
        <f t="shared" si="99"/>
        <v>42588</v>
      </c>
      <c r="D829" s="78" t="s">
        <v>935</v>
      </c>
      <c r="E829" s="78">
        <v>42588</v>
      </c>
      <c r="F829" s="67" t="s">
        <v>1969</v>
      </c>
      <c r="G829" s="79"/>
      <c r="H829" s="80" t="s">
        <v>383</v>
      </c>
      <c r="I829" s="435">
        <v>8950</v>
      </c>
      <c r="J829" s="436">
        <v>17500</v>
      </c>
      <c r="K829" s="426"/>
      <c r="L829" s="435"/>
      <c r="M829" s="81">
        <f t="shared" si="97"/>
        <v>156625000</v>
      </c>
      <c r="N829" s="82" t="s">
        <v>274</v>
      </c>
      <c r="O829" s="82" t="s">
        <v>8</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c r="AE829" s="1136" t="str">
        <f t="shared" si="102"/>
        <v>x</v>
      </c>
    </row>
    <row r="830" spans="1:31" ht="15.75" customHeight="1">
      <c r="A830" s="334" t="str">
        <f>IF(B830&lt;&gt;"",IF(AND(B830='IN-TC'!$S$4,OR(TH!N830="1111",TH!O830="1111")),TH!D830,""),"")</f>
        <v/>
      </c>
      <c r="B830" s="63">
        <f t="shared" si="98"/>
        <v>8</v>
      </c>
      <c r="C830" s="78">
        <f t="shared" si="99"/>
        <v>42592</v>
      </c>
      <c r="D830" s="78" t="s">
        <v>936</v>
      </c>
      <c r="E830" s="78">
        <v>42592</v>
      </c>
      <c r="F830" s="67" t="s">
        <v>1969</v>
      </c>
      <c r="G830" s="79"/>
      <c r="H830" s="80" t="s">
        <v>385</v>
      </c>
      <c r="I830" s="435">
        <v>8856</v>
      </c>
      <c r="J830" s="436">
        <v>17500</v>
      </c>
      <c r="K830" s="426"/>
      <c r="L830" s="435"/>
      <c r="M830" s="81">
        <f t="shared" si="97"/>
        <v>154980000</v>
      </c>
      <c r="N830" s="82" t="s">
        <v>274</v>
      </c>
      <c r="O830" s="82" t="s">
        <v>8</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c r="AE830" s="1136" t="str">
        <f t="shared" si="102"/>
        <v>x</v>
      </c>
    </row>
    <row r="831" spans="1:31" ht="15.75" customHeight="1">
      <c r="A831" s="334" t="str">
        <f>IF(B831&lt;&gt;"",IF(AND(B831='IN-TC'!$S$4,OR(TH!N831="1111",TH!O831="1111")),TH!D831,""),"")</f>
        <v/>
      </c>
      <c r="B831" s="63">
        <f t="shared" si="98"/>
        <v>8</v>
      </c>
      <c r="C831" s="78">
        <f t="shared" si="99"/>
        <v>42592</v>
      </c>
      <c r="D831" s="78" t="s">
        <v>937</v>
      </c>
      <c r="E831" s="78">
        <v>42592</v>
      </c>
      <c r="F831" s="67" t="s">
        <v>1969</v>
      </c>
      <c r="G831" s="79"/>
      <c r="H831" s="80" t="s">
        <v>1970</v>
      </c>
      <c r="I831" s="435">
        <v>8948</v>
      </c>
      <c r="J831" s="436">
        <v>17500</v>
      </c>
      <c r="K831" s="426"/>
      <c r="L831" s="435"/>
      <c r="M831" s="81">
        <f t="shared" si="97"/>
        <v>156590000</v>
      </c>
      <c r="N831" s="82" t="s">
        <v>274</v>
      </c>
      <c r="O831" s="82" t="s">
        <v>8</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c r="AE831" s="1136" t="str">
        <f t="shared" si="102"/>
        <v>x</v>
      </c>
    </row>
    <row r="832" spans="1:31">
      <c r="A832" s="334" t="str">
        <f>IF(B832&lt;&gt;"",IF(AND(B832='IN-TC'!$S$4,OR(TH!N832="1111",TH!O832="1111")),TH!D832,""),"")</f>
        <v/>
      </c>
      <c r="B832" s="63">
        <f t="shared" si="98"/>
        <v>8</v>
      </c>
      <c r="C832" s="78">
        <f t="shared" si="99"/>
        <v>42592</v>
      </c>
      <c r="D832" s="78" t="s">
        <v>938</v>
      </c>
      <c r="E832" s="78">
        <v>42592</v>
      </c>
      <c r="F832" s="67" t="s">
        <v>1969</v>
      </c>
      <c r="G832" s="79"/>
      <c r="H832" s="80" t="s">
        <v>391</v>
      </c>
      <c r="I832" s="435">
        <v>8600</v>
      </c>
      <c r="J832" s="436">
        <v>17500</v>
      </c>
      <c r="K832" s="426"/>
      <c r="L832" s="435"/>
      <c r="M832" s="81">
        <f t="shared" si="97"/>
        <v>150500000</v>
      </c>
      <c r="N832" s="82" t="s">
        <v>274</v>
      </c>
      <c r="O832" s="82" t="s">
        <v>8</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c r="AE832" s="1136" t="str">
        <f t="shared" si="102"/>
        <v>x</v>
      </c>
    </row>
    <row r="833" spans="1:31" s="339" customFormat="1" ht="15.75" customHeight="1">
      <c r="A833" s="334" t="str">
        <f>IF(B833&lt;&gt;"",IF(AND(B833='IN-TC'!$S$4,OR(TH!N833="1111",TH!O833="1111")),TH!D833,""),"")</f>
        <v/>
      </c>
      <c r="B833" s="63">
        <f t="shared" si="98"/>
        <v>8</v>
      </c>
      <c r="C833" s="92">
        <f t="shared" si="99"/>
        <v>42583</v>
      </c>
      <c r="D833" s="92" t="s">
        <v>690</v>
      </c>
      <c r="E833" s="92">
        <v>42583</v>
      </c>
      <c r="F833" s="67" t="s">
        <v>1969</v>
      </c>
      <c r="G833" s="93"/>
      <c r="H833" s="94" t="s">
        <v>446</v>
      </c>
      <c r="I833" s="1175">
        <v>25146</v>
      </c>
      <c r="J833" s="1174">
        <v>17500</v>
      </c>
      <c r="K833" s="1176"/>
      <c r="L833" s="1175"/>
      <c r="M833" s="95">
        <f t="shared" si="97"/>
        <v>440055000</v>
      </c>
      <c r="N833" s="83" t="s">
        <v>282</v>
      </c>
      <c r="O833" s="83" t="s">
        <v>274</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1" s="339" customFormat="1" ht="15.75" customHeight="1">
      <c r="A834" s="334" t="str">
        <f>IF(B834&lt;&gt;"",IF(AND(B834='IN-TC'!$S$4,OR(TH!N834="1111",TH!O834="1111")),TH!D834,""),"")</f>
        <v/>
      </c>
      <c r="B834" s="63">
        <f t="shared" si="98"/>
        <v>8</v>
      </c>
      <c r="C834" s="92">
        <f t="shared" si="99"/>
        <v>42588</v>
      </c>
      <c r="D834" s="92" t="s">
        <v>692</v>
      </c>
      <c r="E834" s="92">
        <v>42588</v>
      </c>
      <c r="F834" s="67" t="s">
        <v>1969</v>
      </c>
      <c r="G834" s="1138"/>
      <c r="H834" s="94" t="s">
        <v>446</v>
      </c>
      <c r="I834" s="1175">
        <v>26450</v>
      </c>
      <c r="J834" s="1174">
        <v>17500</v>
      </c>
      <c r="K834" s="1176"/>
      <c r="L834" s="1175"/>
      <c r="M834" s="95">
        <f t="shared" si="97"/>
        <v>462875000</v>
      </c>
      <c r="N834" s="83" t="s">
        <v>282</v>
      </c>
      <c r="O834" s="83" t="s">
        <v>274</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1" s="339" customFormat="1" ht="15.75" customHeight="1">
      <c r="A835" s="334" t="str">
        <f>IF(B835&lt;&gt;"",IF(AND(B835='IN-TC'!$S$4,OR(TH!N835="1111",TH!O835="1111")),TH!D835,""),"")</f>
        <v/>
      </c>
      <c r="B835" s="63">
        <f t="shared" si="98"/>
        <v>8</v>
      </c>
      <c r="C835" s="92">
        <f t="shared" si="99"/>
        <v>42592</v>
      </c>
      <c r="D835" s="92" t="s">
        <v>941</v>
      </c>
      <c r="E835" s="92">
        <v>42592</v>
      </c>
      <c r="F835" s="67" t="s">
        <v>1969</v>
      </c>
      <c r="G835" s="93"/>
      <c r="H835" s="94" t="s">
        <v>446</v>
      </c>
      <c r="I835" s="443">
        <v>26404</v>
      </c>
      <c r="J835" s="1174">
        <v>17500</v>
      </c>
      <c r="K835" s="434"/>
      <c r="L835" s="443"/>
      <c r="M835" s="95">
        <f t="shared" si="97"/>
        <v>462070000</v>
      </c>
      <c r="N835" s="83" t="s">
        <v>282</v>
      </c>
      <c r="O835" s="83" t="s">
        <v>274</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1" s="339" customFormat="1" ht="15.75" customHeight="1">
      <c r="A836" s="334" t="str">
        <f>IF(B836&lt;&gt;"",IF(AND(B836='IN-TC'!$S$4,OR(TH!N836="1111",TH!O836="1111")),TH!D836,""),"")</f>
        <v/>
      </c>
      <c r="B836" s="63">
        <f t="shared" si="98"/>
        <v>8</v>
      </c>
      <c r="C836" s="92">
        <f t="shared" si="99"/>
        <v>42592</v>
      </c>
      <c r="D836" s="92" t="s">
        <v>691</v>
      </c>
      <c r="E836" s="92">
        <v>42592</v>
      </c>
      <c r="F836" s="67" t="s">
        <v>1952</v>
      </c>
      <c r="G836" s="94" t="s">
        <v>2219</v>
      </c>
      <c r="H836" s="94" t="s">
        <v>1539</v>
      </c>
      <c r="I836" s="1175">
        <v>2200</v>
      </c>
      <c r="J836" s="1174">
        <v>11165</v>
      </c>
      <c r="K836" s="1176">
        <f>M836/L836</f>
        <v>1100</v>
      </c>
      <c r="L836" s="1175">
        <v>22330</v>
      </c>
      <c r="M836" s="95">
        <f t="shared" si="97"/>
        <v>24563000</v>
      </c>
      <c r="N836" s="83" t="s">
        <v>585</v>
      </c>
      <c r="O836" s="83" t="s">
        <v>274</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1" s="339" customFormat="1" ht="15.75" customHeight="1">
      <c r="A837" s="334" t="str">
        <f>IF(B837&lt;&gt;"",IF(AND(B837='IN-TC'!$S$4,OR(TH!N837="1111",TH!O837="1111")),TH!D837,""),"")</f>
        <v/>
      </c>
      <c r="B837" s="63">
        <f t="shared" si="98"/>
        <v>8</v>
      </c>
      <c r="C837" s="92">
        <f t="shared" si="99"/>
        <v>42592</v>
      </c>
      <c r="D837" s="92" t="s">
        <v>691</v>
      </c>
      <c r="E837" s="92">
        <v>42592</v>
      </c>
      <c r="F837" s="67" t="s">
        <v>1953</v>
      </c>
      <c r="G837" s="94" t="s">
        <v>2219</v>
      </c>
      <c r="H837" s="94" t="s">
        <v>1539</v>
      </c>
      <c r="I837" s="1175">
        <v>2310</v>
      </c>
      <c r="J837" s="1174">
        <v>11165</v>
      </c>
      <c r="K837" s="1176">
        <f>M837/L837</f>
        <v>1155</v>
      </c>
      <c r="L837" s="1175">
        <v>22330</v>
      </c>
      <c r="M837" s="95">
        <f t="shared" si="97"/>
        <v>25791150</v>
      </c>
      <c r="N837" s="83" t="s">
        <v>585</v>
      </c>
      <c r="O837" s="83" t="s">
        <v>274</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1" ht="15.75" customHeight="1">
      <c r="A838" s="334" t="str">
        <f>IF(B838&lt;&gt;"",IF(AND(B838='IN-TC'!$S$4,OR(TH!N838="1111",TH!O838="1111")),TH!D838,""),"")</f>
        <v/>
      </c>
      <c r="B838" s="63">
        <v>9</v>
      </c>
      <c r="C838" s="78">
        <v>42614</v>
      </c>
      <c r="D838" s="78" t="s">
        <v>930</v>
      </c>
      <c r="E838" s="78">
        <f>C838</f>
        <v>42614</v>
      </c>
      <c r="F838" s="67" t="s">
        <v>2250</v>
      </c>
      <c r="G838" s="79"/>
      <c r="H838" s="80" t="s">
        <v>424</v>
      </c>
      <c r="I838" s="435">
        <v>4875</v>
      </c>
      <c r="J838" s="436">
        <v>25500</v>
      </c>
      <c r="K838" s="426"/>
      <c r="L838" s="435"/>
      <c r="M838" s="81">
        <f t="shared" si="97"/>
        <v>124312500</v>
      </c>
      <c r="N838" s="82" t="s">
        <v>274</v>
      </c>
      <c r="O838" s="82" t="s">
        <v>8</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c r="AE838" s="1136" t="str">
        <f>IF(H838&lt;&gt;VLOOKUP(H838,DSKH,1,0),"","x")</f>
        <v>x</v>
      </c>
    </row>
    <row r="839" spans="1:31" ht="15.75" customHeight="1">
      <c r="A839" s="334" t="str">
        <f>IF(B839&lt;&gt;"",IF(AND(B839='IN-TC'!$S$4,OR(TH!N839="1111",TH!O839="1111")),TH!D839,""),"")</f>
        <v/>
      </c>
      <c r="B839" s="63">
        <v>9</v>
      </c>
      <c r="C839" s="78">
        <v>42614</v>
      </c>
      <c r="D839" s="78" t="s">
        <v>931</v>
      </c>
      <c r="E839" s="78">
        <f t="shared" ref="E839:E1016" si="103">C839</f>
        <v>42614</v>
      </c>
      <c r="F839" s="67" t="s">
        <v>2250</v>
      </c>
      <c r="G839" s="79"/>
      <c r="H839" s="80" t="s">
        <v>414</v>
      </c>
      <c r="I839" s="435">
        <v>4500</v>
      </c>
      <c r="J839" s="436">
        <v>25500</v>
      </c>
      <c r="K839" s="426"/>
      <c r="L839" s="435"/>
      <c r="M839" s="81">
        <f t="shared" si="97"/>
        <v>114750000</v>
      </c>
      <c r="N839" s="82" t="s">
        <v>274</v>
      </c>
      <c r="O839" s="82" t="s">
        <v>8</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c r="AE839" s="1136" t="str">
        <f>IF(H839&lt;&gt;VLOOKUP(H839,DSKH,1,0),"","x")</f>
        <v>x</v>
      </c>
    </row>
    <row r="840" spans="1:31" ht="15.75" customHeight="1">
      <c r="A840" s="334" t="str">
        <f>IF(B840&lt;&gt;"",IF(AND(B840='IN-TC'!$S$4,OR(TH!N840="1111",TH!O840="1111")),TH!D840,""),"")</f>
        <v/>
      </c>
      <c r="B840" s="63">
        <v>9</v>
      </c>
      <c r="C840" s="78">
        <v>42614</v>
      </c>
      <c r="D840" s="78" t="s">
        <v>932</v>
      </c>
      <c r="E840" s="78">
        <f t="shared" si="103"/>
        <v>42614</v>
      </c>
      <c r="F840" s="67" t="s">
        <v>2250</v>
      </c>
      <c r="G840" s="79"/>
      <c r="H840" s="80" t="s">
        <v>416</v>
      </c>
      <c r="I840" s="435">
        <v>3190</v>
      </c>
      <c r="J840" s="436">
        <v>25500</v>
      </c>
      <c r="K840" s="426"/>
      <c r="L840" s="435"/>
      <c r="M840" s="81">
        <f t="shared" ref="M840:M1016" si="104">ROUND(I840*J840,0)</f>
        <v>81345000</v>
      </c>
      <c r="N840" s="82" t="s">
        <v>274</v>
      </c>
      <c r="O840" s="82" t="s">
        <v>8</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c r="AE840" s="1136" t="str">
        <f t="shared" ref="AE840:AE1004" si="105">IF(H840&lt;&gt;VLOOKUP(H840,DSKH,1,0),"","x")</f>
        <v>x</v>
      </c>
    </row>
    <row r="841" spans="1:31" s="339" customFormat="1" ht="15.75" customHeight="1">
      <c r="A841" s="334" t="str">
        <f>IF(B841&lt;&gt;"",IF(AND(B841='IN-TC'!$S$4,OR(TH!N841="1111",TH!O841="1111")),TH!D841,""),"")</f>
        <v/>
      </c>
      <c r="B841" s="63">
        <v>9</v>
      </c>
      <c r="C841" s="92">
        <v>42616</v>
      </c>
      <c r="D841" s="92" t="s">
        <v>682</v>
      </c>
      <c r="E841" s="92">
        <f t="shared" ref="E841" si="106">C841</f>
        <v>42616</v>
      </c>
      <c r="F841" s="93" t="s">
        <v>2250</v>
      </c>
      <c r="G841" s="93"/>
      <c r="H841" s="94" t="s">
        <v>446</v>
      </c>
      <c r="I841" s="1175">
        <v>12565</v>
      </c>
      <c r="J841" s="1174">
        <v>25500</v>
      </c>
      <c r="K841" s="1176"/>
      <c r="L841" s="1175"/>
      <c r="M841" s="95">
        <f t="shared" ref="M841" si="107">ROUND(I841*J841,0)</f>
        <v>320407500</v>
      </c>
      <c r="N841" s="83" t="s">
        <v>282</v>
      </c>
      <c r="O841" s="83" t="s">
        <v>274</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1" ht="15.75" customHeight="1">
      <c r="A842" s="334" t="str">
        <f>IF(B842&lt;&gt;"",IF(AND(B842='IN-TC'!$S$4,OR(TH!N842="1111",TH!O842="1111")),TH!D842,""),"")</f>
        <v/>
      </c>
      <c r="B842" s="63">
        <v>9</v>
      </c>
      <c r="C842" s="78">
        <v>42616</v>
      </c>
      <c r="D842" s="78" t="s">
        <v>933</v>
      </c>
      <c r="E842" s="78">
        <f t="shared" si="103"/>
        <v>42616</v>
      </c>
      <c r="F842" s="67" t="s">
        <v>1969</v>
      </c>
      <c r="G842" s="79"/>
      <c r="H842" s="87" t="s">
        <v>383</v>
      </c>
      <c r="I842" s="435">
        <v>7850</v>
      </c>
      <c r="J842" s="436">
        <v>18000</v>
      </c>
      <c r="K842" s="426"/>
      <c r="L842" s="435"/>
      <c r="M842" s="81">
        <f t="shared" si="104"/>
        <v>141300000</v>
      </c>
      <c r="N842" s="82" t="s">
        <v>274</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c r="AE842" s="1136" t="str">
        <f t="shared" si="105"/>
        <v>x</v>
      </c>
    </row>
    <row r="843" spans="1:31" ht="15.75" customHeight="1">
      <c r="A843" s="334" t="str">
        <f>IF(B843&lt;&gt;"",IF(AND(B843='IN-TC'!$S$4,OR(TH!N843="1111",TH!O843="1111")),TH!D843,""),"")</f>
        <v/>
      </c>
      <c r="B843" s="63">
        <v>9</v>
      </c>
      <c r="C843" s="78">
        <v>42616</v>
      </c>
      <c r="D843" s="78" t="s">
        <v>934</v>
      </c>
      <c r="E843" s="78">
        <f t="shared" si="103"/>
        <v>42616</v>
      </c>
      <c r="F843" s="67" t="s">
        <v>1969</v>
      </c>
      <c r="G843" s="79"/>
      <c r="H843" s="80" t="s">
        <v>385</v>
      </c>
      <c r="I843" s="435">
        <v>8320</v>
      </c>
      <c r="J843" s="436">
        <v>18000</v>
      </c>
      <c r="K843" s="426"/>
      <c r="L843" s="435"/>
      <c r="M843" s="81">
        <f t="shared" si="104"/>
        <v>149760000</v>
      </c>
      <c r="N843" s="82" t="s">
        <v>274</v>
      </c>
      <c r="O843" s="82" t="s">
        <v>8</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c r="AE843" s="1136" t="str">
        <f t="shared" si="105"/>
        <v>x</v>
      </c>
    </row>
    <row r="844" spans="1:31" ht="15.75" customHeight="1">
      <c r="A844" s="334" t="str">
        <f>IF(B844&lt;&gt;"",IF(AND(B844='IN-TC'!$S$4,OR(TH!N844="1111",TH!O844="1111")),TH!D844,""),"")</f>
        <v/>
      </c>
      <c r="B844" s="63">
        <v>9</v>
      </c>
      <c r="C844" s="78">
        <v>42616</v>
      </c>
      <c r="D844" s="78" t="s">
        <v>935</v>
      </c>
      <c r="E844" s="78">
        <f t="shared" si="103"/>
        <v>42616</v>
      </c>
      <c r="F844" s="67" t="s">
        <v>1969</v>
      </c>
      <c r="G844" s="79"/>
      <c r="H844" s="80" t="s">
        <v>1970</v>
      </c>
      <c r="I844" s="435">
        <v>7985</v>
      </c>
      <c r="J844" s="436">
        <v>18000</v>
      </c>
      <c r="K844" s="426"/>
      <c r="L844" s="435"/>
      <c r="M844" s="81">
        <f t="shared" si="104"/>
        <v>143730000</v>
      </c>
      <c r="N844" s="82" t="s">
        <v>274</v>
      </c>
      <c r="O844" s="82" t="s">
        <v>8</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c r="AE844" s="1136" t="str">
        <f t="shared" si="105"/>
        <v>x</v>
      </c>
    </row>
    <row r="845" spans="1:31" ht="15.75" customHeight="1">
      <c r="A845" s="334" t="str">
        <f>IF(B845&lt;&gt;"",IF(AND(B845='IN-TC'!$S$4,OR(TH!N845="1111",TH!O845="1111")),TH!D845,""),"")</f>
        <v/>
      </c>
      <c r="B845" s="63">
        <v>9</v>
      </c>
      <c r="C845" s="78">
        <v>42618</v>
      </c>
      <c r="D845" s="78" t="s">
        <v>936</v>
      </c>
      <c r="E845" s="78">
        <f t="shared" si="103"/>
        <v>42618</v>
      </c>
      <c r="F845" s="67" t="s">
        <v>1969</v>
      </c>
      <c r="G845" s="79"/>
      <c r="H845" s="80" t="s">
        <v>391</v>
      </c>
      <c r="I845" s="435">
        <v>8783</v>
      </c>
      <c r="J845" s="436">
        <v>18000</v>
      </c>
      <c r="K845" s="426"/>
      <c r="L845" s="435"/>
      <c r="M845" s="81">
        <f t="shared" si="104"/>
        <v>158094000</v>
      </c>
      <c r="N845" s="82" t="s">
        <v>274</v>
      </c>
      <c r="O845" s="82" t="s">
        <v>8</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c r="AE845" s="1136" t="str">
        <f t="shared" si="105"/>
        <v>x</v>
      </c>
    </row>
    <row r="846" spans="1:31" ht="15.75" customHeight="1">
      <c r="A846" s="334" t="str">
        <f>IF(B846&lt;&gt;"",IF(AND(B846='IN-TC'!$S$4,OR(TH!N846="1111",TH!O846="1111")),TH!D846,""),"")</f>
        <v/>
      </c>
      <c r="B846" s="63">
        <v>9</v>
      </c>
      <c r="C846" s="78">
        <v>42618</v>
      </c>
      <c r="D846" s="78" t="s">
        <v>937</v>
      </c>
      <c r="E846" s="78">
        <f t="shared" si="103"/>
        <v>42618</v>
      </c>
      <c r="F846" s="67" t="s">
        <v>1969</v>
      </c>
      <c r="G846" s="79"/>
      <c r="H846" s="80" t="s">
        <v>393</v>
      </c>
      <c r="I846" s="435">
        <v>8540</v>
      </c>
      <c r="J846" s="436">
        <v>18000</v>
      </c>
      <c r="K846" s="426"/>
      <c r="L846" s="435"/>
      <c r="M846" s="81">
        <f t="shared" si="104"/>
        <v>153720000</v>
      </c>
      <c r="N846" s="82" t="s">
        <v>274</v>
      </c>
      <c r="O846" s="82" t="s">
        <v>8</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c r="AE846" s="1136" t="str">
        <f t="shared" si="105"/>
        <v>x</v>
      </c>
    </row>
    <row r="847" spans="1:31" ht="15.75" customHeight="1">
      <c r="A847" s="334" t="str">
        <f>IF(B847&lt;&gt;"",IF(AND(B847='IN-TC'!$S$4,OR(TH!N847="1111",TH!O847="1111")),TH!D847,""),"")</f>
        <v/>
      </c>
      <c r="B847" s="63">
        <v>9</v>
      </c>
      <c r="C847" s="78">
        <v>42618</v>
      </c>
      <c r="D847" s="78" t="s">
        <v>938</v>
      </c>
      <c r="E847" s="78">
        <f t="shared" si="103"/>
        <v>42618</v>
      </c>
      <c r="F847" s="67" t="s">
        <v>1969</v>
      </c>
      <c r="G847" s="79"/>
      <c r="H847" s="80" t="s">
        <v>383</v>
      </c>
      <c r="I847" s="435">
        <v>7950</v>
      </c>
      <c r="J847" s="436">
        <v>18000</v>
      </c>
      <c r="K847" s="426"/>
      <c r="L847" s="435"/>
      <c r="M847" s="81">
        <f t="shared" si="104"/>
        <v>143100000</v>
      </c>
      <c r="N847" s="82" t="s">
        <v>274</v>
      </c>
      <c r="O847" s="82" t="s">
        <v>8</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c r="AE847" s="1136" t="str">
        <f t="shared" si="105"/>
        <v>x</v>
      </c>
    </row>
    <row r="848" spans="1:31" ht="15.75" customHeight="1">
      <c r="A848" s="334" t="str">
        <f>IF(B848&lt;&gt;"",IF(AND(B848='IN-TC'!$S$4,OR(TH!N848="1111",TH!O848="1111")),TH!D848,""),"")</f>
        <v/>
      </c>
      <c r="B848" s="63">
        <v>9</v>
      </c>
      <c r="C848" s="78">
        <v>42619</v>
      </c>
      <c r="D848" s="78" t="s">
        <v>939</v>
      </c>
      <c r="E848" s="78">
        <f t="shared" si="103"/>
        <v>42619</v>
      </c>
      <c r="F848" s="67" t="s">
        <v>1969</v>
      </c>
      <c r="G848" s="79"/>
      <c r="H848" s="80" t="s">
        <v>385</v>
      </c>
      <c r="I848" s="435">
        <v>8750</v>
      </c>
      <c r="J848" s="436">
        <v>18000</v>
      </c>
      <c r="K848" s="426"/>
      <c r="L848" s="435"/>
      <c r="M848" s="81">
        <f t="shared" si="104"/>
        <v>157500000</v>
      </c>
      <c r="N848" s="82" t="s">
        <v>274</v>
      </c>
      <c r="O848" s="82" t="s">
        <v>8</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c r="AE848" s="1136" t="str">
        <f t="shared" si="105"/>
        <v>x</v>
      </c>
    </row>
    <row r="849" spans="1:31" ht="15.75" customHeight="1">
      <c r="A849" s="334" t="str">
        <f>IF(B849&lt;&gt;"",IF(AND(B849='IN-TC'!$S$4,OR(TH!N849="1111",TH!O849="1111")),TH!D849,""),"")</f>
        <v/>
      </c>
      <c r="B849" s="63">
        <v>9</v>
      </c>
      <c r="C849" s="78">
        <v>42619</v>
      </c>
      <c r="D849" s="78" t="s">
        <v>940</v>
      </c>
      <c r="E849" s="78">
        <f t="shared" si="103"/>
        <v>42619</v>
      </c>
      <c r="F849" s="67" t="s">
        <v>1969</v>
      </c>
      <c r="G849" s="79"/>
      <c r="H849" s="80" t="s">
        <v>1970</v>
      </c>
      <c r="I849" s="435">
        <v>8870</v>
      </c>
      <c r="J849" s="436">
        <v>18000</v>
      </c>
      <c r="K849" s="426"/>
      <c r="L849" s="435"/>
      <c r="M849" s="81">
        <f t="shared" si="104"/>
        <v>159660000</v>
      </c>
      <c r="N849" s="82" t="s">
        <v>274</v>
      </c>
      <c r="O849" s="82" t="s">
        <v>8</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c r="AE849" s="1136" t="str">
        <f t="shared" si="105"/>
        <v>x</v>
      </c>
    </row>
    <row r="850" spans="1:31" ht="15.75" customHeight="1">
      <c r="A850" s="334" t="str">
        <f>IF(B850&lt;&gt;"",IF(AND(B850='IN-TC'!$S$4,OR(TH!N850="1111",TH!O850="1111")),TH!D850,""),"")</f>
        <v/>
      </c>
      <c r="B850" s="63">
        <v>9</v>
      </c>
      <c r="C850" s="78">
        <v>42619</v>
      </c>
      <c r="D850" s="78" t="s">
        <v>946</v>
      </c>
      <c r="E850" s="78">
        <f t="shared" si="103"/>
        <v>42619</v>
      </c>
      <c r="F850" s="67" t="s">
        <v>1969</v>
      </c>
      <c r="G850" s="79"/>
      <c r="H850" s="80" t="s">
        <v>391</v>
      </c>
      <c r="I850" s="435">
        <v>8100</v>
      </c>
      <c r="J850" s="436">
        <v>18000</v>
      </c>
      <c r="K850" s="426"/>
      <c r="L850" s="435"/>
      <c r="M850" s="81">
        <f t="shared" si="104"/>
        <v>145800000</v>
      </c>
      <c r="N850" s="82" t="s">
        <v>274</v>
      </c>
      <c r="O850" s="82" t="s">
        <v>8</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c r="AE850" s="1136" t="str">
        <f t="shared" si="105"/>
        <v>x</v>
      </c>
    </row>
    <row r="851" spans="1:31" ht="15.75" customHeight="1">
      <c r="A851" s="334" t="str">
        <f>IF(B851&lt;&gt;"",IF(AND(B851='IN-TC'!$S$4,OR(TH!N851="1111",TH!O851="1111")),TH!D851,""),"")</f>
        <v/>
      </c>
      <c r="B851" s="63">
        <v>9</v>
      </c>
      <c r="C851" s="78">
        <v>42619</v>
      </c>
      <c r="D851" s="78" t="s">
        <v>947</v>
      </c>
      <c r="E851" s="78">
        <f t="shared" si="103"/>
        <v>42619</v>
      </c>
      <c r="F851" s="67" t="s">
        <v>1969</v>
      </c>
      <c r="G851" s="79"/>
      <c r="H851" s="80" t="s">
        <v>378</v>
      </c>
      <c r="I851" s="435">
        <v>8890</v>
      </c>
      <c r="J851" s="436">
        <v>18000</v>
      </c>
      <c r="K851" s="426"/>
      <c r="L851" s="435"/>
      <c r="M851" s="81">
        <f t="shared" si="104"/>
        <v>160020000</v>
      </c>
      <c r="N851" s="82" t="s">
        <v>274</v>
      </c>
      <c r="O851" s="82" t="s">
        <v>8</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1136" t="str">
        <f t="shared" si="105"/>
        <v>x</v>
      </c>
    </row>
    <row r="852" spans="1:31" s="339" customFormat="1" ht="15.75" customHeight="1">
      <c r="A852" s="334" t="str">
        <f>IF(B852&lt;&gt;"",IF(AND(B852='IN-TC'!$S$4,OR(TH!N852="1111",TH!O852="1111")),TH!D852,""),"")</f>
        <v/>
      </c>
      <c r="B852" s="63">
        <v>9</v>
      </c>
      <c r="C852" s="92">
        <v>42618</v>
      </c>
      <c r="D852" s="92" t="s">
        <v>689</v>
      </c>
      <c r="E852" s="92">
        <f t="shared" si="103"/>
        <v>42618</v>
      </c>
      <c r="F852" s="93" t="s">
        <v>1969</v>
      </c>
      <c r="G852" s="93"/>
      <c r="H852" s="94" t="s">
        <v>446</v>
      </c>
      <c r="I852" s="1175">
        <v>24155</v>
      </c>
      <c r="J852" s="1174">
        <v>18000</v>
      </c>
      <c r="K852" s="1176"/>
      <c r="L852" s="1175"/>
      <c r="M852" s="95">
        <f t="shared" si="104"/>
        <v>434790000</v>
      </c>
      <c r="N852" s="83" t="s">
        <v>282</v>
      </c>
      <c r="O852" s="83" t="s">
        <v>274</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1" s="339" customFormat="1" ht="15.75" customHeight="1">
      <c r="A853" s="334" t="str">
        <f>IF(B853&lt;&gt;"",IF(AND(B853='IN-TC'!$S$4,OR(TH!N853="1111",TH!O853="1111")),TH!D853,""),"")</f>
        <v/>
      </c>
      <c r="B853" s="63">
        <v>9</v>
      </c>
      <c r="C853" s="92">
        <v>42621</v>
      </c>
      <c r="D853" s="92" t="s">
        <v>690</v>
      </c>
      <c r="E853" s="92">
        <f t="shared" si="103"/>
        <v>42621</v>
      </c>
      <c r="F853" s="93" t="s">
        <v>1969</v>
      </c>
      <c r="G853" s="93"/>
      <c r="H853" s="94" t="s">
        <v>446</v>
      </c>
      <c r="I853" s="1175">
        <v>17323</v>
      </c>
      <c r="J853" s="1174">
        <v>18000</v>
      </c>
      <c r="K853" s="1176"/>
      <c r="L853" s="1175"/>
      <c r="M853" s="95">
        <f t="shared" si="104"/>
        <v>311814000</v>
      </c>
      <c r="N853" s="83" t="s">
        <v>282</v>
      </c>
      <c r="O853" s="83" t="s">
        <v>274</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1" s="339" customFormat="1" ht="15.75" customHeight="1">
      <c r="A854" s="334" t="str">
        <f>IF(B854&lt;&gt;"",IF(AND(B854='IN-TC'!$S$4,OR(TH!N854="1111",TH!O854="1111")),TH!D854,""),"")</f>
        <v/>
      </c>
      <c r="B854" s="63">
        <v>9</v>
      </c>
      <c r="C854" s="92">
        <v>42623</v>
      </c>
      <c r="D854" s="92" t="s">
        <v>691</v>
      </c>
      <c r="E854" s="92">
        <f t="shared" si="103"/>
        <v>42623</v>
      </c>
      <c r="F854" s="93" t="s">
        <v>1969</v>
      </c>
      <c r="G854" s="93"/>
      <c r="H854" s="94" t="s">
        <v>446</v>
      </c>
      <c r="I854" s="1175">
        <v>25570</v>
      </c>
      <c r="J854" s="1174">
        <v>18000</v>
      </c>
      <c r="K854" s="1176"/>
      <c r="L854" s="1175"/>
      <c r="M854" s="95">
        <f t="shared" si="104"/>
        <v>460260000</v>
      </c>
      <c r="N854" s="83" t="s">
        <v>282</v>
      </c>
      <c r="O854" s="83" t="s">
        <v>274</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1" s="339" customFormat="1" ht="15.75" customHeight="1">
      <c r="A855" s="334" t="str">
        <f>IF(B855&lt;&gt;"",IF(AND(B855='IN-TC'!$S$4,OR(TH!N855="1111",TH!O855="1111")),TH!D855,""),"")</f>
        <v/>
      </c>
      <c r="B855" s="63">
        <v>9</v>
      </c>
      <c r="C855" s="92">
        <v>42625</v>
      </c>
      <c r="D855" s="92" t="s">
        <v>692</v>
      </c>
      <c r="E855" s="92">
        <f t="shared" si="103"/>
        <v>42625</v>
      </c>
      <c r="F855" s="93" t="s">
        <v>1969</v>
      </c>
      <c r="G855" s="93"/>
      <c r="H855" s="94" t="s">
        <v>446</v>
      </c>
      <c r="I855" s="1175">
        <v>16990</v>
      </c>
      <c r="J855" s="1174">
        <v>18000</v>
      </c>
      <c r="K855" s="1176"/>
      <c r="L855" s="1175"/>
      <c r="M855" s="95">
        <f t="shared" si="104"/>
        <v>305820000</v>
      </c>
      <c r="N855" s="83" t="s">
        <v>282</v>
      </c>
      <c r="O855" s="83" t="s">
        <v>274</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1" ht="15.75" customHeight="1">
      <c r="A856" s="334" t="str">
        <f>IF(B856&lt;&gt;"",IF(AND(B856='IN-TC'!$S$4,OR(TH!N856="1111",TH!O856="1111")),TH!D856,""),"")</f>
        <v/>
      </c>
      <c r="B856" s="63">
        <v>9</v>
      </c>
      <c r="C856" s="78">
        <v>42621</v>
      </c>
      <c r="D856" s="78" t="s">
        <v>947</v>
      </c>
      <c r="E856" s="78">
        <f t="shared" si="103"/>
        <v>42621</v>
      </c>
      <c r="F856" s="67" t="s">
        <v>1946</v>
      </c>
      <c r="G856" s="79"/>
      <c r="H856" s="80" t="s">
        <v>349</v>
      </c>
      <c r="I856" s="435">
        <v>7250</v>
      </c>
      <c r="J856" s="436">
        <v>29500</v>
      </c>
      <c r="K856" s="426"/>
      <c r="L856" s="435"/>
      <c r="M856" s="81">
        <f t="shared" si="104"/>
        <v>213875000</v>
      </c>
      <c r="N856" s="82" t="s">
        <v>274</v>
      </c>
      <c r="O856" s="82" t="s">
        <v>8</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c r="AE856" s="1136" t="str">
        <f t="shared" si="105"/>
        <v>x</v>
      </c>
    </row>
    <row r="857" spans="1:31" s="339" customFormat="1" ht="15.75" customHeight="1">
      <c r="A857" s="334" t="str">
        <f>IF(B857&lt;&gt;"",IF(AND(B857='IN-TC'!$S$4,OR(TH!N857="1111",TH!O857="1111")),TH!D857,""),"")</f>
        <v/>
      </c>
      <c r="B857" s="63">
        <v>9</v>
      </c>
      <c r="C857" s="92">
        <v>42626</v>
      </c>
      <c r="D857" s="92" t="s">
        <v>693</v>
      </c>
      <c r="E857" s="92">
        <f t="shared" ref="E857" si="108">C857</f>
        <v>42626</v>
      </c>
      <c r="F857" s="93" t="s">
        <v>1946</v>
      </c>
      <c r="G857" s="93"/>
      <c r="H857" s="94" t="s">
        <v>446</v>
      </c>
      <c r="I857" s="1175">
        <v>7250</v>
      </c>
      <c r="J857" s="1174">
        <v>29500</v>
      </c>
      <c r="K857" s="1176"/>
      <c r="L857" s="1175"/>
      <c r="M857" s="95">
        <f t="shared" ref="M857" si="109">ROUND(I857*J857,0)</f>
        <v>213875000</v>
      </c>
      <c r="N857" s="83" t="s">
        <v>282</v>
      </c>
      <c r="O857" s="83" t="s">
        <v>274</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1" ht="15.75" customHeight="1">
      <c r="A858" s="334" t="str">
        <f>IF(B858&lt;&gt;"",IF(AND(B858='IN-TC'!$S$4,OR(TH!N858="1111",TH!O858="1111")),TH!D858,""),"")</f>
        <v/>
      </c>
      <c r="B858" s="63">
        <v>9</v>
      </c>
      <c r="C858" s="78">
        <v>42622</v>
      </c>
      <c r="D858" s="78" t="s">
        <v>948</v>
      </c>
      <c r="E858" s="78">
        <f t="shared" si="103"/>
        <v>42622</v>
      </c>
      <c r="F858" s="67" t="s">
        <v>681</v>
      </c>
      <c r="G858" s="79"/>
      <c r="H858" s="80" t="s">
        <v>428</v>
      </c>
      <c r="I858" s="435">
        <v>6520</v>
      </c>
      <c r="J858" s="436">
        <v>16500</v>
      </c>
      <c r="K858" s="426"/>
      <c r="L858" s="435"/>
      <c r="M858" s="81">
        <f t="shared" si="104"/>
        <v>107580000</v>
      </c>
      <c r="N858" s="82" t="s">
        <v>274</v>
      </c>
      <c r="O858" s="82" t="s">
        <v>8</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c r="AE858" s="1136" t="str">
        <f t="shared" si="105"/>
        <v>x</v>
      </c>
    </row>
    <row r="859" spans="1:31" ht="15.75" customHeight="1">
      <c r="A859" s="334" t="str">
        <f>IF(B859&lt;&gt;"",IF(AND(B859='IN-TC'!$S$4,OR(TH!N859="1111",TH!O859="1111")),TH!D859,""),"")</f>
        <v/>
      </c>
      <c r="B859" s="63">
        <v>9</v>
      </c>
      <c r="C859" s="78">
        <v>42622</v>
      </c>
      <c r="D859" s="78" t="s">
        <v>949</v>
      </c>
      <c r="E859" s="78">
        <f t="shared" si="103"/>
        <v>42622</v>
      </c>
      <c r="F859" s="67" t="s">
        <v>681</v>
      </c>
      <c r="G859" s="79"/>
      <c r="H859" s="80" t="s">
        <v>443</v>
      </c>
      <c r="I859" s="435">
        <v>5700</v>
      </c>
      <c r="J859" s="436">
        <v>16500</v>
      </c>
      <c r="K859" s="426"/>
      <c r="L859" s="435"/>
      <c r="M859" s="81">
        <f t="shared" si="104"/>
        <v>94050000</v>
      </c>
      <c r="N859" s="82" t="s">
        <v>274</v>
      </c>
      <c r="O859" s="82" t="s">
        <v>8</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c r="AE859" s="1136" t="str">
        <f t="shared" si="105"/>
        <v>x</v>
      </c>
    </row>
    <row r="860" spans="1:31" s="339" customFormat="1" ht="15.75" customHeight="1">
      <c r="A860" s="334" t="str">
        <f>IF(B860&lt;&gt;"",IF(AND(B860='IN-TC'!$S$4,OR(TH!N860="1111",TH!O860="1111")),TH!D860,""),"")</f>
        <v/>
      </c>
      <c r="B860" s="63">
        <v>9</v>
      </c>
      <c r="C860" s="92">
        <v>42626</v>
      </c>
      <c r="D860" s="92" t="s">
        <v>941</v>
      </c>
      <c r="E860" s="92">
        <f t="shared" si="103"/>
        <v>42626</v>
      </c>
      <c r="F860" s="93" t="s">
        <v>681</v>
      </c>
      <c r="G860" s="93"/>
      <c r="H860" s="94" t="s">
        <v>446</v>
      </c>
      <c r="I860" s="1175">
        <v>12220</v>
      </c>
      <c r="J860" s="1174">
        <v>16500</v>
      </c>
      <c r="K860" s="1176"/>
      <c r="L860" s="1175"/>
      <c r="M860" s="95">
        <f t="shared" si="104"/>
        <v>201630000</v>
      </c>
      <c r="N860" s="83" t="s">
        <v>282</v>
      </c>
      <c r="O860" s="83" t="s">
        <v>274</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1" ht="15.75" customHeight="1">
      <c r="A861" s="334" t="str">
        <f>IF(B861&lt;&gt;"",IF(AND(B861='IN-TC'!$S$4,OR(TH!N861="1111",TH!O861="1111")),TH!D861,""),"")</f>
        <v/>
      </c>
      <c r="B861" s="63">
        <v>9</v>
      </c>
      <c r="C861" s="78">
        <v>42625</v>
      </c>
      <c r="D861" s="78" t="s">
        <v>950</v>
      </c>
      <c r="E861" s="78">
        <f t="shared" si="103"/>
        <v>42625</v>
      </c>
      <c r="F861" s="67" t="s">
        <v>1949</v>
      </c>
      <c r="G861" s="79"/>
      <c r="H861" s="80" t="s">
        <v>349</v>
      </c>
      <c r="I861" s="435">
        <v>4700</v>
      </c>
      <c r="J861" s="436">
        <v>36000</v>
      </c>
      <c r="K861" s="426"/>
      <c r="L861" s="435"/>
      <c r="M861" s="81">
        <f t="shared" si="104"/>
        <v>169200000</v>
      </c>
      <c r="N861" s="82" t="s">
        <v>274</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c r="AE861" s="1136" t="str">
        <f t="shared" si="105"/>
        <v>x</v>
      </c>
    </row>
    <row r="862" spans="1:31" s="339" customFormat="1" ht="15.75" customHeight="1">
      <c r="A862" s="334" t="str">
        <f>IF(B862&lt;&gt;"",IF(AND(B862='IN-TC'!$S$4,OR(TH!N862="1111",TH!O862="1111")),TH!D862,""),"")</f>
        <v/>
      </c>
      <c r="B862" s="63">
        <v>9</v>
      </c>
      <c r="C862" s="92">
        <v>42628</v>
      </c>
      <c r="D862" s="92" t="s">
        <v>942</v>
      </c>
      <c r="E862" s="92">
        <f t="shared" ref="E862" si="110">C862</f>
        <v>42628</v>
      </c>
      <c r="F862" s="93" t="s">
        <v>1949</v>
      </c>
      <c r="G862" s="93"/>
      <c r="H862" s="94" t="s">
        <v>446</v>
      </c>
      <c r="I862" s="1175">
        <v>4700</v>
      </c>
      <c r="J862" s="1174">
        <v>36000</v>
      </c>
      <c r="K862" s="1176"/>
      <c r="L862" s="1175"/>
      <c r="M862" s="95">
        <f t="shared" ref="M862" si="111">ROUND(I862*J862,0)</f>
        <v>169200000</v>
      </c>
      <c r="N862" s="83" t="s">
        <v>282</v>
      </c>
      <c r="O862" s="83" t="s">
        <v>274</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1" ht="15.75" customHeight="1">
      <c r="A863" s="334" t="str">
        <f>IF(B863&lt;&gt;"",IF(AND(B863='IN-TC'!$S$4,OR(TH!N863="1111",TH!O863="1111")),TH!D863,""),"")</f>
        <v/>
      </c>
      <c r="B863" s="63">
        <v>9</v>
      </c>
      <c r="C863" s="78">
        <v>42626</v>
      </c>
      <c r="D863" s="78" t="s">
        <v>951</v>
      </c>
      <c r="E863" s="78">
        <f t="shared" si="103"/>
        <v>42626</v>
      </c>
      <c r="F863" s="67" t="s">
        <v>680</v>
      </c>
      <c r="G863" s="79"/>
      <c r="H863" s="80" t="s">
        <v>367</v>
      </c>
      <c r="I863" s="435">
        <v>5450</v>
      </c>
      <c r="J863" s="436">
        <v>18500</v>
      </c>
      <c r="K863" s="426"/>
      <c r="L863" s="435"/>
      <c r="M863" s="81">
        <f t="shared" si="104"/>
        <v>100825000</v>
      </c>
      <c r="N863" s="82" t="s">
        <v>274</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c r="AE863" s="1136" t="str">
        <f t="shared" si="105"/>
        <v>x</v>
      </c>
    </row>
    <row r="864" spans="1:31" ht="15.75" customHeight="1">
      <c r="A864" s="334" t="str">
        <f>IF(B864&lt;&gt;"",IF(AND(B864='IN-TC'!$S$4,OR(TH!N864="1111",TH!O864="1111")),TH!D864,""),"")</f>
        <v/>
      </c>
      <c r="B864" s="63">
        <v>9</v>
      </c>
      <c r="C864" s="78">
        <v>42626</v>
      </c>
      <c r="D864" s="78" t="s">
        <v>952</v>
      </c>
      <c r="E864" s="78">
        <f t="shared" si="103"/>
        <v>42626</v>
      </c>
      <c r="F864" s="67" t="s">
        <v>680</v>
      </c>
      <c r="G864" s="79"/>
      <c r="H864" s="80" t="s">
        <v>361</v>
      </c>
      <c r="I864" s="435">
        <v>6550</v>
      </c>
      <c r="J864" s="436">
        <v>18500</v>
      </c>
      <c r="K864" s="426"/>
      <c r="L864" s="435"/>
      <c r="M864" s="81">
        <f t="shared" si="104"/>
        <v>121175000</v>
      </c>
      <c r="N864" s="82" t="s">
        <v>274</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c r="AE864" s="1136" t="str">
        <f t="shared" si="105"/>
        <v>x</v>
      </c>
    </row>
    <row r="865" spans="1:31" ht="15.75" customHeight="1">
      <c r="A865" s="334" t="str">
        <f>IF(B865&lt;&gt;"",IF(AND(B865='IN-TC'!$S$4,OR(TH!N865="1111",TH!O865="1111")),TH!D865,""),"")</f>
        <v/>
      </c>
      <c r="B865" s="63">
        <v>9</v>
      </c>
      <c r="C865" s="78">
        <v>42626</v>
      </c>
      <c r="D865" s="78" t="s">
        <v>953</v>
      </c>
      <c r="E865" s="78">
        <f t="shared" si="103"/>
        <v>42626</v>
      </c>
      <c r="F865" s="67" t="s">
        <v>680</v>
      </c>
      <c r="G865" s="79"/>
      <c r="H865" s="80" t="s">
        <v>364</v>
      </c>
      <c r="I865" s="435">
        <v>5000</v>
      </c>
      <c r="J865" s="436">
        <v>18500</v>
      </c>
      <c r="K865" s="426"/>
      <c r="L865" s="435"/>
      <c r="M865" s="81">
        <f t="shared" si="104"/>
        <v>92500000</v>
      </c>
      <c r="N865" s="82" t="s">
        <v>274</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c r="AE865" s="1136" t="str">
        <f t="shared" si="105"/>
        <v>x</v>
      </c>
    </row>
    <row r="866" spans="1:31" s="339" customFormat="1" ht="15.75" customHeight="1">
      <c r="A866" s="334" t="str">
        <f>IF(B866&lt;&gt;"",IF(AND(B866='IN-TC'!$S$4,OR(TH!N866="1111",TH!O866="1111")),TH!D866,""),"")</f>
        <v/>
      </c>
      <c r="B866" s="63">
        <v>9</v>
      </c>
      <c r="C866" s="92">
        <v>42628</v>
      </c>
      <c r="D866" s="92" t="s">
        <v>943</v>
      </c>
      <c r="E866" s="92">
        <f t="shared" si="103"/>
        <v>42628</v>
      </c>
      <c r="F866" s="93" t="s">
        <v>680</v>
      </c>
      <c r="G866" s="93"/>
      <c r="H866" s="94" t="s">
        <v>446</v>
      </c>
      <c r="I866" s="1175">
        <v>17000</v>
      </c>
      <c r="J866" s="1174">
        <v>18500</v>
      </c>
      <c r="K866" s="1176"/>
      <c r="L866" s="1175"/>
      <c r="M866" s="95">
        <f t="shared" si="104"/>
        <v>314500000</v>
      </c>
      <c r="N866" s="83" t="s">
        <v>282</v>
      </c>
      <c r="O866" s="83" t="s">
        <v>274</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1" ht="15.75" customHeight="1">
      <c r="A867" s="334" t="str">
        <f>IF(B867&lt;&gt;"",IF(AND(B867='IN-TC'!$S$4,OR(TH!N867="1111",TH!O867="1111")),TH!D867,""),"")</f>
        <v/>
      </c>
      <c r="B867" s="63">
        <v>9</v>
      </c>
      <c r="C867" s="78">
        <v>42640</v>
      </c>
      <c r="D867" s="78" t="s">
        <v>954</v>
      </c>
      <c r="E867" s="78">
        <f t="shared" ref="E867" si="112">C867</f>
        <v>42640</v>
      </c>
      <c r="F867" s="67" t="s">
        <v>2250</v>
      </c>
      <c r="G867" s="79"/>
      <c r="H867" s="80" t="s">
        <v>416</v>
      </c>
      <c r="I867" s="435">
        <v>6420</v>
      </c>
      <c r="J867" s="436">
        <v>25500</v>
      </c>
      <c r="K867" s="426"/>
      <c r="L867" s="435"/>
      <c r="M867" s="81">
        <f t="shared" ref="M867" si="113">ROUND(I867*J867,0)</f>
        <v>163710000</v>
      </c>
      <c r="N867" s="82" t="s">
        <v>274</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c r="AE867" s="1136" t="str">
        <f t="shared" ref="AE867" si="114">IF(H867&lt;&gt;VLOOKUP(H867,DSKH,1,0),"","x")</f>
        <v>x</v>
      </c>
    </row>
    <row r="868" spans="1:31" ht="15.75" customHeight="1">
      <c r="A868" s="334" t="str">
        <f>IF(B868&lt;&gt;"",IF(AND(B868='IN-TC'!$S$4,OR(TH!N868="1111",TH!O868="1111")),TH!D868,""),"")</f>
        <v/>
      </c>
      <c r="B868" s="63">
        <v>9</v>
      </c>
      <c r="C868" s="78">
        <v>42640</v>
      </c>
      <c r="D868" s="78" t="s">
        <v>955</v>
      </c>
      <c r="E868" s="78">
        <f t="shared" ref="E868:E869" si="115">C868</f>
        <v>42640</v>
      </c>
      <c r="F868" s="67" t="s">
        <v>2250</v>
      </c>
      <c r="G868" s="79"/>
      <c r="H868" s="80" t="s">
        <v>424</v>
      </c>
      <c r="I868" s="435">
        <v>6230</v>
      </c>
      <c r="J868" s="436">
        <v>25500</v>
      </c>
      <c r="K868" s="426"/>
      <c r="L868" s="435"/>
      <c r="M868" s="81">
        <f t="shared" ref="M868:M871" si="116">ROUND(I868*J868,0)</f>
        <v>158865000</v>
      </c>
      <c r="N868" s="82" t="s">
        <v>274</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c r="AE868" s="1136" t="str">
        <f t="shared" ref="AE868:AE869" si="117">IF(H868&lt;&gt;VLOOKUP(H868,DSKH,1,0),"","x")</f>
        <v>x</v>
      </c>
    </row>
    <row r="869" spans="1:31" ht="15.75" customHeight="1">
      <c r="A869" s="334" t="str">
        <f>IF(B869&lt;&gt;"",IF(AND(B869='IN-TC'!$S$4,OR(TH!N869="1111",TH!O869="1111")),TH!D869,""),"")</f>
        <v/>
      </c>
      <c r="B869" s="63">
        <v>9</v>
      </c>
      <c r="C869" s="78">
        <v>42640</v>
      </c>
      <c r="D869" s="78" t="s">
        <v>956</v>
      </c>
      <c r="E869" s="78">
        <f t="shared" si="115"/>
        <v>42640</v>
      </c>
      <c r="F869" s="67" t="s">
        <v>2250</v>
      </c>
      <c r="G869" s="79"/>
      <c r="H869" s="80" t="s">
        <v>414</v>
      </c>
      <c r="I869" s="435">
        <v>6850</v>
      </c>
      <c r="J869" s="436">
        <v>25500</v>
      </c>
      <c r="K869" s="426"/>
      <c r="L869" s="435"/>
      <c r="M869" s="81">
        <f t="shared" si="116"/>
        <v>174675000</v>
      </c>
      <c r="N869" s="82" t="s">
        <v>274</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c r="AE869" s="1136" t="str">
        <f t="shared" si="117"/>
        <v>x</v>
      </c>
    </row>
    <row r="870" spans="1:31" ht="15.75" customHeight="1">
      <c r="A870" s="334" t="str">
        <f>IF(B870&lt;&gt;"",IF(AND(B870='IN-TC'!$S$4,OR(TH!N870="1111",TH!O870="1111")),TH!D870,""),"")</f>
        <v/>
      </c>
      <c r="B870" s="63">
        <v>9</v>
      </c>
      <c r="C870" s="78">
        <v>42641</v>
      </c>
      <c r="D870" s="78" t="s">
        <v>957</v>
      </c>
      <c r="E870" s="78">
        <f>C870</f>
        <v>42641</v>
      </c>
      <c r="F870" s="67" t="s">
        <v>2250</v>
      </c>
      <c r="G870" s="79"/>
      <c r="H870" s="80" t="s">
        <v>411</v>
      </c>
      <c r="I870" s="435">
        <v>6760</v>
      </c>
      <c r="J870" s="436">
        <v>25500</v>
      </c>
      <c r="K870" s="426"/>
      <c r="L870" s="435"/>
      <c r="M870" s="81">
        <f t="shared" si="116"/>
        <v>172380000</v>
      </c>
      <c r="N870" s="82" t="s">
        <v>274</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c r="AE870" s="1136" t="str">
        <f>IF(H870&lt;&gt;VLOOKUP(H870,DSKH,1,0),"","x")</f>
        <v>x</v>
      </c>
    </row>
    <row r="871" spans="1:31" ht="15.75" customHeight="1">
      <c r="A871" s="334" t="str">
        <f>IF(B871&lt;&gt;"",IF(AND(B871='IN-TC'!$S$4,OR(TH!N871="1111",TH!O871="1111")),TH!D871,""),"")</f>
        <v/>
      </c>
      <c r="B871" s="63">
        <v>9</v>
      </c>
      <c r="C871" s="78">
        <v>42641</v>
      </c>
      <c r="D871" s="78" t="s">
        <v>1957</v>
      </c>
      <c r="E871" s="78">
        <f t="shared" ref="E871" si="118">C871</f>
        <v>42641</v>
      </c>
      <c r="F871" s="67" t="s">
        <v>2250</v>
      </c>
      <c r="G871" s="79"/>
      <c r="H871" s="80" t="s">
        <v>418</v>
      </c>
      <c r="I871" s="435">
        <v>6470</v>
      </c>
      <c r="J871" s="436">
        <v>25500</v>
      </c>
      <c r="K871" s="426"/>
      <c r="L871" s="435"/>
      <c r="M871" s="81">
        <f t="shared" si="116"/>
        <v>164985000</v>
      </c>
      <c r="N871" s="82" t="s">
        <v>274</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c r="AE871" s="1136" t="str">
        <f>IF(H871&lt;&gt;VLOOKUP(H871,DSKH,1,0),"","x")</f>
        <v>x</v>
      </c>
    </row>
    <row r="872" spans="1:31" ht="15.75" customHeight="1">
      <c r="A872" s="334" t="str">
        <f>IF(B872&lt;&gt;"",IF(AND(B872='IN-TC'!$S$4,OR(TH!N872="1111",TH!O872="1111")),TH!D872,""),"")</f>
        <v/>
      </c>
      <c r="B872" s="63">
        <v>9</v>
      </c>
      <c r="C872" s="78">
        <v>42641</v>
      </c>
      <c r="D872" s="78" t="s">
        <v>1958</v>
      </c>
      <c r="E872" s="78">
        <f t="shared" ref="E872:E873" si="119">C872</f>
        <v>42641</v>
      </c>
      <c r="F872" s="67" t="s">
        <v>2250</v>
      </c>
      <c r="G872" s="79"/>
      <c r="H872" s="80" t="s">
        <v>421</v>
      </c>
      <c r="I872" s="435">
        <v>6740</v>
      </c>
      <c r="J872" s="436">
        <v>25500</v>
      </c>
      <c r="K872" s="426"/>
      <c r="L872" s="435"/>
      <c r="M872" s="81">
        <f t="shared" ref="M872:M873" si="120">ROUND(I872*J872,0)</f>
        <v>171870000</v>
      </c>
      <c r="N872" s="82" t="s">
        <v>274</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c r="AE872" s="1136" t="str">
        <f>IF(H872&lt;&gt;VLOOKUP(H872,DSKH,1,0),"","x")</f>
        <v>x</v>
      </c>
    </row>
    <row r="873" spans="1:31" ht="15.75" customHeight="1">
      <c r="A873" s="334" t="str">
        <f>IF(B873&lt;&gt;"",IF(AND(B873='IN-TC'!$S$4,OR(TH!N873="1111",TH!O873="1111")),TH!D873,""),"")</f>
        <v/>
      </c>
      <c r="B873" s="63">
        <v>9</v>
      </c>
      <c r="C873" s="78">
        <v>42642</v>
      </c>
      <c r="D873" s="78" t="s">
        <v>1959</v>
      </c>
      <c r="E873" s="78">
        <f t="shared" si="119"/>
        <v>42642</v>
      </c>
      <c r="F873" s="67" t="s">
        <v>1969</v>
      </c>
      <c r="G873" s="79"/>
      <c r="H873" s="80" t="s">
        <v>391</v>
      </c>
      <c r="I873" s="435">
        <v>7850</v>
      </c>
      <c r="J873" s="436">
        <v>16000</v>
      </c>
      <c r="K873" s="426"/>
      <c r="L873" s="435"/>
      <c r="M873" s="81">
        <f t="shared" si="120"/>
        <v>125600000</v>
      </c>
      <c r="N873" s="82" t="s">
        <v>274</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c r="AE873" s="1136" t="str">
        <f t="shared" ref="AE873" si="121">IF(H873&lt;&gt;VLOOKUP(H873,DSKH,1,0),"","x")</f>
        <v>x</v>
      </c>
    </row>
    <row r="874" spans="1:31" ht="15.75" customHeight="1">
      <c r="A874" s="334" t="str">
        <f>IF(B874&lt;&gt;"",IF(AND(B874='IN-TC'!$S$4,OR(TH!N874="1111",TH!O874="1111")),TH!D874,""),"")</f>
        <v/>
      </c>
      <c r="B874" s="63">
        <v>9</v>
      </c>
      <c r="C874" s="78">
        <v>42642</v>
      </c>
      <c r="D874" s="78" t="s">
        <v>1960</v>
      </c>
      <c r="E874" s="78">
        <f t="shared" ref="E874:E880" si="122">C874</f>
        <v>42642</v>
      </c>
      <c r="F874" s="67" t="s">
        <v>1969</v>
      </c>
      <c r="G874" s="79"/>
      <c r="H874" s="80" t="s">
        <v>1970</v>
      </c>
      <c r="I874" s="435">
        <v>8250</v>
      </c>
      <c r="J874" s="436">
        <v>16000</v>
      </c>
      <c r="K874" s="426"/>
      <c r="L874" s="435"/>
      <c r="M874" s="81">
        <f t="shared" ref="M874:M880" si="123">ROUND(I874*J874,0)</f>
        <v>132000000</v>
      </c>
      <c r="N874" s="82" t="s">
        <v>274</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c r="AE874" s="1136" t="str">
        <f t="shared" ref="AE874:AE879" si="124">IF(H874&lt;&gt;VLOOKUP(H874,DSKH,1,0),"","x")</f>
        <v>x</v>
      </c>
    </row>
    <row r="875" spans="1:31" ht="15.75" customHeight="1">
      <c r="A875" s="334" t="str">
        <f>IF(B875&lt;&gt;"",IF(AND(B875='IN-TC'!$S$4,OR(TH!N875="1111",TH!O875="1111")),TH!D875,""),"")</f>
        <v/>
      </c>
      <c r="B875" s="63">
        <v>9</v>
      </c>
      <c r="C875" s="78">
        <v>42642</v>
      </c>
      <c r="D875" s="78" t="s">
        <v>1961</v>
      </c>
      <c r="E875" s="78">
        <f t="shared" si="122"/>
        <v>42642</v>
      </c>
      <c r="F875" s="67" t="s">
        <v>1969</v>
      </c>
      <c r="G875" s="79"/>
      <c r="H875" s="80" t="s">
        <v>383</v>
      </c>
      <c r="I875" s="435">
        <v>8750</v>
      </c>
      <c r="J875" s="436">
        <v>16000</v>
      </c>
      <c r="K875" s="426"/>
      <c r="L875" s="435"/>
      <c r="M875" s="81">
        <f t="shared" si="123"/>
        <v>140000000</v>
      </c>
      <c r="N875" s="82" t="s">
        <v>274</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c r="AE875" s="1136" t="str">
        <f t="shared" si="124"/>
        <v>x</v>
      </c>
    </row>
    <row r="876" spans="1:31" ht="15.75" customHeight="1">
      <c r="A876" s="334" t="str">
        <f>IF(B876&lt;&gt;"",IF(AND(B876='IN-TC'!$S$4,OR(TH!N876="1111",TH!O876="1111")),TH!D876,""),"")</f>
        <v/>
      </c>
      <c r="B876" s="63">
        <v>9</v>
      </c>
      <c r="C876" s="78">
        <v>42642</v>
      </c>
      <c r="D876" s="78" t="s">
        <v>1962</v>
      </c>
      <c r="E876" s="78">
        <f t="shared" si="122"/>
        <v>42642</v>
      </c>
      <c r="F876" s="67" t="s">
        <v>1969</v>
      </c>
      <c r="G876" s="79"/>
      <c r="H876" s="80" t="s">
        <v>385</v>
      </c>
      <c r="I876" s="435">
        <v>8350</v>
      </c>
      <c r="J876" s="436">
        <v>16000</v>
      </c>
      <c r="K876" s="426"/>
      <c r="L876" s="435"/>
      <c r="M876" s="81">
        <f t="shared" si="123"/>
        <v>133600000</v>
      </c>
      <c r="N876" s="82" t="s">
        <v>274</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c r="AE876" s="1136" t="str">
        <f t="shared" si="124"/>
        <v>x</v>
      </c>
    </row>
    <row r="877" spans="1:31" ht="15.75" customHeight="1">
      <c r="A877" s="334" t="str">
        <f>IF(B877&lt;&gt;"",IF(AND(B877='IN-TC'!$S$4,OR(TH!N877="1111",TH!O877="1111")),TH!D877,""),"")</f>
        <v/>
      </c>
      <c r="B877" s="63">
        <v>9</v>
      </c>
      <c r="C877" s="78">
        <v>42643</v>
      </c>
      <c r="D877" s="78" t="s">
        <v>1963</v>
      </c>
      <c r="E877" s="78">
        <f t="shared" si="122"/>
        <v>42643</v>
      </c>
      <c r="F877" s="67" t="s">
        <v>1969</v>
      </c>
      <c r="G877" s="79"/>
      <c r="H877" s="80" t="s">
        <v>395</v>
      </c>
      <c r="I877" s="435">
        <v>7980</v>
      </c>
      <c r="J877" s="436">
        <v>16000</v>
      </c>
      <c r="K877" s="426"/>
      <c r="L877" s="435"/>
      <c r="M877" s="81">
        <f t="shared" si="123"/>
        <v>127680000</v>
      </c>
      <c r="N877" s="82" t="s">
        <v>274</v>
      </c>
      <c r="O877" s="82" t="s">
        <v>8</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c r="AE877" s="1136" t="str">
        <f t="shared" si="124"/>
        <v>x</v>
      </c>
    </row>
    <row r="878" spans="1:31" ht="15.75" customHeight="1">
      <c r="A878" s="334" t="str">
        <f>IF(B878&lt;&gt;"",IF(AND(B878='IN-TC'!$S$4,OR(TH!N878="1111",TH!O878="1111")),TH!D878,""),"")</f>
        <v/>
      </c>
      <c r="B878" s="63">
        <v>9</v>
      </c>
      <c r="C878" s="78">
        <v>42643</v>
      </c>
      <c r="D878" s="78" t="s">
        <v>2251</v>
      </c>
      <c r="E878" s="78">
        <f t="shared" si="122"/>
        <v>42643</v>
      </c>
      <c r="F878" s="67" t="s">
        <v>1969</v>
      </c>
      <c r="G878" s="79"/>
      <c r="H878" s="80" t="s">
        <v>388</v>
      </c>
      <c r="I878" s="435">
        <v>8870</v>
      </c>
      <c r="J878" s="436">
        <v>16000</v>
      </c>
      <c r="K878" s="426"/>
      <c r="L878" s="435"/>
      <c r="M878" s="81">
        <f t="shared" si="123"/>
        <v>141920000</v>
      </c>
      <c r="N878" s="82" t="s">
        <v>274</v>
      </c>
      <c r="O878" s="82" t="s">
        <v>8</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c r="AE878" s="1136" t="str">
        <f t="shared" si="124"/>
        <v>x</v>
      </c>
    </row>
    <row r="879" spans="1:31" ht="15.75" customHeight="1">
      <c r="A879" s="334" t="str">
        <f>IF(B879&lt;&gt;"",IF(AND(B879='IN-TC'!$S$4,OR(TH!N879="1111",TH!O879="1111")),TH!D879,""),"")</f>
        <v/>
      </c>
      <c r="B879" s="63">
        <v>9</v>
      </c>
      <c r="C879" s="78">
        <v>42643</v>
      </c>
      <c r="D879" s="78" t="s">
        <v>2252</v>
      </c>
      <c r="E879" s="78">
        <f t="shared" si="122"/>
        <v>42643</v>
      </c>
      <c r="F879" s="67" t="s">
        <v>1969</v>
      </c>
      <c r="G879" s="79"/>
      <c r="H879" s="80" t="s">
        <v>393</v>
      </c>
      <c r="I879" s="435">
        <v>8520</v>
      </c>
      <c r="J879" s="436">
        <v>16000</v>
      </c>
      <c r="K879" s="426"/>
      <c r="L879" s="435"/>
      <c r="M879" s="81">
        <f t="shared" si="123"/>
        <v>136320000</v>
      </c>
      <c r="N879" s="82" t="s">
        <v>274</v>
      </c>
      <c r="O879" s="82" t="s">
        <v>8</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c r="AE879" s="1136" t="str">
        <f t="shared" si="124"/>
        <v>x</v>
      </c>
    </row>
    <row r="880" spans="1:31" s="339" customFormat="1" ht="15.75" customHeight="1">
      <c r="A880" s="334" t="str">
        <f>IF(B880&lt;&gt;"",IF(AND(B880='IN-TC'!$S$4,OR(TH!N880="1111",TH!O880="1111")),TH!D880,""),"")</f>
        <v/>
      </c>
      <c r="B880" s="63">
        <v>10</v>
      </c>
      <c r="C880" s="92">
        <v>42644</v>
      </c>
      <c r="D880" s="92" t="s">
        <v>682</v>
      </c>
      <c r="E880" s="92">
        <f t="shared" si="122"/>
        <v>42644</v>
      </c>
      <c r="F880" s="93" t="s">
        <v>1969</v>
      </c>
      <c r="G880" s="93"/>
      <c r="H880" s="94" t="s">
        <v>446</v>
      </c>
      <c r="I880" s="1175">
        <v>58570</v>
      </c>
      <c r="J880" s="1174">
        <v>16000</v>
      </c>
      <c r="K880" s="1176"/>
      <c r="L880" s="1175"/>
      <c r="M880" s="95">
        <f t="shared" si="123"/>
        <v>937120000</v>
      </c>
      <c r="N880" s="83" t="s">
        <v>282</v>
      </c>
      <c r="O880" s="83" t="s">
        <v>274</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1" s="339" customFormat="1" ht="15.75" customHeight="1">
      <c r="A881" s="334" t="str">
        <f>IF(B881&lt;&gt;"",IF(AND(B881='IN-TC'!$S$4,OR(TH!N881="1111",TH!O881="1111")),TH!D881,""),"")</f>
        <v/>
      </c>
      <c r="B881" s="63">
        <v>10</v>
      </c>
      <c r="C881" s="92">
        <v>42644</v>
      </c>
      <c r="D881" s="92" t="s">
        <v>689</v>
      </c>
      <c r="E881" s="92">
        <f t="shared" ref="E881" si="125">C881</f>
        <v>42644</v>
      </c>
      <c r="F881" s="93" t="s">
        <v>2250</v>
      </c>
      <c r="G881" s="93"/>
      <c r="H881" s="94" t="s">
        <v>446</v>
      </c>
      <c r="I881" s="1175">
        <v>39470</v>
      </c>
      <c r="J881" s="1174">
        <v>25500</v>
      </c>
      <c r="K881" s="1176"/>
      <c r="L881" s="1175"/>
      <c r="M881" s="95">
        <f t="shared" ref="M881" si="126">ROUND(I881*J881,0)</f>
        <v>1006485000</v>
      </c>
      <c r="N881" s="83" t="s">
        <v>282</v>
      </c>
      <c r="O881" s="83" t="s">
        <v>274</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1" ht="15.75" customHeight="1">
      <c r="A882" s="334" t="str">
        <f>IF(B882&lt;&gt;"",IF(AND(B882='IN-TC'!$S$4,OR(TH!N882="1111",TH!O882="1111")),TH!D882,""),"")</f>
        <v/>
      </c>
      <c r="B882" s="63">
        <v>10</v>
      </c>
      <c r="C882" s="78">
        <v>42644</v>
      </c>
      <c r="D882" s="78" t="s">
        <v>930</v>
      </c>
      <c r="E882" s="78">
        <f t="shared" si="103"/>
        <v>42644</v>
      </c>
      <c r="F882" s="67" t="s">
        <v>1969</v>
      </c>
      <c r="G882" s="79"/>
      <c r="H882" s="87" t="s">
        <v>383</v>
      </c>
      <c r="I882" s="435">
        <v>8850</v>
      </c>
      <c r="J882" s="436">
        <v>16000</v>
      </c>
      <c r="K882" s="426"/>
      <c r="L882" s="435"/>
      <c r="M882" s="81">
        <f t="shared" si="104"/>
        <v>141600000</v>
      </c>
      <c r="N882" s="82" t="s">
        <v>274</v>
      </c>
      <c r="O882" s="82" t="s">
        <v>8</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c r="AE882" s="1136" t="str">
        <f t="shared" si="105"/>
        <v>x</v>
      </c>
    </row>
    <row r="883" spans="1:31" ht="15.75" customHeight="1">
      <c r="A883" s="334" t="str">
        <f>IF(B883&lt;&gt;"",IF(AND(B883='IN-TC'!$S$4,OR(TH!N883="1111",TH!O883="1111")),TH!D883,""),"")</f>
        <v/>
      </c>
      <c r="B883" s="63">
        <v>10</v>
      </c>
      <c r="C883" s="78">
        <v>42644</v>
      </c>
      <c r="D883" s="78" t="s">
        <v>931</v>
      </c>
      <c r="E883" s="78">
        <f t="shared" si="103"/>
        <v>42644</v>
      </c>
      <c r="F883" s="67" t="s">
        <v>1969</v>
      </c>
      <c r="G883" s="79"/>
      <c r="H883" s="80" t="s">
        <v>385</v>
      </c>
      <c r="I883" s="435">
        <v>8720</v>
      </c>
      <c r="J883" s="436">
        <v>16000</v>
      </c>
      <c r="K883" s="426"/>
      <c r="L883" s="435"/>
      <c r="M883" s="81">
        <f t="shared" si="104"/>
        <v>139520000</v>
      </c>
      <c r="N883" s="82" t="s">
        <v>274</v>
      </c>
      <c r="O883" s="82" t="s">
        <v>8</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c r="AE883" s="1136" t="str">
        <f t="shared" si="105"/>
        <v>x</v>
      </c>
    </row>
    <row r="884" spans="1:31" ht="15.75" customHeight="1">
      <c r="A884" s="334" t="str">
        <f>IF(B884&lt;&gt;"",IF(AND(B884='IN-TC'!$S$4,OR(TH!N884="1111",TH!O884="1111")),TH!D884,""),"")</f>
        <v/>
      </c>
      <c r="B884" s="63">
        <v>10</v>
      </c>
      <c r="C884" s="78">
        <v>42644</v>
      </c>
      <c r="D884" s="78" t="s">
        <v>932</v>
      </c>
      <c r="E884" s="78">
        <f t="shared" si="103"/>
        <v>42644</v>
      </c>
      <c r="F884" s="67" t="s">
        <v>1969</v>
      </c>
      <c r="G884" s="79"/>
      <c r="H884" s="80" t="s">
        <v>1970</v>
      </c>
      <c r="I884" s="435">
        <v>8760</v>
      </c>
      <c r="J884" s="436">
        <v>16000</v>
      </c>
      <c r="K884" s="426"/>
      <c r="L884" s="435"/>
      <c r="M884" s="81">
        <f t="shared" si="104"/>
        <v>140160000</v>
      </c>
      <c r="N884" s="82" t="s">
        <v>274</v>
      </c>
      <c r="O884" s="82" t="s">
        <v>8</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c r="AE884" s="1136" t="str">
        <f t="shared" si="105"/>
        <v>x</v>
      </c>
    </row>
    <row r="885" spans="1:31" s="339" customFormat="1" ht="15.75" customHeight="1">
      <c r="A885" s="334" t="str">
        <f>IF(B885&lt;&gt;"",IF(AND(B885='IN-TC'!$S$4,OR(TH!N885="1111",TH!O885="1111")),TH!D885,""),"")</f>
        <v/>
      </c>
      <c r="B885" s="63">
        <v>10</v>
      </c>
      <c r="C885" s="92">
        <v>42371</v>
      </c>
      <c r="D885" s="92" t="s">
        <v>690</v>
      </c>
      <c r="E885" s="92">
        <f t="shared" si="103"/>
        <v>42371</v>
      </c>
      <c r="F885" s="93" t="s">
        <v>1969</v>
      </c>
      <c r="G885" s="93"/>
      <c r="H885" s="94" t="s">
        <v>446</v>
      </c>
      <c r="I885" s="1175">
        <v>26330</v>
      </c>
      <c r="J885" s="1174">
        <v>16000</v>
      </c>
      <c r="K885" s="1176"/>
      <c r="L885" s="1175"/>
      <c r="M885" s="95">
        <f t="shared" si="104"/>
        <v>421280000</v>
      </c>
      <c r="N885" s="83" t="s">
        <v>282</v>
      </c>
      <c r="O885" s="83" t="s">
        <v>274</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1" ht="15.75" customHeight="1">
      <c r="A886" s="334" t="str">
        <f>IF(B886&lt;&gt;"",IF(AND(B886='IN-TC'!$S$4,OR(TH!N886="1111",TH!O886="1111")),TH!D886,""),"")</f>
        <v/>
      </c>
      <c r="B886" s="63">
        <v>10</v>
      </c>
      <c r="C886" s="78">
        <v>42644</v>
      </c>
      <c r="D886" s="78" t="s">
        <v>933</v>
      </c>
      <c r="E886" s="78">
        <f>C886</f>
        <v>42644</v>
      </c>
      <c r="F886" s="67" t="s">
        <v>2250</v>
      </c>
      <c r="G886" s="79"/>
      <c r="H886" s="80" t="s">
        <v>424</v>
      </c>
      <c r="I886" s="435">
        <v>5570</v>
      </c>
      <c r="J886" s="436">
        <v>25500</v>
      </c>
      <c r="K886" s="426"/>
      <c r="L886" s="435"/>
      <c r="M886" s="81">
        <f t="shared" si="104"/>
        <v>142035000</v>
      </c>
      <c r="N886" s="82" t="s">
        <v>274</v>
      </c>
      <c r="O886" s="82" t="s">
        <v>8</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c r="AE886" s="1136" t="str">
        <f>IF(H886&lt;&gt;VLOOKUP(H886,DSKH,1,0),"","x")</f>
        <v>x</v>
      </c>
    </row>
    <row r="887" spans="1:31" ht="15.75" customHeight="1">
      <c r="A887" s="334" t="str">
        <f>IF(B887&lt;&gt;"",IF(AND(B887='IN-TC'!$S$4,OR(TH!N887="1111",TH!O887="1111")),TH!D887,""),"")</f>
        <v/>
      </c>
      <c r="B887" s="63">
        <v>10</v>
      </c>
      <c r="C887" s="78">
        <v>42644</v>
      </c>
      <c r="D887" s="78" t="s">
        <v>934</v>
      </c>
      <c r="E887" s="78">
        <f t="shared" ref="E887:E889" si="127">C887</f>
        <v>42644</v>
      </c>
      <c r="F887" s="67" t="s">
        <v>2250</v>
      </c>
      <c r="G887" s="79"/>
      <c r="H887" s="80" t="s">
        <v>414</v>
      </c>
      <c r="I887" s="435">
        <v>5890</v>
      </c>
      <c r="J887" s="436">
        <v>25500</v>
      </c>
      <c r="K887" s="426"/>
      <c r="L887" s="435"/>
      <c r="M887" s="81">
        <f t="shared" si="104"/>
        <v>150195000</v>
      </c>
      <c r="N887" s="82" t="s">
        <v>274</v>
      </c>
      <c r="O887" s="82" t="s">
        <v>8</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c r="AE887" s="1136" t="str">
        <f>IF(H887&lt;&gt;VLOOKUP(H887,DSKH,1,0),"","x")</f>
        <v>x</v>
      </c>
    </row>
    <row r="888" spans="1:31" ht="15.75" customHeight="1">
      <c r="A888" s="334" t="str">
        <f>IF(B888&lt;&gt;"",IF(AND(B888='IN-TC'!$S$4,OR(TH!N888="1111",TH!O888="1111")),TH!D888,""),"")</f>
        <v/>
      </c>
      <c r="B888" s="63">
        <v>10</v>
      </c>
      <c r="C888" s="78">
        <v>42644</v>
      </c>
      <c r="D888" s="78" t="s">
        <v>935</v>
      </c>
      <c r="E888" s="78">
        <f t="shared" si="127"/>
        <v>42644</v>
      </c>
      <c r="F888" s="67" t="s">
        <v>2250</v>
      </c>
      <c r="G888" s="79"/>
      <c r="H888" s="80" t="s">
        <v>416</v>
      </c>
      <c r="I888" s="435">
        <v>6750</v>
      </c>
      <c r="J888" s="436">
        <v>25500</v>
      </c>
      <c r="K888" s="426"/>
      <c r="L888" s="435"/>
      <c r="M888" s="81">
        <f t="shared" ref="M888:M889" si="128">ROUND(I888*J888,0)</f>
        <v>172125000</v>
      </c>
      <c r="N888" s="82" t="s">
        <v>274</v>
      </c>
      <c r="O888" s="82" t="s">
        <v>8</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c r="AE888" s="1136" t="str">
        <f t="shared" ref="AE888" si="129">IF(H888&lt;&gt;VLOOKUP(H888,DSKH,1,0),"","x")</f>
        <v>x</v>
      </c>
    </row>
    <row r="889" spans="1:31" s="339" customFormat="1" ht="15.75" customHeight="1">
      <c r="A889" s="334" t="str">
        <f>IF(B889&lt;&gt;"",IF(AND(B889='IN-TC'!$S$4,OR(TH!N889="1111",TH!O889="1111")),TH!D889,""),"")</f>
        <v/>
      </c>
      <c r="B889" s="63">
        <v>10</v>
      </c>
      <c r="C889" s="92">
        <v>42645</v>
      </c>
      <c r="D889" s="92" t="s">
        <v>691</v>
      </c>
      <c r="E889" s="92">
        <f t="shared" si="127"/>
        <v>42645</v>
      </c>
      <c r="F889" s="93" t="s">
        <v>2250</v>
      </c>
      <c r="G889" s="93"/>
      <c r="H889" s="94" t="s">
        <v>446</v>
      </c>
      <c r="I889" s="1175">
        <v>18210</v>
      </c>
      <c r="J889" s="1174">
        <v>25500</v>
      </c>
      <c r="K889" s="1176"/>
      <c r="L889" s="1175"/>
      <c r="M889" s="95">
        <f t="shared" si="128"/>
        <v>464355000</v>
      </c>
      <c r="N889" s="83" t="s">
        <v>282</v>
      </c>
      <c r="O889" s="83" t="s">
        <v>274</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1" ht="15.75" customHeight="1">
      <c r="A890" s="334" t="str">
        <f>IF(B890&lt;&gt;"",IF(AND(B890='IN-TC'!$S$4,OR(TH!N890="1111",TH!O890="1111")),TH!D890,""),"")</f>
        <v/>
      </c>
      <c r="B890" s="63">
        <v>10</v>
      </c>
      <c r="C890" s="78">
        <v>42645</v>
      </c>
      <c r="D890" s="78" t="s">
        <v>936</v>
      </c>
      <c r="E890" s="78">
        <f t="shared" si="103"/>
        <v>42645</v>
      </c>
      <c r="F890" s="67" t="s">
        <v>1969</v>
      </c>
      <c r="G890" s="79"/>
      <c r="H890" s="80" t="s">
        <v>391</v>
      </c>
      <c r="I890" s="435">
        <v>8850</v>
      </c>
      <c r="J890" s="436">
        <v>16000</v>
      </c>
      <c r="K890" s="426"/>
      <c r="L890" s="435"/>
      <c r="M890" s="81">
        <f t="shared" si="104"/>
        <v>141600000</v>
      </c>
      <c r="N890" s="82" t="s">
        <v>274</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c r="AE890" s="1136" t="str">
        <f t="shared" si="105"/>
        <v>x</v>
      </c>
    </row>
    <row r="891" spans="1:31" ht="15.75" customHeight="1">
      <c r="A891" s="334" t="str">
        <f>IF(B891&lt;&gt;"",IF(AND(B891='IN-TC'!$S$4,OR(TH!N891="1111",TH!O891="1111")),TH!D891,""),"")</f>
        <v/>
      </c>
      <c r="B891" s="63">
        <v>10</v>
      </c>
      <c r="C891" s="78">
        <v>42645</v>
      </c>
      <c r="D891" s="78" t="s">
        <v>937</v>
      </c>
      <c r="E891" s="78">
        <f t="shared" si="103"/>
        <v>42645</v>
      </c>
      <c r="F891" s="67" t="s">
        <v>1969</v>
      </c>
      <c r="G891" s="79"/>
      <c r="H891" s="80" t="s">
        <v>393</v>
      </c>
      <c r="I891" s="435">
        <v>8640</v>
      </c>
      <c r="J891" s="436">
        <v>16000</v>
      </c>
      <c r="K891" s="426"/>
      <c r="L891" s="435"/>
      <c r="M891" s="81">
        <f t="shared" si="104"/>
        <v>138240000</v>
      </c>
      <c r="N891" s="82" t="s">
        <v>274</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c r="AE891" s="1136" t="str">
        <f t="shared" si="105"/>
        <v>x</v>
      </c>
    </row>
    <row r="892" spans="1:31" ht="15.75" customHeight="1">
      <c r="A892" s="334" t="str">
        <f>IF(B892&lt;&gt;"",IF(AND(B892='IN-TC'!$S$4,OR(TH!N892="1111",TH!O892="1111")),TH!D892,""),"")</f>
        <v/>
      </c>
      <c r="B892" s="63">
        <v>10</v>
      </c>
      <c r="C892" s="78">
        <v>42645</v>
      </c>
      <c r="D892" s="78" t="s">
        <v>938</v>
      </c>
      <c r="E892" s="78">
        <f>C892</f>
        <v>42645</v>
      </c>
      <c r="F892" s="67" t="s">
        <v>2250</v>
      </c>
      <c r="G892" s="79"/>
      <c r="H892" s="80" t="s">
        <v>411</v>
      </c>
      <c r="I892" s="435">
        <v>6580</v>
      </c>
      <c r="J892" s="436">
        <v>25500</v>
      </c>
      <c r="K892" s="426"/>
      <c r="L892" s="435"/>
      <c r="M892" s="81">
        <f t="shared" ref="M892:M895" si="130">ROUND(I892*J892,0)</f>
        <v>167790000</v>
      </c>
      <c r="N892" s="82" t="s">
        <v>274</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c r="AE892" s="1136" t="str">
        <f>IF(H892&lt;&gt;VLOOKUP(H892,DSKH,1,0),"","x")</f>
        <v>x</v>
      </c>
    </row>
    <row r="893" spans="1:31" ht="15.75" customHeight="1">
      <c r="A893" s="334" t="str">
        <f>IF(B893&lt;&gt;"",IF(AND(B893='IN-TC'!$S$4,OR(TH!N893="1111",TH!O893="1111")),TH!D893,""),"")</f>
        <v/>
      </c>
      <c r="B893" s="63">
        <v>10</v>
      </c>
      <c r="C893" s="78">
        <v>42645</v>
      </c>
      <c r="D893" s="78" t="s">
        <v>939</v>
      </c>
      <c r="E893" s="78">
        <f t="shared" ref="E893:E895" si="131">C893</f>
        <v>42645</v>
      </c>
      <c r="F893" s="67" t="s">
        <v>2250</v>
      </c>
      <c r="G893" s="79"/>
      <c r="H893" s="80" t="s">
        <v>418</v>
      </c>
      <c r="I893" s="435">
        <v>6210</v>
      </c>
      <c r="J893" s="436">
        <v>25500</v>
      </c>
      <c r="K893" s="426"/>
      <c r="L893" s="435"/>
      <c r="M893" s="81">
        <f>ROUND(I893*J893,0)</f>
        <v>158355000</v>
      </c>
      <c r="N893" s="82" t="s">
        <v>274</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c r="AE893" s="1136" t="str">
        <f>IF(H893&lt;&gt;VLOOKUP(H893,DSKH,1,0),"","x")</f>
        <v>x</v>
      </c>
    </row>
    <row r="894" spans="1:31" ht="15.75" customHeight="1">
      <c r="A894" s="334" t="str">
        <f>IF(B894&lt;&gt;"",IF(AND(B894='IN-TC'!$S$4,OR(TH!N894="1111",TH!O894="1111")),TH!D894,""),"")</f>
        <v/>
      </c>
      <c r="B894" s="63">
        <v>10</v>
      </c>
      <c r="C894" s="78">
        <v>42645</v>
      </c>
      <c r="D894" s="78" t="s">
        <v>940</v>
      </c>
      <c r="E894" s="78">
        <f t="shared" si="131"/>
        <v>42645</v>
      </c>
      <c r="F894" s="67" t="s">
        <v>2250</v>
      </c>
      <c r="G894" s="79"/>
      <c r="H894" s="80" t="s">
        <v>421</v>
      </c>
      <c r="I894" s="435">
        <v>6570</v>
      </c>
      <c r="J894" s="436">
        <v>25500</v>
      </c>
      <c r="K894" s="426"/>
      <c r="L894" s="435"/>
      <c r="M894" s="81">
        <f t="shared" si="130"/>
        <v>167535000</v>
      </c>
      <c r="N894" s="82" t="s">
        <v>274</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c r="AE894" s="1136" t="str">
        <f t="shared" ref="AE894" si="132">IF(H894&lt;&gt;VLOOKUP(H894,DSKH,1,0),"","x")</f>
        <v>x</v>
      </c>
    </row>
    <row r="895" spans="1:31" s="339" customFormat="1" ht="15.75" customHeight="1">
      <c r="A895" s="334" t="str">
        <f>IF(B895&lt;&gt;"",IF(AND(B895='IN-TC'!$S$4,OR(TH!N895="1111",TH!O895="1111")),TH!D895,""),"")</f>
        <v/>
      </c>
      <c r="B895" s="63">
        <v>10</v>
      </c>
      <c r="C895" s="92">
        <v>42646</v>
      </c>
      <c r="D895" s="92" t="s">
        <v>692</v>
      </c>
      <c r="E895" s="92">
        <f t="shared" si="131"/>
        <v>42646</v>
      </c>
      <c r="F895" s="93" t="s">
        <v>2250</v>
      </c>
      <c r="G895" s="93"/>
      <c r="H895" s="94" t="s">
        <v>446</v>
      </c>
      <c r="I895" s="1175">
        <v>19360</v>
      </c>
      <c r="J895" s="1174">
        <v>25500</v>
      </c>
      <c r="K895" s="1176"/>
      <c r="L895" s="1175"/>
      <c r="M895" s="95">
        <f t="shared" si="130"/>
        <v>493680000</v>
      </c>
      <c r="N895" s="83" t="s">
        <v>282</v>
      </c>
      <c r="O895" s="83" t="s">
        <v>274</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1" ht="15.75" customHeight="1">
      <c r="A896" s="334" t="str">
        <f>IF(B896&lt;&gt;"",IF(AND(B896='IN-TC'!$S$4,OR(TH!N896="1111",TH!O896="1111")),TH!D896,""),"")</f>
        <v/>
      </c>
      <c r="B896" s="63">
        <v>10</v>
      </c>
      <c r="C896" s="78">
        <v>42646</v>
      </c>
      <c r="D896" s="78" t="s">
        <v>946</v>
      </c>
      <c r="E896" s="78">
        <f t="shared" si="103"/>
        <v>42646</v>
      </c>
      <c r="F896" s="67" t="s">
        <v>1969</v>
      </c>
      <c r="G896" s="79"/>
      <c r="H896" s="80" t="s">
        <v>383</v>
      </c>
      <c r="I896" s="435">
        <v>8690</v>
      </c>
      <c r="J896" s="436">
        <v>16000</v>
      </c>
      <c r="K896" s="426"/>
      <c r="L896" s="435"/>
      <c r="M896" s="81">
        <f t="shared" si="104"/>
        <v>139040000</v>
      </c>
      <c r="N896" s="82" t="s">
        <v>274</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c r="AE896" s="1136" t="str">
        <f t="shared" si="105"/>
        <v>x</v>
      </c>
    </row>
    <row r="897" spans="1:31" ht="15.75" customHeight="1">
      <c r="A897" s="334" t="str">
        <f>IF(B897&lt;&gt;"",IF(AND(B897='IN-TC'!$S$4,OR(TH!N897="1111",TH!O897="1111")),TH!D897,""),"")</f>
        <v/>
      </c>
      <c r="B897" s="63">
        <v>10</v>
      </c>
      <c r="C897" s="78">
        <v>42646</v>
      </c>
      <c r="D897" s="78" t="s">
        <v>947</v>
      </c>
      <c r="E897" s="78">
        <f t="shared" si="103"/>
        <v>42646</v>
      </c>
      <c r="F897" s="67" t="s">
        <v>1969</v>
      </c>
      <c r="G897" s="79"/>
      <c r="H897" s="80" t="s">
        <v>385</v>
      </c>
      <c r="I897" s="435">
        <v>8670</v>
      </c>
      <c r="J897" s="436">
        <v>16000</v>
      </c>
      <c r="K897" s="426"/>
      <c r="L897" s="435"/>
      <c r="M897" s="81">
        <f t="shared" si="104"/>
        <v>138720000</v>
      </c>
      <c r="N897" s="82" t="s">
        <v>274</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c r="AE897" s="1136" t="str">
        <f t="shared" si="105"/>
        <v>x</v>
      </c>
    </row>
    <row r="898" spans="1:31" ht="15.75" customHeight="1">
      <c r="A898" s="334" t="str">
        <f>IF(B898&lt;&gt;"",IF(AND(B898='IN-TC'!$S$4,OR(TH!N898="1111",TH!O898="1111")),TH!D898,""),"")</f>
        <v/>
      </c>
      <c r="B898" s="63">
        <v>10</v>
      </c>
      <c r="C898" s="78">
        <v>42646</v>
      </c>
      <c r="D898" s="78" t="s">
        <v>948</v>
      </c>
      <c r="E898" s="78">
        <f t="shared" si="103"/>
        <v>42646</v>
      </c>
      <c r="F898" s="67" t="s">
        <v>1969</v>
      </c>
      <c r="G898" s="79"/>
      <c r="H898" s="80" t="s">
        <v>1970</v>
      </c>
      <c r="I898" s="435">
        <v>8460</v>
      </c>
      <c r="J898" s="436">
        <v>16000</v>
      </c>
      <c r="K898" s="426"/>
      <c r="L898" s="435"/>
      <c r="M898" s="81">
        <f t="shared" si="104"/>
        <v>135360000</v>
      </c>
      <c r="N898" s="82" t="s">
        <v>274</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c r="AE898" s="1136" t="str">
        <f t="shared" si="105"/>
        <v>x</v>
      </c>
    </row>
    <row r="899" spans="1:31" s="339" customFormat="1" ht="15.75" customHeight="1">
      <c r="A899" s="334" t="str">
        <f>IF(B899&lt;&gt;"",IF(AND(B899='IN-TC'!$S$4,OR(TH!N899="1111",TH!O899="1111")),TH!D899,""),"")</f>
        <v/>
      </c>
      <c r="B899" s="63">
        <v>10</v>
      </c>
      <c r="C899" s="92">
        <v>42647</v>
      </c>
      <c r="D899" s="92" t="s">
        <v>693</v>
      </c>
      <c r="E899" s="92">
        <f t="shared" ref="E899" si="133">C899</f>
        <v>42647</v>
      </c>
      <c r="F899" s="93" t="s">
        <v>1969</v>
      </c>
      <c r="G899" s="93"/>
      <c r="H899" s="94" t="s">
        <v>446</v>
      </c>
      <c r="I899" s="1175">
        <v>43310</v>
      </c>
      <c r="J899" s="1174">
        <v>16000</v>
      </c>
      <c r="K899" s="1176"/>
      <c r="L899" s="1175"/>
      <c r="M899" s="95">
        <f t="shared" ref="M899" si="134">ROUND(I899*J899,0)</f>
        <v>692960000</v>
      </c>
      <c r="N899" s="83" t="s">
        <v>282</v>
      </c>
      <c r="O899" s="83" t="s">
        <v>274</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1" ht="15.75" customHeight="1">
      <c r="A900" s="334" t="str">
        <f>IF(B900&lt;&gt;"",IF(AND(B900='IN-TC'!$S$4,OR(TH!N900="1111",TH!O900="1111")),TH!D900,""),"")</f>
        <v/>
      </c>
      <c r="B900" s="63">
        <v>10</v>
      </c>
      <c r="C900" s="78">
        <v>42646</v>
      </c>
      <c r="D900" s="78" t="s">
        <v>949</v>
      </c>
      <c r="E900" s="78">
        <f>C900</f>
        <v>42646</v>
      </c>
      <c r="F900" s="67" t="s">
        <v>2250</v>
      </c>
      <c r="G900" s="79"/>
      <c r="H900" s="80" t="s">
        <v>423</v>
      </c>
      <c r="I900" s="435">
        <v>6230</v>
      </c>
      <c r="J900" s="436">
        <v>25500</v>
      </c>
      <c r="K900" s="426"/>
      <c r="L900" s="435"/>
      <c r="M900" s="81">
        <f t="shared" si="104"/>
        <v>158865000</v>
      </c>
      <c r="N900" s="82" t="s">
        <v>274</v>
      </c>
      <c r="O900" s="82" t="s">
        <v>8</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c r="AE900" s="1136" t="str">
        <f>IF(H900&lt;&gt;VLOOKUP(H900,DSKH,1,0),"","x")</f>
        <v>x</v>
      </c>
    </row>
    <row r="901" spans="1:31" ht="15.75" customHeight="1">
      <c r="A901" s="334" t="str">
        <f>IF(B901&lt;&gt;"",IF(AND(B901='IN-TC'!$S$4,OR(TH!N901="1111",TH!O901="1111")),TH!D901,""),"")</f>
        <v/>
      </c>
      <c r="B901" s="63">
        <v>10</v>
      </c>
      <c r="C901" s="78">
        <v>42646</v>
      </c>
      <c r="D901" s="78" t="s">
        <v>950</v>
      </c>
      <c r="E901" s="78">
        <f t="shared" ref="E901:E903" si="135">C901</f>
        <v>42646</v>
      </c>
      <c r="F901" s="67" t="s">
        <v>2250</v>
      </c>
      <c r="G901" s="79"/>
      <c r="H901" s="80" t="s">
        <v>424</v>
      </c>
      <c r="I901" s="435">
        <v>6540</v>
      </c>
      <c r="J901" s="436">
        <v>25500</v>
      </c>
      <c r="K901" s="426"/>
      <c r="L901" s="435"/>
      <c r="M901" s="81">
        <f t="shared" si="104"/>
        <v>166770000</v>
      </c>
      <c r="N901" s="82" t="s">
        <v>274</v>
      </c>
      <c r="O901" s="82" t="s">
        <v>8</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c r="AE901" s="1136" t="str">
        <f>IF(H901&lt;&gt;VLOOKUP(H901,DSKH,1,0),"","x")</f>
        <v>x</v>
      </c>
    </row>
    <row r="902" spans="1:31" ht="15.75" customHeight="1">
      <c r="A902" s="334" t="str">
        <f>IF(B902&lt;&gt;"",IF(AND(B902='IN-TC'!$S$4,OR(TH!N902="1111",TH!O902="1111")),TH!D902,""),"")</f>
        <v/>
      </c>
      <c r="B902" s="63">
        <v>10</v>
      </c>
      <c r="C902" s="78">
        <v>42646</v>
      </c>
      <c r="D902" s="78" t="s">
        <v>951</v>
      </c>
      <c r="E902" s="78">
        <f t="shared" si="135"/>
        <v>42646</v>
      </c>
      <c r="F902" s="67" t="s">
        <v>2250</v>
      </c>
      <c r="G902" s="79"/>
      <c r="H902" s="80" t="s">
        <v>414</v>
      </c>
      <c r="I902" s="435">
        <v>6680</v>
      </c>
      <c r="J902" s="436">
        <v>25500</v>
      </c>
      <c r="K902" s="426"/>
      <c r="L902" s="435"/>
      <c r="M902" s="81">
        <f t="shared" si="104"/>
        <v>170340000</v>
      </c>
      <c r="N902" s="82" t="s">
        <v>274</v>
      </c>
      <c r="O902" s="82" t="s">
        <v>8</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c r="AE902" s="1136" t="str">
        <f t="shared" ref="AE902" si="136">IF(H902&lt;&gt;VLOOKUP(H902,DSKH,1,0),"","x")</f>
        <v>x</v>
      </c>
    </row>
    <row r="903" spans="1:31" s="339" customFormat="1" ht="15.75" customHeight="1">
      <c r="A903" s="334" t="str">
        <f>IF(B903&lt;&gt;"",IF(AND(B903='IN-TC'!$S$4,OR(TH!N903="1111",TH!O903="1111")),TH!D903,""),"")</f>
        <v/>
      </c>
      <c r="B903" s="63">
        <v>10</v>
      </c>
      <c r="C903" s="92">
        <v>42647</v>
      </c>
      <c r="D903" s="92" t="s">
        <v>941</v>
      </c>
      <c r="E903" s="92">
        <f t="shared" si="135"/>
        <v>42647</v>
      </c>
      <c r="F903" s="93" t="s">
        <v>2250</v>
      </c>
      <c r="G903" s="93"/>
      <c r="H903" s="94" t="s">
        <v>446</v>
      </c>
      <c r="I903" s="1175">
        <v>19450</v>
      </c>
      <c r="J903" s="1174">
        <v>25500</v>
      </c>
      <c r="K903" s="1176"/>
      <c r="L903" s="1175"/>
      <c r="M903" s="95">
        <f t="shared" si="104"/>
        <v>495975000</v>
      </c>
      <c r="N903" s="83" t="s">
        <v>282</v>
      </c>
      <c r="O903" s="83" t="s">
        <v>274</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1" ht="15.75" customHeight="1">
      <c r="A904" s="334" t="str">
        <f>IF(B904&lt;&gt;"",IF(AND(B904='IN-TC'!$S$4,OR(TH!N904="1111",TH!O904="1111")),TH!D904,""),"")</f>
        <v/>
      </c>
      <c r="B904" s="63">
        <v>10</v>
      </c>
      <c r="C904" s="78">
        <v>42647</v>
      </c>
      <c r="D904" s="78" t="s">
        <v>952</v>
      </c>
      <c r="E904" s="78">
        <f t="shared" si="103"/>
        <v>42647</v>
      </c>
      <c r="F904" s="67" t="s">
        <v>1969</v>
      </c>
      <c r="G904" s="79"/>
      <c r="H904" s="80" t="s">
        <v>391</v>
      </c>
      <c r="I904" s="435">
        <v>8950</v>
      </c>
      <c r="J904" s="436">
        <v>16000</v>
      </c>
      <c r="K904" s="426"/>
      <c r="L904" s="435"/>
      <c r="M904" s="81">
        <f t="shared" si="104"/>
        <v>143200000</v>
      </c>
      <c r="N904" s="82" t="s">
        <v>274</v>
      </c>
      <c r="O904" s="82" t="s">
        <v>8</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c r="AE904" s="1136" t="str">
        <f t="shared" si="105"/>
        <v>x</v>
      </c>
    </row>
    <row r="905" spans="1:31" ht="15.75" customHeight="1">
      <c r="A905" s="334" t="str">
        <f>IF(B905&lt;&gt;"",IF(AND(B905='IN-TC'!$S$4,OR(TH!N905="1111",TH!O905="1111")),TH!D905,""),"")</f>
        <v/>
      </c>
      <c r="B905" s="63">
        <v>10</v>
      </c>
      <c r="C905" s="78">
        <v>42647</v>
      </c>
      <c r="D905" s="78" t="s">
        <v>953</v>
      </c>
      <c r="E905" s="78">
        <f t="shared" si="103"/>
        <v>42647</v>
      </c>
      <c r="F905" s="67" t="s">
        <v>1969</v>
      </c>
      <c r="G905" s="79"/>
      <c r="H905" s="80" t="s">
        <v>378</v>
      </c>
      <c r="I905" s="435">
        <v>8870</v>
      </c>
      <c r="J905" s="436">
        <v>16000</v>
      </c>
      <c r="K905" s="426"/>
      <c r="L905" s="435"/>
      <c r="M905" s="81">
        <f t="shared" si="104"/>
        <v>141920000</v>
      </c>
      <c r="N905" s="82" t="s">
        <v>274</v>
      </c>
      <c r="O905" s="82" t="s">
        <v>8</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c r="AE905" s="1136" t="str">
        <f t="shared" si="105"/>
        <v>x</v>
      </c>
    </row>
    <row r="906" spans="1:31" ht="15.75" customHeight="1">
      <c r="A906" s="334" t="str">
        <f>IF(B906&lt;&gt;"",IF(AND(B906='IN-TC'!$S$4,OR(TH!N906="1111",TH!O906="1111")),TH!D906,""),"")</f>
        <v/>
      </c>
      <c r="B906" s="63">
        <v>10</v>
      </c>
      <c r="C906" s="78">
        <v>42647</v>
      </c>
      <c r="D906" s="78" t="s">
        <v>954</v>
      </c>
      <c r="E906" s="78">
        <f t="shared" si="103"/>
        <v>42647</v>
      </c>
      <c r="F906" s="67" t="s">
        <v>1969</v>
      </c>
      <c r="G906" s="79"/>
      <c r="H906" s="80" t="s">
        <v>393</v>
      </c>
      <c r="I906" s="435">
        <v>8920</v>
      </c>
      <c r="J906" s="436">
        <v>16000</v>
      </c>
      <c r="K906" s="426"/>
      <c r="L906" s="435"/>
      <c r="M906" s="81">
        <f t="shared" si="104"/>
        <v>142720000</v>
      </c>
      <c r="N906" s="82" t="s">
        <v>274</v>
      </c>
      <c r="O906" s="82" t="s">
        <v>8</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c r="AE906" s="1136" t="str">
        <f t="shared" si="105"/>
        <v>x</v>
      </c>
    </row>
    <row r="907" spans="1:31" s="339" customFormat="1" ht="15.75" customHeight="1">
      <c r="A907" s="334" t="str">
        <f>IF(B907&lt;&gt;"",IF(AND(B907='IN-TC'!$S$4,OR(TH!N907="1111",TH!O907="1111")),TH!D907,""),"")</f>
        <v/>
      </c>
      <c r="B907" s="63">
        <v>10</v>
      </c>
      <c r="C907" s="92">
        <v>42648</v>
      </c>
      <c r="D907" s="92" t="s">
        <v>942</v>
      </c>
      <c r="E907" s="92">
        <f t="shared" si="103"/>
        <v>42648</v>
      </c>
      <c r="F907" s="93" t="s">
        <v>1969</v>
      </c>
      <c r="G907" s="93"/>
      <c r="H907" s="94" t="s">
        <v>446</v>
      </c>
      <c r="I907" s="1175">
        <v>26740</v>
      </c>
      <c r="J907" s="1174">
        <v>16000</v>
      </c>
      <c r="K907" s="1176"/>
      <c r="L907" s="1175"/>
      <c r="M907" s="95">
        <f t="shared" si="104"/>
        <v>427840000</v>
      </c>
      <c r="N907" s="83" t="s">
        <v>282</v>
      </c>
      <c r="O907" s="83" t="s">
        <v>274</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1" ht="15.75" customHeight="1">
      <c r="A908" s="334" t="str">
        <f>IF(B908&lt;&gt;"",IF(AND(B908='IN-TC'!$S$4,OR(TH!N908="1111",TH!O908="1111")),TH!D908,""),"")</f>
        <v/>
      </c>
      <c r="B908" s="63">
        <v>10</v>
      </c>
      <c r="C908" s="78">
        <v>42647</v>
      </c>
      <c r="D908" s="78" t="s">
        <v>955</v>
      </c>
      <c r="E908" s="78">
        <f>C908</f>
        <v>42647</v>
      </c>
      <c r="F908" s="67" t="s">
        <v>2250</v>
      </c>
      <c r="G908" s="79"/>
      <c r="H908" s="80" t="s">
        <v>416</v>
      </c>
      <c r="I908" s="435">
        <v>6970</v>
      </c>
      <c r="J908" s="436">
        <v>25500</v>
      </c>
      <c r="K908" s="426"/>
      <c r="L908" s="435"/>
      <c r="M908" s="81">
        <f t="shared" ref="M908:M911" si="137">ROUND(I908*J908,0)</f>
        <v>177735000</v>
      </c>
      <c r="N908" s="82" t="s">
        <v>274</v>
      </c>
      <c r="O908" s="82" t="s">
        <v>8</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c r="AE908" s="1136" t="str">
        <f>IF(H908&lt;&gt;VLOOKUP(H908,DSKH,1,0),"","x")</f>
        <v>x</v>
      </c>
    </row>
    <row r="909" spans="1:31" ht="15.75" customHeight="1">
      <c r="A909" s="334" t="str">
        <f>IF(B909&lt;&gt;"",IF(AND(B909='IN-TC'!$S$4,OR(TH!N909="1111",TH!O909="1111")),TH!D909,""),"")</f>
        <v/>
      </c>
      <c r="B909" s="63">
        <v>10</v>
      </c>
      <c r="C909" s="78">
        <v>42647</v>
      </c>
      <c r="D909" s="78" t="s">
        <v>956</v>
      </c>
      <c r="E909" s="78">
        <f t="shared" ref="E909:E911" si="138">C909</f>
        <v>42647</v>
      </c>
      <c r="F909" s="67" t="s">
        <v>2250</v>
      </c>
      <c r="G909" s="79"/>
      <c r="H909" s="80" t="s">
        <v>411</v>
      </c>
      <c r="I909" s="435">
        <v>6890</v>
      </c>
      <c r="J909" s="436">
        <v>25500</v>
      </c>
      <c r="K909" s="426"/>
      <c r="L909" s="435"/>
      <c r="M909" s="81">
        <f t="shared" si="137"/>
        <v>175695000</v>
      </c>
      <c r="N909" s="82" t="s">
        <v>274</v>
      </c>
      <c r="O909" s="82" t="s">
        <v>8</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c r="AE909" s="1136" t="str">
        <f>IF(H909&lt;&gt;VLOOKUP(H909,DSKH,1,0),"","x")</f>
        <v>x</v>
      </c>
    </row>
    <row r="910" spans="1:31" ht="15.75" customHeight="1">
      <c r="A910" s="334" t="str">
        <f>IF(B910&lt;&gt;"",IF(AND(B910='IN-TC'!$S$4,OR(TH!N910="1111",TH!O910="1111")),TH!D910,""),"")</f>
        <v/>
      </c>
      <c r="B910" s="63">
        <v>10</v>
      </c>
      <c r="C910" s="78">
        <v>42647</v>
      </c>
      <c r="D910" s="78" t="s">
        <v>957</v>
      </c>
      <c r="E910" s="78">
        <f t="shared" si="138"/>
        <v>42647</v>
      </c>
      <c r="F910" s="67" t="s">
        <v>2250</v>
      </c>
      <c r="G910" s="79"/>
      <c r="H910" s="80" t="s">
        <v>418</v>
      </c>
      <c r="I910" s="435">
        <v>6650</v>
      </c>
      <c r="J910" s="436">
        <v>25500</v>
      </c>
      <c r="K910" s="426"/>
      <c r="L910" s="435"/>
      <c r="M910" s="81">
        <f t="shared" si="137"/>
        <v>169575000</v>
      </c>
      <c r="N910" s="82" t="s">
        <v>274</v>
      </c>
      <c r="O910" s="82" t="s">
        <v>8</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c r="AE910" s="1136" t="str">
        <f t="shared" ref="AE910" si="139">IF(H910&lt;&gt;VLOOKUP(H910,DSKH,1,0),"","x")</f>
        <v>x</v>
      </c>
    </row>
    <row r="911" spans="1:31" s="339" customFormat="1" ht="15.75" customHeight="1">
      <c r="A911" s="334" t="str">
        <f>IF(B911&lt;&gt;"",IF(AND(B911='IN-TC'!$S$4,OR(TH!N911="1111",TH!O911="1111")),TH!D911,""),"")</f>
        <v/>
      </c>
      <c r="B911" s="63">
        <v>10</v>
      </c>
      <c r="C911" s="92">
        <v>42648</v>
      </c>
      <c r="D911" s="92" t="s">
        <v>943</v>
      </c>
      <c r="E911" s="92">
        <f t="shared" si="138"/>
        <v>42648</v>
      </c>
      <c r="F911" s="93" t="s">
        <v>2250</v>
      </c>
      <c r="G911" s="93"/>
      <c r="H911" s="94" t="s">
        <v>446</v>
      </c>
      <c r="I911" s="1175">
        <v>20510</v>
      </c>
      <c r="J911" s="1174">
        <v>25500</v>
      </c>
      <c r="K911" s="1176"/>
      <c r="L911" s="1175"/>
      <c r="M911" s="95">
        <f t="shared" si="137"/>
        <v>523005000</v>
      </c>
      <c r="N911" s="83" t="s">
        <v>282</v>
      </c>
      <c r="O911" s="83" t="s">
        <v>274</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1" ht="15.75" customHeight="1">
      <c r="A912" s="334" t="str">
        <f>IF(B912&lt;&gt;"",IF(AND(B912='IN-TC'!$S$4,OR(TH!N912="1111",TH!O912="1111")),TH!D912,""),"")</f>
        <v/>
      </c>
      <c r="B912" s="63">
        <v>10</v>
      </c>
      <c r="C912" s="78">
        <v>42648</v>
      </c>
      <c r="D912" s="78" t="s">
        <v>1957</v>
      </c>
      <c r="E912" s="78">
        <f t="shared" si="103"/>
        <v>42648</v>
      </c>
      <c r="F912" s="67" t="s">
        <v>1969</v>
      </c>
      <c r="G912" s="79"/>
      <c r="H912" s="80" t="s">
        <v>395</v>
      </c>
      <c r="I912" s="435">
        <v>8960</v>
      </c>
      <c r="J912" s="436">
        <v>16000</v>
      </c>
      <c r="K912" s="426"/>
      <c r="L912" s="435"/>
      <c r="M912" s="81">
        <f t="shared" si="104"/>
        <v>143360000</v>
      </c>
      <c r="N912" s="82" t="s">
        <v>274</v>
      </c>
      <c r="O912" s="82" t="s">
        <v>8</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c r="AE912" s="1136" t="str">
        <f t="shared" si="105"/>
        <v>x</v>
      </c>
    </row>
    <row r="913" spans="1:31" ht="15.75" customHeight="1">
      <c r="A913" s="334" t="str">
        <f>IF(B913&lt;&gt;"",IF(AND(B913='IN-TC'!$S$4,OR(TH!N913="1111",TH!O913="1111")),TH!D913,""),"")</f>
        <v/>
      </c>
      <c r="B913" s="63">
        <v>10</v>
      </c>
      <c r="C913" s="78">
        <v>42648</v>
      </c>
      <c r="D913" s="78" t="s">
        <v>1958</v>
      </c>
      <c r="E913" s="78">
        <f t="shared" si="103"/>
        <v>42648</v>
      </c>
      <c r="F913" s="67" t="s">
        <v>1969</v>
      </c>
      <c r="G913" s="79"/>
      <c r="H913" s="80" t="s">
        <v>388</v>
      </c>
      <c r="I913" s="435">
        <v>8840</v>
      </c>
      <c r="J913" s="436">
        <v>16000</v>
      </c>
      <c r="K913" s="426"/>
      <c r="L913" s="435"/>
      <c r="M913" s="81">
        <f t="shared" si="104"/>
        <v>141440000</v>
      </c>
      <c r="N913" s="82" t="s">
        <v>274</v>
      </c>
      <c r="O913" s="82" t="s">
        <v>8</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c r="AE913" s="1136" t="str">
        <f t="shared" si="105"/>
        <v>x</v>
      </c>
    </row>
    <row r="914" spans="1:31" ht="15.75" customHeight="1">
      <c r="A914" s="334" t="str">
        <f>IF(B914&lt;&gt;"",IF(AND(B914='IN-TC'!$S$4,OR(TH!N914="1111",TH!O914="1111")),TH!D914,""),"")</f>
        <v/>
      </c>
      <c r="B914" s="63">
        <v>10</v>
      </c>
      <c r="C914" s="78">
        <v>42648</v>
      </c>
      <c r="D914" s="78" t="s">
        <v>1959</v>
      </c>
      <c r="E914" s="78">
        <f t="shared" si="103"/>
        <v>42648</v>
      </c>
      <c r="F914" s="67" t="s">
        <v>1969</v>
      </c>
      <c r="G914" s="79"/>
      <c r="H914" s="80" t="s">
        <v>383</v>
      </c>
      <c r="I914" s="435">
        <v>8780</v>
      </c>
      <c r="J914" s="436">
        <v>16000</v>
      </c>
      <c r="K914" s="426"/>
      <c r="L914" s="435"/>
      <c r="M914" s="81">
        <f t="shared" si="104"/>
        <v>140480000</v>
      </c>
      <c r="N914" s="82" t="s">
        <v>274</v>
      </c>
      <c r="O914" s="82" t="s">
        <v>8</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c r="AE914" s="1136" t="str">
        <f t="shared" si="105"/>
        <v>x</v>
      </c>
    </row>
    <row r="915" spans="1:31" s="339" customFormat="1" ht="15.75" customHeight="1">
      <c r="A915" s="334" t="str">
        <f>IF(B915&lt;&gt;"",IF(AND(B915='IN-TC'!$S$4,OR(TH!N915="1111",TH!O915="1111")),TH!D915,""),"")</f>
        <v/>
      </c>
      <c r="B915" s="63">
        <v>10</v>
      </c>
      <c r="C915" s="92">
        <v>42649</v>
      </c>
      <c r="D915" s="92" t="s">
        <v>944</v>
      </c>
      <c r="E915" s="92">
        <f t="shared" ref="E915" si="140">C915</f>
        <v>42649</v>
      </c>
      <c r="F915" s="93" t="s">
        <v>1969</v>
      </c>
      <c r="G915" s="93"/>
      <c r="H915" s="94" t="s">
        <v>446</v>
      </c>
      <c r="I915" s="1175">
        <v>26580</v>
      </c>
      <c r="J915" s="1174">
        <v>16000</v>
      </c>
      <c r="K915" s="1176"/>
      <c r="L915" s="1175"/>
      <c r="M915" s="95">
        <f t="shared" ref="M915" si="141">ROUND(I915*J915,0)</f>
        <v>425280000</v>
      </c>
      <c r="N915" s="83" t="s">
        <v>282</v>
      </c>
      <c r="O915" s="83" t="s">
        <v>274</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1" ht="15.75" customHeight="1">
      <c r="A916" s="334" t="str">
        <f>IF(B916&lt;&gt;"",IF(AND(B916='IN-TC'!$S$4,OR(TH!N916="1111",TH!O916="1111")),TH!D916,""),"")</f>
        <v/>
      </c>
      <c r="B916" s="63">
        <v>10</v>
      </c>
      <c r="C916" s="78">
        <v>42648</v>
      </c>
      <c r="D916" s="78" t="s">
        <v>1960</v>
      </c>
      <c r="E916" s="78">
        <f>C916</f>
        <v>42648</v>
      </c>
      <c r="F916" s="67" t="s">
        <v>680</v>
      </c>
      <c r="G916" s="79"/>
      <c r="H916" s="80" t="s">
        <v>349</v>
      </c>
      <c r="I916" s="435">
        <v>4780</v>
      </c>
      <c r="J916" s="436">
        <v>17000</v>
      </c>
      <c r="K916" s="426"/>
      <c r="L916" s="435"/>
      <c r="M916" s="81">
        <f>ROUND(I916*J916,0)</f>
        <v>81260000</v>
      </c>
      <c r="N916" s="82" t="s">
        <v>274</v>
      </c>
      <c r="O916" s="82" t="s">
        <v>8</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c r="AE916" s="1136" t="str">
        <f>IF(H916&lt;&gt;VLOOKUP(H916,DSKH,1,0),"","x")</f>
        <v>x</v>
      </c>
    </row>
    <row r="917" spans="1:31" ht="15.75" customHeight="1">
      <c r="A917" s="334" t="str">
        <f>IF(B917&lt;&gt;"",IF(AND(B917='IN-TC'!$S$4,OR(TH!N917="1111",TH!O917="1111")),TH!D917,""),"")</f>
        <v/>
      </c>
      <c r="B917" s="63">
        <v>10</v>
      </c>
      <c r="C917" s="78">
        <v>42648</v>
      </c>
      <c r="D917" s="78" t="s">
        <v>1961</v>
      </c>
      <c r="E917" s="78">
        <f>C917</f>
        <v>42648</v>
      </c>
      <c r="F917" s="67" t="s">
        <v>680</v>
      </c>
      <c r="G917" s="79"/>
      <c r="H917" s="80" t="s">
        <v>367</v>
      </c>
      <c r="I917" s="435">
        <v>4890</v>
      </c>
      <c r="J917" s="436">
        <v>17000</v>
      </c>
      <c r="K917" s="426"/>
      <c r="L917" s="435"/>
      <c r="M917" s="81">
        <f>ROUND(I917*J917,0)</f>
        <v>83130000</v>
      </c>
      <c r="N917" s="82" t="s">
        <v>274</v>
      </c>
      <c r="O917" s="82" t="s">
        <v>8</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c r="AE917" s="1136" t="str">
        <f>IF(H917&lt;&gt;VLOOKUP(H917,DSKH,1,0),"","x")</f>
        <v>x</v>
      </c>
    </row>
    <row r="918" spans="1:31" ht="15.75" customHeight="1">
      <c r="A918" s="334" t="str">
        <f>IF(B918&lt;&gt;"",IF(AND(B918='IN-TC'!$S$4,OR(TH!N918="1111",TH!O918="1111")),TH!D918,""),"")</f>
        <v/>
      </c>
      <c r="B918" s="63">
        <v>10</v>
      </c>
      <c r="C918" s="78">
        <v>42648</v>
      </c>
      <c r="D918" s="78" t="s">
        <v>1962</v>
      </c>
      <c r="E918" s="78">
        <f>C918</f>
        <v>42648</v>
      </c>
      <c r="F918" s="67" t="s">
        <v>680</v>
      </c>
      <c r="G918" s="79"/>
      <c r="H918" s="80" t="s">
        <v>361</v>
      </c>
      <c r="I918" s="435">
        <v>4950</v>
      </c>
      <c r="J918" s="436">
        <v>17000</v>
      </c>
      <c r="K918" s="426"/>
      <c r="L918" s="435"/>
      <c r="M918" s="81">
        <f>ROUND(I918*J918,0)</f>
        <v>84150000</v>
      </c>
      <c r="N918" s="82" t="s">
        <v>274</v>
      </c>
      <c r="O918" s="82" t="s">
        <v>8</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c r="AE918" s="1136" t="str">
        <f>IF(H918&lt;&gt;VLOOKUP(H918,DSKH,1,0),"","x")</f>
        <v>x</v>
      </c>
    </row>
    <row r="919" spans="1:31" ht="15.75" customHeight="1">
      <c r="A919" s="334" t="str">
        <f>IF(B919&lt;&gt;"",IF(AND(B919='IN-TC'!$S$4,OR(TH!N919="1111",TH!O919="1111")),TH!D919,""),"")</f>
        <v/>
      </c>
      <c r="B919" s="63">
        <v>10</v>
      </c>
      <c r="C919" s="78">
        <v>42648</v>
      </c>
      <c r="D919" s="78" t="s">
        <v>1963</v>
      </c>
      <c r="E919" s="78">
        <f>C919</f>
        <v>42648</v>
      </c>
      <c r="F919" s="67" t="s">
        <v>680</v>
      </c>
      <c r="G919" s="79"/>
      <c r="H919" s="80" t="s">
        <v>364</v>
      </c>
      <c r="I919" s="435">
        <v>4740</v>
      </c>
      <c r="J919" s="436">
        <v>17000</v>
      </c>
      <c r="K919" s="426"/>
      <c r="L919" s="435"/>
      <c r="M919" s="81">
        <f>ROUND(I919*J919,0)</f>
        <v>80580000</v>
      </c>
      <c r="N919" s="82" t="s">
        <v>274</v>
      </c>
      <c r="O919" s="82" t="s">
        <v>8</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c r="AE919" s="1136" t="str">
        <f>IF(H919&lt;&gt;VLOOKUP(H919,DSKH,1,0),"","x")</f>
        <v>x</v>
      </c>
    </row>
    <row r="920" spans="1:31" s="339" customFormat="1" ht="15.75" customHeight="1">
      <c r="A920" s="334" t="str">
        <f>IF(B920&lt;&gt;"",IF(AND(B920='IN-TC'!$S$4,OR(TH!N920="1111",TH!O920="1111")),TH!D920,""),"")</f>
        <v/>
      </c>
      <c r="B920" s="63">
        <v>10</v>
      </c>
      <c r="C920" s="92">
        <v>42649</v>
      </c>
      <c r="D920" s="92" t="s">
        <v>2288</v>
      </c>
      <c r="E920" s="92">
        <f>C920</f>
        <v>42649</v>
      </c>
      <c r="F920" s="93" t="s">
        <v>680</v>
      </c>
      <c r="G920" s="93"/>
      <c r="H920" s="94" t="s">
        <v>446</v>
      </c>
      <c r="I920" s="1175">
        <v>19360</v>
      </c>
      <c r="J920" s="1174">
        <v>17000</v>
      </c>
      <c r="K920" s="1176"/>
      <c r="L920" s="1175"/>
      <c r="M920" s="95">
        <f>ROUND(I920*J920,0)</f>
        <v>329120000</v>
      </c>
      <c r="N920" s="83" t="s">
        <v>282</v>
      </c>
      <c r="O920" s="83" t="s">
        <v>274</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1" ht="15.75" customHeight="1">
      <c r="A921" s="334" t="str">
        <f>IF(B921&lt;&gt;"",IF(AND(B921='IN-TC'!$S$4,OR(TH!N921="1111",TH!O921="1111")),TH!D921,""),"")</f>
        <v/>
      </c>
      <c r="B921" s="63">
        <v>10</v>
      </c>
      <c r="C921" s="78">
        <v>42649</v>
      </c>
      <c r="D921" s="78" t="s">
        <v>2251</v>
      </c>
      <c r="E921" s="78">
        <f t="shared" si="103"/>
        <v>42649</v>
      </c>
      <c r="F921" s="67" t="s">
        <v>1969</v>
      </c>
      <c r="G921" s="79"/>
      <c r="H921" s="80" t="s">
        <v>391</v>
      </c>
      <c r="I921" s="435">
        <v>8320</v>
      </c>
      <c r="J921" s="436">
        <v>16000</v>
      </c>
      <c r="K921" s="426"/>
      <c r="L921" s="435"/>
      <c r="M921" s="81">
        <f t="shared" si="104"/>
        <v>133120000</v>
      </c>
      <c r="N921" s="82" t="s">
        <v>274</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c r="AE921" s="1136" t="str">
        <f t="shared" si="105"/>
        <v>x</v>
      </c>
    </row>
    <row r="922" spans="1:31" ht="15.75" customHeight="1">
      <c r="A922" s="334" t="str">
        <f>IF(B922&lt;&gt;"",IF(AND(B922='IN-TC'!$S$4,OR(TH!N922="1111",TH!O922="1111")),TH!D922,""),"")</f>
        <v/>
      </c>
      <c r="B922" s="63">
        <v>10</v>
      </c>
      <c r="C922" s="78">
        <v>42649</v>
      </c>
      <c r="D922" s="78" t="s">
        <v>2252</v>
      </c>
      <c r="E922" s="78">
        <f t="shared" si="103"/>
        <v>42649</v>
      </c>
      <c r="F922" s="67" t="s">
        <v>1969</v>
      </c>
      <c r="G922" s="79"/>
      <c r="H922" s="80" t="s">
        <v>378</v>
      </c>
      <c r="I922" s="435">
        <v>8450</v>
      </c>
      <c r="J922" s="436">
        <v>16000</v>
      </c>
      <c r="K922" s="426"/>
      <c r="L922" s="435"/>
      <c r="M922" s="81">
        <f t="shared" si="104"/>
        <v>135200000</v>
      </c>
      <c r="N922" s="82" t="s">
        <v>274</v>
      </c>
      <c r="O922" s="82" t="s">
        <v>8</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c r="AE922" s="1136" t="str">
        <f t="shared" si="105"/>
        <v>x</v>
      </c>
    </row>
    <row r="923" spans="1:31" ht="15.75" customHeight="1">
      <c r="A923" s="334" t="str">
        <f>IF(B923&lt;&gt;"",IF(AND(B923='IN-TC'!$S$4,OR(TH!N923="1111",TH!O923="1111")),TH!D923,""),"")</f>
        <v/>
      </c>
      <c r="B923" s="63">
        <v>10</v>
      </c>
      <c r="C923" s="78">
        <v>42649</v>
      </c>
      <c r="D923" s="78" t="s">
        <v>2253</v>
      </c>
      <c r="E923" s="78">
        <f t="shared" si="103"/>
        <v>42649</v>
      </c>
      <c r="F923" s="67" t="s">
        <v>1969</v>
      </c>
      <c r="G923" s="79"/>
      <c r="H923" s="80" t="s">
        <v>393</v>
      </c>
      <c r="I923" s="435">
        <v>8520</v>
      </c>
      <c r="J923" s="436">
        <v>16000</v>
      </c>
      <c r="K923" s="426"/>
      <c r="L923" s="435"/>
      <c r="M923" s="81">
        <f t="shared" si="104"/>
        <v>136320000</v>
      </c>
      <c r="N923" s="82" t="s">
        <v>274</v>
      </c>
      <c r="O923" s="82" t="s">
        <v>8</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c r="AE923" s="1136" t="str">
        <f t="shared" si="105"/>
        <v>x</v>
      </c>
    </row>
    <row r="924" spans="1:31" ht="15.75" customHeight="1">
      <c r="A924" s="334" t="str">
        <f>IF(B924&lt;&gt;"",IF(AND(B924='IN-TC'!$S$4,OR(TH!N924="1111",TH!O924="1111")),TH!D924,""),"")</f>
        <v/>
      </c>
      <c r="B924" s="63">
        <v>10</v>
      </c>
      <c r="C924" s="78">
        <v>42649</v>
      </c>
      <c r="D924" s="78" t="s">
        <v>2254</v>
      </c>
      <c r="E924" s="78">
        <f t="shared" si="103"/>
        <v>42649</v>
      </c>
      <c r="F924" s="67" t="s">
        <v>1969</v>
      </c>
      <c r="G924" s="79"/>
      <c r="H924" s="80" t="s">
        <v>385</v>
      </c>
      <c r="I924" s="435">
        <v>8340</v>
      </c>
      <c r="J924" s="436">
        <v>16000</v>
      </c>
      <c r="K924" s="426"/>
      <c r="L924" s="435"/>
      <c r="M924" s="81">
        <f t="shared" si="104"/>
        <v>133440000</v>
      </c>
      <c r="N924" s="82" t="s">
        <v>274</v>
      </c>
      <c r="O924" s="82" t="s">
        <v>8</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c r="AE924" s="1136" t="str">
        <f t="shared" si="105"/>
        <v>x</v>
      </c>
    </row>
    <row r="925" spans="1:31" s="339" customFormat="1" ht="15.75" customHeight="1">
      <c r="A925" s="334" t="str">
        <f>IF(B925&lt;&gt;"",IF(AND(B925='IN-TC'!$S$4,OR(TH!N925="1111",TH!O925="1111")),TH!D925,""),"")</f>
        <v/>
      </c>
      <c r="B925" s="63">
        <v>10</v>
      </c>
      <c r="C925" s="92">
        <v>42650</v>
      </c>
      <c r="D925" s="92" t="s">
        <v>2289</v>
      </c>
      <c r="E925" s="92">
        <f t="shared" si="103"/>
        <v>42650</v>
      </c>
      <c r="F925" s="93" t="s">
        <v>1969</v>
      </c>
      <c r="G925" s="93"/>
      <c r="H925" s="94" t="s">
        <v>446</v>
      </c>
      <c r="I925" s="1175">
        <v>33630</v>
      </c>
      <c r="J925" s="1174">
        <v>16000</v>
      </c>
      <c r="K925" s="1176"/>
      <c r="L925" s="1175"/>
      <c r="M925" s="95">
        <f t="shared" si="104"/>
        <v>538080000</v>
      </c>
      <c r="N925" s="83" t="s">
        <v>282</v>
      </c>
      <c r="O925" s="83" t="s">
        <v>274</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1" ht="15.75" customHeight="1">
      <c r="A926" s="334" t="str">
        <f>IF(B926&lt;&gt;"",IF(AND(B926='IN-TC'!$S$4,OR(TH!N926="1111",TH!O926="1111")),TH!D926,""),"")</f>
        <v/>
      </c>
      <c r="B926" s="63">
        <v>10</v>
      </c>
      <c r="C926" s="78">
        <v>42650</v>
      </c>
      <c r="D926" s="78" t="s">
        <v>2255</v>
      </c>
      <c r="E926" s="78">
        <f t="shared" si="103"/>
        <v>42650</v>
      </c>
      <c r="F926" s="67" t="s">
        <v>1969</v>
      </c>
      <c r="G926" s="79"/>
      <c r="H926" s="80" t="s">
        <v>395</v>
      </c>
      <c r="I926" s="435">
        <v>8270</v>
      </c>
      <c r="J926" s="436">
        <v>16000</v>
      </c>
      <c r="K926" s="426"/>
      <c r="L926" s="435"/>
      <c r="M926" s="81">
        <f t="shared" si="104"/>
        <v>132320000</v>
      </c>
      <c r="N926" s="82" t="s">
        <v>274</v>
      </c>
      <c r="O926" s="82" t="s">
        <v>8</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c r="AE926" s="1136" t="str">
        <f t="shared" si="105"/>
        <v>x</v>
      </c>
    </row>
    <row r="927" spans="1:31" ht="15.75" customHeight="1">
      <c r="A927" s="334" t="str">
        <f>IF(B927&lt;&gt;"",IF(AND(B927='IN-TC'!$S$4,OR(TH!N927="1111",TH!O927="1111")),TH!D927,""),"")</f>
        <v/>
      </c>
      <c r="B927" s="63">
        <v>10</v>
      </c>
      <c r="C927" s="78">
        <v>42650</v>
      </c>
      <c r="D927" s="78" t="s">
        <v>2256</v>
      </c>
      <c r="E927" s="78">
        <f t="shared" si="103"/>
        <v>42650</v>
      </c>
      <c r="F927" s="67" t="s">
        <v>1969</v>
      </c>
      <c r="G927" s="79"/>
      <c r="H927" s="80" t="s">
        <v>388</v>
      </c>
      <c r="I927" s="435">
        <v>8190</v>
      </c>
      <c r="J927" s="436">
        <v>16000</v>
      </c>
      <c r="K927" s="426"/>
      <c r="L927" s="435"/>
      <c r="M927" s="81">
        <f t="shared" si="104"/>
        <v>131040000</v>
      </c>
      <c r="N927" s="82" t="s">
        <v>274</v>
      </c>
      <c r="O927" s="82" t="s">
        <v>8</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c r="AE927" s="1136" t="str">
        <f t="shared" si="105"/>
        <v>x</v>
      </c>
    </row>
    <row r="928" spans="1:31" ht="15.75" customHeight="1">
      <c r="A928" s="334" t="str">
        <f>IF(B928&lt;&gt;"",IF(AND(B928='IN-TC'!$S$4,OR(TH!N928="1111",TH!O928="1111")),TH!D928,""),"")</f>
        <v/>
      </c>
      <c r="B928" s="63">
        <v>10</v>
      </c>
      <c r="C928" s="78">
        <v>42650</v>
      </c>
      <c r="D928" s="78" t="s">
        <v>2257</v>
      </c>
      <c r="E928" s="78">
        <f t="shared" si="103"/>
        <v>42650</v>
      </c>
      <c r="F928" s="67" t="s">
        <v>1969</v>
      </c>
      <c r="G928" s="79"/>
      <c r="H928" s="80" t="s">
        <v>383</v>
      </c>
      <c r="I928" s="435">
        <v>8050</v>
      </c>
      <c r="J928" s="436">
        <v>16000</v>
      </c>
      <c r="K928" s="426"/>
      <c r="L928" s="435"/>
      <c r="M928" s="81">
        <f t="shared" si="104"/>
        <v>128800000</v>
      </c>
      <c r="N928" s="82" t="s">
        <v>274</v>
      </c>
      <c r="O928" s="82" t="s">
        <v>8</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c r="AE928" s="1136" t="str">
        <f t="shared" si="105"/>
        <v>x</v>
      </c>
    </row>
    <row r="929" spans="1:31" ht="15.75" customHeight="1">
      <c r="A929" s="334" t="str">
        <f>IF(B929&lt;&gt;"",IF(AND(B929='IN-TC'!$S$4,OR(TH!N929="1111",TH!O929="1111")),TH!D929,""),"")</f>
        <v/>
      </c>
      <c r="B929" s="63">
        <v>10</v>
      </c>
      <c r="C929" s="78">
        <v>42650</v>
      </c>
      <c r="D929" s="78" t="s">
        <v>2258</v>
      </c>
      <c r="E929" s="78">
        <f t="shared" si="103"/>
        <v>42650</v>
      </c>
      <c r="F929" s="67" t="s">
        <v>1969</v>
      </c>
      <c r="G929" s="79"/>
      <c r="H929" s="80" t="s">
        <v>1970</v>
      </c>
      <c r="I929" s="435">
        <v>8120</v>
      </c>
      <c r="J929" s="436">
        <v>16000</v>
      </c>
      <c r="K929" s="426"/>
      <c r="L929" s="435"/>
      <c r="M929" s="81">
        <f t="shared" si="104"/>
        <v>129920000</v>
      </c>
      <c r="N929" s="82" t="s">
        <v>274</v>
      </c>
      <c r="O929" s="82" t="s">
        <v>8</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c r="AE929" s="1136" t="str">
        <f t="shared" si="105"/>
        <v>x</v>
      </c>
    </row>
    <row r="930" spans="1:31" s="339" customFormat="1" ht="15.75" customHeight="1">
      <c r="A930" s="334" t="str">
        <f>IF(B930&lt;&gt;"",IF(AND(B930='IN-TC'!$S$4,OR(TH!N930="1111",TH!O930="1111")),TH!D930,""),"")</f>
        <v/>
      </c>
      <c r="B930" s="63">
        <v>10</v>
      </c>
      <c r="C930" s="92">
        <v>42651</v>
      </c>
      <c r="D930" s="92" t="s">
        <v>2290</v>
      </c>
      <c r="E930" s="92">
        <f t="shared" ref="E930" si="142">C930</f>
        <v>42651</v>
      </c>
      <c r="F930" s="93" t="s">
        <v>1969</v>
      </c>
      <c r="G930" s="93"/>
      <c r="H930" s="94" t="s">
        <v>446</v>
      </c>
      <c r="I930" s="1175">
        <v>32630</v>
      </c>
      <c r="J930" s="1174">
        <v>16000</v>
      </c>
      <c r="K930" s="1176"/>
      <c r="L930" s="1175"/>
      <c r="M930" s="95">
        <f t="shared" ref="M930" si="143">ROUND(I930*J930,0)</f>
        <v>522080000</v>
      </c>
      <c r="N930" s="83" t="s">
        <v>282</v>
      </c>
      <c r="O930" s="83" t="s">
        <v>274</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customHeight="1">
      <c r="A931" s="334" t="str">
        <f>IF(B931&lt;&gt;"",IF(AND(B931='IN-TC'!$S$4,OR(TH!N931="1111",TH!O931="1111")),TH!D931,""),"")</f>
        <v/>
      </c>
      <c r="B931" s="63">
        <v>10</v>
      </c>
      <c r="C931" s="78">
        <v>42650</v>
      </c>
      <c r="D931" s="78" t="s">
        <v>2259</v>
      </c>
      <c r="E931" s="78">
        <f>C931</f>
        <v>42650</v>
      </c>
      <c r="F931" s="67" t="s">
        <v>680</v>
      </c>
      <c r="G931" s="79"/>
      <c r="H931" s="87" t="s">
        <v>346</v>
      </c>
      <c r="I931" s="435">
        <v>4680</v>
      </c>
      <c r="J931" s="436">
        <v>17000</v>
      </c>
      <c r="K931" s="426"/>
      <c r="L931" s="435"/>
      <c r="M931" s="81">
        <f>ROUND(I931*J931,0)</f>
        <v>79560000</v>
      </c>
      <c r="N931" s="82" t="s">
        <v>274</v>
      </c>
      <c r="O931" s="82" t="s">
        <v>8</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c r="AE931" s="1136" t="str">
        <f t="shared" ref="AE931" si="144">IF(H931&lt;&gt;VLOOKUP(H931,DSKH,1,0),"","x")</f>
        <v>x</v>
      </c>
    </row>
    <row r="932" spans="1:31" ht="15.75" customHeight="1">
      <c r="A932" s="334" t="str">
        <f>IF(B932&lt;&gt;"",IF(AND(B932='IN-TC'!$S$4,OR(TH!N932="1111",TH!O932="1111")),TH!D932,""),"")</f>
        <v/>
      </c>
      <c r="B932" s="63">
        <v>10</v>
      </c>
      <c r="C932" s="78">
        <v>42650</v>
      </c>
      <c r="D932" s="78" t="s">
        <v>2260</v>
      </c>
      <c r="E932" s="78">
        <f t="shared" ref="E932:E935" si="145">C932</f>
        <v>42650</v>
      </c>
      <c r="F932" s="67" t="s">
        <v>680</v>
      </c>
      <c r="G932" s="79"/>
      <c r="H932" s="80" t="s">
        <v>349</v>
      </c>
      <c r="I932" s="435">
        <v>4820</v>
      </c>
      <c r="J932" s="436">
        <v>17000</v>
      </c>
      <c r="K932" s="426"/>
      <c r="L932" s="435"/>
      <c r="M932" s="81">
        <f t="shared" ref="M932:M934" si="146">ROUND(I932*J932,0)</f>
        <v>81940000</v>
      </c>
      <c r="N932" s="82" t="s">
        <v>274</v>
      </c>
      <c r="O932" s="82" t="s">
        <v>8</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c r="AE932" s="1136" t="str">
        <f t="shared" ref="AE932:AE934" si="147">IF(H932&lt;&gt;VLOOKUP(H932,DSKH,1,0),"","x")</f>
        <v>x</v>
      </c>
    </row>
    <row r="933" spans="1:31" ht="15.75" customHeight="1">
      <c r="A933" s="334" t="str">
        <f>IF(B933&lt;&gt;"",IF(AND(B933='IN-TC'!$S$4,OR(TH!N933="1111",TH!O933="1111")),TH!D933,""),"")</f>
        <v/>
      </c>
      <c r="B933" s="63">
        <v>10</v>
      </c>
      <c r="C933" s="78">
        <v>42650</v>
      </c>
      <c r="D933" s="78" t="s">
        <v>2261</v>
      </c>
      <c r="E933" s="78">
        <f t="shared" si="145"/>
        <v>42650</v>
      </c>
      <c r="F933" s="67" t="s">
        <v>680</v>
      </c>
      <c r="G933" s="79"/>
      <c r="H933" s="80" t="s">
        <v>367</v>
      </c>
      <c r="I933" s="435">
        <v>4590</v>
      </c>
      <c r="J933" s="436">
        <v>17000</v>
      </c>
      <c r="K933" s="426"/>
      <c r="L933" s="435"/>
      <c r="M933" s="81">
        <f t="shared" si="146"/>
        <v>78030000</v>
      </c>
      <c r="N933" s="82" t="s">
        <v>274</v>
      </c>
      <c r="O933" s="82" t="s">
        <v>8</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c r="AE933" s="1136" t="str">
        <f t="shared" si="147"/>
        <v>x</v>
      </c>
    </row>
    <row r="934" spans="1:31" ht="15.75" customHeight="1">
      <c r="A934" s="334" t="str">
        <f>IF(B934&lt;&gt;"",IF(AND(B934='IN-TC'!$S$4,OR(TH!N934="1111",TH!O934="1111")),TH!D934,""),"")</f>
        <v/>
      </c>
      <c r="B934" s="63">
        <v>10</v>
      </c>
      <c r="C934" s="78">
        <v>42650</v>
      </c>
      <c r="D934" s="78" t="s">
        <v>2262</v>
      </c>
      <c r="E934" s="78">
        <f t="shared" si="145"/>
        <v>42650</v>
      </c>
      <c r="F934" s="67" t="s">
        <v>680</v>
      </c>
      <c r="G934" s="79"/>
      <c r="H934" s="80" t="s">
        <v>361</v>
      </c>
      <c r="I934" s="435">
        <v>4950</v>
      </c>
      <c r="J934" s="436">
        <v>17000</v>
      </c>
      <c r="K934" s="426"/>
      <c r="L934" s="435"/>
      <c r="M934" s="81">
        <f t="shared" si="146"/>
        <v>84150000</v>
      </c>
      <c r="N934" s="82" t="s">
        <v>274</v>
      </c>
      <c r="O934" s="82" t="s">
        <v>8</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c r="AE934" s="1136" t="str">
        <f t="shared" si="147"/>
        <v>x</v>
      </c>
    </row>
    <row r="935" spans="1:31" s="339" customFormat="1" ht="15.75" customHeight="1">
      <c r="A935" s="334" t="str">
        <f>IF(B935&lt;&gt;"",IF(AND(B935='IN-TC'!$S$4,OR(TH!N935="1111",TH!O935="1111")),TH!D935,""),"")</f>
        <v/>
      </c>
      <c r="B935" s="63">
        <v>10</v>
      </c>
      <c r="C935" s="92">
        <v>42651</v>
      </c>
      <c r="D935" s="92" t="s">
        <v>2291</v>
      </c>
      <c r="E935" s="92">
        <f t="shared" si="145"/>
        <v>42651</v>
      </c>
      <c r="F935" s="93" t="s">
        <v>680</v>
      </c>
      <c r="G935" s="93"/>
      <c r="H935" s="94" t="s">
        <v>446</v>
      </c>
      <c r="I935" s="1175">
        <v>19040</v>
      </c>
      <c r="J935" s="1174">
        <v>17000</v>
      </c>
      <c r="K935" s="1176"/>
      <c r="L935" s="1175"/>
      <c r="M935" s="95">
        <f>ROUND(I935*J935,0)</f>
        <v>323680000</v>
      </c>
      <c r="N935" s="83" t="s">
        <v>282</v>
      </c>
      <c r="O935" s="83" t="s">
        <v>274</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row>
    <row r="936" spans="1:31" ht="15.75" customHeight="1">
      <c r="A936" s="334" t="str">
        <f>IF(B936&lt;&gt;"",IF(AND(B936='IN-TC'!$S$4,OR(TH!N936="1111",TH!O936="1111")),TH!D936,""),"")</f>
        <v/>
      </c>
      <c r="B936" s="63">
        <v>10</v>
      </c>
      <c r="C936" s="78">
        <v>42651</v>
      </c>
      <c r="D936" s="78" t="s">
        <v>2263</v>
      </c>
      <c r="E936" s="78">
        <f t="shared" si="103"/>
        <v>42651</v>
      </c>
      <c r="F936" s="67" t="s">
        <v>1969</v>
      </c>
      <c r="G936" s="79"/>
      <c r="H936" s="80" t="s">
        <v>391</v>
      </c>
      <c r="I936" s="435">
        <v>8170</v>
      </c>
      <c r="J936" s="436">
        <v>16000</v>
      </c>
      <c r="K936" s="426"/>
      <c r="L936" s="435"/>
      <c r="M936" s="81">
        <f t="shared" si="104"/>
        <v>130720000</v>
      </c>
      <c r="N936" s="82" t="s">
        <v>274</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s="1136" t="str">
        <f t="shared" si="105"/>
        <v>x</v>
      </c>
    </row>
    <row r="937" spans="1:31" ht="15.75" customHeight="1">
      <c r="A937" s="334" t="str">
        <f>IF(B937&lt;&gt;"",IF(AND(B937='IN-TC'!$S$4,OR(TH!N937="1111",TH!O937="1111")),TH!D937,""),"")</f>
        <v/>
      </c>
      <c r="B937" s="63">
        <v>10</v>
      </c>
      <c r="C937" s="78">
        <v>42651</v>
      </c>
      <c r="D937" s="78" t="s">
        <v>2264</v>
      </c>
      <c r="E937" s="78">
        <f t="shared" si="103"/>
        <v>42651</v>
      </c>
      <c r="F937" s="67" t="s">
        <v>1969</v>
      </c>
      <c r="G937" s="79"/>
      <c r="H937" s="80" t="s">
        <v>378</v>
      </c>
      <c r="I937" s="435">
        <v>8090</v>
      </c>
      <c r="J937" s="436">
        <v>16000</v>
      </c>
      <c r="K937" s="426"/>
      <c r="L937" s="435"/>
      <c r="M937" s="81">
        <f t="shared" si="104"/>
        <v>129440000</v>
      </c>
      <c r="N937" s="82" t="s">
        <v>274</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c r="AE937" s="1136" t="str">
        <f t="shared" si="105"/>
        <v>x</v>
      </c>
    </row>
    <row r="938" spans="1:31" ht="15.75" customHeight="1">
      <c r="A938" s="334" t="str">
        <f>IF(B938&lt;&gt;"",IF(AND(B938='IN-TC'!$S$4,OR(TH!N938="1111",TH!O938="1111")),TH!D938,""),"")</f>
        <v/>
      </c>
      <c r="B938" s="63">
        <v>10</v>
      </c>
      <c r="C938" s="78">
        <v>42651</v>
      </c>
      <c r="D938" s="78" t="s">
        <v>2265</v>
      </c>
      <c r="E938" s="78">
        <f t="shared" si="103"/>
        <v>42651</v>
      </c>
      <c r="F938" s="67" t="s">
        <v>1969</v>
      </c>
      <c r="G938" s="79"/>
      <c r="H938" s="80" t="s">
        <v>393</v>
      </c>
      <c r="I938" s="435">
        <v>8320</v>
      </c>
      <c r="J938" s="436">
        <v>16000</v>
      </c>
      <c r="K938" s="426"/>
      <c r="L938" s="435"/>
      <c r="M938" s="81">
        <f t="shared" si="104"/>
        <v>133120000</v>
      </c>
      <c r="N938" s="82" t="s">
        <v>274</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s="1136" t="str">
        <f t="shared" si="105"/>
        <v>x</v>
      </c>
    </row>
    <row r="939" spans="1:31" ht="15.75" customHeight="1">
      <c r="A939" s="334" t="str">
        <f>IF(B939&lt;&gt;"",IF(AND(B939='IN-TC'!$S$4,OR(TH!N939="1111",TH!O939="1111")),TH!D939,""),"")</f>
        <v/>
      </c>
      <c r="B939" s="63">
        <v>10</v>
      </c>
      <c r="C939" s="78">
        <v>42651</v>
      </c>
      <c r="D939" s="78" t="s">
        <v>2266</v>
      </c>
      <c r="E939" s="78">
        <f t="shared" si="103"/>
        <v>42651</v>
      </c>
      <c r="F939" s="67" t="s">
        <v>1969</v>
      </c>
      <c r="G939" s="79"/>
      <c r="H939" s="80" t="s">
        <v>385</v>
      </c>
      <c r="I939" s="435">
        <v>7980</v>
      </c>
      <c r="J939" s="436">
        <v>16000</v>
      </c>
      <c r="K939" s="426"/>
      <c r="L939" s="435"/>
      <c r="M939" s="81">
        <f t="shared" si="104"/>
        <v>127680000</v>
      </c>
      <c r="N939" s="82" t="s">
        <v>274</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c r="AE939" s="1136" t="str">
        <f t="shared" si="105"/>
        <v>x</v>
      </c>
    </row>
    <row r="940" spans="1:31" s="339" customFormat="1" ht="15.75" customHeight="1">
      <c r="A940" s="334" t="str">
        <f>IF(B940&lt;&gt;"",IF(AND(B940='IN-TC'!$S$4,OR(TH!N940="1111",TH!O940="1111")),TH!D940,""),"")</f>
        <v/>
      </c>
      <c r="B940" s="63">
        <v>10</v>
      </c>
      <c r="C940" s="92">
        <v>42652</v>
      </c>
      <c r="D940" s="92" t="s">
        <v>2292</v>
      </c>
      <c r="E940" s="92">
        <f t="shared" si="103"/>
        <v>42652</v>
      </c>
      <c r="F940" s="93" t="s">
        <v>1969</v>
      </c>
      <c r="G940" s="93"/>
      <c r="H940" s="94" t="s">
        <v>446</v>
      </c>
      <c r="I940" s="1175">
        <v>32560</v>
      </c>
      <c r="J940" s="1174">
        <v>16000</v>
      </c>
      <c r="K940" s="1176"/>
      <c r="L940" s="1175"/>
      <c r="M940" s="95">
        <f t="shared" si="104"/>
        <v>520960000</v>
      </c>
      <c r="N940" s="83" t="s">
        <v>282</v>
      </c>
      <c r="O940" s="83" t="s">
        <v>274</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row>
    <row r="941" spans="1:31" ht="15.75" customHeight="1">
      <c r="A941" s="334" t="str">
        <f>IF(B941&lt;&gt;"",IF(AND(B941='IN-TC'!$S$4,OR(TH!N941="1111",TH!O941="1111")),TH!D941,""),"")</f>
        <v/>
      </c>
      <c r="B941" s="63">
        <v>10</v>
      </c>
      <c r="C941" s="78">
        <v>42652</v>
      </c>
      <c r="D941" s="78" t="s">
        <v>2267</v>
      </c>
      <c r="E941" s="78">
        <f t="shared" si="103"/>
        <v>42652</v>
      </c>
      <c r="F941" s="67" t="s">
        <v>1969</v>
      </c>
      <c r="G941" s="79"/>
      <c r="H941" s="80" t="s">
        <v>395</v>
      </c>
      <c r="I941" s="435">
        <v>8270</v>
      </c>
      <c r="J941" s="436">
        <v>16000</v>
      </c>
      <c r="K941" s="426"/>
      <c r="L941" s="435"/>
      <c r="M941" s="81">
        <f t="shared" si="104"/>
        <v>132320000</v>
      </c>
      <c r="N941" s="82" t="s">
        <v>274</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c r="AE941" s="1136" t="str">
        <f t="shared" si="105"/>
        <v>x</v>
      </c>
    </row>
    <row r="942" spans="1:31" ht="15.75" customHeight="1">
      <c r="A942" s="334" t="str">
        <f>IF(B942&lt;&gt;"",IF(AND(B942='IN-TC'!$S$4,OR(TH!N942="1111",TH!O942="1111")),TH!D942,""),"")</f>
        <v/>
      </c>
      <c r="B942" s="63">
        <v>10</v>
      </c>
      <c r="C942" s="78">
        <v>42652</v>
      </c>
      <c r="D942" s="78" t="s">
        <v>2268</v>
      </c>
      <c r="E942" s="78">
        <f t="shared" si="103"/>
        <v>42652</v>
      </c>
      <c r="F942" s="67" t="s">
        <v>1969</v>
      </c>
      <c r="G942" s="79"/>
      <c r="H942" s="80" t="s">
        <v>388</v>
      </c>
      <c r="I942" s="435">
        <v>7690</v>
      </c>
      <c r="J942" s="436">
        <v>16000</v>
      </c>
      <c r="K942" s="426"/>
      <c r="L942" s="435"/>
      <c r="M942" s="81">
        <f t="shared" si="104"/>
        <v>123040000</v>
      </c>
      <c r="N942" s="82" t="s">
        <v>274</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s="1136" t="str">
        <f t="shared" si="105"/>
        <v>x</v>
      </c>
    </row>
    <row r="943" spans="1:31" ht="15.75" customHeight="1">
      <c r="A943" s="334" t="str">
        <f>IF(B943&lt;&gt;"",IF(AND(B943='IN-TC'!$S$4,OR(TH!N943="1111",TH!O943="1111")),TH!D943,""),"")</f>
        <v/>
      </c>
      <c r="B943" s="63">
        <v>10</v>
      </c>
      <c r="C943" s="78">
        <v>42652</v>
      </c>
      <c r="D943" s="78" t="s">
        <v>2269</v>
      </c>
      <c r="E943" s="78">
        <f t="shared" ref="E943:E963" si="148">C943</f>
        <v>42652</v>
      </c>
      <c r="F943" s="67" t="s">
        <v>1969</v>
      </c>
      <c r="G943" s="79"/>
      <c r="H943" s="80" t="s">
        <v>383</v>
      </c>
      <c r="I943" s="435">
        <v>8450</v>
      </c>
      <c r="J943" s="436">
        <v>16000</v>
      </c>
      <c r="K943" s="426"/>
      <c r="L943" s="435"/>
      <c r="M943" s="81">
        <f t="shared" ref="M943:M963" si="149">ROUND(I943*J943,0)</f>
        <v>135200000</v>
      </c>
      <c r="N943" s="82" t="s">
        <v>274</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s="1136" t="str">
        <f t="shared" ref="AE943:AE963" si="150">IF(H943&lt;&gt;VLOOKUP(H943,DSKH,1,0),"","x")</f>
        <v>x</v>
      </c>
    </row>
    <row r="944" spans="1:31" s="339" customFormat="1" ht="15.75" customHeight="1">
      <c r="A944" s="334" t="str">
        <f>IF(B944&lt;&gt;"",IF(AND(B944='IN-TC'!$S$4,OR(TH!N944="1111",TH!O944="1111")),TH!D944,""),"")</f>
        <v/>
      </c>
      <c r="B944" s="63">
        <v>10</v>
      </c>
      <c r="C944" s="92">
        <v>42653</v>
      </c>
      <c r="D944" s="92" t="s">
        <v>2293</v>
      </c>
      <c r="E944" s="92">
        <f t="shared" si="148"/>
        <v>42653</v>
      </c>
      <c r="F944" s="93" t="s">
        <v>1969</v>
      </c>
      <c r="G944" s="93"/>
      <c r="H944" s="94" t="s">
        <v>446</v>
      </c>
      <c r="I944" s="1175">
        <v>24410</v>
      </c>
      <c r="J944" s="1174">
        <v>16000</v>
      </c>
      <c r="K944" s="1176"/>
      <c r="L944" s="1175"/>
      <c r="M944" s="95">
        <f t="shared" si="149"/>
        <v>390560000</v>
      </c>
      <c r="N944" s="83" t="s">
        <v>282</v>
      </c>
      <c r="O944" s="83" t="s">
        <v>274</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row>
    <row r="945" spans="1:31" ht="15.75" customHeight="1">
      <c r="A945" s="334" t="str">
        <f>IF(B945&lt;&gt;"",IF(AND(B945='IN-TC'!$S$4,OR(TH!N945="1111",TH!O945="1111")),TH!D945,""),"")</f>
        <v/>
      </c>
      <c r="B945" s="63">
        <v>10</v>
      </c>
      <c r="C945" s="78">
        <v>42653</v>
      </c>
      <c r="D945" s="78" t="s">
        <v>2270</v>
      </c>
      <c r="E945" s="78">
        <f t="shared" si="148"/>
        <v>42653</v>
      </c>
      <c r="F945" s="67" t="s">
        <v>1969</v>
      </c>
      <c r="G945" s="79"/>
      <c r="H945" s="80" t="s">
        <v>1970</v>
      </c>
      <c r="I945" s="435">
        <v>8360</v>
      </c>
      <c r="J945" s="436">
        <v>16000</v>
      </c>
      <c r="K945" s="426"/>
      <c r="L945" s="435"/>
      <c r="M945" s="81">
        <f t="shared" si="149"/>
        <v>133760000</v>
      </c>
      <c r="N945" s="82" t="s">
        <v>274</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s="1136" t="str">
        <f t="shared" si="150"/>
        <v>x</v>
      </c>
    </row>
    <row r="946" spans="1:31" ht="15.75" customHeight="1">
      <c r="A946" s="334" t="str">
        <f>IF(B946&lt;&gt;"",IF(AND(B946='IN-TC'!$S$4,OR(TH!N946="1111",TH!O946="1111")),TH!D946,""),"")</f>
        <v/>
      </c>
      <c r="B946" s="63">
        <v>10</v>
      </c>
      <c r="C946" s="78">
        <v>42653</v>
      </c>
      <c r="D946" s="78" t="s">
        <v>2271</v>
      </c>
      <c r="E946" s="78">
        <f t="shared" si="148"/>
        <v>42653</v>
      </c>
      <c r="F946" s="67" t="s">
        <v>1969</v>
      </c>
      <c r="G946" s="79"/>
      <c r="H946" s="80" t="s">
        <v>391</v>
      </c>
      <c r="I946" s="435">
        <v>8720</v>
      </c>
      <c r="J946" s="436">
        <v>16000</v>
      </c>
      <c r="K946" s="426"/>
      <c r="L946" s="435"/>
      <c r="M946" s="81">
        <f t="shared" si="149"/>
        <v>139520000</v>
      </c>
      <c r="N946" s="82" t="s">
        <v>274</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s="1136" t="str">
        <f t="shared" si="150"/>
        <v>x</v>
      </c>
    </row>
    <row r="947" spans="1:31" ht="15.75" customHeight="1">
      <c r="A947" s="334" t="str">
        <f>IF(B947&lt;&gt;"",IF(AND(B947='IN-TC'!$S$4,OR(TH!N947="1111",TH!O947="1111")),TH!D947,""),"")</f>
        <v/>
      </c>
      <c r="B947" s="63">
        <v>10</v>
      </c>
      <c r="C947" s="78">
        <v>42653</v>
      </c>
      <c r="D947" s="78" t="s">
        <v>2272</v>
      </c>
      <c r="E947" s="78">
        <f t="shared" si="148"/>
        <v>42653</v>
      </c>
      <c r="F947" s="67" t="s">
        <v>1969</v>
      </c>
      <c r="G947" s="79"/>
      <c r="H947" s="80" t="s">
        <v>378</v>
      </c>
      <c r="I947" s="435">
        <v>7850</v>
      </c>
      <c r="J947" s="436">
        <v>16000</v>
      </c>
      <c r="K947" s="426"/>
      <c r="L947" s="435"/>
      <c r="M947" s="81">
        <f t="shared" si="149"/>
        <v>125600000</v>
      </c>
      <c r="N947" s="82" t="s">
        <v>274</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s="1136" t="str">
        <f t="shared" si="150"/>
        <v>x</v>
      </c>
    </row>
    <row r="948" spans="1:31" ht="15.75" customHeight="1">
      <c r="A948" s="334" t="str">
        <f>IF(B948&lt;&gt;"",IF(AND(B948='IN-TC'!$S$4,OR(TH!N948="1111",TH!O948="1111")),TH!D948,""),"")</f>
        <v/>
      </c>
      <c r="B948" s="63">
        <v>10</v>
      </c>
      <c r="C948" s="78">
        <v>42653</v>
      </c>
      <c r="D948" s="78" t="s">
        <v>2273</v>
      </c>
      <c r="E948" s="78">
        <f t="shared" si="148"/>
        <v>42653</v>
      </c>
      <c r="F948" s="67" t="s">
        <v>1969</v>
      </c>
      <c r="G948" s="79"/>
      <c r="H948" s="80" t="s">
        <v>393</v>
      </c>
      <c r="I948" s="435">
        <v>8640</v>
      </c>
      <c r="J948" s="436">
        <v>16000</v>
      </c>
      <c r="K948" s="426"/>
      <c r="L948" s="435"/>
      <c r="M948" s="81">
        <f t="shared" si="149"/>
        <v>138240000</v>
      </c>
      <c r="N948" s="82" t="s">
        <v>274</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s="1136" t="str">
        <f t="shared" si="150"/>
        <v>x</v>
      </c>
    </row>
    <row r="949" spans="1:31" s="339" customFormat="1" ht="15.75" customHeight="1">
      <c r="A949" s="334" t="str">
        <f>IF(B949&lt;&gt;"",IF(AND(B949='IN-TC'!$S$4,OR(TH!N949="1111",TH!O949="1111")),TH!D949,""),"")</f>
        <v/>
      </c>
      <c r="B949" s="63">
        <v>10</v>
      </c>
      <c r="C949" s="92">
        <v>42654</v>
      </c>
      <c r="D949" s="92" t="s">
        <v>2294</v>
      </c>
      <c r="E949" s="92">
        <f t="shared" ref="E949" si="151">C949</f>
        <v>42654</v>
      </c>
      <c r="F949" s="93" t="s">
        <v>1969</v>
      </c>
      <c r="G949" s="93"/>
      <c r="H949" s="94" t="s">
        <v>446</v>
      </c>
      <c r="I949" s="1175">
        <v>33570</v>
      </c>
      <c r="J949" s="1174">
        <v>16000</v>
      </c>
      <c r="K949" s="1176"/>
      <c r="L949" s="1175"/>
      <c r="M949" s="95">
        <f t="shared" ref="M949" si="152">ROUND(I949*J949,0)</f>
        <v>537120000</v>
      </c>
      <c r="N949" s="83" t="s">
        <v>282</v>
      </c>
      <c r="O949" s="83" t="s">
        <v>274</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row>
    <row r="950" spans="1:31" ht="15.75" customHeight="1">
      <c r="A950" s="334" t="str">
        <f>IF(B950&lt;&gt;"",IF(AND(B950='IN-TC'!$S$4,OR(TH!N950="1111",TH!O950="1111")),TH!D950,""),"")</f>
        <v/>
      </c>
      <c r="B950" s="63">
        <v>10</v>
      </c>
      <c r="C950" s="78">
        <v>42654</v>
      </c>
      <c r="D950" s="78" t="s">
        <v>2274</v>
      </c>
      <c r="E950" s="78">
        <f t="shared" si="148"/>
        <v>42654</v>
      </c>
      <c r="F950" s="67" t="s">
        <v>1969</v>
      </c>
      <c r="G950" s="79"/>
      <c r="H950" s="80" t="s">
        <v>385</v>
      </c>
      <c r="I950" s="435">
        <v>8550</v>
      </c>
      <c r="J950" s="436">
        <v>16000</v>
      </c>
      <c r="K950" s="426"/>
      <c r="L950" s="435"/>
      <c r="M950" s="81">
        <f t="shared" si="149"/>
        <v>136800000</v>
      </c>
      <c r="N950" s="82" t="s">
        <v>274</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c r="AE950" s="1136" t="str">
        <f t="shared" si="150"/>
        <v>x</v>
      </c>
    </row>
    <row r="951" spans="1:31" ht="15.75" customHeight="1">
      <c r="A951" s="334" t="str">
        <f>IF(B951&lt;&gt;"",IF(AND(B951='IN-TC'!$S$4,OR(TH!N951="1111",TH!O951="1111")),TH!D951,""),"")</f>
        <v/>
      </c>
      <c r="B951" s="63">
        <v>10</v>
      </c>
      <c r="C951" s="78">
        <v>42654</v>
      </c>
      <c r="D951" s="78" t="s">
        <v>2275</v>
      </c>
      <c r="E951" s="78">
        <f t="shared" si="148"/>
        <v>42654</v>
      </c>
      <c r="F951" s="67" t="s">
        <v>1969</v>
      </c>
      <c r="G951" s="79"/>
      <c r="H951" s="80" t="s">
        <v>395</v>
      </c>
      <c r="I951" s="435">
        <v>8470</v>
      </c>
      <c r="J951" s="436">
        <v>16000</v>
      </c>
      <c r="K951" s="426"/>
      <c r="L951" s="435"/>
      <c r="M951" s="81">
        <f t="shared" si="149"/>
        <v>135520000</v>
      </c>
      <c r="N951" s="82" t="s">
        <v>274</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s="1136" t="str">
        <f t="shared" si="150"/>
        <v>x</v>
      </c>
    </row>
    <row r="952" spans="1:31" ht="15.75" customHeight="1">
      <c r="A952" s="334" t="str">
        <f>IF(B952&lt;&gt;"",IF(AND(B952='IN-TC'!$S$4,OR(TH!N952="1111",TH!O952="1111")),TH!D952,""),"")</f>
        <v/>
      </c>
      <c r="B952" s="63">
        <v>10</v>
      </c>
      <c r="C952" s="78">
        <v>42654</v>
      </c>
      <c r="D952" s="78" t="s">
        <v>2276</v>
      </c>
      <c r="E952" s="78">
        <f t="shared" si="148"/>
        <v>42654</v>
      </c>
      <c r="F952" s="67" t="s">
        <v>1969</v>
      </c>
      <c r="G952" s="79"/>
      <c r="H952" s="80" t="s">
        <v>388</v>
      </c>
      <c r="I952" s="435">
        <v>7860</v>
      </c>
      <c r="J952" s="436">
        <v>16000</v>
      </c>
      <c r="K952" s="426"/>
      <c r="L952" s="435"/>
      <c r="M952" s="81">
        <f t="shared" si="149"/>
        <v>125760000</v>
      </c>
      <c r="N952" s="82" t="s">
        <v>274</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s="1136" t="str">
        <f t="shared" si="150"/>
        <v>x</v>
      </c>
    </row>
    <row r="953" spans="1:31" s="339" customFormat="1" ht="15.75" customHeight="1">
      <c r="A953" s="334" t="str">
        <f>IF(B953&lt;&gt;"",IF(AND(B953='IN-TC'!$S$4,OR(TH!N953="1111",TH!O953="1111")),TH!D953,""),"")</f>
        <v/>
      </c>
      <c r="B953" s="63">
        <v>10</v>
      </c>
      <c r="C953" s="92">
        <v>42655</v>
      </c>
      <c r="D953" s="92" t="s">
        <v>2295</v>
      </c>
      <c r="E953" s="92">
        <f t="shared" si="148"/>
        <v>42655</v>
      </c>
      <c r="F953" s="93" t="s">
        <v>1969</v>
      </c>
      <c r="G953" s="93"/>
      <c r="H953" s="94" t="s">
        <v>446</v>
      </c>
      <c r="I953" s="1175">
        <v>24880</v>
      </c>
      <c r="J953" s="1174">
        <v>16000</v>
      </c>
      <c r="K953" s="1176"/>
      <c r="L953" s="1175"/>
      <c r="M953" s="95">
        <f t="shared" si="149"/>
        <v>398080000</v>
      </c>
      <c r="N953" s="83" t="s">
        <v>282</v>
      </c>
      <c r="O953" s="83" t="s">
        <v>274</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1" ht="15.75" customHeight="1">
      <c r="A954" s="334" t="str">
        <f>IF(B954&lt;&gt;"",IF(AND(B954='IN-TC'!$S$4,OR(TH!N954="1111",TH!O954="1111")),TH!D954,""),"")</f>
        <v/>
      </c>
      <c r="B954" s="63">
        <v>10</v>
      </c>
      <c r="C954" s="78">
        <v>42655</v>
      </c>
      <c r="D954" s="78" t="s">
        <v>2277</v>
      </c>
      <c r="E954" s="78">
        <f t="shared" ref="E954:E959" si="153">C954</f>
        <v>42655</v>
      </c>
      <c r="F954" s="67" t="s">
        <v>1969</v>
      </c>
      <c r="G954" s="79"/>
      <c r="H954" s="80" t="s">
        <v>383</v>
      </c>
      <c r="I954" s="435">
        <v>8250</v>
      </c>
      <c r="J954" s="436">
        <v>16000</v>
      </c>
      <c r="K954" s="426"/>
      <c r="L954" s="435"/>
      <c r="M954" s="81">
        <f t="shared" ref="M954:M959" si="154">ROUND(I954*J954,0)</f>
        <v>132000000</v>
      </c>
      <c r="N954" s="82" t="s">
        <v>274</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c r="AE954" s="1136" t="str">
        <f t="shared" ref="AE954:AE959" si="155">IF(H954&lt;&gt;VLOOKUP(H954,DSKH,1,0),"","x")</f>
        <v>x</v>
      </c>
    </row>
    <row r="955" spans="1:31" ht="15.75" customHeight="1">
      <c r="A955" s="334" t="str">
        <f>IF(B955&lt;&gt;"",IF(AND(B955='IN-TC'!$S$4,OR(TH!N955="1111",TH!O955="1111")),TH!D955,""),"")</f>
        <v/>
      </c>
      <c r="B955" s="63">
        <v>10</v>
      </c>
      <c r="C955" s="78">
        <v>42655</v>
      </c>
      <c r="D955" s="78" t="s">
        <v>2278</v>
      </c>
      <c r="E955" s="78">
        <f t="shared" si="153"/>
        <v>42655</v>
      </c>
      <c r="F955" s="67" t="s">
        <v>1969</v>
      </c>
      <c r="G955" s="79"/>
      <c r="H955" s="80" t="s">
        <v>1970</v>
      </c>
      <c r="I955" s="435">
        <v>8460</v>
      </c>
      <c r="J955" s="436">
        <v>16000</v>
      </c>
      <c r="K955" s="426"/>
      <c r="L955" s="435"/>
      <c r="M955" s="81">
        <f t="shared" si="154"/>
        <v>135360000</v>
      </c>
      <c r="N955" s="82" t="s">
        <v>274</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s="1136" t="str">
        <f t="shared" si="155"/>
        <v>x</v>
      </c>
    </row>
    <row r="956" spans="1:31" ht="15.75" customHeight="1">
      <c r="A956" s="334" t="str">
        <f>IF(B956&lt;&gt;"",IF(AND(B956='IN-TC'!$S$4,OR(TH!N956="1111",TH!O956="1111")),TH!D956,""),"")</f>
        <v/>
      </c>
      <c r="B956" s="63">
        <v>10</v>
      </c>
      <c r="C956" s="78">
        <v>42655</v>
      </c>
      <c r="D956" s="78" t="s">
        <v>2279</v>
      </c>
      <c r="E956" s="78">
        <f t="shared" si="153"/>
        <v>42655</v>
      </c>
      <c r="F956" s="67" t="s">
        <v>1969</v>
      </c>
      <c r="G956" s="79"/>
      <c r="H956" s="80" t="s">
        <v>391</v>
      </c>
      <c r="I956" s="435">
        <v>8560</v>
      </c>
      <c r="J956" s="436">
        <v>16000</v>
      </c>
      <c r="K956" s="426"/>
      <c r="L956" s="435"/>
      <c r="M956" s="81">
        <f t="shared" si="154"/>
        <v>136960000</v>
      </c>
      <c r="N956" s="82" t="s">
        <v>274</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c r="AE956" s="1136" t="str">
        <f t="shared" si="155"/>
        <v>x</v>
      </c>
    </row>
    <row r="957" spans="1:31" ht="15.75" customHeight="1">
      <c r="A957" s="334" t="str">
        <f>IF(B957&lt;&gt;"",IF(AND(B957='IN-TC'!$S$4,OR(TH!N957="1111",TH!O957="1111")),TH!D957,""),"")</f>
        <v/>
      </c>
      <c r="B957" s="63">
        <v>10</v>
      </c>
      <c r="C957" s="78">
        <v>42655</v>
      </c>
      <c r="D957" s="78" t="s">
        <v>2280</v>
      </c>
      <c r="E957" s="78">
        <f t="shared" si="153"/>
        <v>42655</v>
      </c>
      <c r="F957" s="67" t="s">
        <v>1969</v>
      </c>
      <c r="G957" s="79"/>
      <c r="H957" s="80" t="s">
        <v>378</v>
      </c>
      <c r="I957" s="435">
        <v>8650</v>
      </c>
      <c r="J957" s="436">
        <v>16000</v>
      </c>
      <c r="K957" s="426"/>
      <c r="L957" s="435"/>
      <c r="M957" s="81">
        <f t="shared" si="154"/>
        <v>138400000</v>
      </c>
      <c r="N957" s="82" t="s">
        <v>274</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s="1136" t="str">
        <f t="shared" si="155"/>
        <v>x</v>
      </c>
    </row>
    <row r="958" spans="1:31" s="339" customFormat="1" ht="15.75" customHeight="1">
      <c r="A958" s="334" t="str">
        <f>IF(B958&lt;&gt;"",IF(AND(B958='IN-TC'!$S$4,OR(TH!N958="1111",TH!O958="1111")),TH!D958,""),"")</f>
        <v/>
      </c>
      <c r="B958" s="63">
        <v>10</v>
      </c>
      <c r="C958" s="92">
        <v>42656</v>
      </c>
      <c r="D958" s="92" t="s">
        <v>2296</v>
      </c>
      <c r="E958" s="92">
        <f t="shared" si="153"/>
        <v>42656</v>
      </c>
      <c r="F958" s="93" t="s">
        <v>1969</v>
      </c>
      <c r="G958" s="93"/>
      <c r="H958" s="94" t="s">
        <v>446</v>
      </c>
      <c r="I958" s="1175">
        <v>33920</v>
      </c>
      <c r="J958" s="1174">
        <v>16000</v>
      </c>
      <c r="K958" s="1176"/>
      <c r="L958" s="1175"/>
      <c r="M958" s="95">
        <f t="shared" si="154"/>
        <v>542720000</v>
      </c>
      <c r="N958" s="83" t="s">
        <v>282</v>
      </c>
      <c r="O958" s="83" t="s">
        <v>274</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row>
    <row r="959" spans="1:31" ht="15.75" customHeight="1">
      <c r="A959" s="334" t="str">
        <f>IF(B959&lt;&gt;"",IF(AND(B959='IN-TC'!$S$4,OR(TH!N959="1111",TH!O959="1111")),TH!D959,""),"")</f>
        <v/>
      </c>
      <c r="B959" s="63">
        <v>10</v>
      </c>
      <c r="C959" s="78">
        <v>42656</v>
      </c>
      <c r="D959" s="78" t="s">
        <v>2281</v>
      </c>
      <c r="E959" s="78">
        <f t="shared" si="153"/>
        <v>42656</v>
      </c>
      <c r="F959" s="67" t="s">
        <v>1969</v>
      </c>
      <c r="G959" s="79"/>
      <c r="H959" s="80" t="s">
        <v>393</v>
      </c>
      <c r="I959" s="435">
        <v>7980</v>
      </c>
      <c r="J959" s="436">
        <v>16000</v>
      </c>
      <c r="K959" s="426"/>
      <c r="L959" s="435"/>
      <c r="M959" s="81">
        <f t="shared" si="154"/>
        <v>127680000</v>
      </c>
      <c r="N959" s="82" t="s">
        <v>274</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s="1136" t="str">
        <f t="shared" si="155"/>
        <v>x</v>
      </c>
    </row>
    <row r="960" spans="1:31" ht="15.75" customHeight="1">
      <c r="A960" s="334" t="str">
        <f>IF(B960&lt;&gt;"",IF(AND(B960='IN-TC'!$S$4,OR(TH!N960="1111",TH!O960="1111")),TH!D960,""),"")</f>
        <v/>
      </c>
      <c r="B960" s="63">
        <v>10</v>
      </c>
      <c r="C960" s="78">
        <v>42656</v>
      </c>
      <c r="D960" s="78" t="s">
        <v>2282</v>
      </c>
      <c r="E960" s="78">
        <f t="shared" si="148"/>
        <v>42656</v>
      </c>
      <c r="F960" s="67" t="s">
        <v>1969</v>
      </c>
      <c r="G960" s="79"/>
      <c r="H960" s="80" t="s">
        <v>385</v>
      </c>
      <c r="I960" s="435">
        <v>8480</v>
      </c>
      <c r="J960" s="436">
        <v>16000</v>
      </c>
      <c r="K960" s="426"/>
      <c r="L960" s="435"/>
      <c r="M960" s="81">
        <f t="shared" si="149"/>
        <v>135680000</v>
      </c>
      <c r="N960" s="82" t="s">
        <v>274</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c r="AE960" s="1136" t="str">
        <f t="shared" si="150"/>
        <v>x</v>
      </c>
    </row>
    <row r="961" spans="1:31" ht="15.75" customHeight="1">
      <c r="A961" s="334" t="str">
        <f>IF(B961&lt;&gt;"",IF(AND(B961='IN-TC'!$S$4,OR(TH!N961="1111",TH!O961="1111")),TH!D961,""),"")</f>
        <v/>
      </c>
      <c r="B961" s="63">
        <v>10</v>
      </c>
      <c r="C961" s="78">
        <v>42656</v>
      </c>
      <c r="D961" s="78" t="s">
        <v>2283</v>
      </c>
      <c r="E961" s="78">
        <f t="shared" si="148"/>
        <v>42656</v>
      </c>
      <c r="F961" s="67" t="s">
        <v>1969</v>
      </c>
      <c r="G961" s="79"/>
      <c r="H961" s="80" t="s">
        <v>395</v>
      </c>
      <c r="I961" s="435">
        <v>8150</v>
      </c>
      <c r="J961" s="436">
        <v>16000</v>
      </c>
      <c r="K961" s="426"/>
      <c r="L961" s="435"/>
      <c r="M961" s="81">
        <f t="shared" si="149"/>
        <v>130400000</v>
      </c>
      <c r="N961" s="82" t="s">
        <v>274</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s="1136" t="str">
        <f t="shared" si="150"/>
        <v>x</v>
      </c>
    </row>
    <row r="962" spans="1:31" s="339" customFormat="1" ht="15.75" customHeight="1">
      <c r="A962" s="334" t="str">
        <f>IF(B962&lt;&gt;"",IF(AND(B962='IN-TC'!$S$4,OR(TH!N962="1111",TH!O962="1111")),TH!D962,""),"")</f>
        <v/>
      </c>
      <c r="B962" s="63">
        <v>10</v>
      </c>
      <c r="C962" s="92">
        <v>42657</v>
      </c>
      <c r="D962" s="92" t="s">
        <v>2297</v>
      </c>
      <c r="E962" s="92">
        <f t="shared" si="148"/>
        <v>42657</v>
      </c>
      <c r="F962" s="93" t="s">
        <v>1969</v>
      </c>
      <c r="G962" s="93"/>
      <c r="H962" s="94" t="s">
        <v>446</v>
      </c>
      <c r="I962" s="1175">
        <v>24610</v>
      </c>
      <c r="J962" s="1174">
        <v>16000</v>
      </c>
      <c r="K962" s="1176"/>
      <c r="L962" s="1175"/>
      <c r="M962" s="95">
        <f t="shared" si="149"/>
        <v>393760000</v>
      </c>
      <c r="N962" s="83" t="s">
        <v>282</v>
      </c>
      <c r="O962" s="83" t="s">
        <v>274</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row>
    <row r="963" spans="1:31" ht="15.75" customHeight="1">
      <c r="A963" s="334" t="str">
        <f>IF(B963&lt;&gt;"",IF(AND(B963='IN-TC'!$S$4,OR(TH!N963="1111",TH!O963="1111")),TH!D963,""),"")</f>
        <v/>
      </c>
      <c r="B963" s="63">
        <v>10</v>
      </c>
      <c r="C963" s="78">
        <v>42657</v>
      </c>
      <c r="D963" s="78" t="s">
        <v>2284</v>
      </c>
      <c r="E963" s="78">
        <f t="shared" si="148"/>
        <v>42657</v>
      </c>
      <c r="F963" s="67" t="s">
        <v>1969</v>
      </c>
      <c r="G963" s="79"/>
      <c r="H963" s="80" t="s">
        <v>388</v>
      </c>
      <c r="I963" s="435">
        <v>8460</v>
      </c>
      <c r="J963" s="436">
        <v>16000</v>
      </c>
      <c r="K963" s="426"/>
      <c r="L963" s="435"/>
      <c r="M963" s="81">
        <f t="shared" si="149"/>
        <v>135360000</v>
      </c>
      <c r="N963" s="82" t="s">
        <v>274</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s="1136" t="str">
        <f t="shared" si="150"/>
        <v>x</v>
      </c>
    </row>
    <row r="964" spans="1:31" ht="15.75" customHeight="1">
      <c r="A964" s="334" t="str">
        <f>IF(B964&lt;&gt;"",IF(AND(B964='IN-TC'!$S$4,OR(TH!N964="1111",TH!O964="1111")),TH!D964,""),"")</f>
        <v/>
      </c>
      <c r="B964" s="63">
        <v>10</v>
      </c>
      <c r="C964" s="78">
        <v>42657</v>
      </c>
      <c r="D964" s="78" t="s">
        <v>2285</v>
      </c>
      <c r="E964" s="78">
        <f t="shared" ref="E964:E972" si="156">C964</f>
        <v>42657</v>
      </c>
      <c r="F964" s="67" t="s">
        <v>1969</v>
      </c>
      <c r="G964" s="79"/>
      <c r="H964" s="80" t="s">
        <v>383</v>
      </c>
      <c r="I964" s="435">
        <v>8790</v>
      </c>
      <c r="J964" s="436">
        <v>16000</v>
      </c>
      <c r="K964" s="426"/>
      <c r="L964" s="435"/>
      <c r="M964" s="81">
        <f t="shared" ref="M964:M972" si="157">ROUND(I964*J964,0)</f>
        <v>140640000</v>
      </c>
      <c r="N964" s="82" t="s">
        <v>274</v>
      </c>
      <c r="O964" s="82" t="s">
        <v>8</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c r="AE964" s="1136" t="str">
        <f t="shared" ref="AE964:AE972" si="158">IF(H964&lt;&gt;VLOOKUP(H964,DSKH,1,0),"","x")</f>
        <v>x</v>
      </c>
    </row>
    <row r="965" spans="1:31" ht="15.75" customHeight="1">
      <c r="A965" s="334" t="str">
        <f>IF(B965&lt;&gt;"",IF(AND(B965='IN-TC'!$S$4,OR(TH!N965="1111",TH!O965="1111")),TH!D965,""),"")</f>
        <v/>
      </c>
      <c r="B965" s="63">
        <v>10</v>
      </c>
      <c r="C965" s="78">
        <v>42657</v>
      </c>
      <c r="D965" s="78" t="s">
        <v>2286</v>
      </c>
      <c r="E965" s="78">
        <f t="shared" si="156"/>
        <v>42657</v>
      </c>
      <c r="F965" s="67" t="s">
        <v>1969</v>
      </c>
      <c r="G965" s="79"/>
      <c r="H965" s="80" t="s">
        <v>1970</v>
      </c>
      <c r="I965" s="435">
        <v>8670</v>
      </c>
      <c r="J965" s="436">
        <v>16000</v>
      </c>
      <c r="K965" s="426"/>
      <c r="L965" s="435"/>
      <c r="M965" s="81">
        <f t="shared" si="157"/>
        <v>138720000</v>
      </c>
      <c r="N965" s="82" t="s">
        <v>274</v>
      </c>
      <c r="O965" s="82" t="s">
        <v>8</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c r="AE965" s="1136" t="str">
        <f t="shared" si="158"/>
        <v>x</v>
      </c>
    </row>
    <row r="966" spans="1:31" ht="15.75" customHeight="1">
      <c r="A966" s="334" t="str">
        <f>IF(B966&lt;&gt;"",IF(AND(B966='IN-TC'!$S$4,OR(TH!N966="1111",TH!O966="1111")),TH!D966,""),"")</f>
        <v/>
      </c>
      <c r="B966" s="63">
        <v>10</v>
      </c>
      <c r="C966" s="78">
        <v>42657</v>
      </c>
      <c r="D966" s="78" t="s">
        <v>2287</v>
      </c>
      <c r="E966" s="78">
        <f t="shared" si="156"/>
        <v>42657</v>
      </c>
      <c r="F966" s="67" t="s">
        <v>1969</v>
      </c>
      <c r="G966" s="79"/>
      <c r="H966" s="80" t="s">
        <v>391</v>
      </c>
      <c r="I966" s="435">
        <v>8640</v>
      </c>
      <c r="J966" s="436">
        <v>16000</v>
      </c>
      <c r="K966" s="426"/>
      <c r="L966" s="435"/>
      <c r="M966" s="81">
        <f t="shared" si="157"/>
        <v>138240000</v>
      </c>
      <c r="N966" s="82" t="s">
        <v>274</v>
      </c>
      <c r="O966" s="82" t="s">
        <v>8</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c r="AE966" s="1136" t="str">
        <f t="shared" si="158"/>
        <v>x</v>
      </c>
    </row>
    <row r="967" spans="1:31" s="339" customFormat="1" ht="15.75" customHeight="1">
      <c r="A967" s="334" t="str">
        <f>IF(B967&lt;&gt;"",IF(AND(B967='IN-TC'!$S$4,OR(TH!N967="1111",TH!O967="1111")),TH!D967,""),"")</f>
        <v/>
      </c>
      <c r="B967" s="63">
        <v>10</v>
      </c>
      <c r="C967" s="92">
        <v>42658</v>
      </c>
      <c r="D967" s="92" t="s">
        <v>2298</v>
      </c>
      <c r="E967" s="92">
        <f t="shared" si="156"/>
        <v>42658</v>
      </c>
      <c r="F967" s="93" t="s">
        <v>1969</v>
      </c>
      <c r="G967" s="93"/>
      <c r="H967" s="94" t="s">
        <v>446</v>
      </c>
      <c r="I967" s="1175">
        <v>34560</v>
      </c>
      <c r="J967" s="1174">
        <v>16000</v>
      </c>
      <c r="K967" s="1176"/>
      <c r="L967" s="1175"/>
      <c r="M967" s="95">
        <f t="shared" si="157"/>
        <v>552960000</v>
      </c>
      <c r="N967" s="83" t="s">
        <v>282</v>
      </c>
      <c r="O967" s="83" t="s">
        <v>274</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customHeight="1">
      <c r="A968" s="334" t="str">
        <f>IF(B968&lt;&gt;"",IF(AND(B968='IN-TC'!$S$4,OR(TH!N968="1111",TH!O968="1111")),TH!D968,""),"")</f>
        <v/>
      </c>
      <c r="B968" s="63">
        <v>10</v>
      </c>
      <c r="C968" s="78">
        <v>42658</v>
      </c>
      <c r="D968" s="78" t="s">
        <v>2312</v>
      </c>
      <c r="E968" s="78">
        <f t="shared" si="156"/>
        <v>42658</v>
      </c>
      <c r="F968" s="67" t="s">
        <v>1969</v>
      </c>
      <c r="G968" s="79"/>
      <c r="H968" s="80" t="s">
        <v>383</v>
      </c>
      <c r="I968" s="435">
        <v>8460</v>
      </c>
      <c r="J968" s="436">
        <v>17000</v>
      </c>
      <c r="K968" s="426"/>
      <c r="L968" s="435"/>
      <c r="M968" s="81">
        <f t="shared" si="157"/>
        <v>143820000</v>
      </c>
      <c r="N968" s="82" t="s">
        <v>274</v>
      </c>
      <c r="O968" s="82" t="s">
        <v>8</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c r="AE968" s="1136" t="str">
        <f t="shared" si="158"/>
        <v>x</v>
      </c>
    </row>
    <row r="969" spans="1:31" ht="15.75" customHeight="1">
      <c r="A969" s="334" t="str">
        <f>IF(B969&lt;&gt;"",IF(AND(B969='IN-TC'!$S$4,OR(TH!N969="1111",TH!O969="1111")),TH!D969,""),"")</f>
        <v/>
      </c>
      <c r="B969" s="63">
        <v>10</v>
      </c>
      <c r="C969" s="78">
        <v>42658</v>
      </c>
      <c r="D969" s="78" t="s">
        <v>2313</v>
      </c>
      <c r="E969" s="78">
        <f t="shared" si="156"/>
        <v>42658</v>
      </c>
      <c r="F969" s="67" t="s">
        <v>1969</v>
      </c>
      <c r="G969" s="79"/>
      <c r="H969" s="80" t="s">
        <v>1970</v>
      </c>
      <c r="I969" s="435">
        <v>8830</v>
      </c>
      <c r="J969" s="436">
        <v>17000</v>
      </c>
      <c r="K969" s="426"/>
      <c r="L969" s="435"/>
      <c r="M969" s="81">
        <f t="shared" si="157"/>
        <v>150110000</v>
      </c>
      <c r="N969" s="82" t="s">
        <v>274</v>
      </c>
      <c r="O969" s="82" t="s">
        <v>8</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c r="AE969" s="1136" t="str">
        <f t="shared" si="158"/>
        <v>x</v>
      </c>
    </row>
    <row r="970" spans="1:31" ht="15.75" customHeight="1">
      <c r="A970" s="334" t="str">
        <f>IF(B970&lt;&gt;"",IF(AND(B970='IN-TC'!$S$4,OR(TH!N970="1111",TH!O970="1111")),TH!D970,""),"")</f>
        <v/>
      </c>
      <c r="B970" s="63">
        <v>10</v>
      </c>
      <c r="C970" s="78">
        <v>42658</v>
      </c>
      <c r="D970" s="78" t="s">
        <v>2314</v>
      </c>
      <c r="E970" s="78">
        <f t="shared" si="156"/>
        <v>42658</v>
      </c>
      <c r="F970" s="67" t="s">
        <v>1969</v>
      </c>
      <c r="G970" s="79"/>
      <c r="H970" s="80" t="s">
        <v>391</v>
      </c>
      <c r="I970" s="435">
        <v>8195</v>
      </c>
      <c r="J970" s="436">
        <v>17000</v>
      </c>
      <c r="K970" s="426"/>
      <c r="L970" s="435"/>
      <c r="M970" s="81">
        <f t="shared" si="157"/>
        <v>139315000</v>
      </c>
      <c r="N970" s="82" t="s">
        <v>274</v>
      </c>
      <c r="O970" s="82" t="s">
        <v>8</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c r="AE970" s="1136" t="str">
        <f t="shared" si="158"/>
        <v>x</v>
      </c>
    </row>
    <row r="971" spans="1:31" s="339" customFormat="1" ht="15.75" customHeight="1">
      <c r="A971" s="334" t="str">
        <f>IF(B971&lt;&gt;"",IF(AND(B971='IN-TC'!$S$4,OR(TH!N971="1111",TH!O971="1111")),TH!D971,""),"")</f>
        <v/>
      </c>
      <c r="B971" s="63">
        <v>10</v>
      </c>
      <c r="C971" s="92">
        <v>42659</v>
      </c>
      <c r="D971" s="92" t="s">
        <v>2349</v>
      </c>
      <c r="E971" s="92">
        <f t="shared" si="156"/>
        <v>42659</v>
      </c>
      <c r="F971" s="93" t="s">
        <v>1969</v>
      </c>
      <c r="G971" s="93"/>
      <c r="H971" s="94" t="s">
        <v>2360</v>
      </c>
      <c r="I971" s="1175">
        <v>25485</v>
      </c>
      <c r="J971" s="1174">
        <v>17000</v>
      </c>
      <c r="K971" s="1176"/>
      <c r="L971" s="1175"/>
      <c r="M971" s="95">
        <f t="shared" si="157"/>
        <v>433245000</v>
      </c>
      <c r="N971" s="83" t="s">
        <v>282</v>
      </c>
      <c r="O971" s="83" t="s">
        <v>274</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row>
    <row r="972" spans="1:31" ht="15.75" customHeight="1">
      <c r="A972" s="334" t="str">
        <f>IF(B972&lt;&gt;"",IF(AND(B972='IN-TC'!$S$4,OR(TH!N972="1111",TH!O972="1111")),TH!D972,""),"")</f>
        <v/>
      </c>
      <c r="B972" s="63">
        <v>10</v>
      </c>
      <c r="C972" s="78">
        <v>42659</v>
      </c>
      <c r="D972" s="78" t="s">
        <v>2315</v>
      </c>
      <c r="E972" s="78">
        <f t="shared" si="156"/>
        <v>42659</v>
      </c>
      <c r="F972" s="67" t="s">
        <v>1969</v>
      </c>
      <c r="G972" s="79"/>
      <c r="H972" s="80" t="s">
        <v>393</v>
      </c>
      <c r="I972" s="435">
        <v>8290</v>
      </c>
      <c r="J972" s="436">
        <v>17000</v>
      </c>
      <c r="K972" s="426"/>
      <c r="L972" s="435"/>
      <c r="M972" s="81">
        <f t="shared" si="157"/>
        <v>140930000</v>
      </c>
      <c r="N972" s="82" t="s">
        <v>274</v>
      </c>
      <c r="O972" s="82" t="s">
        <v>8</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c r="AE972" s="1136" t="str">
        <f t="shared" si="158"/>
        <v>x</v>
      </c>
    </row>
    <row r="973" spans="1:31" ht="15.75" customHeight="1">
      <c r="A973" s="334" t="str">
        <f>IF(B973&lt;&gt;"",IF(AND(B973='IN-TC'!$S$4,OR(TH!N973="1111",TH!O973="1111")),TH!D973,""),"")</f>
        <v/>
      </c>
      <c r="B973" s="63">
        <v>10</v>
      </c>
      <c r="C973" s="78">
        <v>42659</v>
      </c>
      <c r="D973" s="78" t="s">
        <v>2316</v>
      </c>
      <c r="E973" s="78">
        <f t="shared" si="103"/>
        <v>42659</v>
      </c>
      <c r="F973" s="67" t="s">
        <v>1969</v>
      </c>
      <c r="G973" s="79"/>
      <c r="H973" s="80" t="s">
        <v>385</v>
      </c>
      <c r="I973" s="435">
        <v>8450</v>
      </c>
      <c r="J973" s="436">
        <v>17000</v>
      </c>
      <c r="K973" s="426"/>
      <c r="L973" s="435"/>
      <c r="M973" s="81">
        <f t="shared" si="104"/>
        <v>143650000</v>
      </c>
      <c r="N973" s="82" t="s">
        <v>274</v>
      </c>
      <c r="O973" s="82" t="s">
        <v>8</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c r="AE973" s="1136" t="str">
        <f t="shared" si="105"/>
        <v>x</v>
      </c>
    </row>
    <row r="974" spans="1:31" ht="15.75" customHeight="1">
      <c r="A974" s="334" t="str">
        <f>IF(B974&lt;&gt;"",IF(AND(B974='IN-TC'!$S$4,OR(TH!N974="1111",TH!O974="1111")),TH!D974,""),"")</f>
        <v/>
      </c>
      <c r="B974" s="63">
        <v>10</v>
      </c>
      <c r="C974" s="78">
        <v>42659</v>
      </c>
      <c r="D974" s="78" t="s">
        <v>2317</v>
      </c>
      <c r="E974" s="78">
        <f t="shared" ref="E974:E983" si="159">C974</f>
        <v>42659</v>
      </c>
      <c r="F974" s="67" t="s">
        <v>1969</v>
      </c>
      <c r="G974" s="79"/>
      <c r="H974" s="80" t="s">
        <v>395</v>
      </c>
      <c r="I974" s="435">
        <v>8750</v>
      </c>
      <c r="J974" s="436">
        <v>17000</v>
      </c>
      <c r="K974" s="426"/>
      <c r="L974" s="435"/>
      <c r="M974" s="81">
        <f t="shared" ref="M974:M983" si="160">ROUND(I974*J974,0)</f>
        <v>148750000</v>
      </c>
      <c r="N974" s="82" t="s">
        <v>274</v>
      </c>
      <c r="O974" s="82" t="s">
        <v>8</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
      </c>
      <c r="AC974" s="82" t="str">
        <f>IF(AND(OR(LEFT(TH!N974,2)="15",LEFT(TH!O974,2)="15"),TK!$E$7=TH!F974),"x","")</f>
        <v/>
      </c>
      <c r="AD974" s="82" t="str">
        <f>IF(AND(N974="1521",MONTH(C974)='BK-NL'!$M$11),"x","")</f>
        <v/>
      </c>
      <c r="AE974" s="1136" t="str">
        <f t="shared" ref="AE974:AE982" si="161">IF(H974&lt;&gt;VLOOKUP(H974,DSKH,1,0),"","x")</f>
        <v>x</v>
      </c>
    </row>
    <row r="975" spans="1:31" s="339" customFormat="1" ht="15.75" customHeight="1">
      <c r="A975" s="334" t="str">
        <f>IF(B975&lt;&gt;"",IF(AND(B975='IN-TC'!$S$4,OR(TH!N975="1111",TH!O975="1111")),TH!D975,""),"")</f>
        <v/>
      </c>
      <c r="B975" s="63">
        <v>10</v>
      </c>
      <c r="C975" s="92">
        <v>42661</v>
      </c>
      <c r="D975" s="92" t="s">
        <v>2350</v>
      </c>
      <c r="E975" s="92">
        <f t="shared" si="159"/>
        <v>42661</v>
      </c>
      <c r="F975" s="93" t="s">
        <v>1969</v>
      </c>
      <c r="G975" s="93"/>
      <c r="H975" s="94" t="s">
        <v>2360</v>
      </c>
      <c r="I975" s="1175">
        <v>25490</v>
      </c>
      <c r="J975" s="1174">
        <v>17000</v>
      </c>
      <c r="K975" s="1176"/>
      <c r="L975" s="1175"/>
      <c r="M975" s="95">
        <f t="shared" si="160"/>
        <v>433330000</v>
      </c>
      <c r="N975" s="83" t="s">
        <v>282</v>
      </c>
      <c r="O975" s="83" t="s">
        <v>274</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
      </c>
      <c r="AC975" s="82" t="str">
        <f>IF(AND(OR(LEFT(TH!N975,2)="15",LEFT(TH!O975,2)="15"),TK!$E$7=TH!F975),"x","")</f>
        <v/>
      </c>
      <c r="AD975" s="82" t="str">
        <f>IF(AND(N975="1521",MONTH(C975)='BK-NL'!$M$11),"x","")</f>
        <v/>
      </c>
    </row>
    <row r="976" spans="1:31" ht="15.75" customHeight="1">
      <c r="A976" s="334" t="str">
        <f>IF(B976&lt;&gt;"",IF(AND(B976='IN-TC'!$S$4,OR(TH!N976="1111",TH!O976="1111")),TH!D976,""),"")</f>
        <v/>
      </c>
      <c r="B976" s="63">
        <v>10</v>
      </c>
      <c r="C976" s="78">
        <v>42660</v>
      </c>
      <c r="D976" s="78" t="s">
        <v>2318</v>
      </c>
      <c r="E976" s="78">
        <f t="shared" si="159"/>
        <v>42660</v>
      </c>
      <c r="F976" s="67" t="s">
        <v>1969</v>
      </c>
      <c r="G976" s="79"/>
      <c r="H976" s="80" t="s">
        <v>388</v>
      </c>
      <c r="I976" s="435">
        <v>8860</v>
      </c>
      <c r="J976" s="436">
        <v>17000</v>
      </c>
      <c r="K976" s="426"/>
      <c r="L976" s="435"/>
      <c r="M976" s="81">
        <f t="shared" si="160"/>
        <v>150620000</v>
      </c>
      <c r="N976" s="82" t="s">
        <v>274</v>
      </c>
      <c r="O976" s="82" t="s">
        <v>8</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c r="AE976" s="1136" t="str">
        <f t="shared" si="161"/>
        <v>x</v>
      </c>
    </row>
    <row r="977" spans="1:31" ht="15.75" customHeight="1">
      <c r="A977" s="334" t="str">
        <f>IF(B977&lt;&gt;"",IF(AND(B977='IN-TC'!$S$4,OR(TH!N977="1111",TH!O977="1111")),TH!D977,""),"")</f>
        <v/>
      </c>
      <c r="B977" s="63">
        <v>10</v>
      </c>
      <c r="C977" s="78">
        <v>42660</v>
      </c>
      <c r="D977" s="78" t="s">
        <v>2319</v>
      </c>
      <c r="E977" s="78">
        <f t="shared" si="159"/>
        <v>42660</v>
      </c>
      <c r="F977" s="67" t="s">
        <v>1969</v>
      </c>
      <c r="G977" s="79"/>
      <c r="H977" s="80" t="s">
        <v>378</v>
      </c>
      <c r="I977" s="435">
        <v>8970</v>
      </c>
      <c r="J977" s="436">
        <v>17000</v>
      </c>
      <c r="K977" s="426"/>
      <c r="L977" s="435"/>
      <c r="M977" s="81">
        <f t="shared" si="160"/>
        <v>152490000</v>
      </c>
      <c r="N977" s="82" t="s">
        <v>274</v>
      </c>
      <c r="O977" s="82" t="s">
        <v>8</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c r="AE977" s="1136" t="str">
        <f t="shared" si="161"/>
        <v>x</v>
      </c>
    </row>
    <row r="978" spans="1:31" ht="15.75" customHeight="1">
      <c r="A978" s="334" t="str">
        <f>IF(B978&lt;&gt;"",IF(AND(B978='IN-TC'!$S$4,OR(TH!N978="1111",TH!O978="1111")),TH!D978,""),"")</f>
        <v/>
      </c>
      <c r="B978" s="63">
        <v>10</v>
      </c>
      <c r="C978" s="78">
        <v>42660</v>
      </c>
      <c r="D978" s="78" t="s">
        <v>2320</v>
      </c>
      <c r="E978" s="78">
        <f t="shared" si="159"/>
        <v>42660</v>
      </c>
      <c r="F978" s="67" t="s">
        <v>1969</v>
      </c>
      <c r="G978" s="79"/>
      <c r="H978" s="80" t="s">
        <v>383</v>
      </c>
      <c r="I978" s="435">
        <v>8350</v>
      </c>
      <c r="J978" s="436">
        <v>17000</v>
      </c>
      <c r="K978" s="426"/>
      <c r="L978" s="435"/>
      <c r="M978" s="81">
        <f t="shared" si="160"/>
        <v>141950000</v>
      </c>
      <c r="N978" s="82" t="s">
        <v>274</v>
      </c>
      <c r="O978" s="82" t="s">
        <v>8</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c r="AE978" s="1136" t="str">
        <f t="shared" si="161"/>
        <v>x</v>
      </c>
    </row>
    <row r="979" spans="1:31" s="339" customFormat="1" ht="15.75" customHeight="1">
      <c r="A979" s="334" t="str">
        <f>IF(B979&lt;&gt;"",IF(AND(B979='IN-TC'!$S$4,OR(TH!N979="1111",TH!O979="1111")),TH!D979,""),"")</f>
        <v/>
      </c>
      <c r="B979" s="63">
        <v>10</v>
      </c>
      <c r="C979" s="92">
        <v>42662</v>
      </c>
      <c r="D979" s="92" t="s">
        <v>2351</v>
      </c>
      <c r="E979" s="92">
        <f t="shared" ref="E979" si="162">C979</f>
        <v>42662</v>
      </c>
      <c r="F979" s="93" t="s">
        <v>1969</v>
      </c>
      <c r="G979" s="93"/>
      <c r="H979" s="94" t="s">
        <v>2360</v>
      </c>
      <c r="I979" s="1175">
        <v>26180</v>
      </c>
      <c r="J979" s="1174">
        <v>17000</v>
      </c>
      <c r="K979" s="1176"/>
      <c r="L979" s="1175"/>
      <c r="M979" s="95">
        <f t="shared" ref="M979" si="163">ROUND(I979*J979,0)</f>
        <v>445060000</v>
      </c>
      <c r="N979" s="83" t="s">
        <v>282</v>
      </c>
      <c r="O979" s="83" t="s">
        <v>274</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1" ht="15.75" customHeight="1">
      <c r="A980" s="334" t="str">
        <f>IF(B980&lt;&gt;"",IF(AND(B980='IN-TC'!$S$4,OR(TH!N980="1111",TH!O980="1111")),TH!D980,""),"")</f>
        <v/>
      </c>
      <c r="B980" s="63">
        <v>10</v>
      </c>
      <c r="C980" s="78">
        <v>42661</v>
      </c>
      <c r="D980" s="78" t="s">
        <v>2321</v>
      </c>
      <c r="E980" s="78">
        <f t="shared" si="159"/>
        <v>42661</v>
      </c>
      <c r="F980" s="67" t="s">
        <v>1969</v>
      </c>
      <c r="G980" s="79"/>
      <c r="H980" s="80" t="s">
        <v>1970</v>
      </c>
      <c r="I980" s="435">
        <v>8400</v>
      </c>
      <c r="J980" s="436">
        <v>17000</v>
      </c>
      <c r="K980" s="426"/>
      <c r="L980" s="435"/>
      <c r="M980" s="81">
        <f t="shared" si="160"/>
        <v>142800000</v>
      </c>
      <c r="N980" s="82" t="s">
        <v>274</v>
      </c>
      <c r="O980" s="82" t="s">
        <v>8</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c r="AE980" s="1136" t="str">
        <f t="shared" si="161"/>
        <v>x</v>
      </c>
    </row>
    <row r="981" spans="1:31" ht="15.75" customHeight="1">
      <c r="A981" s="334" t="str">
        <f>IF(B981&lt;&gt;"",IF(AND(B981='IN-TC'!$S$4,OR(TH!N981="1111",TH!O981="1111")),TH!D981,""),"")</f>
        <v/>
      </c>
      <c r="B981" s="63">
        <v>10</v>
      </c>
      <c r="C981" s="78">
        <v>42661</v>
      </c>
      <c r="D981" s="78" t="s">
        <v>2322</v>
      </c>
      <c r="E981" s="78">
        <f t="shared" si="159"/>
        <v>42661</v>
      </c>
      <c r="F981" s="67" t="s">
        <v>1969</v>
      </c>
      <c r="G981" s="79"/>
      <c r="H981" s="80" t="s">
        <v>391</v>
      </c>
      <c r="I981" s="435">
        <v>8580</v>
      </c>
      <c r="J981" s="436">
        <v>17000</v>
      </c>
      <c r="K981" s="426"/>
      <c r="L981" s="435"/>
      <c r="M981" s="81">
        <f t="shared" si="160"/>
        <v>145860000</v>
      </c>
      <c r="N981" s="82" t="s">
        <v>274</v>
      </c>
      <c r="O981" s="82" t="s">
        <v>8</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c r="AE981" s="1136" t="str">
        <f t="shared" si="161"/>
        <v>x</v>
      </c>
    </row>
    <row r="982" spans="1:31" ht="15.75" customHeight="1">
      <c r="A982" s="334" t="str">
        <f>IF(B982&lt;&gt;"",IF(AND(B982='IN-TC'!$S$4,OR(TH!N982="1111",TH!O982="1111")),TH!D982,""),"")</f>
        <v/>
      </c>
      <c r="B982" s="63">
        <v>10</v>
      </c>
      <c r="C982" s="78">
        <v>42661</v>
      </c>
      <c r="D982" s="78" t="s">
        <v>2323</v>
      </c>
      <c r="E982" s="78">
        <f t="shared" si="159"/>
        <v>42661</v>
      </c>
      <c r="F982" s="67" t="s">
        <v>1969</v>
      </c>
      <c r="G982" s="79"/>
      <c r="H982" s="80" t="s">
        <v>393</v>
      </c>
      <c r="I982" s="435">
        <v>8450</v>
      </c>
      <c r="J982" s="436">
        <v>17000</v>
      </c>
      <c r="K982" s="426"/>
      <c r="L982" s="435"/>
      <c r="M982" s="81">
        <f t="shared" si="160"/>
        <v>143650000</v>
      </c>
      <c r="N982" s="82" t="s">
        <v>274</v>
      </c>
      <c r="O982" s="82" t="s">
        <v>8</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c r="AE982" s="1136" t="str">
        <f t="shared" si="161"/>
        <v>x</v>
      </c>
    </row>
    <row r="983" spans="1:31" s="339" customFormat="1" ht="15.75" customHeight="1">
      <c r="A983" s="334" t="str">
        <f>IF(B983&lt;&gt;"",IF(AND(B983='IN-TC'!$S$4,OR(TH!N983="1111",TH!O983="1111")),TH!D983,""),"")</f>
        <v/>
      </c>
      <c r="B983" s="63">
        <v>10</v>
      </c>
      <c r="C983" s="92">
        <v>42664</v>
      </c>
      <c r="D983" s="92" t="s">
        <v>2352</v>
      </c>
      <c r="E983" s="92">
        <f t="shared" si="159"/>
        <v>42664</v>
      </c>
      <c r="F983" s="93" t="s">
        <v>1969</v>
      </c>
      <c r="G983" s="93"/>
      <c r="H983" s="94" t="s">
        <v>2360</v>
      </c>
      <c r="I983" s="1175">
        <v>25430</v>
      </c>
      <c r="J983" s="1174">
        <v>17000</v>
      </c>
      <c r="K983" s="1176"/>
      <c r="L983" s="1175"/>
      <c r="M983" s="95">
        <f t="shared" si="160"/>
        <v>432310000</v>
      </c>
      <c r="N983" s="83" t="s">
        <v>282</v>
      </c>
      <c r="O983" s="83" t="s">
        <v>274</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row>
    <row r="984" spans="1:31" ht="15.75" customHeight="1">
      <c r="A984" s="334" t="str">
        <f>IF(B984&lt;&gt;"",IF(AND(B984='IN-TC'!$S$4,OR(TH!N984="1111",TH!O984="1111")),TH!D984,""),"")</f>
        <v/>
      </c>
      <c r="B984" s="63">
        <v>10</v>
      </c>
      <c r="C984" s="78">
        <v>42662</v>
      </c>
      <c r="D984" s="78" t="s">
        <v>2324</v>
      </c>
      <c r="E984" s="78">
        <f t="shared" ref="E984:E1003" si="164">C984</f>
        <v>42662</v>
      </c>
      <c r="F984" s="67" t="s">
        <v>1969</v>
      </c>
      <c r="G984" s="79"/>
      <c r="H984" s="80" t="s">
        <v>385</v>
      </c>
      <c r="I984" s="435">
        <v>8750</v>
      </c>
      <c r="J984" s="436">
        <v>17000</v>
      </c>
      <c r="K984" s="426"/>
      <c r="L984" s="435"/>
      <c r="M984" s="81">
        <f t="shared" ref="M984:M1003" si="165">ROUND(I984*J984,0)</f>
        <v>148750000</v>
      </c>
      <c r="N984" s="82" t="s">
        <v>274</v>
      </c>
      <c r="O984" s="82" t="s">
        <v>8</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c r="AE984" s="1136" t="str">
        <f t="shared" ref="AE984:AE1002" si="166">IF(H984&lt;&gt;VLOOKUP(H984,DSKH,1,0),"","x")</f>
        <v>x</v>
      </c>
    </row>
    <row r="985" spans="1:31" ht="15.75" customHeight="1">
      <c r="A985" s="334" t="str">
        <f>IF(B985&lt;&gt;"",IF(AND(B985='IN-TC'!$S$4,OR(TH!N985="1111",TH!O985="1111")),TH!D985,""),"")</f>
        <v/>
      </c>
      <c r="B985" s="63">
        <v>10</v>
      </c>
      <c r="C985" s="78">
        <v>42662</v>
      </c>
      <c r="D985" s="78" t="s">
        <v>2325</v>
      </c>
      <c r="E985" s="78">
        <f t="shared" si="164"/>
        <v>42662</v>
      </c>
      <c r="F985" s="67" t="s">
        <v>1969</v>
      </c>
      <c r="G985" s="79"/>
      <c r="H985" s="80" t="s">
        <v>395</v>
      </c>
      <c r="I985" s="435">
        <v>7185</v>
      </c>
      <c r="J985" s="436">
        <v>17000</v>
      </c>
      <c r="K985" s="426"/>
      <c r="L985" s="435"/>
      <c r="M985" s="81">
        <f t="shared" si="165"/>
        <v>122145000</v>
      </c>
      <c r="N985" s="82" t="s">
        <v>274</v>
      </c>
      <c r="O985" s="82" t="s">
        <v>8</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c r="AE985" s="1136" t="str">
        <f t="shared" si="166"/>
        <v>x</v>
      </c>
    </row>
    <row r="986" spans="1:31" ht="15.75" customHeight="1">
      <c r="A986" s="334" t="str">
        <f>IF(B986&lt;&gt;"",IF(AND(B986='IN-TC'!$S$4,OR(TH!N986="1111",TH!O986="1111")),TH!D986,""),"")</f>
        <v/>
      </c>
      <c r="B986" s="63">
        <v>10</v>
      </c>
      <c r="C986" s="78">
        <v>42662</v>
      </c>
      <c r="D986" s="78" t="s">
        <v>2326</v>
      </c>
      <c r="E986" s="78">
        <f t="shared" si="164"/>
        <v>42662</v>
      </c>
      <c r="F986" s="67" t="s">
        <v>1969</v>
      </c>
      <c r="G986" s="79"/>
      <c r="H986" s="80" t="s">
        <v>388</v>
      </c>
      <c r="I986" s="435">
        <v>8590</v>
      </c>
      <c r="J986" s="436">
        <v>17000</v>
      </c>
      <c r="K986" s="426"/>
      <c r="L986" s="435"/>
      <c r="M986" s="81">
        <f t="shared" si="165"/>
        <v>146030000</v>
      </c>
      <c r="N986" s="82" t="s">
        <v>274</v>
      </c>
      <c r="O986" s="82" t="s">
        <v>8</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
      </c>
      <c r="AC986" s="82" t="str">
        <f>IF(AND(OR(LEFT(TH!N986,2)="15",LEFT(TH!O986,2)="15"),TK!$E$7=TH!F986),"x","")</f>
        <v/>
      </c>
      <c r="AD986" s="82" t="str">
        <f>IF(AND(N986="1521",MONTH(C986)='BK-NL'!$M$11),"x","")</f>
        <v/>
      </c>
      <c r="AE986" s="1136" t="str">
        <f t="shared" si="166"/>
        <v>x</v>
      </c>
    </row>
    <row r="987" spans="1:31" s="339" customFormat="1" ht="15.75" customHeight="1">
      <c r="A987" s="334" t="str">
        <f>IF(B987&lt;&gt;"",IF(AND(B987='IN-TC'!$S$4,OR(TH!N987="1111",TH!O987="1111")),TH!D987,""),"")</f>
        <v/>
      </c>
      <c r="B987" s="63">
        <v>10</v>
      </c>
      <c r="C987" s="92">
        <v>42666</v>
      </c>
      <c r="D987" s="92" t="s">
        <v>2353</v>
      </c>
      <c r="E987" s="92">
        <f t="shared" si="164"/>
        <v>42666</v>
      </c>
      <c r="F987" s="93" t="s">
        <v>1969</v>
      </c>
      <c r="G987" s="93"/>
      <c r="H987" s="94" t="s">
        <v>2360</v>
      </c>
      <c r="I987" s="1175">
        <v>24525</v>
      </c>
      <c r="J987" s="1174">
        <v>17000</v>
      </c>
      <c r="K987" s="1176"/>
      <c r="L987" s="1175"/>
      <c r="M987" s="95">
        <f t="shared" si="165"/>
        <v>416925000</v>
      </c>
      <c r="N987" s="83" t="s">
        <v>282</v>
      </c>
      <c r="O987" s="83" t="s">
        <v>274</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row>
    <row r="988" spans="1:31" ht="15.75" customHeight="1">
      <c r="A988" s="334" t="str">
        <f>IF(B988&lt;&gt;"",IF(AND(B988='IN-TC'!$S$4,OR(TH!N988="1111",TH!O988="1111")),TH!D988,""),"")</f>
        <v/>
      </c>
      <c r="B988" s="63">
        <v>10</v>
      </c>
      <c r="C988" s="78">
        <v>42663</v>
      </c>
      <c r="D988" s="78" t="s">
        <v>2327</v>
      </c>
      <c r="E988" s="78">
        <f t="shared" si="164"/>
        <v>42663</v>
      </c>
      <c r="F988" s="67" t="s">
        <v>1969</v>
      </c>
      <c r="G988" s="79"/>
      <c r="H988" s="80" t="s">
        <v>378</v>
      </c>
      <c r="I988" s="435">
        <v>8740</v>
      </c>
      <c r="J988" s="436">
        <v>17000</v>
      </c>
      <c r="K988" s="426"/>
      <c r="L988" s="435"/>
      <c r="M988" s="81">
        <f t="shared" si="165"/>
        <v>148580000</v>
      </c>
      <c r="N988" s="82" t="s">
        <v>274</v>
      </c>
      <c r="O988" s="82" t="s">
        <v>8</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c r="AE988" s="1136" t="str">
        <f t="shared" si="166"/>
        <v>x</v>
      </c>
    </row>
    <row r="989" spans="1:31" ht="15.75" customHeight="1">
      <c r="A989" s="334" t="str">
        <f>IF(B989&lt;&gt;"",IF(AND(B989='IN-TC'!$S$4,OR(TH!N989="1111",TH!O989="1111")),TH!D989,""),"")</f>
        <v/>
      </c>
      <c r="B989" s="63">
        <v>10</v>
      </c>
      <c r="C989" s="78">
        <v>42663</v>
      </c>
      <c r="D989" s="78" t="s">
        <v>2328</v>
      </c>
      <c r="E989" s="78">
        <f t="shared" si="164"/>
        <v>42663</v>
      </c>
      <c r="F989" s="67" t="s">
        <v>1969</v>
      </c>
      <c r="G989" s="79"/>
      <c r="H989" s="80" t="s">
        <v>383</v>
      </c>
      <c r="I989" s="435">
        <v>8350</v>
      </c>
      <c r="J989" s="436">
        <v>17000</v>
      </c>
      <c r="K989" s="426"/>
      <c r="L989" s="435"/>
      <c r="M989" s="81">
        <f t="shared" si="165"/>
        <v>141950000</v>
      </c>
      <c r="N989" s="82" t="s">
        <v>274</v>
      </c>
      <c r="O989" s="82" t="s">
        <v>8</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c r="AE989" s="1136" t="str">
        <f t="shared" si="166"/>
        <v>x</v>
      </c>
    </row>
    <row r="990" spans="1:31" ht="15.75" customHeight="1">
      <c r="A990" s="334" t="str">
        <f>IF(B990&lt;&gt;"",IF(AND(B990='IN-TC'!$S$4,OR(TH!N990="1111",TH!O990="1111")),TH!D990,""),"")</f>
        <v/>
      </c>
      <c r="B990" s="63">
        <v>10</v>
      </c>
      <c r="C990" s="78">
        <v>42663</v>
      </c>
      <c r="D990" s="78" t="s">
        <v>2329</v>
      </c>
      <c r="E990" s="78">
        <f t="shared" si="164"/>
        <v>42663</v>
      </c>
      <c r="F990" s="67" t="s">
        <v>1969</v>
      </c>
      <c r="G990" s="79"/>
      <c r="H990" s="80" t="s">
        <v>1970</v>
      </c>
      <c r="I990" s="435">
        <v>8650</v>
      </c>
      <c r="J990" s="436">
        <v>17000</v>
      </c>
      <c r="K990" s="426"/>
      <c r="L990" s="435"/>
      <c r="M990" s="81">
        <f t="shared" si="165"/>
        <v>147050000</v>
      </c>
      <c r="N990" s="82" t="s">
        <v>274</v>
      </c>
      <c r="O990" s="82" t="s">
        <v>8</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c r="AE990" s="1136" t="str">
        <f t="shared" si="166"/>
        <v>x</v>
      </c>
    </row>
    <row r="991" spans="1:31" s="339" customFormat="1" ht="15.75" customHeight="1">
      <c r="A991" s="334" t="str">
        <f>IF(B991&lt;&gt;"",IF(AND(B991='IN-TC'!$S$4,OR(TH!N991="1111",TH!O991="1111")),TH!D991,""),"")</f>
        <v/>
      </c>
      <c r="B991" s="63">
        <v>10</v>
      </c>
      <c r="C991" s="92">
        <v>42667</v>
      </c>
      <c r="D991" s="92" t="s">
        <v>2354</v>
      </c>
      <c r="E991" s="92">
        <f t="shared" ref="E991" si="167">C991</f>
        <v>42667</v>
      </c>
      <c r="F991" s="93" t="s">
        <v>1969</v>
      </c>
      <c r="G991" s="93"/>
      <c r="H991" s="94" t="s">
        <v>2360</v>
      </c>
      <c r="I991" s="1175">
        <v>25740</v>
      </c>
      <c r="J991" s="1174">
        <v>17000</v>
      </c>
      <c r="K991" s="1176"/>
      <c r="L991" s="1175"/>
      <c r="M991" s="95">
        <f t="shared" ref="M991" si="168">ROUND(I991*J991,0)</f>
        <v>437580000</v>
      </c>
      <c r="N991" s="83" t="s">
        <v>282</v>
      </c>
      <c r="O991" s="83" t="s">
        <v>274</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1" ht="15.75" customHeight="1">
      <c r="A992" s="334" t="str">
        <f>IF(B992&lt;&gt;"",IF(AND(B992='IN-TC'!$S$4,OR(TH!N992="1111",TH!O992="1111")),TH!D992,""),"")</f>
        <v/>
      </c>
      <c r="B992" s="63">
        <v>10</v>
      </c>
      <c r="C992" s="78">
        <v>42664</v>
      </c>
      <c r="D992" s="78" t="s">
        <v>2330</v>
      </c>
      <c r="E992" s="78">
        <f t="shared" si="164"/>
        <v>42664</v>
      </c>
      <c r="F992" s="67" t="s">
        <v>1969</v>
      </c>
      <c r="G992" s="79"/>
      <c r="H992" s="80" t="s">
        <v>391</v>
      </c>
      <c r="I992" s="435">
        <v>8460</v>
      </c>
      <c r="J992" s="436">
        <v>17000</v>
      </c>
      <c r="K992" s="426"/>
      <c r="L992" s="435"/>
      <c r="M992" s="81">
        <f t="shared" si="165"/>
        <v>143820000</v>
      </c>
      <c r="N992" s="82" t="s">
        <v>274</v>
      </c>
      <c r="O992" s="82" t="s">
        <v>8</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
      </c>
      <c r="AC992" s="82" t="str">
        <f>IF(AND(OR(LEFT(TH!N992,2)="15",LEFT(TH!O992,2)="15"),TK!$E$7=TH!F992),"x","")</f>
        <v/>
      </c>
      <c r="AD992" s="82" t="str">
        <f>IF(AND(N992="1521",MONTH(C992)='BK-NL'!$M$11),"x","")</f>
        <v/>
      </c>
      <c r="AE992" s="1136" t="str">
        <f t="shared" si="166"/>
        <v>x</v>
      </c>
    </row>
    <row r="993" spans="1:31" ht="15.75" customHeight="1">
      <c r="A993" s="334" t="str">
        <f>IF(B993&lt;&gt;"",IF(AND(B993='IN-TC'!$S$4,OR(TH!N993="1111",TH!O993="1111")),TH!D993,""),"")</f>
        <v/>
      </c>
      <c r="B993" s="63">
        <v>10</v>
      </c>
      <c r="C993" s="78">
        <v>42664</v>
      </c>
      <c r="D993" s="78" t="s">
        <v>2331</v>
      </c>
      <c r="E993" s="78">
        <f t="shared" si="164"/>
        <v>42664</v>
      </c>
      <c r="F993" s="67" t="s">
        <v>1969</v>
      </c>
      <c r="G993" s="79"/>
      <c r="H993" s="80" t="s">
        <v>393</v>
      </c>
      <c r="I993" s="435">
        <v>8870</v>
      </c>
      <c r="J993" s="436">
        <v>17000</v>
      </c>
      <c r="K993" s="426"/>
      <c r="L993" s="435"/>
      <c r="M993" s="81">
        <f t="shared" si="165"/>
        <v>150790000</v>
      </c>
      <c r="N993" s="82" t="s">
        <v>274</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c r="AE993" s="1136" t="str">
        <f t="shared" si="166"/>
        <v>x</v>
      </c>
    </row>
    <row r="994" spans="1:31" ht="15.75" customHeight="1">
      <c r="A994" s="334" t="str">
        <f>IF(B994&lt;&gt;"",IF(AND(B994='IN-TC'!$S$4,OR(TH!N994="1111",TH!O994="1111")),TH!D994,""),"")</f>
        <v/>
      </c>
      <c r="B994" s="63">
        <v>10</v>
      </c>
      <c r="C994" s="78">
        <v>42664</v>
      </c>
      <c r="D994" s="78" t="s">
        <v>2332</v>
      </c>
      <c r="E994" s="78">
        <f t="shared" si="164"/>
        <v>42664</v>
      </c>
      <c r="F994" s="67" t="s">
        <v>1969</v>
      </c>
      <c r="G994" s="79"/>
      <c r="H994" s="80" t="s">
        <v>385</v>
      </c>
      <c r="I994" s="435">
        <v>8360</v>
      </c>
      <c r="J994" s="436">
        <v>17000</v>
      </c>
      <c r="K994" s="426"/>
      <c r="L994" s="435"/>
      <c r="M994" s="81">
        <f t="shared" si="165"/>
        <v>142120000</v>
      </c>
      <c r="N994" s="82" t="s">
        <v>274</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s="1136" t="str">
        <f t="shared" si="166"/>
        <v>x</v>
      </c>
    </row>
    <row r="995" spans="1:31" s="339" customFormat="1" ht="15.75" customHeight="1">
      <c r="A995" s="334" t="str">
        <f>IF(B995&lt;&gt;"",IF(AND(B995='IN-TC'!$S$4,OR(TH!N995="1111",TH!O995="1111")),TH!D995,""),"")</f>
        <v/>
      </c>
      <c r="B995" s="63">
        <v>10</v>
      </c>
      <c r="C995" s="92">
        <v>42668</v>
      </c>
      <c r="D995" s="92" t="s">
        <v>2355</v>
      </c>
      <c r="E995" s="92">
        <f t="shared" si="164"/>
        <v>42668</v>
      </c>
      <c r="F995" s="93" t="s">
        <v>1969</v>
      </c>
      <c r="G995" s="93"/>
      <c r="H995" s="94" t="s">
        <v>2360</v>
      </c>
      <c r="I995" s="1175">
        <v>25690</v>
      </c>
      <c r="J995" s="1174">
        <v>17000</v>
      </c>
      <c r="K995" s="1176"/>
      <c r="L995" s="1175"/>
      <c r="M995" s="95">
        <f t="shared" si="165"/>
        <v>436730000</v>
      </c>
      <c r="N995" s="83" t="s">
        <v>282</v>
      </c>
      <c r="O995" s="83" t="s">
        <v>274</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row>
    <row r="996" spans="1:31" ht="15.75" customHeight="1">
      <c r="A996" s="334" t="str">
        <f>IF(B996&lt;&gt;"",IF(AND(B996='IN-TC'!$S$4,OR(TH!N996="1111",TH!O996="1111")),TH!D996,""),"")</f>
        <v/>
      </c>
      <c r="B996" s="63">
        <v>10</v>
      </c>
      <c r="C996" s="78">
        <v>42665</v>
      </c>
      <c r="D996" s="78" t="s">
        <v>2333</v>
      </c>
      <c r="E996" s="78">
        <f t="shared" si="164"/>
        <v>42665</v>
      </c>
      <c r="F996" s="67" t="s">
        <v>1969</v>
      </c>
      <c r="G996" s="79"/>
      <c r="H996" s="80" t="s">
        <v>395</v>
      </c>
      <c r="I996" s="435">
        <v>8190</v>
      </c>
      <c r="J996" s="436">
        <v>17000</v>
      </c>
      <c r="K996" s="426"/>
      <c r="L996" s="435"/>
      <c r="M996" s="81">
        <f t="shared" si="165"/>
        <v>139230000</v>
      </c>
      <c r="N996" s="82" t="s">
        <v>274</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s="1136" t="str">
        <f t="shared" si="166"/>
        <v>x</v>
      </c>
    </row>
    <row r="997" spans="1:31" ht="15.75" customHeight="1">
      <c r="A997" s="334" t="str">
        <f>IF(B997&lt;&gt;"",IF(AND(B997='IN-TC'!$S$4,OR(TH!N997="1111",TH!O997="1111")),TH!D997,""),"")</f>
        <v/>
      </c>
      <c r="B997" s="63">
        <v>10</v>
      </c>
      <c r="C997" s="78">
        <v>42665</v>
      </c>
      <c r="D997" s="78" t="s">
        <v>2334</v>
      </c>
      <c r="E997" s="78">
        <f t="shared" si="164"/>
        <v>42665</v>
      </c>
      <c r="F997" s="67" t="s">
        <v>1969</v>
      </c>
      <c r="G997" s="79"/>
      <c r="H997" s="80" t="s">
        <v>388</v>
      </c>
      <c r="I997" s="435">
        <v>8270</v>
      </c>
      <c r="J997" s="436">
        <v>17000</v>
      </c>
      <c r="K997" s="426"/>
      <c r="L997" s="435"/>
      <c r="M997" s="81">
        <f t="shared" si="165"/>
        <v>140590000</v>
      </c>
      <c r="N997" s="82" t="s">
        <v>274</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c r="AE997" s="1136" t="str">
        <f t="shared" si="166"/>
        <v>x</v>
      </c>
    </row>
    <row r="998" spans="1:31" ht="15.75" customHeight="1">
      <c r="A998" s="334" t="str">
        <f>IF(B998&lt;&gt;"",IF(AND(B998='IN-TC'!$S$4,OR(TH!N998="1111",TH!O998="1111")),TH!D998,""),"")</f>
        <v/>
      </c>
      <c r="B998" s="63">
        <v>10</v>
      </c>
      <c r="C998" s="78">
        <v>42665</v>
      </c>
      <c r="D998" s="78" t="s">
        <v>2335</v>
      </c>
      <c r="E998" s="78">
        <f t="shared" si="164"/>
        <v>42665</v>
      </c>
      <c r="F998" s="67" t="s">
        <v>1969</v>
      </c>
      <c r="G998" s="79"/>
      <c r="H998" s="80" t="s">
        <v>378</v>
      </c>
      <c r="I998" s="435">
        <v>8345</v>
      </c>
      <c r="J998" s="436">
        <v>17000</v>
      </c>
      <c r="K998" s="426"/>
      <c r="L998" s="435"/>
      <c r="M998" s="81">
        <f t="shared" si="165"/>
        <v>141865000</v>
      </c>
      <c r="N998" s="82" t="s">
        <v>274</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s="1136" t="str">
        <f t="shared" si="166"/>
        <v>x</v>
      </c>
    </row>
    <row r="999" spans="1:31" s="339" customFormat="1" ht="15.75" customHeight="1">
      <c r="A999" s="334" t="str">
        <f>IF(B999&lt;&gt;"",IF(AND(B999='IN-TC'!$S$4,OR(TH!N999="1111",TH!O999="1111")),TH!D999,""),"")</f>
        <v/>
      </c>
      <c r="B999" s="63">
        <v>10</v>
      </c>
      <c r="C999" s="92">
        <v>42669</v>
      </c>
      <c r="D999" s="92" t="s">
        <v>2356</v>
      </c>
      <c r="E999" s="92">
        <f t="shared" ref="E999" si="169">C999</f>
        <v>42669</v>
      </c>
      <c r="F999" s="93" t="s">
        <v>1969</v>
      </c>
      <c r="G999" s="93"/>
      <c r="H999" s="94" t="s">
        <v>2360</v>
      </c>
      <c r="I999" s="1175">
        <v>24805</v>
      </c>
      <c r="J999" s="1174">
        <v>17000</v>
      </c>
      <c r="K999" s="1176"/>
      <c r="L999" s="1175"/>
      <c r="M999" s="95">
        <f t="shared" ref="M999" si="170">ROUND(I999*J999,0)</f>
        <v>421685000</v>
      </c>
      <c r="N999" s="83" t="s">
        <v>282</v>
      </c>
      <c r="O999" s="83" t="s">
        <v>274</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row>
    <row r="1000" spans="1:31" ht="15.75" customHeight="1">
      <c r="A1000" s="334" t="str">
        <f>IF(B1000&lt;&gt;"",IF(AND(B1000='IN-TC'!$S$4,OR(TH!N1000="1111",TH!O1000="1111")),TH!D1000,""),"")</f>
        <v/>
      </c>
      <c r="B1000" s="63">
        <v>10</v>
      </c>
      <c r="C1000" s="78">
        <v>42666</v>
      </c>
      <c r="D1000" s="78" t="s">
        <v>2336</v>
      </c>
      <c r="E1000" s="78">
        <f t="shared" si="164"/>
        <v>42666</v>
      </c>
      <c r="F1000" s="67" t="s">
        <v>1969</v>
      </c>
      <c r="G1000" s="79"/>
      <c r="H1000" s="80" t="s">
        <v>391</v>
      </c>
      <c r="I1000" s="435">
        <v>8525</v>
      </c>
      <c r="J1000" s="436">
        <v>17000</v>
      </c>
      <c r="K1000" s="426"/>
      <c r="L1000" s="435"/>
      <c r="M1000" s="81">
        <f t="shared" si="165"/>
        <v>144925000</v>
      </c>
      <c r="N1000" s="82" t="s">
        <v>274</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s="1136" t="str">
        <f t="shared" si="166"/>
        <v>x</v>
      </c>
    </row>
    <row r="1001" spans="1:31" ht="15.75" customHeight="1">
      <c r="A1001" s="334" t="str">
        <f>IF(B1001&lt;&gt;"",IF(AND(B1001='IN-TC'!$S$4,OR(TH!N1001="1111",TH!O1001="1111")),TH!D1001,""),"")</f>
        <v/>
      </c>
      <c r="B1001" s="63">
        <v>10</v>
      </c>
      <c r="C1001" s="78">
        <v>42666</v>
      </c>
      <c r="D1001" s="78" t="s">
        <v>2337</v>
      </c>
      <c r="E1001" s="78">
        <f t="shared" si="164"/>
        <v>42666</v>
      </c>
      <c r="F1001" s="67" t="s">
        <v>1969</v>
      </c>
      <c r="G1001" s="79"/>
      <c r="H1001" s="80" t="s">
        <v>1970</v>
      </c>
      <c r="I1001" s="435">
        <v>8120</v>
      </c>
      <c r="J1001" s="436">
        <v>17000</v>
      </c>
      <c r="K1001" s="426"/>
      <c r="L1001" s="435"/>
      <c r="M1001" s="81">
        <f t="shared" si="165"/>
        <v>138040000</v>
      </c>
      <c r="N1001" s="82" t="s">
        <v>274</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s="1136" t="str">
        <f t="shared" si="166"/>
        <v>x</v>
      </c>
    </row>
    <row r="1002" spans="1:31" ht="15.75" customHeight="1">
      <c r="A1002" s="334" t="str">
        <f>IF(B1002&lt;&gt;"",IF(AND(B1002='IN-TC'!$S$4,OR(TH!N1002="1111",TH!O1002="1111")),TH!D1002,""),"")</f>
        <v/>
      </c>
      <c r="B1002" s="63">
        <v>10</v>
      </c>
      <c r="C1002" s="78">
        <v>42666</v>
      </c>
      <c r="D1002" s="78" t="s">
        <v>2338</v>
      </c>
      <c r="E1002" s="78">
        <f t="shared" si="164"/>
        <v>42666</v>
      </c>
      <c r="F1002" s="67" t="s">
        <v>1969</v>
      </c>
      <c r="G1002" s="79"/>
      <c r="H1002" s="80" t="s">
        <v>383</v>
      </c>
      <c r="I1002" s="435">
        <v>8870</v>
      </c>
      <c r="J1002" s="436">
        <v>17000</v>
      </c>
      <c r="K1002" s="426"/>
      <c r="L1002" s="435"/>
      <c r="M1002" s="81">
        <f t="shared" si="165"/>
        <v>150790000</v>
      </c>
      <c r="N1002" s="82" t="s">
        <v>274</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s="1136" t="str">
        <f t="shared" si="166"/>
        <v>x</v>
      </c>
    </row>
    <row r="1003" spans="1:31" s="339" customFormat="1" ht="15.75" customHeight="1">
      <c r="A1003" s="334" t="str">
        <f>IF(B1003&lt;&gt;"",IF(AND(B1003='IN-TC'!$S$4,OR(TH!N1003="1111",TH!O1003="1111")),TH!D1003,""),"")</f>
        <v/>
      </c>
      <c r="B1003" s="63">
        <v>10</v>
      </c>
      <c r="C1003" s="92">
        <v>42671</v>
      </c>
      <c r="D1003" s="92" t="s">
        <v>2357</v>
      </c>
      <c r="E1003" s="92">
        <f t="shared" si="164"/>
        <v>42671</v>
      </c>
      <c r="F1003" s="93" t="s">
        <v>1969</v>
      </c>
      <c r="G1003" s="93"/>
      <c r="H1003" s="94" t="s">
        <v>2360</v>
      </c>
      <c r="I1003" s="1175">
        <v>25515</v>
      </c>
      <c r="J1003" s="1174">
        <v>17000</v>
      </c>
      <c r="K1003" s="1176"/>
      <c r="L1003" s="1175"/>
      <c r="M1003" s="95">
        <f t="shared" si="165"/>
        <v>433755000</v>
      </c>
      <c r="N1003" s="83" t="s">
        <v>282</v>
      </c>
      <c r="O1003" s="83" t="s">
        <v>274</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row>
    <row r="1004" spans="1:31" ht="15.75" customHeight="1">
      <c r="A1004" s="334" t="str">
        <f>IF(B1004&lt;&gt;"",IF(AND(B1004='IN-TC'!$S$4,OR(TH!N1004="1111",TH!O1004="1111")),TH!D1004,""),"")</f>
        <v/>
      </c>
      <c r="B1004" s="63">
        <v>10</v>
      </c>
      <c r="C1004" s="78">
        <v>42667</v>
      </c>
      <c r="D1004" s="78" t="s">
        <v>2339</v>
      </c>
      <c r="E1004" s="78">
        <f t="shared" si="103"/>
        <v>42667</v>
      </c>
      <c r="F1004" s="67" t="s">
        <v>1969</v>
      </c>
      <c r="G1004" s="79"/>
      <c r="H1004" s="80" t="s">
        <v>395</v>
      </c>
      <c r="I1004" s="435">
        <v>8050</v>
      </c>
      <c r="J1004" s="436">
        <v>17000</v>
      </c>
      <c r="K1004" s="426"/>
      <c r="L1004" s="435"/>
      <c r="M1004" s="81">
        <f t="shared" si="104"/>
        <v>136850000</v>
      </c>
      <c r="N1004" s="82" t="s">
        <v>274</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s="1136" t="str">
        <f t="shared" si="105"/>
        <v>x</v>
      </c>
    </row>
    <row r="1005" spans="1:31" ht="15.75" customHeight="1">
      <c r="A1005" s="334" t="str">
        <f>IF(B1005&lt;&gt;"",IF(AND(B1005='IN-TC'!$S$4,OR(TH!N1005="1111",TH!O1005="1111")),TH!D1005,""),"")</f>
        <v/>
      </c>
      <c r="B1005" s="63">
        <v>10</v>
      </c>
      <c r="C1005" s="78">
        <v>42667</v>
      </c>
      <c r="D1005" s="78" t="s">
        <v>2340</v>
      </c>
      <c r="E1005" s="78">
        <f t="shared" ref="E1005:E1015" si="171">C1005</f>
        <v>42667</v>
      </c>
      <c r="F1005" s="67" t="s">
        <v>1969</v>
      </c>
      <c r="G1005" s="79"/>
      <c r="H1005" s="80" t="s">
        <v>385</v>
      </c>
      <c r="I1005" s="435">
        <v>8130</v>
      </c>
      <c r="J1005" s="436">
        <v>17000</v>
      </c>
      <c r="K1005" s="426"/>
      <c r="L1005" s="435"/>
      <c r="M1005" s="81">
        <f t="shared" ref="M1005:M1015" si="172">ROUND(I1005*J1005,0)</f>
        <v>138210000</v>
      </c>
      <c r="N1005" s="82" t="s">
        <v>274</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c r="AE1005" s="1136" t="str">
        <f t="shared" ref="AE1005:AE1015" si="173">IF(H1005&lt;&gt;VLOOKUP(H1005,DSKH,1,0),"","x")</f>
        <v>x</v>
      </c>
    </row>
    <row r="1006" spans="1:31" ht="15.75" customHeight="1">
      <c r="A1006" s="334" t="str">
        <f>IF(B1006&lt;&gt;"",IF(AND(B1006='IN-TC'!$S$4,OR(TH!N1006="1111",TH!O1006="1111")),TH!D1006,""),"")</f>
        <v/>
      </c>
      <c r="B1006" s="63">
        <v>10</v>
      </c>
      <c r="C1006" s="78">
        <v>42667</v>
      </c>
      <c r="D1006" s="78" t="s">
        <v>2341</v>
      </c>
      <c r="E1006" s="78">
        <f t="shared" si="171"/>
        <v>42667</v>
      </c>
      <c r="F1006" s="67" t="s">
        <v>1969</v>
      </c>
      <c r="G1006" s="79"/>
      <c r="H1006" s="80" t="s">
        <v>393</v>
      </c>
      <c r="I1006" s="435">
        <v>8240</v>
      </c>
      <c r="J1006" s="436">
        <v>17000</v>
      </c>
      <c r="K1006" s="426"/>
      <c r="L1006" s="435"/>
      <c r="M1006" s="81">
        <f t="shared" si="172"/>
        <v>140080000</v>
      </c>
      <c r="N1006" s="82" t="s">
        <v>274</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s="1136" t="str">
        <f t="shared" si="173"/>
        <v>x</v>
      </c>
    </row>
    <row r="1007" spans="1:31" s="339" customFormat="1" ht="15.75" customHeight="1">
      <c r="A1007" s="334" t="str">
        <f>IF(B1007&lt;&gt;"",IF(AND(B1007='IN-TC'!$S$4,OR(TH!N1007="1111",TH!O1007="1111")),TH!D1007,""),"")</f>
        <v/>
      </c>
      <c r="B1007" s="63">
        <v>10</v>
      </c>
      <c r="C1007" s="92">
        <v>42673</v>
      </c>
      <c r="D1007" s="92" t="s">
        <v>2358</v>
      </c>
      <c r="E1007" s="92">
        <f t="shared" si="171"/>
        <v>42673</v>
      </c>
      <c r="F1007" s="93" t="s">
        <v>1969</v>
      </c>
      <c r="G1007" s="93"/>
      <c r="H1007" s="94" t="s">
        <v>2360</v>
      </c>
      <c r="I1007" s="1175">
        <v>24420</v>
      </c>
      <c r="J1007" s="1174">
        <v>17000</v>
      </c>
      <c r="K1007" s="1176"/>
      <c r="L1007" s="1175"/>
      <c r="M1007" s="95">
        <f t="shared" si="172"/>
        <v>415140000</v>
      </c>
      <c r="N1007" s="83" t="s">
        <v>282</v>
      </c>
      <c r="O1007" s="83" t="s">
        <v>274</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1" ht="15.75" customHeight="1">
      <c r="A1008" s="334" t="str">
        <f>IF(B1008&lt;&gt;"",IF(AND(B1008='IN-TC'!$S$4,OR(TH!N1008="1111",TH!O1008="1111")),TH!D1008,""),"")</f>
        <v/>
      </c>
      <c r="B1008" s="63">
        <v>10</v>
      </c>
      <c r="C1008" s="78">
        <v>42668</v>
      </c>
      <c r="D1008" s="78" t="s">
        <v>2342</v>
      </c>
      <c r="E1008" s="78">
        <f t="shared" si="171"/>
        <v>42668</v>
      </c>
      <c r="F1008" s="67" t="s">
        <v>1969</v>
      </c>
      <c r="G1008" s="79"/>
      <c r="H1008" s="80" t="s">
        <v>388</v>
      </c>
      <c r="I1008" s="435">
        <v>8350</v>
      </c>
      <c r="J1008" s="436">
        <v>17000</v>
      </c>
      <c r="K1008" s="426"/>
      <c r="L1008" s="435"/>
      <c r="M1008" s="81">
        <f t="shared" si="172"/>
        <v>141950000</v>
      </c>
      <c r="N1008" s="82" t="s">
        <v>274</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s="1136" t="str">
        <f t="shared" si="173"/>
        <v>x</v>
      </c>
    </row>
    <row r="1009" spans="1:31" ht="15.75" customHeight="1">
      <c r="A1009" s="334" t="str">
        <f>IF(B1009&lt;&gt;"",IF(AND(B1009='IN-TC'!$S$4,OR(TH!N1009="1111",TH!O1009="1111")),TH!D1009,""),"")</f>
        <v/>
      </c>
      <c r="B1009" s="63">
        <v>10</v>
      </c>
      <c r="C1009" s="78">
        <v>42668</v>
      </c>
      <c r="D1009" s="78" t="s">
        <v>2343</v>
      </c>
      <c r="E1009" s="78">
        <f t="shared" si="171"/>
        <v>42668</v>
      </c>
      <c r="F1009" s="67" t="s">
        <v>1969</v>
      </c>
      <c r="G1009" s="79"/>
      <c r="H1009" s="80" t="s">
        <v>378</v>
      </c>
      <c r="I1009" s="435">
        <v>7980</v>
      </c>
      <c r="J1009" s="436">
        <v>17000</v>
      </c>
      <c r="K1009" s="426"/>
      <c r="L1009" s="435"/>
      <c r="M1009" s="81">
        <f t="shared" si="172"/>
        <v>135660000</v>
      </c>
      <c r="N1009" s="82" t="s">
        <v>274</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c r="AE1009" s="1136" t="str">
        <f t="shared" si="173"/>
        <v>x</v>
      </c>
    </row>
    <row r="1010" spans="1:31" ht="15.75" customHeight="1">
      <c r="A1010" s="334" t="str">
        <f>IF(B1010&lt;&gt;"",IF(AND(B1010='IN-TC'!$S$4,OR(TH!N1010="1111",TH!O1010="1111")),TH!D1010,""),"")</f>
        <v/>
      </c>
      <c r="B1010" s="63">
        <v>10</v>
      </c>
      <c r="C1010" s="78">
        <v>42668</v>
      </c>
      <c r="D1010" s="78" t="s">
        <v>2344</v>
      </c>
      <c r="E1010" s="78">
        <f t="shared" si="171"/>
        <v>42668</v>
      </c>
      <c r="F1010" s="67" t="s">
        <v>1969</v>
      </c>
      <c r="G1010" s="79"/>
      <c r="H1010" s="80" t="s">
        <v>391</v>
      </c>
      <c r="I1010" s="435">
        <v>8240</v>
      </c>
      <c r="J1010" s="436">
        <v>17000</v>
      </c>
      <c r="K1010" s="426"/>
      <c r="L1010" s="435"/>
      <c r="M1010" s="81">
        <f t="shared" si="172"/>
        <v>140080000</v>
      </c>
      <c r="N1010" s="82" t="s">
        <v>274</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s="1136" t="str">
        <f t="shared" si="173"/>
        <v>x</v>
      </c>
    </row>
    <row r="1011" spans="1:31" s="339" customFormat="1" ht="15.75" customHeight="1">
      <c r="A1011" s="334" t="str">
        <f>IF(B1011&lt;&gt;"",IF(AND(B1011='IN-TC'!$S$4,OR(TH!N1011="1111",TH!O1011="1111")),TH!D1011,""),"")</f>
        <v/>
      </c>
      <c r="B1011" s="63">
        <v>10</v>
      </c>
      <c r="C1011" s="92">
        <v>42674</v>
      </c>
      <c r="D1011" s="92" t="s">
        <v>2359</v>
      </c>
      <c r="E1011" s="92">
        <f t="shared" ref="E1011" si="174">C1011</f>
        <v>42674</v>
      </c>
      <c r="F1011" s="93" t="s">
        <v>1969</v>
      </c>
      <c r="G1011" s="93"/>
      <c r="H1011" s="94" t="s">
        <v>2360</v>
      </c>
      <c r="I1011" s="1175">
        <v>24570</v>
      </c>
      <c r="J1011" s="1174">
        <v>17000</v>
      </c>
      <c r="K1011" s="1176"/>
      <c r="L1011" s="1175"/>
      <c r="M1011" s="95">
        <f t="shared" ref="M1011" si="175">ROUND(I1011*J1011,0)</f>
        <v>417690000</v>
      </c>
      <c r="N1011" s="83" t="s">
        <v>282</v>
      </c>
      <c r="O1011" s="83" t="s">
        <v>274</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row>
    <row r="1012" spans="1:31" ht="15.75" customHeight="1">
      <c r="A1012" s="334" t="str">
        <f>IF(B1012&lt;&gt;"",IF(AND(B1012='IN-TC'!$S$4,OR(TH!N1012="1111",TH!O1012="1111")),TH!D1012,""),"")</f>
        <v/>
      </c>
      <c r="B1012" s="63">
        <v>10</v>
      </c>
      <c r="C1012" s="78">
        <v>42669</v>
      </c>
      <c r="D1012" s="78" t="s">
        <v>2345</v>
      </c>
      <c r="E1012" s="78">
        <f t="shared" si="171"/>
        <v>42669</v>
      </c>
      <c r="F1012" s="67" t="s">
        <v>1969</v>
      </c>
      <c r="G1012" s="79"/>
      <c r="H1012" s="80" t="s">
        <v>1970</v>
      </c>
      <c r="I1012" s="435">
        <v>8460</v>
      </c>
      <c r="J1012" s="436">
        <v>17000</v>
      </c>
      <c r="K1012" s="426"/>
      <c r="L1012" s="435"/>
      <c r="M1012" s="81">
        <f t="shared" si="172"/>
        <v>143820000</v>
      </c>
      <c r="N1012" s="82" t="s">
        <v>274</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s="1136" t="str">
        <f t="shared" si="173"/>
        <v>x</v>
      </c>
    </row>
    <row r="1013" spans="1:31" ht="15.75" customHeight="1">
      <c r="A1013" s="334" t="str">
        <f>IF(B1013&lt;&gt;"",IF(AND(B1013='IN-TC'!$S$4,OR(TH!N1013="1111",TH!O1013="1111")),TH!D1013,""),"")</f>
        <v/>
      </c>
      <c r="B1013" s="63">
        <v>10</v>
      </c>
      <c r="C1013" s="78">
        <v>42669</v>
      </c>
      <c r="D1013" s="78" t="s">
        <v>2346</v>
      </c>
      <c r="E1013" s="78">
        <f t="shared" si="171"/>
        <v>42669</v>
      </c>
      <c r="F1013" s="67" t="s">
        <v>1969</v>
      </c>
      <c r="G1013" s="79"/>
      <c r="H1013" s="80" t="s">
        <v>383</v>
      </c>
      <c r="I1013" s="435">
        <v>8750</v>
      </c>
      <c r="J1013" s="436">
        <v>17000</v>
      </c>
      <c r="K1013" s="426"/>
      <c r="L1013" s="435"/>
      <c r="M1013" s="81">
        <f t="shared" si="172"/>
        <v>148750000</v>
      </c>
      <c r="N1013" s="82" t="s">
        <v>274</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c r="AE1013" s="1136" t="str">
        <f t="shared" si="173"/>
        <v>x</v>
      </c>
    </row>
    <row r="1014" spans="1:31" ht="15.75" customHeight="1">
      <c r="A1014" s="334" t="str">
        <f>IF(B1014&lt;&gt;"",IF(AND(B1014='IN-TC'!$S$4,OR(TH!N1014="1111",TH!O1014="1111")),TH!D1014,""),"")</f>
        <v/>
      </c>
      <c r="B1014" s="63">
        <v>10</v>
      </c>
      <c r="C1014" s="78">
        <v>42669</v>
      </c>
      <c r="D1014" s="78" t="s">
        <v>2347</v>
      </c>
      <c r="E1014" s="78">
        <f t="shared" si="171"/>
        <v>42669</v>
      </c>
      <c r="F1014" s="67" t="s">
        <v>1969</v>
      </c>
      <c r="G1014" s="79"/>
      <c r="H1014" s="80" t="s">
        <v>395</v>
      </c>
      <c r="I1014" s="435">
        <v>8860</v>
      </c>
      <c r="J1014" s="436">
        <v>17000</v>
      </c>
      <c r="K1014" s="426"/>
      <c r="L1014" s="435"/>
      <c r="M1014" s="81">
        <f t="shared" si="172"/>
        <v>150620000</v>
      </c>
      <c r="N1014" s="82" t="s">
        <v>274</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c r="AE1014" s="1136" t="str">
        <f t="shared" si="173"/>
        <v>x</v>
      </c>
    </row>
    <row r="1015" spans="1:31" ht="15.75" customHeight="1">
      <c r="A1015" s="334" t="str">
        <f>IF(B1015&lt;&gt;"",IF(AND(B1015='IN-TC'!$S$4,OR(TH!N1015="1111",TH!O1015="1111")),TH!D1015,""),"")</f>
        <v/>
      </c>
      <c r="B1015" s="63">
        <v>10</v>
      </c>
      <c r="C1015" s="78">
        <v>42669</v>
      </c>
      <c r="D1015" s="78" t="s">
        <v>2348</v>
      </c>
      <c r="E1015" s="78">
        <f t="shared" si="171"/>
        <v>42669</v>
      </c>
      <c r="F1015" s="67" t="s">
        <v>1969</v>
      </c>
      <c r="G1015" s="79"/>
      <c r="H1015" s="80" t="s">
        <v>385</v>
      </c>
      <c r="I1015" s="435">
        <v>8080</v>
      </c>
      <c r="J1015" s="436">
        <v>17000</v>
      </c>
      <c r="K1015" s="426"/>
      <c r="L1015" s="435"/>
      <c r="M1015" s="81">
        <f t="shared" si="172"/>
        <v>137360000</v>
      </c>
      <c r="N1015" s="82" t="s">
        <v>274</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c r="AE1015" s="1136" t="str">
        <f t="shared" si="173"/>
        <v>x</v>
      </c>
    </row>
    <row r="1016" spans="1:31" s="339" customFormat="1" ht="15.75" customHeight="1">
      <c r="A1016" s="334" t="str">
        <f>IF(B1016&lt;&gt;"",IF(AND(B1016='IN-TC'!$S$4,OR(TH!N1016="1111",TH!O1016="1111")),TH!D1016,""),"")</f>
        <v/>
      </c>
      <c r="B1016" s="63">
        <v>11</v>
      </c>
      <c r="C1016" s="92">
        <v>42676</v>
      </c>
      <c r="D1016" s="92"/>
      <c r="E1016" s="92">
        <f t="shared" si="103"/>
        <v>42676</v>
      </c>
      <c r="F1016" s="93" t="s">
        <v>1969</v>
      </c>
      <c r="G1016" s="93"/>
      <c r="H1016" s="94" t="s">
        <v>2360</v>
      </c>
      <c r="I1016" s="1175">
        <v>34150</v>
      </c>
      <c r="J1016" s="1174">
        <v>17000</v>
      </c>
      <c r="K1016" s="1176"/>
      <c r="L1016" s="1175"/>
      <c r="M1016" s="95">
        <f t="shared" si="104"/>
        <v>580550000</v>
      </c>
      <c r="N1016" s="83" t="s">
        <v>282</v>
      </c>
      <c r="O1016" s="83" t="s">
        <v>274</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row>
    <row r="1017" spans="1:31" s="1136" customFormat="1" ht="15.75" customHeight="1">
      <c r="A1017" s="334" t="str">
        <f>IF(B1017&lt;&gt;"",IF(AND(B1017='IN-TC'!$S$4,OR(TH!N1017="1111",TH!O1017="1111")),TH!D1017,""),"")</f>
        <v/>
      </c>
      <c r="B1017" s="63">
        <f t="shared" si="98"/>
        <v>1</v>
      </c>
      <c r="C1017" s="64">
        <v>42371</v>
      </c>
      <c r="D1017" s="64" t="s">
        <v>864</v>
      </c>
      <c r="E1017" s="64">
        <v>42368</v>
      </c>
      <c r="F1017" s="67" t="s">
        <v>762</v>
      </c>
      <c r="G1017" s="972" t="s">
        <v>796</v>
      </c>
      <c r="H1017" s="72" t="s">
        <v>797</v>
      </c>
      <c r="I1017" s="437"/>
      <c r="J1017" s="437"/>
      <c r="K1017" s="428"/>
      <c r="L1017" s="437"/>
      <c r="M1017" s="65">
        <v>4399997</v>
      </c>
      <c r="N1017" s="66" t="s">
        <v>101</v>
      </c>
      <c r="O1017" s="66" t="s">
        <v>63</v>
      </c>
      <c r="P1017" s="82" t="str">
        <f>IF(AND('331-CT'!$E$7=TH!H1017,OR(N1017="331",O1017="331")),"x","")</f>
        <v/>
      </c>
      <c r="Q1017" s="82" t="str">
        <f>IF(AND(B1017='111'!$L$11,OR($N1017=$Q$7,$O1017=$Q$7)),"x","")</f>
        <v/>
      </c>
      <c r="R1017" s="82" t="str">
        <f>IF(AND($N1017=$Q$7,$B1017&lt;'111'!$L$11),"x","")</f>
        <v/>
      </c>
      <c r="S1017" s="82" t="str">
        <f>IF(AND($O1017=$Q$7,$B1017&lt;'111'!$L$11),"x","")</f>
        <v>x</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row>
    <row r="1018" spans="1:31" s="1136" customFormat="1" ht="15.75" customHeight="1">
      <c r="A1018" s="334" t="str">
        <f>IF(B1018&lt;&gt;"",IF(AND(B1018='IN-TC'!$S$4,OR(TH!N1018="1111",TH!O1018="1111")),TH!D1018,""),"")</f>
        <v/>
      </c>
      <c r="B1018" s="63">
        <f t="shared" si="98"/>
        <v>1</v>
      </c>
      <c r="C1018" s="64">
        <v>42371</v>
      </c>
      <c r="D1018" s="64" t="s">
        <v>864</v>
      </c>
      <c r="E1018" s="64">
        <v>42368</v>
      </c>
      <c r="F1018" s="67" t="s">
        <v>763</v>
      </c>
      <c r="G1018" s="972" t="s">
        <v>796</v>
      </c>
      <c r="H1018" s="72" t="s">
        <v>797</v>
      </c>
      <c r="I1018" s="437"/>
      <c r="J1018" s="437"/>
      <c r="K1018" s="428"/>
      <c r="L1018" s="437"/>
      <c r="M1018" s="65">
        <v>440003</v>
      </c>
      <c r="N1018" s="66" t="s">
        <v>9</v>
      </c>
      <c r="O1018" s="66" t="s">
        <v>63</v>
      </c>
      <c r="P1018" s="82" t="str">
        <f>IF(AND('331-CT'!$E$7=TH!H1018,OR(N1018="331",O1018="331")),"x","")</f>
        <v/>
      </c>
      <c r="Q1018" s="82" t="str">
        <f>IF(AND(B1018='111'!$L$11,OR($N1018=$Q$7,$O1018=$Q$7)),"x","")</f>
        <v/>
      </c>
      <c r="R1018" s="82" t="str">
        <f>IF(AND($N1018=$Q$7,$B1018&lt;'111'!$L$11),"x","")</f>
        <v/>
      </c>
      <c r="S1018" s="82" t="str">
        <f>IF(AND($O1018=$Q$7,$B1018&lt;'111'!$L$11),"x","")</f>
        <v>x</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x</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row>
    <row r="1019" spans="1:31" s="1136" customFormat="1" ht="15.75" customHeight="1">
      <c r="A1019" s="334" t="str">
        <f>IF(B1019&lt;&gt;"",IF(AND(B1019='IN-TC'!$S$4,OR(TH!N1019="1111",TH!O1019="1111")),TH!D1019,""),"")</f>
        <v/>
      </c>
      <c r="B1019" s="63">
        <f t="shared" si="98"/>
        <v>1</v>
      </c>
      <c r="C1019" s="64">
        <v>42371</v>
      </c>
      <c r="D1019" s="64" t="s">
        <v>865</v>
      </c>
      <c r="E1019" s="64">
        <v>42369</v>
      </c>
      <c r="F1019" s="67" t="s">
        <v>764</v>
      </c>
      <c r="G1019" s="67" t="s">
        <v>798</v>
      </c>
      <c r="H1019" s="342" t="s">
        <v>799</v>
      </c>
      <c r="I1019" s="439"/>
      <c r="J1019" s="439"/>
      <c r="K1019" s="430"/>
      <c r="L1019" s="439"/>
      <c r="M1019" s="65">
        <v>47150</v>
      </c>
      <c r="N1019" s="66" t="s">
        <v>101</v>
      </c>
      <c r="O1019" s="66" t="s">
        <v>63</v>
      </c>
      <c r="P1019" s="82" t="str">
        <f>IF(AND('331-CT'!$E$7=TH!H1019,OR(N1019="331",O1019="331")),"x","")</f>
        <v/>
      </c>
      <c r="Q1019" s="82" t="str">
        <f>IF(AND(B1019='111'!$L$11,OR($N1019=$Q$7,$O1019=$Q$7)),"x","")</f>
        <v/>
      </c>
      <c r="R1019" s="82" t="str">
        <f>IF(AND($N1019=$Q$7,$B1019&lt;'111'!$L$11),"x","")</f>
        <v/>
      </c>
      <c r="S1019" s="82" t="str">
        <f>IF(AND($O1019=$Q$7,$B1019&lt;'111'!$L$11),"x","")</f>
        <v>x</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row>
    <row r="1020" spans="1:31" s="1136" customFormat="1" ht="15.75" customHeight="1">
      <c r="A1020" s="334" t="str">
        <f>IF(B1020&lt;&gt;"",IF(AND(B1020='IN-TC'!$S$4,OR(TH!N1020="1111",TH!O1020="1111")),TH!D1020,""),"")</f>
        <v/>
      </c>
      <c r="B1020" s="63">
        <f t="shared" si="98"/>
        <v>1</v>
      </c>
      <c r="C1020" s="64">
        <v>42371</v>
      </c>
      <c r="D1020" s="64" t="s">
        <v>865</v>
      </c>
      <c r="E1020" s="64">
        <v>42369</v>
      </c>
      <c r="F1020" s="67" t="s">
        <v>765</v>
      </c>
      <c r="G1020" s="67" t="s">
        <v>798</v>
      </c>
      <c r="H1020" s="72" t="s">
        <v>799</v>
      </c>
      <c r="I1020" s="437"/>
      <c r="J1020" s="437"/>
      <c r="K1020" s="428"/>
      <c r="L1020" s="437"/>
      <c r="M1020" s="65">
        <v>4715</v>
      </c>
      <c r="N1020" s="66" t="s">
        <v>9</v>
      </c>
      <c r="O1020" s="66" t="s">
        <v>63</v>
      </c>
      <c r="P1020" s="82" t="str">
        <f>IF(AND('331-CT'!$E$7=TH!H1020,OR(N1020="331",O1020="331")),"x","")</f>
        <v/>
      </c>
      <c r="Q1020" s="82" t="str">
        <f>IF(AND(B1020='111'!$L$11,OR($N1020=$Q$7,$O1020=$Q$7)),"x","")</f>
        <v/>
      </c>
      <c r="R1020" s="82" t="str">
        <f>IF(AND($N1020=$Q$7,$B1020&lt;'111'!$L$11),"x","")</f>
        <v/>
      </c>
      <c r="S1020" s="82" t="str">
        <f>IF(AND($O1020=$Q$7,$B1020&lt;'111'!$L$11),"x","")</f>
        <v>x</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x</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row>
    <row r="1021" spans="1:31" s="1136" customFormat="1" ht="15.75" customHeight="1">
      <c r="A1021" s="334" t="str">
        <f>IF(B1021&lt;&gt;"",IF(AND(B1021='IN-TC'!$S$4,OR(TH!N1021="1111",TH!O1021="1111")),TH!D1021,""),"")</f>
        <v/>
      </c>
      <c r="B1021" s="63">
        <f t="shared" si="98"/>
        <v>1</v>
      </c>
      <c r="C1021" s="64">
        <v>42371</v>
      </c>
      <c r="D1021" s="64" t="s">
        <v>866</v>
      </c>
      <c r="E1021" s="64">
        <v>42367</v>
      </c>
      <c r="F1021" s="67" t="s">
        <v>762</v>
      </c>
      <c r="G1021" s="67" t="s">
        <v>800</v>
      </c>
      <c r="H1021" s="72" t="s">
        <v>801</v>
      </c>
      <c r="I1021" s="437"/>
      <c r="J1021" s="437"/>
      <c r="K1021" s="428"/>
      <c r="L1021" s="437"/>
      <c r="M1021" s="65">
        <v>2090910</v>
      </c>
      <c r="N1021" s="66" t="s">
        <v>101</v>
      </c>
      <c r="O1021" s="66" t="s">
        <v>63</v>
      </c>
      <c r="P1021" s="82" t="str">
        <f>IF(AND('331-CT'!$E$7=TH!H1021,OR(N1021="331",O1021="331")),"x","")</f>
        <v/>
      </c>
      <c r="Q1021" s="82" t="str">
        <f>IF(AND(B1021='111'!$L$11,OR($N1021=$Q$7,$O1021=$Q$7)),"x","")</f>
        <v/>
      </c>
      <c r="R1021" s="82" t="str">
        <f>IF(AND($N1021=$Q$7,$B1021&lt;'111'!$L$11),"x","")</f>
        <v/>
      </c>
      <c r="S1021" s="82" t="str">
        <f>IF(AND($O1021=$Q$7,$B1021&lt;'111'!$L$11),"x","")</f>
        <v>x</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row>
    <row r="1022" spans="1:31" s="1136" customFormat="1" ht="15.75" customHeight="1">
      <c r="A1022" s="334" t="str">
        <f>IF(B1022&lt;&gt;"",IF(AND(B1022='IN-TC'!$S$4,OR(TH!N1022="1111",TH!O1022="1111")),TH!D1022,""),"")</f>
        <v/>
      </c>
      <c r="B1022" s="63">
        <f t="shared" si="98"/>
        <v>1</v>
      </c>
      <c r="C1022" s="64">
        <v>42371</v>
      </c>
      <c r="D1022" s="64" t="s">
        <v>866</v>
      </c>
      <c r="E1022" s="64">
        <v>42367</v>
      </c>
      <c r="F1022" s="67" t="s">
        <v>763</v>
      </c>
      <c r="G1022" s="67" t="s">
        <v>800</v>
      </c>
      <c r="H1022" s="342" t="s">
        <v>801</v>
      </c>
      <c r="I1022" s="439"/>
      <c r="J1022" s="439"/>
      <c r="K1022" s="430"/>
      <c r="L1022" s="439"/>
      <c r="M1022" s="65">
        <v>209090</v>
      </c>
      <c r="N1022" s="66" t="s">
        <v>9</v>
      </c>
      <c r="O1022" s="66" t="s">
        <v>63</v>
      </c>
      <c r="P1022" s="82" t="str">
        <f>IF(AND('331-CT'!$E$7=TH!H1022,OR(N1022="331",O1022="331")),"x","")</f>
        <v/>
      </c>
      <c r="Q1022" s="82" t="str">
        <f>IF(AND(B1022='111'!$L$11,OR($N1022=$Q$7,$O1022=$Q$7)),"x","")</f>
        <v/>
      </c>
      <c r="R1022" s="82" t="str">
        <f>IF(AND($N1022=$Q$7,$B1022&lt;'111'!$L$11),"x","")</f>
        <v/>
      </c>
      <c r="S1022" s="82" t="str">
        <f>IF(AND($O1022=$Q$7,$B1022&lt;'111'!$L$11),"x","")</f>
        <v>x</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x</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row>
    <row r="1023" spans="1:31" s="339" customFormat="1" ht="15.75" customHeight="1">
      <c r="A1023" s="334" t="str">
        <f>IF(B1023&lt;&gt;"",IF(AND(B1023='IN-TC'!$S$4,OR(TH!N1023="1111",TH!O1023="1111")),TH!D1023,""),"")</f>
        <v/>
      </c>
      <c r="B1023" s="63">
        <f t="shared" si="98"/>
        <v>1</v>
      </c>
      <c r="C1023" s="64">
        <v>42371</v>
      </c>
      <c r="D1023" s="64" t="s">
        <v>867</v>
      </c>
      <c r="E1023" s="64">
        <v>42367</v>
      </c>
      <c r="F1023" s="67" t="s">
        <v>766</v>
      </c>
      <c r="G1023" s="67" t="s">
        <v>802</v>
      </c>
      <c r="H1023" s="72" t="s">
        <v>803</v>
      </c>
      <c r="I1023" s="437"/>
      <c r="J1023" s="437"/>
      <c r="K1023" s="428"/>
      <c r="L1023" s="437"/>
      <c r="M1023" s="65">
        <v>12000000</v>
      </c>
      <c r="N1023" s="66" t="s">
        <v>101</v>
      </c>
      <c r="O1023" s="66" t="s">
        <v>63</v>
      </c>
      <c r="P1023" s="82" t="str">
        <f>IF(AND('331-CT'!$E$7=TH!H1023,OR(N1023="331",O1023="331")),"x","")</f>
        <v/>
      </c>
      <c r="Q1023" s="82" t="str">
        <f>IF(AND(B1023='111'!$L$11,OR($N1023=$Q$7,$O1023=$Q$7)),"x","")</f>
        <v/>
      </c>
      <c r="R1023" s="82" t="str">
        <f>IF(AND($N1023=$Q$7,$B1023&lt;'111'!$L$11),"x","")</f>
        <v/>
      </c>
      <c r="S1023" s="82" t="str">
        <f>IF(AND($O1023=$Q$7,$B1023&lt;'111'!$L$11),"x","")</f>
        <v>x</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row>
    <row r="1024" spans="1:31" s="339" customFormat="1" ht="15.75" customHeight="1">
      <c r="A1024" s="334" t="str">
        <f>IF(B1024&lt;&gt;"",IF(AND(B1024='IN-TC'!$S$4,OR(TH!N1024="1111",TH!O1024="1111")),TH!D1024,""),"")</f>
        <v/>
      </c>
      <c r="B1024" s="63">
        <f t="shared" si="98"/>
        <v>1</v>
      </c>
      <c r="C1024" s="64">
        <v>42371</v>
      </c>
      <c r="D1024" s="64" t="s">
        <v>867</v>
      </c>
      <c r="E1024" s="64">
        <v>42367</v>
      </c>
      <c r="F1024" s="67" t="s">
        <v>767</v>
      </c>
      <c r="G1024" s="67" t="s">
        <v>802</v>
      </c>
      <c r="H1024" s="72" t="s">
        <v>803</v>
      </c>
      <c r="I1024" s="437"/>
      <c r="J1024" s="437"/>
      <c r="K1024" s="428"/>
      <c r="L1024" s="437"/>
      <c r="M1024" s="65">
        <v>1200000</v>
      </c>
      <c r="N1024" s="66" t="s">
        <v>9</v>
      </c>
      <c r="O1024" s="66" t="s">
        <v>63</v>
      </c>
      <c r="P1024" s="82" t="str">
        <f>IF(AND('331-CT'!$E$7=TH!H1024,OR(N1024="331",O1024="331")),"x","")</f>
        <v/>
      </c>
      <c r="Q1024" s="82" t="str">
        <f>IF(AND(B1024='111'!$L$11,OR($N1024=$Q$7,$O1024=$Q$7)),"x","")</f>
        <v/>
      </c>
      <c r="R1024" s="82" t="str">
        <f>IF(AND($N1024=$Q$7,$B1024&lt;'111'!$L$11),"x","")</f>
        <v/>
      </c>
      <c r="S1024" s="82" t="str">
        <f>IF(AND($O1024=$Q$7,$B1024&lt;'111'!$L$11),"x","")</f>
        <v>x</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x</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row>
    <row r="1025" spans="1:31" s="1136" customFormat="1" ht="15.75" customHeight="1">
      <c r="A1025" s="334" t="str">
        <f>IF(B1025&lt;&gt;"",IF(AND(B1025='IN-TC'!$S$4,OR(TH!N1025="1111",TH!O1025="1111")),TH!D1025,""),"")</f>
        <v/>
      </c>
      <c r="B1025" s="63">
        <f t="shared" si="98"/>
        <v>1</v>
      </c>
      <c r="C1025" s="64">
        <v>42371</v>
      </c>
      <c r="D1025" s="64" t="s">
        <v>868</v>
      </c>
      <c r="E1025" s="64">
        <v>42370</v>
      </c>
      <c r="F1025" s="146" t="s">
        <v>768</v>
      </c>
      <c r="G1025" s="973" t="s">
        <v>804</v>
      </c>
      <c r="H1025" s="72" t="s">
        <v>805</v>
      </c>
      <c r="I1025" s="437"/>
      <c r="J1025" s="437"/>
      <c r="K1025" s="428"/>
      <c r="L1025" s="437"/>
      <c r="M1025" s="65">
        <v>620782</v>
      </c>
      <c r="N1025" s="66" t="s">
        <v>101</v>
      </c>
      <c r="O1025" s="66" t="s">
        <v>63</v>
      </c>
      <c r="P1025" s="82" t="str">
        <f>IF(AND('331-CT'!$E$7=TH!H1025,OR(N1025="331",O1025="331")),"x","")</f>
        <v/>
      </c>
      <c r="Q1025" s="82" t="str">
        <f>IF(AND(B1025='111'!$L$11,OR($N1025=$Q$7,$O1025=$Q$7)),"x","")</f>
        <v/>
      </c>
      <c r="R1025" s="82" t="str">
        <f>IF(AND($N1025=$Q$7,$B1025&lt;'111'!$L$11),"x","")</f>
        <v/>
      </c>
      <c r="S1025" s="82" t="str">
        <f>IF(AND($O1025=$Q$7,$B1025&lt;'111'!$L$11),"x","")</f>
        <v>x</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row>
    <row r="1026" spans="1:31" s="1136" customFormat="1" ht="15.75" customHeight="1">
      <c r="A1026" s="334" t="str">
        <f>IF(B1026&lt;&gt;"",IF(AND(B1026='IN-TC'!$S$4,OR(TH!N1026="1111",TH!O1026="1111")),TH!D1026,""),"")</f>
        <v/>
      </c>
      <c r="B1026" s="63">
        <f t="shared" si="98"/>
        <v>1</v>
      </c>
      <c r="C1026" s="64">
        <v>42371</v>
      </c>
      <c r="D1026" s="64" t="s">
        <v>868</v>
      </c>
      <c r="E1026" s="64">
        <v>42370</v>
      </c>
      <c r="F1026" s="67" t="s">
        <v>769</v>
      </c>
      <c r="G1026" s="972" t="s">
        <v>804</v>
      </c>
      <c r="H1026" s="72" t="s">
        <v>805</v>
      </c>
      <c r="I1026" s="437"/>
      <c r="J1026" s="437"/>
      <c r="K1026" s="428"/>
      <c r="L1026" s="437"/>
      <c r="M1026" s="65">
        <v>62078</v>
      </c>
      <c r="N1026" s="66" t="s">
        <v>9</v>
      </c>
      <c r="O1026" s="66" t="s">
        <v>63</v>
      </c>
      <c r="P1026" s="82" t="str">
        <f>IF(AND('331-CT'!$E$7=TH!H1026,OR(N1026="331",O1026="331")),"x","")</f>
        <v/>
      </c>
      <c r="Q1026" s="82" t="str">
        <f>IF(AND(B1026='111'!$L$11,OR($N1026=$Q$7,$O1026=$Q$7)),"x","")</f>
        <v/>
      </c>
      <c r="R1026" s="82" t="str">
        <f>IF(AND($N1026=$Q$7,$B1026&lt;'111'!$L$11),"x","")</f>
        <v/>
      </c>
      <c r="S1026" s="82" t="str">
        <f>IF(AND($O1026=$Q$7,$B1026&lt;'111'!$L$11),"x","")</f>
        <v>x</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x</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row>
    <row r="1027" spans="1:31" s="1136" customFormat="1" ht="15.75" customHeight="1">
      <c r="A1027" s="334" t="str">
        <f>IF(B1027&lt;&gt;"",IF(AND(B1027='IN-TC'!$S$4,OR(TH!N1027="1111",TH!O1027="1111")),TH!D1027,""),"")</f>
        <v/>
      </c>
      <c r="B1027" s="63">
        <f t="shared" si="98"/>
        <v>1</v>
      </c>
      <c r="C1027" s="64">
        <v>42371</v>
      </c>
      <c r="D1027" s="64" t="s">
        <v>869</v>
      </c>
      <c r="E1027" s="64">
        <v>42370</v>
      </c>
      <c r="F1027" s="67" t="s">
        <v>770</v>
      </c>
      <c r="G1027" s="972"/>
      <c r="H1027" s="72" t="s">
        <v>624</v>
      </c>
      <c r="I1027" s="437"/>
      <c r="J1027" s="437"/>
      <c r="K1027" s="428"/>
      <c r="L1027" s="437"/>
      <c r="M1027" s="65">
        <v>7500000</v>
      </c>
      <c r="N1027" s="66" t="s">
        <v>8</v>
      </c>
      <c r="O1027" s="66" t="s">
        <v>63</v>
      </c>
      <c r="P1027" s="82" t="str">
        <f>IF(AND('331-CT'!$E$7=TH!H1027,OR(N1027="331",O1027="331")),"x","")</f>
        <v/>
      </c>
      <c r="Q1027" s="82" t="str">
        <f>IF(AND(B1027='111'!$L$11,OR($N1027=$Q$7,$O1027=$Q$7)),"x","")</f>
        <v/>
      </c>
      <c r="R1027" s="82" t="str">
        <f>IF(AND($N1027=$Q$7,$B1027&lt;'111'!$L$11),"x","")</f>
        <v/>
      </c>
      <c r="S1027" s="82" t="str">
        <f>IF(AND($O1027=$Q$7,$B1027&lt;'111'!$L$11),"x","")</f>
        <v>x</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E1027" s="1136" t="str">
        <f>IF(H1027&lt;&gt;VLOOKUP(H1027,DSKH,1,0),"","x")</f>
        <v>x</v>
      </c>
    </row>
    <row r="1028" spans="1:31" s="1136" customFormat="1" ht="15.75" customHeight="1">
      <c r="A1028" s="334" t="str">
        <f>IF(B1028&lt;&gt;"",IF(AND(B1028='IN-TC'!$S$4,OR(TH!N1028="1111",TH!O1028="1111")),TH!D1028,""),"")</f>
        <v/>
      </c>
      <c r="B1028" s="63">
        <f t="shared" si="98"/>
        <v>1</v>
      </c>
      <c r="C1028" s="64">
        <v>42373</v>
      </c>
      <c r="D1028" s="64" t="s">
        <v>702</v>
      </c>
      <c r="E1028" s="64">
        <v>42373</v>
      </c>
      <c r="F1028" s="72" t="s">
        <v>1438</v>
      </c>
      <c r="G1028" s="67" t="s">
        <v>914</v>
      </c>
      <c r="H1028" s="72"/>
      <c r="I1028" s="437"/>
      <c r="J1028" s="437"/>
      <c r="K1028" s="428">
        <v>97800</v>
      </c>
      <c r="L1028" s="437">
        <v>22490</v>
      </c>
      <c r="M1028" s="65">
        <f>ROUND(K1028*L1028,0)</f>
        <v>2199522000</v>
      </c>
      <c r="N1028" s="66" t="s">
        <v>26</v>
      </c>
      <c r="O1028" s="66" t="s">
        <v>266</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row>
    <row r="1029" spans="1:31" s="1136" customFormat="1" ht="15.75" customHeight="1">
      <c r="A1029" s="334" t="str">
        <f>IF(B1029&lt;&gt;"",IF(AND(B1029='IN-TC'!$S$4,OR(TH!N1029="1111",TH!O1029="1111")),TH!D1029,""),"")</f>
        <v/>
      </c>
      <c r="B1029" s="63">
        <f t="shared" si="98"/>
        <v>1</v>
      </c>
      <c r="C1029" s="64">
        <v>42373</v>
      </c>
      <c r="D1029" s="64" t="s">
        <v>870</v>
      </c>
      <c r="E1029" s="64">
        <v>42373</v>
      </c>
      <c r="F1029" s="67" t="s">
        <v>752</v>
      </c>
      <c r="G1029" s="67" t="s">
        <v>914</v>
      </c>
      <c r="H1029" s="73" t="s">
        <v>760</v>
      </c>
      <c r="I1029" s="437"/>
      <c r="J1029" s="437"/>
      <c r="K1029" s="428"/>
      <c r="L1029" s="437"/>
      <c r="M1029" s="65">
        <v>2200000000</v>
      </c>
      <c r="N1029" s="66" t="s">
        <v>63</v>
      </c>
      <c r="O1029" s="66" t="s">
        <v>26</v>
      </c>
      <c r="P1029" s="82" t="str">
        <f>IF(AND('331-CT'!$E$7=TH!H1029,OR(N1029="331",O1029="331")),"x","")</f>
        <v/>
      </c>
      <c r="Q1029" s="82" t="str">
        <f>IF(AND(B1029='111'!$L$11,OR($N1029=$Q$7,$O1029=$Q$7)),"x","")</f>
        <v/>
      </c>
      <c r="R1029" s="82" t="str">
        <f>IF(AND($N1029=$Q$7,$B1029&lt;'111'!$L$11),"x","")</f>
        <v>x</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row>
    <row r="1030" spans="1:31" s="1136" customFormat="1" ht="15.75" customHeight="1">
      <c r="A1030" s="334" t="str">
        <f>IF(B1030&lt;&gt;"",IF(AND(B1030='IN-TC'!$S$4,OR(TH!N1030="1111",TH!O1030="1111")),TH!D1030,""),"")</f>
        <v/>
      </c>
      <c r="B1030" s="63">
        <f t="shared" si="98"/>
        <v>1</v>
      </c>
      <c r="C1030" s="64">
        <v>42373</v>
      </c>
      <c r="D1030" s="64" t="s">
        <v>871</v>
      </c>
      <c r="E1030" s="64">
        <v>42373</v>
      </c>
      <c r="F1030" s="67" t="s">
        <v>771</v>
      </c>
      <c r="G1030" s="972" t="s">
        <v>806</v>
      </c>
      <c r="H1030" s="72" t="s">
        <v>807</v>
      </c>
      <c r="I1030" s="437"/>
      <c r="J1030" s="437"/>
      <c r="K1030" s="428"/>
      <c r="L1030" s="437"/>
      <c r="M1030" s="65">
        <v>16650000</v>
      </c>
      <c r="N1030" s="66" t="s">
        <v>162</v>
      </c>
      <c r="O1030" s="66" t="s">
        <v>63</v>
      </c>
      <c r="P1030" s="82" t="str">
        <f>IF(AND('331-CT'!$E$7=TH!H1030,OR(N1030="331",O1030="331")),"x","")</f>
        <v/>
      </c>
      <c r="Q1030" s="82" t="str">
        <f>IF(AND(B1030='111'!$L$11,OR($N1030=$Q$7,$O1030=$Q$7)),"x","")</f>
        <v/>
      </c>
      <c r="R1030" s="82" t="str">
        <f>IF(AND($N1030=$Q$7,$B1030&lt;'111'!$L$11),"x","")</f>
        <v/>
      </c>
      <c r="S1030" s="82" t="str">
        <f>IF(AND($O1030=$Q$7,$B1030&lt;'111'!$L$11),"x","")</f>
        <v>x</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row>
    <row r="1031" spans="1:31" s="1136" customFormat="1" ht="15.75" customHeight="1">
      <c r="A1031" s="334" t="str">
        <f>IF(B1031&lt;&gt;"",IF(AND(B1031='IN-TC'!$S$4,OR(TH!N1031="1111",TH!O1031="1111")),TH!D1031,""),"")</f>
        <v/>
      </c>
      <c r="B1031" s="63">
        <f t="shared" ref="B1031:B1094" si="176">IF(C1031&lt;&gt;"",MONTH(C1031),"")</f>
        <v>1</v>
      </c>
      <c r="C1031" s="64">
        <v>42373</v>
      </c>
      <c r="D1031" s="64" t="s">
        <v>871</v>
      </c>
      <c r="E1031" s="64">
        <v>42373</v>
      </c>
      <c r="F1031" s="67" t="s">
        <v>772</v>
      </c>
      <c r="G1031" s="974" t="s">
        <v>806</v>
      </c>
      <c r="H1031" s="342" t="s">
        <v>807</v>
      </c>
      <c r="I1031" s="439"/>
      <c r="J1031" s="439"/>
      <c r="K1031" s="430"/>
      <c r="L1031" s="439"/>
      <c r="M1031" s="65">
        <v>1665000</v>
      </c>
      <c r="N1031" s="66" t="s">
        <v>9</v>
      </c>
      <c r="O1031" s="66" t="s">
        <v>63</v>
      </c>
      <c r="P1031" s="82" t="str">
        <f>IF(AND('331-CT'!$E$7=TH!H1031,OR(N1031="331",O1031="331")),"x","")</f>
        <v/>
      </c>
      <c r="Q1031" s="82" t="str">
        <f>IF(AND(B1031='111'!$L$11,OR($N1031=$Q$7,$O1031=$Q$7)),"x","")</f>
        <v/>
      </c>
      <c r="R1031" s="82" t="str">
        <f>IF(AND($N1031=$Q$7,$B1031&lt;'111'!$L$11),"x","")</f>
        <v/>
      </c>
      <c r="S1031" s="82" t="str">
        <f>IF(AND($O1031=$Q$7,$B1031&lt;'111'!$L$11),"x","")</f>
        <v>x</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x</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row>
    <row r="1032" spans="1:31" s="1136" customFormat="1" ht="15.75" customHeight="1">
      <c r="A1032" s="334" t="str">
        <f>IF(B1032&lt;&gt;"",IF(AND(B1032='IN-TC'!$S$4,OR(TH!N1032="1111",TH!O1032="1111")),TH!D1032,""),"")</f>
        <v/>
      </c>
      <c r="B1032" s="63">
        <f t="shared" si="176"/>
        <v>1</v>
      </c>
      <c r="C1032" s="64">
        <v>42373</v>
      </c>
      <c r="D1032" s="64" t="s">
        <v>872</v>
      </c>
      <c r="E1032" s="64">
        <v>42336</v>
      </c>
      <c r="F1032" s="67" t="s">
        <v>766</v>
      </c>
      <c r="G1032" s="974" t="s">
        <v>808</v>
      </c>
      <c r="H1032" s="342" t="s">
        <v>803</v>
      </c>
      <c r="I1032" s="439"/>
      <c r="J1032" s="439"/>
      <c r="K1032" s="430"/>
      <c r="L1032" s="439"/>
      <c r="M1032" s="65">
        <v>12000000</v>
      </c>
      <c r="N1032" s="66" t="s">
        <v>101</v>
      </c>
      <c r="O1032" s="66" t="s">
        <v>63</v>
      </c>
      <c r="P1032" s="82" t="str">
        <f>IF(AND('331-CT'!$E$7=TH!H1032,OR(N1032="331",O1032="331")),"x","")</f>
        <v/>
      </c>
      <c r="Q1032" s="82" t="str">
        <f>IF(AND(B1032='111'!$L$11,OR($N1032=$Q$7,$O1032=$Q$7)),"x","")</f>
        <v/>
      </c>
      <c r="R1032" s="82" t="str">
        <f>IF(AND($N1032=$Q$7,$B1032&lt;'111'!$L$11),"x","")</f>
        <v/>
      </c>
      <c r="S1032" s="82" t="str">
        <f>IF(AND($O1032=$Q$7,$B1032&lt;'111'!$L$11),"x","")</f>
        <v>x</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row>
    <row r="1033" spans="1:31" s="1136" customFormat="1" ht="15.75" customHeight="1">
      <c r="A1033" s="334" t="str">
        <f>IF(B1033&lt;&gt;"",IF(AND(B1033='IN-TC'!$S$4,OR(TH!N1033="1111",TH!O1033="1111")),TH!D1033,""),"")</f>
        <v/>
      </c>
      <c r="B1033" s="63">
        <f t="shared" si="176"/>
        <v>1</v>
      </c>
      <c r="C1033" s="64">
        <v>42373</v>
      </c>
      <c r="D1033" s="64" t="s">
        <v>872</v>
      </c>
      <c r="E1033" s="64">
        <v>42336</v>
      </c>
      <c r="F1033" s="67" t="s">
        <v>767</v>
      </c>
      <c r="G1033" s="67" t="s">
        <v>808</v>
      </c>
      <c r="H1033" s="72" t="s">
        <v>803</v>
      </c>
      <c r="I1033" s="437"/>
      <c r="J1033" s="437"/>
      <c r="K1033" s="428"/>
      <c r="L1033" s="437"/>
      <c r="M1033" s="65">
        <v>1200000</v>
      </c>
      <c r="N1033" s="66" t="s">
        <v>9</v>
      </c>
      <c r="O1033" s="66" t="s">
        <v>63</v>
      </c>
      <c r="P1033" s="82" t="str">
        <f>IF(AND('331-CT'!$E$7=TH!H1033,OR(N1033="331",O1033="331")),"x","")</f>
        <v/>
      </c>
      <c r="Q1033" s="82" t="str">
        <f>IF(AND(B1033='111'!$L$11,OR($N1033=$Q$7,$O1033=$Q$7)),"x","")</f>
        <v/>
      </c>
      <c r="R1033" s="82" t="str">
        <f>IF(AND($N1033=$Q$7,$B1033&lt;'111'!$L$11),"x","")</f>
        <v/>
      </c>
      <c r="S1033" s="82" t="str">
        <f>IF(AND($O1033=$Q$7,$B1033&lt;'111'!$L$11),"x","")</f>
        <v>x</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x</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row>
    <row r="1034" spans="1:31" s="1136" customFormat="1" ht="15.75" customHeight="1">
      <c r="A1034" s="334" t="str">
        <f>IF(B1034&lt;&gt;"",IF(AND(B1034='IN-TC'!$S$4,OR(TH!N1034="1111",TH!O1034="1111")),TH!D1034,""),"")</f>
        <v/>
      </c>
      <c r="B1034" s="63">
        <f t="shared" si="176"/>
        <v>1</v>
      </c>
      <c r="C1034" s="64">
        <v>42373</v>
      </c>
      <c r="D1034" s="64" t="s">
        <v>873</v>
      </c>
      <c r="E1034" s="64">
        <v>42373</v>
      </c>
      <c r="F1034" s="67" t="s">
        <v>773</v>
      </c>
      <c r="G1034" s="972" t="s">
        <v>809</v>
      </c>
      <c r="H1034" s="72" t="s">
        <v>805</v>
      </c>
      <c r="I1034" s="437"/>
      <c r="J1034" s="437"/>
      <c r="K1034" s="428"/>
      <c r="L1034" s="437"/>
      <c r="M1034" s="65">
        <v>684000</v>
      </c>
      <c r="N1034" s="66" t="s">
        <v>101</v>
      </c>
      <c r="O1034" s="66" t="s">
        <v>63</v>
      </c>
      <c r="P1034" s="82" t="str">
        <f>IF(AND('331-CT'!$E$7=TH!H1034,OR(N1034="331",O1034="331")),"x","")</f>
        <v/>
      </c>
      <c r="Q1034" s="82" t="str">
        <f>IF(AND(B1034='111'!$L$11,OR($N1034=$Q$7,$O1034=$Q$7)),"x","")</f>
        <v/>
      </c>
      <c r="R1034" s="82" t="str">
        <f>IF(AND($N1034=$Q$7,$B1034&lt;'111'!$L$11),"x","")</f>
        <v/>
      </c>
      <c r="S1034" s="82" t="str">
        <f>IF(AND($O1034=$Q$7,$B1034&lt;'111'!$L$11),"x","")</f>
        <v>x</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row>
    <row r="1035" spans="1:31" s="1136" customFormat="1" ht="15.75" customHeight="1">
      <c r="A1035" s="334" t="str">
        <f>IF(B1035&lt;&gt;"",IF(AND(B1035='IN-TC'!$S$4,OR(TH!N1035="1111",TH!O1035="1111")),TH!D1035,""),"")</f>
        <v/>
      </c>
      <c r="B1035" s="63">
        <f t="shared" si="176"/>
        <v>1</v>
      </c>
      <c r="C1035" s="64">
        <v>42373</v>
      </c>
      <c r="D1035" s="64" t="s">
        <v>873</v>
      </c>
      <c r="E1035" s="64">
        <v>42373</v>
      </c>
      <c r="F1035" s="67" t="s">
        <v>774</v>
      </c>
      <c r="G1035" s="972" t="s">
        <v>809</v>
      </c>
      <c r="H1035" s="72" t="s">
        <v>805</v>
      </c>
      <c r="I1035" s="437"/>
      <c r="J1035" s="437"/>
      <c r="K1035" s="428"/>
      <c r="L1035" s="437"/>
      <c r="M1035" s="65">
        <v>68400</v>
      </c>
      <c r="N1035" s="66" t="s">
        <v>9</v>
      </c>
      <c r="O1035" s="66" t="s">
        <v>63</v>
      </c>
      <c r="P1035" s="82" t="str">
        <f>IF(AND('331-CT'!$E$7=TH!H1035,OR(N1035="331",O1035="331")),"x","")</f>
        <v/>
      </c>
      <c r="Q1035" s="82" t="str">
        <f>IF(AND(B1035='111'!$L$11,OR($N1035=$Q$7,$O1035=$Q$7)),"x","")</f>
        <v/>
      </c>
      <c r="R1035" s="82" t="str">
        <f>IF(AND($N1035=$Q$7,$B1035&lt;'111'!$L$11),"x","")</f>
        <v/>
      </c>
      <c r="S1035" s="82" t="str">
        <f>IF(AND($O1035=$Q$7,$B1035&lt;'111'!$L$11),"x","")</f>
        <v>x</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x</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row>
    <row r="1036" spans="1:31" s="1136" customFormat="1" ht="15.75" customHeight="1">
      <c r="A1036" s="334" t="str">
        <f>IF(B1036&lt;&gt;"",IF(AND(B1036='IN-TC'!$S$4,OR(TH!N1036="1111",TH!O1036="1111")),TH!D1036,""),"")</f>
        <v/>
      </c>
      <c r="B1036" s="63">
        <f t="shared" si="176"/>
        <v>1</v>
      </c>
      <c r="C1036" s="64">
        <v>42373</v>
      </c>
      <c r="D1036" s="64" t="s">
        <v>874</v>
      </c>
      <c r="E1036" s="64">
        <v>42373</v>
      </c>
      <c r="F1036" s="67" t="s">
        <v>773</v>
      </c>
      <c r="G1036" s="972" t="s">
        <v>810</v>
      </c>
      <c r="H1036" s="72" t="s">
        <v>811</v>
      </c>
      <c r="I1036" s="437"/>
      <c r="J1036" s="437"/>
      <c r="K1036" s="428"/>
      <c r="L1036" s="437"/>
      <c r="M1036" s="65">
        <v>29818</v>
      </c>
      <c r="N1036" s="66" t="s">
        <v>101</v>
      </c>
      <c r="O1036" s="66" t="s">
        <v>63</v>
      </c>
      <c r="P1036" s="82" t="str">
        <f>IF(AND('331-CT'!$E$7=TH!H1036,OR(N1036="331",O1036="331")),"x","")</f>
        <v/>
      </c>
      <c r="Q1036" s="82" t="str">
        <f>IF(AND(B1036='111'!$L$11,OR($N1036=$Q$7,$O1036=$Q$7)),"x","")</f>
        <v/>
      </c>
      <c r="R1036" s="82" t="str">
        <f>IF(AND($N1036=$Q$7,$B1036&lt;'111'!$L$11),"x","")</f>
        <v/>
      </c>
      <c r="S1036" s="82" t="str">
        <f>IF(AND($O1036=$Q$7,$B1036&lt;'111'!$L$11),"x","")</f>
        <v>x</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row>
    <row r="1037" spans="1:31" s="1136" customFormat="1" ht="15.75" customHeight="1">
      <c r="A1037" s="334" t="str">
        <f>IF(B1037&lt;&gt;"",IF(AND(B1037='IN-TC'!$S$4,OR(TH!N1037="1111",TH!O1037="1111")),TH!D1037,""),"")</f>
        <v/>
      </c>
      <c r="B1037" s="63">
        <f t="shared" si="176"/>
        <v>1</v>
      </c>
      <c r="C1037" s="64">
        <v>42373</v>
      </c>
      <c r="D1037" s="64" t="s">
        <v>874</v>
      </c>
      <c r="E1037" s="64">
        <v>42373</v>
      </c>
      <c r="F1037" s="67" t="s">
        <v>774</v>
      </c>
      <c r="G1037" s="972" t="s">
        <v>810</v>
      </c>
      <c r="H1037" s="72" t="s">
        <v>811</v>
      </c>
      <c r="I1037" s="437"/>
      <c r="J1037" s="437"/>
      <c r="K1037" s="428"/>
      <c r="L1037" s="437"/>
      <c r="M1037" s="65">
        <v>2982</v>
      </c>
      <c r="N1037" s="66" t="s">
        <v>9</v>
      </c>
      <c r="O1037" s="66" t="s">
        <v>63</v>
      </c>
      <c r="P1037" s="82" t="str">
        <f>IF(AND('331-CT'!$E$7=TH!H1037,OR(N1037="331",O1037="331")),"x","")</f>
        <v/>
      </c>
      <c r="Q1037" s="82" t="str">
        <f>IF(AND(B1037='111'!$L$11,OR($N1037=$Q$7,$O1037=$Q$7)),"x","")</f>
        <v/>
      </c>
      <c r="R1037" s="82" t="str">
        <f>IF(AND($N1037=$Q$7,$B1037&lt;'111'!$L$11),"x","")</f>
        <v/>
      </c>
      <c r="S1037" s="82" t="str">
        <f>IF(AND($O1037=$Q$7,$B1037&lt;'111'!$L$11),"x","")</f>
        <v>x</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x</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row>
    <row r="1038" spans="1:31" s="339" customFormat="1" ht="15.75" customHeight="1">
      <c r="A1038" s="334" t="str">
        <f>IF(B1038&lt;&gt;"",IF(AND(B1038='IN-TC'!$S$4,OR(TH!N1038="1111",TH!O1038="1111")),TH!D1038,""),"")</f>
        <v/>
      </c>
      <c r="B1038" s="63">
        <f t="shared" si="176"/>
        <v>1</v>
      </c>
      <c r="C1038" s="64">
        <v>42374</v>
      </c>
      <c r="D1038" s="64" t="s">
        <v>875</v>
      </c>
      <c r="E1038" s="64">
        <v>42374</v>
      </c>
      <c r="F1038" s="67" t="s">
        <v>775</v>
      </c>
      <c r="G1038" s="67" t="s">
        <v>812</v>
      </c>
      <c r="H1038" s="72" t="s">
        <v>807</v>
      </c>
      <c r="I1038" s="437"/>
      <c r="J1038" s="437"/>
      <c r="K1038" s="428"/>
      <c r="L1038" s="437"/>
      <c r="M1038" s="65">
        <v>16890000</v>
      </c>
      <c r="N1038" s="66" t="s">
        <v>162</v>
      </c>
      <c r="O1038" s="66" t="s">
        <v>63</v>
      </c>
      <c r="P1038" s="82" t="str">
        <f>IF(AND('331-CT'!$E$7=TH!H1038,OR(N1038="331",O1038="331")),"x","")</f>
        <v/>
      </c>
      <c r="Q1038" s="82" t="str">
        <f>IF(AND(B1038='111'!$L$11,OR($N1038=$Q$7,$O1038=$Q$7)),"x","")</f>
        <v/>
      </c>
      <c r="R1038" s="82" t="str">
        <f>IF(AND($N1038=$Q$7,$B1038&lt;'111'!$L$11),"x","")</f>
        <v/>
      </c>
      <c r="S1038" s="82" t="str">
        <f>IF(AND($O1038=$Q$7,$B1038&lt;'111'!$L$11),"x","")</f>
        <v>x</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row>
    <row r="1039" spans="1:31" s="339" customFormat="1" ht="15.75" customHeight="1">
      <c r="A1039" s="334" t="str">
        <f>IF(B1039&lt;&gt;"",IF(AND(B1039='IN-TC'!$S$4,OR(TH!N1039="1111",TH!O1039="1111")),TH!D1039,""),"")</f>
        <v/>
      </c>
      <c r="B1039" s="63">
        <f t="shared" si="176"/>
        <v>1</v>
      </c>
      <c r="C1039" s="64">
        <v>42374</v>
      </c>
      <c r="D1039" s="64" t="s">
        <v>875</v>
      </c>
      <c r="E1039" s="64">
        <v>42374</v>
      </c>
      <c r="F1039" s="67" t="s">
        <v>776</v>
      </c>
      <c r="G1039" s="67" t="s">
        <v>812</v>
      </c>
      <c r="H1039" s="344" t="s">
        <v>807</v>
      </c>
      <c r="I1039" s="441"/>
      <c r="J1039" s="441"/>
      <c r="K1039" s="432"/>
      <c r="L1039" s="441"/>
      <c r="M1039" s="65">
        <v>1689000</v>
      </c>
      <c r="N1039" s="66" t="s">
        <v>9</v>
      </c>
      <c r="O1039" s="66" t="s">
        <v>63</v>
      </c>
      <c r="P1039" s="82" t="str">
        <f>IF(AND('331-CT'!$E$7=TH!H1039,OR(N1039="331",O1039="331")),"x","")</f>
        <v/>
      </c>
      <c r="Q1039" s="82" t="str">
        <f>IF(AND(B1039='111'!$L$11,OR($N1039=$Q$7,$O1039=$Q$7)),"x","")</f>
        <v/>
      </c>
      <c r="R1039" s="82" t="str">
        <f>IF(AND($N1039=$Q$7,$B1039&lt;'111'!$L$11),"x","")</f>
        <v/>
      </c>
      <c r="S1039" s="82" t="str">
        <f>IF(AND($O1039=$Q$7,$B1039&lt;'111'!$L$11),"x","")</f>
        <v>x</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x</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row>
    <row r="1040" spans="1:31" s="339" customFormat="1" ht="15.75" customHeight="1">
      <c r="A1040" s="334" t="str">
        <f>IF(B1040&lt;&gt;"",IF(AND(B1040='IN-TC'!$S$4,OR(TH!N1040="1111",TH!O1040="1111")),TH!D1040,""),"")</f>
        <v/>
      </c>
      <c r="B1040" s="63">
        <f t="shared" si="176"/>
        <v>1</v>
      </c>
      <c r="C1040" s="64">
        <v>42374</v>
      </c>
      <c r="D1040" s="64" t="s">
        <v>876</v>
      </c>
      <c r="E1040" s="64">
        <v>42350</v>
      </c>
      <c r="F1040" s="67" t="s">
        <v>766</v>
      </c>
      <c r="G1040" s="67" t="s">
        <v>813</v>
      </c>
      <c r="H1040" s="72" t="s">
        <v>803</v>
      </c>
      <c r="I1040" s="437"/>
      <c r="J1040" s="437"/>
      <c r="K1040" s="428"/>
      <c r="L1040" s="437"/>
      <c r="M1040" s="65">
        <v>12000000</v>
      </c>
      <c r="N1040" s="66" t="s">
        <v>101</v>
      </c>
      <c r="O1040" s="66" t="s">
        <v>63</v>
      </c>
      <c r="P1040" s="82" t="str">
        <f>IF(AND('331-CT'!$E$7=TH!H1040,OR(N1040="331",O1040="331")),"x","")</f>
        <v/>
      </c>
      <c r="Q1040" s="82" t="str">
        <f>IF(AND(B1040='111'!$L$11,OR($N1040=$Q$7,$O1040=$Q$7)),"x","")</f>
        <v/>
      </c>
      <c r="R1040" s="82" t="str">
        <f>IF(AND($N1040=$Q$7,$B1040&lt;'111'!$L$11),"x","")</f>
        <v/>
      </c>
      <c r="S1040" s="82" t="str">
        <f>IF(AND($O1040=$Q$7,$B1040&lt;'111'!$L$11),"x","")</f>
        <v>x</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row>
    <row r="1041" spans="1:31" ht="15.75" customHeight="1">
      <c r="A1041" s="334" t="str">
        <f>IF(B1041&lt;&gt;"",IF(AND(B1041='IN-TC'!$S$4,OR(TH!N1041="1111",TH!O1041="1111")),TH!D1041,""),"")</f>
        <v/>
      </c>
      <c r="B1041" s="63">
        <f t="shared" si="176"/>
        <v>1</v>
      </c>
      <c r="C1041" s="64">
        <v>42374</v>
      </c>
      <c r="D1041" s="64" t="s">
        <v>876</v>
      </c>
      <c r="E1041" s="64">
        <v>42350</v>
      </c>
      <c r="F1041" s="67" t="s">
        <v>767</v>
      </c>
      <c r="G1041" s="67" t="s">
        <v>813</v>
      </c>
      <c r="H1041" s="72" t="s">
        <v>803</v>
      </c>
      <c r="I1041" s="437"/>
      <c r="J1041" s="437"/>
      <c r="K1041" s="428"/>
      <c r="L1041" s="437"/>
      <c r="M1041" s="65">
        <v>1200000</v>
      </c>
      <c r="N1041" s="66" t="s">
        <v>9</v>
      </c>
      <c r="O1041" s="66" t="s">
        <v>63</v>
      </c>
      <c r="P1041" s="82" t="str">
        <f>IF(AND('331-CT'!$E$7=TH!H1041,OR(N1041="331",O1041="331")),"x","")</f>
        <v/>
      </c>
      <c r="Q1041" s="82" t="str">
        <f>IF(AND(B1041='111'!$L$11,OR($N1041=$Q$7,$O1041=$Q$7)),"x","")</f>
        <v/>
      </c>
      <c r="R1041" s="82" t="str">
        <f>IF(AND($N1041=$Q$7,$B1041&lt;'111'!$L$11),"x","")</f>
        <v/>
      </c>
      <c r="S1041" s="82" t="str">
        <f>IF(AND($O1041=$Q$7,$B1041&lt;'111'!$L$11),"x","")</f>
        <v>x</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x</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
      </c>
    </row>
    <row r="1042" spans="1:31" s="339" customFormat="1" ht="15.75" customHeight="1">
      <c r="A1042" s="334" t="str">
        <f>IF(B1042&lt;&gt;"",IF(AND(B1042='IN-TC'!$S$4,OR(TH!N1042="1111",TH!O1042="1111")),TH!D1042,""),"")</f>
        <v/>
      </c>
      <c r="B1042" s="63">
        <f t="shared" si="176"/>
        <v>1</v>
      </c>
      <c r="C1042" s="64">
        <v>42374</v>
      </c>
      <c r="D1042" s="64" t="s">
        <v>877</v>
      </c>
      <c r="E1042" s="64">
        <v>42374</v>
      </c>
      <c r="F1042" s="67" t="s">
        <v>773</v>
      </c>
      <c r="G1042" s="67" t="s">
        <v>814</v>
      </c>
      <c r="H1042" s="72" t="s">
        <v>805</v>
      </c>
      <c r="I1042" s="437"/>
      <c r="J1042" s="437"/>
      <c r="K1042" s="428"/>
      <c r="L1042" s="437"/>
      <c r="M1042" s="65">
        <v>676700</v>
      </c>
      <c r="N1042" s="66" t="s">
        <v>101</v>
      </c>
      <c r="O1042" s="66" t="s">
        <v>63</v>
      </c>
      <c r="P1042" s="82" t="str">
        <f>IF(AND('331-CT'!$E$7=TH!H1042,OR(N1042="331",O1042="331")),"x","")</f>
        <v/>
      </c>
      <c r="Q1042" s="82" t="str">
        <f>IF(AND(B1042='111'!$L$11,OR($N1042=$Q$7,$O1042=$Q$7)),"x","")</f>
        <v/>
      </c>
      <c r="R1042" s="82" t="str">
        <f>IF(AND($N1042=$Q$7,$B1042&lt;'111'!$L$11),"x","")</f>
        <v/>
      </c>
      <c r="S1042" s="82" t="str">
        <f>IF(AND($O1042=$Q$7,$B1042&lt;'111'!$L$11),"x","")</f>
        <v>x</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row>
    <row r="1043" spans="1:31" s="339" customFormat="1" ht="15.75" customHeight="1">
      <c r="A1043" s="334" t="str">
        <f>IF(B1043&lt;&gt;"",IF(AND(B1043='IN-TC'!$S$4,OR(TH!N1043="1111",TH!O1043="1111")),TH!D1043,""),"")</f>
        <v/>
      </c>
      <c r="B1043" s="63">
        <f t="shared" si="176"/>
        <v>1</v>
      </c>
      <c r="C1043" s="64">
        <v>42374</v>
      </c>
      <c r="D1043" s="64" t="s">
        <v>877</v>
      </c>
      <c r="E1043" s="64">
        <v>42374</v>
      </c>
      <c r="F1043" s="67" t="s">
        <v>774</v>
      </c>
      <c r="G1043" s="67" t="s">
        <v>814</v>
      </c>
      <c r="H1043" s="72" t="s">
        <v>805</v>
      </c>
      <c r="I1043" s="437"/>
      <c r="J1043" s="437"/>
      <c r="K1043" s="428"/>
      <c r="L1043" s="437"/>
      <c r="M1043" s="65">
        <v>67670</v>
      </c>
      <c r="N1043" s="66" t="s">
        <v>9</v>
      </c>
      <c r="O1043" s="66" t="s">
        <v>63</v>
      </c>
      <c r="P1043" s="82" t="str">
        <f>IF(AND('331-CT'!$E$7=TH!H1043,OR(N1043="331",O1043="331")),"x","")</f>
        <v/>
      </c>
      <c r="Q1043" s="82" t="str">
        <f>IF(AND(B1043='111'!$L$11,OR($N1043=$Q$7,$O1043=$Q$7)),"x","")</f>
        <v/>
      </c>
      <c r="R1043" s="82" t="str">
        <f>IF(AND($N1043=$Q$7,$B1043&lt;'111'!$L$11),"x","")</f>
        <v/>
      </c>
      <c r="S1043" s="82" t="str">
        <f>IF(AND($O1043=$Q$7,$B1043&lt;'111'!$L$11),"x","")</f>
        <v>x</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x</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row>
    <row r="1044" spans="1:31" s="339" customFormat="1" ht="15.75" customHeight="1">
      <c r="A1044" s="334" t="str">
        <f>IF(B1044&lt;&gt;"",IF(AND(B1044='IN-TC'!$S$4,OR(TH!N1044="1111",TH!O1044="1111")),TH!D1044,""),"")</f>
        <v/>
      </c>
      <c r="B1044" s="63">
        <f t="shared" si="176"/>
        <v>1</v>
      </c>
      <c r="C1044" s="64">
        <v>42374</v>
      </c>
      <c r="D1044" s="64" t="s">
        <v>878</v>
      </c>
      <c r="E1044" s="64">
        <v>42374</v>
      </c>
      <c r="F1044" s="67" t="s">
        <v>777</v>
      </c>
      <c r="G1044" s="67" t="s">
        <v>667</v>
      </c>
      <c r="H1044" s="72" t="s">
        <v>672</v>
      </c>
      <c r="I1044" s="437"/>
      <c r="J1044" s="437"/>
      <c r="K1044" s="428"/>
      <c r="L1044" s="437"/>
      <c r="M1044" s="65">
        <v>14250000</v>
      </c>
      <c r="N1044" s="66" t="s">
        <v>8</v>
      </c>
      <c r="O1044" s="66" t="s">
        <v>63</v>
      </c>
      <c r="P1044" s="82" t="str">
        <f>IF(AND('331-CT'!$E$7=TH!H1044,OR(N1044="331",O1044="331")),"x","")</f>
        <v/>
      </c>
      <c r="Q1044" s="82" t="str">
        <f>IF(AND(B1044='111'!$L$11,OR($N1044=$Q$7,$O1044=$Q$7)),"x","")</f>
        <v/>
      </c>
      <c r="R1044" s="82" t="str">
        <f>IF(AND($N1044=$Q$7,$B1044&lt;'111'!$L$11),"x","")</f>
        <v/>
      </c>
      <c r="S1044" s="82" t="str">
        <f>IF(AND($O1044=$Q$7,$B1044&lt;'111'!$L$11),"x","")</f>
        <v>x</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s="1136" t="str">
        <f>IF(H1044&lt;&gt;VLOOKUP(H1044,DSKH,1,0),"","x")</f>
        <v>x</v>
      </c>
    </row>
    <row r="1045" spans="1:31" s="341" customFormat="1" ht="15.75" customHeight="1">
      <c r="A1045" s="334" t="str">
        <f>IF(B1045&lt;&gt;"",IF(AND(B1045='IN-TC'!$S$4,OR(TH!N1045="1111",TH!O1045="1111")),TH!D1045,""),"")</f>
        <v/>
      </c>
      <c r="B1045" s="63">
        <f t="shared" si="176"/>
        <v>1</v>
      </c>
      <c r="C1045" s="64">
        <v>42375</v>
      </c>
      <c r="D1045" s="64" t="s">
        <v>702</v>
      </c>
      <c r="E1045" s="64">
        <v>42375</v>
      </c>
      <c r="F1045" s="91" t="s">
        <v>1042</v>
      </c>
      <c r="G1045" s="67" t="s">
        <v>915</v>
      </c>
      <c r="H1045" s="72" t="s">
        <v>709</v>
      </c>
      <c r="I1045" s="437"/>
      <c r="J1045" s="437"/>
      <c r="K1045" s="428">
        <v>53.92</v>
      </c>
      <c r="L1045" s="437">
        <v>22240</v>
      </c>
      <c r="M1045" s="81">
        <f>ROUND(K1045*L1045,0)</f>
        <v>1199181</v>
      </c>
      <c r="N1045" s="66" t="s">
        <v>99</v>
      </c>
      <c r="O1045" s="66" t="s">
        <v>266</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row>
    <row r="1046" spans="1:31" s="339" customFormat="1" ht="15.75" customHeight="1">
      <c r="A1046" s="334" t="str">
        <f>IF(B1046&lt;&gt;"",IF(AND(B1046='IN-TC'!$S$4,OR(TH!N1046="1111",TH!O1046="1111")),TH!D1046,""),"")</f>
        <v/>
      </c>
      <c r="B1046" s="63">
        <f t="shared" si="176"/>
        <v>1</v>
      </c>
      <c r="C1046" s="64">
        <v>42375</v>
      </c>
      <c r="D1046" s="64" t="s">
        <v>702</v>
      </c>
      <c r="E1046" s="64">
        <v>42375</v>
      </c>
      <c r="F1046" s="67" t="s">
        <v>1043</v>
      </c>
      <c r="G1046" s="67" t="s">
        <v>915</v>
      </c>
      <c r="H1046" s="72" t="s">
        <v>710</v>
      </c>
      <c r="I1046" s="437"/>
      <c r="J1046" s="437"/>
      <c r="K1046" s="428">
        <v>129.11000000000001</v>
      </c>
      <c r="L1046" s="437">
        <v>22240</v>
      </c>
      <c r="M1046" s="81">
        <f>ROUND(K1046*L1046,0)</f>
        <v>2871406</v>
      </c>
      <c r="N1046" s="66" t="s">
        <v>99</v>
      </c>
      <c r="O1046" s="66" t="s">
        <v>266</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row>
    <row r="1047" spans="1:31" s="339" customFormat="1" ht="15.75" customHeight="1">
      <c r="A1047" s="334" t="str">
        <f>IF(B1047&lt;&gt;"",IF(AND(B1047='IN-TC'!$S$4,OR(TH!N1047="1111",TH!O1047="1111")),TH!D1047,""),"")</f>
        <v/>
      </c>
      <c r="B1047" s="63">
        <f t="shared" si="176"/>
        <v>1</v>
      </c>
      <c r="C1047" s="64">
        <v>42375</v>
      </c>
      <c r="D1047" s="64" t="s">
        <v>702</v>
      </c>
      <c r="E1047" s="64">
        <v>42375</v>
      </c>
      <c r="F1047" s="67" t="s">
        <v>1044</v>
      </c>
      <c r="G1047" s="67" t="s">
        <v>915</v>
      </c>
      <c r="H1047" s="73" t="s">
        <v>711</v>
      </c>
      <c r="I1047" s="440"/>
      <c r="J1047" s="440"/>
      <c r="K1047" s="431">
        <v>79.5</v>
      </c>
      <c r="L1047" s="440">
        <v>22240</v>
      </c>
      <c r="M1047" s="81">
        <f>ROUND(K1047*L1047,0)</f>
        <v>1768080</v>
      </c>
      <c r="N1047" s="66" t="s">
        <v>99</v>
      </c>
      <c r="O1047" s="66" t="s">
        <v>266</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row>
    <row r="1048" spans="1:31" s="339" customFormat="1" ht="15.75" customHeight="1">
      <c r="A1048" s="334" t="str">
        <f>IF(B1048&lt;&gt;"",IF(AND(B1048='IN-TC'!$S$4,OR(TH!N1048="1111",TH!O1048="1111")),TH!D1048,""),"")</f>
        <v/>
      </c>
      <c r="B1048" s="63">
        <f t="shared" si="176"/>
        <v>1</v>
      </c>
      <c r="C1048" s="64">
        <v>42375</v>
      </c>
      <c r="D1048" s="64" t="s">
        <v>702</v>
      </c>
      <c r="E1048" s="64">
        <v>42375</v>
      </c>
      <c r="F1048" s="67" t="s">
        <v>1045</v>
      </c>
      <c r="G1048" s="67" t="s">
        <v>915</v>
      </c>
      <c r="H1048" s="72" t="s">
        <v>712</v>
      </c>
      <c r="I1048" s="437"/>
      <c r="J1048" s="437"/>
      <c r="K1048" s="428">
        <v>111.29</v>
      </c>
      <c r="L1048" s="437">
        <v>22240</v>
      </c>
      <c r="M1048" s="81">
        <f>ROUND(K1048*L1048,0)</f>
        <v>2475090</v>
      </c>
      <c r="N1048" s="66" t="s">
        <v>99</v>
      </c>
      <c r="O1048" s="66" t="s">
        <v>266</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1" s="339" customFormat="1" ht="15.75" customHeight="1">
      <c r="A1049" s="334" t="str">
        <f>IF(B1049&lt;&gt;"",IF(AND(B1049='IN-TC'!$S$4,OR(TH!N1049="1111",TH!O1049="1111")),TH!D1049,""),"")</f>
        <v/>
      </c>
      <c r="B1049" s="63">
        <f t="shared" si="176"/>
        <v>1</v>
      </c>
      <c r="C1049" s="64">
        <v>42376</v>
      </c>
      <c r="D1049" s="64" t="s">
        <v>879</v>
      </c>
      <c r="E1049" s="64">
        <v>42376</v>
      </c>
      <c r="F1049" s="67" t="s">
        <v>734</v>
      </c>
      <c r="G1049" s="67" t="s">
        <v>915</v>
      </c>
      <c r="H1049" s="72" t="s">
        <v>761</v>
      </c>
      <c r="I1049" s="437"/>
      <c r="J1049" s="437"/>
      <c r="K1049" s="428"/>
      <c r="L1049" s="437"/>
      <c r="M1049" s="65">
        <v>50000000</v>
      </c>
      <c r="N1049" s="66" t="s">
        <v>26</v>
      </c>
      <c r="O1049" s="66" t="s">
        <v>63</v>
      </c>
      <c r="P1049" s="82" t="str">
        <f>IF(AND('331-CT'!$E$7=TH!H1049,OR(N1049="331",O1049="331")),"x","")</f>
        <v/>
      </c>
      <c r="Q1049" s="82" t="str">
        <f>IF(AND(B1049='111'!$L$11,OR($N1049=$Q$7,$O1049=$Q$7)),"x","")</f>
        <v/>
      </c>
      <c r="R1049" s="82" t="str">
        <f>IF(AND($N1049=$Q$7,$B1049&lt;'111'!$L$11),"x","")</f>
        <v/>
      </c>
      <c r="S1049" s="82" t="str">
        <f>IF(AND($O1049=$Q$7,$B1049&lt;'111'!$L$11),"x","")</f>
        <v>x</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s="339" customFormat="1" ht="15.75" customHeight="1">
      <c r="A1050" s="334" t="str">
        <f>IF(B1050&lt;&gt;"",IF(AND(B1050='IN-TC'!$S$4,OR(TH!N1050="1111",TH!O1050="1111")),TH!D1050,""),"")</f>
        <v/>
      </c>
      <c r="B1050" s="63">
        <f t="shared" si="176"/>
        <v>1</v>
      </c>
      <c r="C1050" s="64">
        <v>42376</v>
      </c>
      <c r="D1050" s="64" t="s">
        <v>702</v>
      </c>
      <c r="E1050" s="64">
        <v>42376</v>
      </c>
      <c r="F1050" s="67" t="s">
        <v>1088</v>
      </c>
      <c r="G1050" s="67" t="s">
        <v>915</v>
      </c>
      <c r="H1050" s="67" t="s">
        <v>623</v>
      </c>
      <c r="I1050" s="437"/>
      <c r="J1050" s="437"/>
      <c r="K1050" s="428"/>
      <c r="L1050" s="437"/>
      <c r="M1050" s="65">
        <v>38506000</v>
      </c>
      <c r="N1050" s="66" t="s">
        <v>8</v>
      </c>
      <c r="O1050" s="66" t="s">
        <v>26</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s="1136" t="str">
        <f>IF(H1050&lt;&gt;VLOOKUP(H1050,DSKH,1,0),"","x")</f>
        <v>x</v>
      </c>
    </row>
    <row r="1051" spans="1:31" s="339" customFormat="1" ht="15.75" customHeight="1">
      <c r="A1051" s="334" t="str">
        <f>IF(B1051&lt;&gt;"",IF(AND(B1051='IN-TC'!$S$4,OR(TH!N1051="1111",TH!O1051="1111")),TH!D1051,""),"")</f>
        <v/>
      </c>
      <c r="B1051" s="63">
        <f t="shared" si="176"/>
        <v>1</v>
      </c>
      <c r="C1051" s="64">
        <v>42376</v>
      </c>
      <c r="D1051" s="64" t="s">
        <v>702</v>
      </c>
      <c r="E1051" s="64">
        <v>42376</v>
      </c>
      <c r="F1051" s="67" t="s">
        <v>740</v>
      </c>
      <c r="G1051" s="67" t="s">
        <v>915</v>
      </c>
      <c r="H1051" s="67"/>
      <c r="I1051" s="437"/>
      <c r="J1051" s="437"/>
      <c r="K1051" s="428"/>
      <c r="L1051" s="437"/>
      <c r="M1051" s="65">
        <v>44000</v>
      </c>
      <c r="N1051" s="66" t="s">
        <v>101</v>
      </c>
      <c r="O1051" s="66" t="s">
        <v>26</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row>
    <row r="1052" spans="1:31" s="339" customFormat="1" ht="15.75" customHeight="1">
      <c r="A1052" s="334" t="str">
        <f>IF(B1052&lt;&gt;"",IF(AND(B1052='IN-TC'!$S$4,OR(TH!N1052="1111",TH!O1052="1111")),TH!D1052,""),"")</f>
        <v/>
      </c>
      <c r="B1052" s="63">
        <f t="shared" si="176"/>
        <v>1</v>
      </c>
      <c r="C1052" s="64">
        <v>42376</v>
      </c>
      <c r="D1052" s="64" t="s">
        <v>880</v>
      </c>
      <c r="E1052" s="64">
        <v>42376</v>
      </c>
      <c r="F1052" s="67" t="s">
        <v>778</v>
      </c>
      <c r="G1052" s="972" t="s">
        <v>815</v>
      </c>
      <c r="H1052" s="72" t="s">
        <v>816</v>
      </c>
      <c r="I1052" s="437"/>
      <c r="J1052" s="437"/>
      <c r="K1052" s="428"/>
      <c r="L1052" s="437"/>
      <c r="M1052" s="65">
        <v>1341060</v>
      </c>
      <c r="N1052" s="83" t="s">
        <v>101</v>
      </c>
      <c r="O1052" s="66" t="s">
        <v>63</v>
      </c>
      <c r="P1052" s="82" t="str">
        <f>IF(AND('331-CT'!$E$7=TH!H1052,OR(N1052="331",O1052="331")),"x","")</f>
        <v/>
      </c>
      <c r="Q1052" s="82" t="str">
        <f>IF(AND(B1052='111'!$L$11,OR($N1052=$Q$7,$O1052=$Q$7)),"x","")</f>
        <v/>
      </c>
      <c r="R1052" s="82" t="str">
        <f>IF(AND($N1052=$Q$7,$B1052&lt;'111'!$L$11),"x","")</f>
        <v/>
      </c>
      <c r="S1052" s="82" t="str">
        <f>IF(AND($O1052=$Q$7,$B1052&lt;'111'!$L$11),"x","")</f>
        <v>x</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row>
    <row r="1053" spans="1:31" s="339" customFormat="1" ht="15.75" customHeight="1">
      <c r="A1053" s="334" t="str">
        <f>IF(B1053&lt;&gt;"",IF(AND(B1053='IN-TC'!$S$4,OR(TH!N1053="1111",TH!O1053="1111")),TH!D1053,""),"")</f>
        <v/>
      </c>
      <c r="B1053" s="63">
        <f t="shared" si="176"/>
        <v>1</v>
      </c>
      <c r="C1053" s="64">
        <v>42376</v>
      </c>
      <c r="D1053" s="64" t="s">
        <v>880</v>
      </c>
      <c r="E1053" s="64">
        <v>42376</v>
      </c>
      <c r="F1053" s="67" t="s">
        <v>779</v>
      </c>
      <c r="G1053" s="972" t="s">
        <v>815</v>
      </c>
      <c r="H1053" s="72" t="s">
        <v>816</v>
      </c>
      <c r="I1053" s="437"/>
      <c r="J1053" s="437"/>
      <c r="K1053" s="428"/>
      <c r="L1053" s="437"/>
      <c r="M1053" s="65">
        <v>134106</v>
      </c>
      <c r="N1053" s="83" t="s">
        <v>9</v>
      </c>
      <c r="O1053" s="66" t="s">
        <v>63</v>
      </c>
      <c r="P1053" s="82" t="str">
        <f>IF(AND('331-CT'!$E$7=TH!H1053,OR(N1053="331",O1053="331")),"x","")</f>
        <v/>
      </c>
      <c r="Q1053" s="82" t="str">
        <f>IF(AND(B1053='111'!$L$11,OR($N1053=$Q$7,$O1053=$Q$7)),"x","")</f>
        <v/>
      </c>
      <c r="R1053" s="82" t="str">
        <f>IF(AND($N1053=$Q$7,$B1053&lt;'111'!$L$11),"x","")</f>
        <v/>
      </c>
      <c r="S1053" s="82" t="str">
        <f>IF(AND($O1053=$Q$7,$B1053&lt;'111'!$L$11),"x","")</f>
        <v>x</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x</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row>
    <row r="1054" spans="1:31" s="339" customFormat="1" ht="15.75" customHeight="1">
      <c r="A1054" s="334" t="str">
        <f>IF(B1054&lt;&gt;"",IF(AND(B1054='IN-TC'!$S$4,OR(TH!N1054="1111",TH!O1054="1111")),TH!D1054,""),"")</f>
        <v/>
      </c>
      <c r="B1054" s="63">
        <f t="shared" si="176"/>
        <v>1</v>
      </c>
      <c r="C1054" s="64">
        <v>42377</v>
      </c>
      <c r="D1054" s="64" t="s">
        <v>699</v>
      </c>
      <c r="E1054" s="64">
        <v>42377</v>
      </c>
      <c r="F1054" s="67" t="s">
        <v>706</v>
      </c>
      <c r="G1054" s="67" t="s">
        <v>914</v>
      </c>
      <c r="H1054" s="342" t="s">
        <v>596</v>
      </c>
      <c r="I1054" s="437"/>
      <c r="J1054" s="437"/>
      <c r="K1054" s="428">
        <v>4819.12</v>
      </c>
      <c r="L1054" s="437">
        <v>22490</v>
      </c>
      <c r="M1054" s="81">
        <f>ROUND(K1054*L1054,0)</f>
        <v>108382009</v>
      </c>
      <c r="N1054" s="66" t="s">
        <v>266</v>
      </c>
      <c r="O1054" s="66" t="s">
        <v>585</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row>
    <row r="1055" spans="1:31" ht="15.75" customHeight="1">
      <c r="A1055" s="334" t="str">
        <f>IF(B1055&lt;&gt;"",IF(AND(B1055='IN-TC'!$S$4,OR(TH!N1055="1111",TH!O1055="1111")),TH!D1055,""),"")</f>
        <v/>
      </c>
      <c r="B1055" s="63">
        <f t="shared" si="176"/>
        <v>1</v>
      </c>
      <c r="C1055" s="64">
        <v>42377</v>
      </c>
      <c r="D1055" s="64" t="s">
        <v>579</v>
      </c>
      <c r="E1055" s="64">
        <v>42377</v>
      </c>
      <c r="F1055" s="67" t="s">
        <v>1067</v>
      </c>
      <c r="G1055" s="67" t="s">
        <v>914</v>
      </c>
      <c r="H1055" s="342" t="s">
        <v>596</v>
      </c>
      <c r="I1055" s="437"/>
      <c r="J1055" s="437"/>
      <c r="K1055" s="428">
        <v>169.88</v>
      </c>
      <c r="L1055" s="437">
        <v>22490</v>
      </c>
      <c r="M1055" s="65">
        <f>ROUND(K1055*L1055,0)</f>
        <v>3820601</v>
      </c>
      <c r="N1055" s="66" t="s">
        <v>101</v>
      </c>
      <c r="O1055" s="66" t="s">
        <v>585</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row>
    <row r="1056" spans="1:31" ht="15.75" customHeight="1">
      <c r="A1056" s="334" t="str">
        <f>IF(B1056&lt;&gt;"",IF(AND(B1056='IN-TC'!$S$4,OR(TH!N1056="1111",TH!O1056="1111")),TH!D1056,""),"")</f>
        <v/>
      </c>
      <c r="B1056" s="63">
        <f t="shared" si="176"/>
        <v>1</v>
      </c>
      <c r="C1056" s="64">
        <v>42377</v>
      </c>
      <c r="D1056" s="64" t="s">
        <v>579</v>
      </c>
      <c r="E1056" s="64">
        <v>42377</v>
      </c>
      <c r="F1056" s="67" t="s">
        <v>1068</v>
      </c>
      <c r="G1056" s="67" t="s">
        <v>914</v>
      </c>
      <c r="H1056" s="342" t="s">
        <v>596</v>
      </c>
      <c r="I1056" s="437"/>
      <c r="J1056" s="437"/>
      <c r="K1056" s="428">
        <v>230.64</v>
      </c>
      <c r="L1056" s="437">
        <v>22490</v>
      </c>
      <c r="M1056" s="65">
        <f>ROUND(K1056*L1056,0)</f>
        <v>5187094</v>
      </c>
      <c r="N1056" s="66" t="s">
        <v>101</v>
      </c>
      <c r="O1056" s="66" t="s">
        <v>585</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row>
    <row r="1057" spans="1:30" ht="15.75" customHeight="1">
      <c r="A1057" s="334" t="str">
        <f>IF(B1057&lt;&gt;"",IF(AND(B1057='IN-TC'!$S$4,OR(TH!N1057="1111",TH!O1057="1111")),TH!D1057,""),"")</f>
        <v/>
      </c>
      <c r="B1057" s="63">
        <f t="shared" si="176"/>
        <v>1</v>
      </c>
      <c r="C1057" s="64">
        <v>42377</v>
      </c>
      <c r="D1057" s="64" t="s">
        <v>579</v>
      </c>
      <c r="E1057" s="64">
        <v>42377</v>
      </c>
      <c r="F1057" s="67" t="s">
        <v>1062</v>
      </c>
      <c r="G1057" s="67" t="s">
        <v>914</v>
      </c>
      <c r="H1057" s="342" t="s">
        <v>596</v>
      </c>
      <c r="I1057" s="437"/>
      <c r="J1057" s="437"/>
      <c r="K1057" s="428"/>
      <c r="L1057" s="437"/>
      <c r="M1057" s="65">
        <v>5712130</v>
      </c>
      <c r="N1057" s="66" t="s">
        <v>99</v>
      </c>
      <c r="O1057" s="66" t="s">
        <v>585</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row>
    <row r="1058" spans="1:30" s="339" customFormat="1" ht="15.75" customHeight="1">
      <c r="A1058" s="334" t="str">
        <f>IF(B1058&lt;&gt;"",IF(AND(B1058='IN-TC'!$S$4,OR(TH!N1058="1111",TH!O1058="1111")),TH!D1058,""),"")</f>
        <v/>
      </c>
      <c r="B1058" s="63">
        <f t="shared" si="176"/>
        <v>1</v>
      </c>
      <c r="C1058" s="78">
        <v>42377</v>
      </c>
      <c r="D1058" s="64" t="s">
        <v>702</v>
      </c>
      <c r="E1058" s="78">
        <v>42377</v>
      </c>
      <c r="F1058" s="72" t="s">
        <v>1060</v>
      </c>
      <c r="G1058" s="67" t="s">
        <v>914</v>
      </c>
      <c r="H1058" s="80"/>
      <c r="I1058" s="435"/>
      <c r="J1058" s="435"/>
      <c r="K1058" s="426">
        <v>76.069999999999993</v>
      </c>
      <c r="L1058" s="435">
        <v>22490</v>
      </c>
      <c r="M1058" s="81">
        <f>ROUND(K1058*L1058,0)</f>
        <v>1710814</v>
      </c>
      <c r="N1058" s="66" t="s">
        <v>99</v>
      </c>
      <c r="O1058" s="66" t="s">
        <v>266</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row>
    <row r="1059" spans="1:30" s="339" customFormat="1" ht="15.75" customHeight="1">
      <c r="A1059" s="334" t="str">
        <f>IF(B1059&lt;&gt;"",IF(AND(B1059='IN-TC'!$S$4,OR(TH!N1059="1111",TH!O1059="1111")),TH!D1059,""),"")</f>
        <v/>
      </c>
      <c r="B1059" s="63">
        <f t="shared" si="176"/>
        <v>1</v>
      </c>
      <c r="C1059" s="64">
        <v>42377</v>
      </c>
      <c r="D1059" s="64" t="s">
        <v>881</v>
      </c>
      <c r="E1059" s="64">
        <v>42377</v>
      </c>
      <c r="F1059" s="67" t="s">
        <v>780</v>
      </c>
      <c r="G1059" s="67" t="s">
        <v>817</v>
      </c>
      <c r="H1059" s="344" t="s">
        <v>818</v>
      </c>
      <c r="I1059" s="441"/>
      <c r="J1059" s="441"/>
      <c r="K1059" s="432"/>
      <c r="L1059" s="441"/>
      <c r="M1059" s="65">
        <v>5363636</v>
      </c>
      <c r="N1059" s="66" t="s">
        <v>101</v>
      </c>
      <c r="O1059" s="66" t="s">
        <v>63</v>
      </c>
      <c r="P1059" s="82" t="str">
        <f>IF(AND('331-CT'!$E$7=TH!H1059,OR(N1059="331",O1059="331")),"x","")</f>
        <v/>
      </c>
      <c r="Q1059" s="82" t="str">
        <f>IF(AND(B1059='111'!$L$11,OR($N1059=$Q$7,$O1059=$Q$7)),"x","")</f>
        <v/>
      </c>
      <c r="R1059" s="82" t="str">
        <f>IF(AND($N1059=$Q$7,$B1059&lt;'111'!$L$11),"x","")</f>
        <v/>
      </c>
      <c r="S1059" s="82" t="str">
        <f>IF(AND($O1059=$Q$7,$B1059&lt;'111'!$L$11),"x","")</f>
        <v>x</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row>
    <row r="1060" spans="1:30" s="339" customFormat="1" ht="15.75" customHeight="1">
      <c r="A1060" s="334" t="str">
        <f>IF(B1060&lt;&gt;"",IF(AND(B1060='IN-TC'!$S$4,OR(TH!N1060="1111",TH!O1060="1111")),TH!D1060,""),"")</f>
        <v/>
      </c>
      <c r="B1060" s="63">
        <f t="shared" si="176"/>
        <v>1</v>
      </c>
      <c r="C1060" s="64">
        <v>42377</v>
      </c>
      <c r="D1060" s="64" t="s">
        <v>881</v>
      </c>
      <c r="E1060" s="64">
        <v>42377</v>
      </c>
      <c r="F1060" s="67" t="s">
        <v>781</v>
      </c>
      <c r="G1060" s="67" t="s">
        <v>817</v>
      </c>
      <c r="H1060" s="72" t="s">
        <v>818</v>
      </c>
      <c r="I1060" s="437"/>
      <c r="J1060" s="437"/>
      <c r="K1060" s="428"/>
      <c r="L1060" s="437"/>
      <c r="M1060" s="65">
        <v>536364</v>
      </c>
      <c r="N1060" s="66" t="s">
        <v>9</v>
      </c>
      <c r="O1060" s="66" t="s">
        <v>63</v>
      </c>
      <c r="P1060" s="82" t="str">
        <f>IF(AND('331-CT'!$E$7=TH!H1060,OR(N1060="331",O1060="331")),"x","")</f>
        <v/>
      </c>
      <c r="Q1060" s="82" t="str">
        <f>IF(AND(B1060='111'!$L$11,OR($N1060=$Q$7,$O1060=$Q$7)),"x","")</f>
        <v/>
      </c>
      <c r="R1060" s="82" t="str">
        <f>IF(AND($N1060=$Q$7,$B1060&lt;'111'!$L$11),"x","")</f>
        <v/>
      </c>
      <c r="S1060" s="82" t="str">
        <f>IF(AND($O1060=$Q$7,$B1060&lt;'111'!$L$11),"x","")</f>
        <v>x</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x</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0" s="339" customFormat="1" ht="15.75" customHeight="1">
      <c r="A1061" s="334" t="str">
        <f>IF(B1061&lt;&gt;"",IF(AND(B1061='IN-TC'!$S$4,OR(TH!N1061="1111",TH!O1061="1111")),TH!D1061,""),"")</f>
        <v/>
      </c>
      <c r="B1061" s="63">
        <f t="shared" si="176"/>
        <v>1</v>
      </c>
      <c r="C1061" s="64">
        <v>42377</v>
      </c>
      <c r="D1061" s="64" t="s">
        <v>882</v>
      </c>
      <c r="E1061" s="64">
        <v>42377</v>
      </c>
      <c r="F1061" s="67" t="s">
        <v>782</v>
      </c>
      <c r="G1061" s="67" t="s">
        <v>819</v>
      </c>
      <c r="H1061" s="72" t="s">
        <v>805</v>
      </c>
      <c r="I1061" s="437"/>
      <c r="J1061" s="437"/>
      <c r="K1061" s="428"/>
      <c r="L1061" s="437"/>
      <c r="M1061" s="65">
        <v>851709</v>
      </c>
      <c r="N1061" s="66" t="s">
        <v>101</v>
      </c>
      <c r="O1061" s="66" t="s">
        <v>63</v>
      </c>
      <c r="P1061" s="82" t="str">
        <f>IF(AND('331-CT'!$E$7=TH!H1061,OR(N1061="331",O1061="331")),"x","")</f>
        <v/>
      </c>
      <c r="Q1061" s="82" t="str">
        <f>IF(AND(B1061='111'!$L$11,OR($N1061=$Q$7,$O1061=$Q$7)),"x","")</f>
        <v/>
      </c>
      <c r="R1061" s="82" t="str">
        <f>IF(AND($N1061=$Q$7,$B1061&lt;'111'!$L$11),"x","")</f>
        <v/>
      </c>
      <c r="S1061" s="82" t="str">
        <f>IF(AND($O1061=$Q$7,$B1061&lt;'111'!$L$11),"x","")</f>
        <v>x</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row>
    <row r="1062" spans="1:30" s="339" customFormat="1" ht="15.75" customHeight="1">
      <c r="A1062" s="334" t="str">
        <f>IF(B1062&lt;&gt;"",IF(AND(B1062='IN-TC'!$S$4,OR(TH!N1062="1111",TH!O1062="1111")),TH!D1062,""),"")</f>
        <v/>
      </c>
      <c r="B1062" s="63">
        <f t="shared" si="176"/>
        <v>1</v>
      </c>
      <c r="C1062" s="64">
        <v>42377</v>
      </c>
      <c r="D1062" s="64" t="s">
        <v>882</v>
      </c>
      <c r="E1062" s="64">
        <v>42377</v>
      </c>
      <c r="F1062" s="67" t="s">
        <v>783</v>
      </c>
      <c r="G1062" s="67" t="s">
        <v>819</v>
      </c>
      <c r="H1062" s="344" t="s">
        <v>805</v>
      </c>
      <c r="I1062" s="441"/>
      <c r="J1062" s="441"/>
      <c r="K1062" s="432"/>
      <c r="L1062" s="441"/>
      <c r="M1062" s="65">
        <v>85171</v>
      </c>
      <c r="N1062" s="66" t="s">
        <v>9</v>
      </c>
      <c r="O1062" s="66" t="s">
        <v>63</v>
      </c>
      <c r="P1062" s="82" t="str">
        <f>IF(AND('331-CT'!$E$7=TH!H1062,OR(N1062="331",O1062="331")),"x","")</f>
        <v/>
      </c>
      <c r="Q1062" s="82" t="str">
        <f>IF(AND(B1062='111'!$L$11,OR($N1062=$Q$7,$O1062=$Q$7)),"x","")</f>
        <v/>
      </c>
      <c r="R1062" s="82" t="str">
        <f>IF(AND($N1062=$Q$7,$B1062&lt;'111'!$L$11),"x","")</f>
        <v/>
      </c>
      <c r="S1062" s="82" t="str">
        <f>IF(AND($O1062=$Q$7,$B1062&lt;'111'!$L$11),"x","")</f>
        <v>x</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x</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row>
    <row r="1063" spans="1:30" s="339" customFormat="1" ht="15.75" customHeight="1">
      <c r="A1063" s="334" t="str">
        <f>IF(B1063&lt;&gt;"",IF(AND(B1063='IN-TC'!$S$4,OR(TH!N1063="1111",TH!O1063="1111")),TH!D1063,""),"")</f>
        <v/>
      </c>
      <c r="B1063" s="63">
        <f t="shared" si="176"/>
        <v>1</v>
      </c>
      <c r="C1063" s="64">
        <v>42380</v>
      </c>
      <c r="D1063" s="64" t="s">
        <v>702</v>
      </c>
      <c r="E1063" s="64">
        <v>42380</v>
      </c>
      <c r="F1063" s="67" t="s">
        <v>707</v>
      </c>
      <c r="G1063" s="67" t="s">
        <v>915</v>
      </c>
      <c r="H1063" s="72"/>
      <c r="I1063" s="437"/>
      <c r="J1063" s="437"/>
      <c r="K1063" s="428">
        <v>15</v>
      </c>
      <c r="L1063" s="437">
        <v>22440</v>
      </c>
      <c r="M1063" s="81">
        <f>ROUND(K1063*L1063,0)</f>
        <v>336600</v>
      </c>
      <c r="N1063" s="66" t="s">
        <v>101</v>
      </c>
      <c r="O1063" s="66" t="s">
        <v>266</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row>
    <row r="1064" spans="1:30" s="339" customFormat="1" ht="15.75" customHeight="1">
      <c r="A1064" s="334" t="str">
        <f>IF(B1064&lt;&gt;"",IF(AND(B1064='IN-TC'!$S$4,OR(TH!N1064="1111",TH!O1064="1111")),TH!D1064,""),"")</f>
        <v/>
      </c>
      <c r="B1064" s="63">
        <f t="shared" si="176"/>
        <v>1</v>
      </c>
      <c r="C1064" s="64">
        <v>42380</v>
      </c>
      <c r="D1064" s="64" t="s">
        <v>702</v>
      </c>
      <c r="E1064" s="64">
        <v>42380</v>
      </c>
      <c r="F1064" s="67" t="s">
        <v>708</v>
      </c>
      <c r="G1064" s="67" t="s">
        <v>915</v>
      </c>
      <c r="H1064" s="72"/>
      <c r="I1064" s="437"/>
      <c r="J1064" s="437"/>
      <c r="K1064" s="428">
        <v>1.5</v>
      </c>
      <c r="L1064" s="437">
        <v>22440</v>
      </c>
      <c r="M1064" s="81">
        <f>ROUND(K1064*L1064,0)</f>
        <v>33660</v>
      </c>
      <c r="N1064" s="66" t="s">
        <v>9</v>
      </c>
      <c r="O1064" s="66" t="s">
        <v>266</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x</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row>
    <row r="1065" spans="1:30" s="339" customFormat="1" ht="15.75" customHeight="1">
      <c r="A1065" s="334" t="str">
        <f>IF(B1065&lt;&gt;"",IF(AND(B1065='IN-TC'!$S$4,OR(TH!N1065="1111",TH!O1065="1111")),TH!D1065,""),"")</f>
        <v/>
      </c>
      <c r="B1065" s="63">
        <f t="shared" si="176"/>
        <v>1</v>
      </c>
      <c r="C1065" s="64">
        <v>42380</v>
      </c>
      <c r="D1065" s="64" t="s">
        <v>883</v>
      </c>
      <c r="E1065" s="64">
        <v>42380</v>
      </c>
      <c r="F1065" s="67" t="s">
        <v>768</v>
      </c>
      <c r="G1065" s="67" t="s">
        <v>820</v>
      </c>
      <c r="H1065" s="72" t="s">
        <v>805</v>
      </c>
      <c r="I1065" s="437"/>
      <c r="J1065" s="437"/>
      <c r="K1065" s="428"/>
      <c r="L1065" s="437"/>
      <c r="M1065" s="65">
        <v>595900</v>
      </c>
      <c r="N1065" s="66" t="s">
        <v>101</v>
      </c>
      <c r="O1065" s="66" t="s">
        <v>63</v>
      </c>
      <c r="P1065" s="82" t="str">
        <f>IF(AND('331-CT'!$E$7=TH!H1065,OR(N1065="331",O1065="331")),"x","")</f>
        <v/>
      </c>
      <c r="Q1065" s="82" t="str">
        <f>IF(AND(B1065='111'!$L$11,OR($N1065=$Q$7,$O1065=$Q$7)),"x","")</f>
        <v/>
      </c>
      <c r="R1065" s="82" t="str">
        <f>IF(AND($N1065=$Q$7,$B1065&lt;'111'!$L$11),"x","")</f>
        <v/>
      </c>
      <c r="S1065" s="82" t="str">
        <f>IF(AND($O1065=$Q$7,$B1065&lt;'111'!$L$11),"x","")</f>
        <v>x</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row>
    <row r="1066" spans="1:30" s="339" customFormat="1" ht="15.75" customHeight="1">
      <c r="A1066" s="334" t="str">
        <f>IF(B1066&lt;&gt;"",IF(AND(B1066='IN-TC'!$S$4,OR(TH!N1066="1111",TH!O1066="1111")),TH!D1066,""),"")</f>
        <v/>
      </c>
      <c r="B1066" s="63">
        <f t="shared" si="176"/>
        <v>1</v>
      </c>
      <c r="C1066" s="64">
        <v>42380</v>
      </c>
      <c r="D1066" s="64" t="s">
        <v>883</v>
      </c>
      <c r="E1066" s="64">
        <v>42380</v>
      </c>
      <c r="F1066" s="67" t="s">
        <v>769</v>
      </c>
      <c r="G1066" s="972" t="s">
        <v>820</v>
      </c>
      <c r="H1066" s="72" t="s">
        <v>805</v>
      </c>
      <c r="I1066" s="437"/>
      <c r="J1066" s="437"/>
      <c r="K1066" s="428"/>
      <c r="L1066" s="437"/>
      <c r="M1066" s="65">
        <v>59590</v>
      </c>
      <c r="N1066" s="66" t="s">
        <v>9</v>
      </c>
      <c r="O1066" s="66" t="s">
        <v>63</v>
      </c>
      <c r="P1066" s="82" t="str">
        <f>IF(AND('331-CT'!$E$7=TH!H1066,OR(N1066="331",O1066="331")),"x","")</f>
        <v/>
      </c>
      <c r="Q1066" s="82" t="str">
        <f>IF(AND(B1066='111'!$L$11,OR($N1066=$Q$7,$O1066=$Q$7)),"x","")</f>
        <v/>
      </c>
      <c r="R1066" s="82" t="str">
        <f>IF(AND($N1066=$Q$7,$B1066&lt;'111'!$L$11),"x","")</f>
        <v/>
      </c>
      <c r="S1066" s="82" t="str">
        <f>IF(AND($O1066=$Q$7,$B1066&lt;'111'!$L$11),"x","")</f>
        <v>x</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x</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row>
    <row r="1067" spans="1:30" s="339" customFormat="1" ht="15.75" customHeight="1">
      <c r="A1067" s="334" t="str">
        <f>IF(B1067&lt;&gt;"",IF(AND(B1067='IN-TC'!$S$4,OR(TH!N1067="1111",TH!O1067="1111")),TH!D1067,""),"")</f>
        <v/>
      </c>
      <c r="B1067" s="63">
        <f t="shared" si="176"/>
        <v>1</v>
      </c>
      <c r="C1067" s="78">
        <f>E1067</f>
        <v>42380</v>
      </c>
      <c r="D1067" s="64" t="s">
        <v>884</v>
      </c>
      <c r="E1067" s="78">
        <v>42380</v>
      </c>
      <c r="F1067" s="67" t="s">
        <v>960</v>
      </c>
      <c r="G1067" s="79"/>
      <c r="H1067" s="80" t="s">
        <v>959</v>
      </c>
      <c r="I1067" s="435"/>
      <c r="J1067" s="435"/>
      <c r="K1067" s="426"/>
      <c r="L1067" s="435"/>
      <c r="M1067" s="81">
        <v>500000000</v>
      </c>
      <c r="N1067" s="82" t="s">
        <v>272</v>
      </c>
      <c r="O1067" s="66" t="s">
        <v>63</v>
      </c>
      <c r="P1067" s="82" t="str">
        <f>IF(AND('331-CT'!$E$7=TH!H1067,OR(N1067="331",O1067="331")),"x","")</f>
        <v/>
      </c>
      <c r="Q1067" s="82" t="str">
        <f>IF(AND(B1067='111'!$L$11,OR($N1067=$Q$7,$O1067=$Q$7)),"x","")</f>
        <v/>
      </c>
      <c r="R1067" s="82" t="str">
        <f>IF(AND($N1067=$Q$7,$B1067&lt;'111'!$L$11),"x","")</f>
        <v/>
      </c>
      <c r="S1067" s="82" t="str">
        <f>IF(AND($O1067=$Q$7,$B1067&lt;'111'!$L$11),"x","")</f>
        <v>x</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row>
    <row r="1068" spans="1:30" s="339" customFormat="1" ht="15.75" customHeight="1">
      <c r="A1068" s="334" t="str">
        <f>IF(B1068&lt;&gt;"",IF(AND(B1068='IN-TC'!$S$4,OR(TH!N1068="1111",TH!O1068="1111")),TH!D1068,""),"")</f>
        <v/>
      </c>
      <c r="B1068" s="63">
        <f t="shared" si="176"/>
        <v>1</v>
      </c>
      <c r="C1068" s="64">
        <v>42381</v>
      </c>
      <c r="D1068" s="64" t="s">
        <v>885</v>
      </c>
      <c r="E1068" s="64">
        <v>42381</v>
      </c>
      <c r="F1068" s="67" t="s">
        <v>773</v>
      </c>
      <c r="G1068" s="972" t="s">
        <v>821</v>
      </c>
      <c r="H1068" s="72" t="s">
        <v>805</v>
      </c>
      <c r="I1068" s="437"/>
      <c r="J1068" s="437"/>
      <c r="K1068" s="428"/>
      <c r="L1068" s="437"/>
      <c r="M1068" s="65">
        <v>790873</v>
      </c>
      <c r="N1068" s="66" t="s">
        <v>101</v>
      </c>
      <c r="O1068" s="66" t="s">
        <v>63</v>
      </c>
      <c r="P1068" s="82" t="str">
        <f>IF(AND('331-CT'!$E$7=TH!H1068,OR(N1068="331",O1068="331")),"x","")</f>
        <v/>
      </c>
      <c r="Q1068" s="82" t="str">
        <f>IF(AND(B1068='111'!$L$11,OR($N1068=$Q$7,$O1068=$Q$7)),"x","")</f>
        <v/>
      </c>
      <c r="R1068" s="82" t="str">
        <f>IF(AND($N1068=$Q$7,$B1068&lt;'111'!$L$11),"x","")</f>
        <v/>
      </c>
      <c r="S1068" s="82" t="str">
        <f>IF(AND($O1068=$Q$7,$B1068&lt;'111'!$L$11),"x","")</f>
        <v>x</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row>
    <row r="1069" spans="1:30" ht="15.75" customHeight="1">
      <c r="A1069" s="334" t="str">
        <f>IF(B1069&lt;&gt;"",IF(AND(B1069='IN-TC'!$S$4,OR(TH!N1069="1111",TH!O1069="1111")),TH!D1069,""),"")</f>
        <v/>
      </c>
      <c r="B1069" s="63">
        <f t="shared" si="176"/>
        <v>1</v>
      </c>
      <c r="C1069" s="64">
        <v>42381</v>
      </c>
      <c r="D1069" s="64" t="s">
        <v>885</v>
      </c>
      <c r="E1069" s="64">
        <v>42381</v>
      </c>
      <c r="F1069" s="67" t="s">
        <v>774</v>
      </c>
      <c r="G1069" s="972" t="s">
        <v>821</v>
      </c>
      <c r="H1069" s="72" t="s">
        <v>805</v>
      </c>
      <c r="I1069" s="437"/>
      <c r="J1069" s="437"/>
      <c r="K1069" s="428"/>
      <c r="L1069" s="437"/>
      <c r="M1069" s="65">
        <v>79087</v>
      </c>
      <c r="N1069" s="66" t="s">
        <v>9</v>
      </c>
      <c r="O1069" s="66" t="s">
        <v>63</v>
      </c>
      <c r="P1069" s="82" t="str">
        <f>IF(AND('331-CT'!$E$7=TH!H1069,OR(N1069="331",O1069="331")),"x","")</f>
        <v/>
      </c>
      <c r="Q1069" s="82" t="str">
        <f>IF(AND(B1069='111'!$L$11,OR($N1069=$Q$7,$O1069=$Q$7)),"x","")</f>
        <v/>
      </c>
      <c r="R1069" s="82" t="str">
        <f>IF(AND($N1069=$Q$7,$B1069&lt;'111'!$L$11),"x","")</f>
        <v/>
      </c>
      <c r="S1069" s="82" t="str">
        <f>IF(AND($O1069=$Q$7,$B1069&lt;'111'!$L$11),"x","")</f>
        <v>x</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x</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row>
    <row r="1070" spans="1:30" ht="15.75" customHeight="1">
      <c r="A1070" s="334" t="str">
        <f>IF(B1070&lt;&gt;"",IF(AND(B1070='IN-TC'!$S$4,OR(TH!N1070="1111",TH!O1070="1111")),TH!D1070,""),"")</f>
        <v/>
      </c>
      <c r="B1070" s="63">
        <f t="shared" si="176"/>
        <v>1</v>
      </c>
      <c r="C1070" s="64">
        <v>42381</v>
      </c>
      <c r="D1070" s="64" t="s">
        <v>886</v>
      </c>
      <c r="E1070" s="64">
        <v>42381</v>
      </c>
      <c r="F1070" s="67" t="s">
        <v>784</v>
      </c>
      <c r="G1070" s="972" t="s">
        <v>822</v>
      </c>
      <c r="H1070" s="72" t="s">
        <v>823</v>
      </c>
      <c r="I1070" s="437"/>
      <c r="J1070" s="437"/>
      <c r="K1070" s="428"/>
      <c r="L1070" s="437"/>
      <c r="M1070" s="65">
        <v>3325000</v>
      </c>
      <c r="N1070" s="66" t="s">
        <v>101</v>
      </c>
      <c r="O1070" s="66" t="s">
        <v>63</v>
      </c>
      <c r="P1070" s="82" t="str">
        <f>IF(AND('331-CT'!$E$7=TH!H1070,OR(N1070="331",O1070="331")),"x","")</f>
        <v/>
      </c>
      <c r="Q1070" s="82" t="str">
        <f>IF(AND(B1070='111'!$L$11,OR($N1070=$Q$7,$O1070=$Q$7)),"x","")</f>
        <v/>
      </c>
      <c r="R1070" s="82" t="str">
        <f>IF(AND($N1070=$Q$7,$B1070&lt;'111'!$L$11),"x","")</f>
        <v/>
      </c>
      <c r="S1070" s="82" t="str">
        <f>IF(AND($O1070=$Q$7,$B1070&lt;'111'!$L$11),"x","")</f>
        <v>x</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0" ht="15.75" customHeight="1">
      <c r="A1071" s="334" t="str">
        <f>IF(B1071&lt;&gt;"",IF(AND(B1071='IN-TC'!$S$4,OR(TH!N1071="1111",TH!O1071="1111")),TH!D1071,""),"")</f>
        <v/>
      </c>
      <c r="B1071" s="63">
        <f t="shared" si="176"/>
        <v>1</v>
      </c>
      <c r="C1071" s="64">
        <v>42381</v>
      </c>
      <c r="D1071" s="64" t="s">
        <v>886</v>
      </c>
      <c r="E1071" s="64">
        <v>42381</v>
      </c>
      <c r="F1071" s="67" t="s">
        <v>785</v>
      </c>
      <c r="G1071" s="972" t="s">
        <v>822</v>
      </c>
      <c r="H1071" s="72" t="s">
        <v>823</v>
      </c>
      <c r="I1071" s="437"/>
      <c r="J1071" s="437"/>
      <c r="K1071" s="428"/>
      <c r="L1071" s="437"/>
      <c r="M1071" s="65">
        <v>332500</v>
      </c>
      <c r="N1071" s="66" t="s">
        <v>9</v>
      </c>
      <c r="O1071" s="66" t="s">
        <v>63</v>
      </c>
      <c r="P1071" s="82" t="str">
        <f>IF(AND('331-CT'!$E$7=TH!H1071,OR(N1071="331",O1071="331")),"x","")</f>
        <v/>
      </c>
      <c r="Q1071" s="82" t="str">
        <f>IF(AND(B1071='111'!$L$11,OR($N1071=$Q$7,$O1071=$Q$7)),"x","")</f>
        <v/>
      </c>
      <c r="R1071" s="82" t="str">
        <f>IF(AND($N1071=$Q$7,$B1071&lt;'111'!$L$11),"x","")</f>
        <v/>
      </c>
      <c r="S1071" s="82" t="str">
        <f>IF(AND($O1071=$Q$7,$B1071&lt;'111'!$L$11),"x","")</f>
        <v>x</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x</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0" ht="15.75" customHeight="1">
      <c r="A1072" s="334" t="str">
        <f>IF(B1072&lt;&gt;"",IF(AND(B1072='IN-TC'!$S$4,OR(TH!N1072="1111",TH!O1072="1111")),TH!D1072,""),"")</f>
        <v/>
      </c>
      <c r="B1072" s="63">
        <f t="shared" si="176"/>
        <v>1</v>
      </c>
      <c r="C1072" s="64">
        <v>42382</v>
      </c>
      <c r="D1072" s="64" t="s">
        <v>702</v>
      </c>
      <c r="E1072" s="64">
        <v>42382</v>
      </c>
      <c r="F1072" s="67" t="s">
        <v>741</v>
      </c>
      <c r="G1072" s="67" t="s">
        <v>915</v>
      </c>
      <c r="H1072" s="67"/>
      <c r="I1072" s="440"/>
      <c r="J1072" s="440"/>
      <c r="K1072" s="431"/>
      <c r="L1072" s="440"/>
      <c r="M1072" s="65">
        <v>2000000</v>
      </c>
      <c r="N1072" s="66" t="s">
        <v>79</v>
      </c>
      <c r="O1072" s="66" t="s">
        <v>26</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row>
    <row r="1073" spans="1:31" ht="15.75" customHeight="1">
      <c r="A1073" s="334" t="str">
        <f>IF(B1073&lt;&gt;"",IF(AND(B1073='IN-TC'!$S$4,OR(TH!N1073="1111",TH!O1073="1111")),TH!D1073,""),"")</f>
        <v/>
      </c>
      <c r="B1073" s="63">
        <f t="shared" si="176"/>
        <v>1</v>
      </c>
      <c r="C1073" s="64">
        <v>42382</v>
      </c>
      <c r="D1073" s="64" t="s">
        <v>579</v>
      </c>
      <c r="E1073" s="64">
        <v>42382</v>
      </c>
      <c r="F1073" s="67" t="s">
        <v>854</v>
      </c>
      <c r="G1073" s="67"/>
      <c r="H1073" s="67"/>
      <c r="I1073" s="440"/>
      <c r="J1073" s="440"/>
      <c r="K1073" s="431"/>
      <c r="L1073" s="440"/>
      <c r="M1073" s="65">
        <v>2000000</v>
      </c>
      <c r="N1073" s="66" t="s">
        <v>101</v>
      </c>
      <c r="O1073" s="66" t="s">
        <v>79</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row>
    <row r="1074" spans="1:31" ht="15.75" customHeight="1">
      <c r="A1074" s="334" t="str">
        <f>IF(B1074&lt;&gt;"",IF(AND(B1074='IN-TC'!$S$4,OR(TH!N1074="1111",TH!O1074="1111")),TH!D1074,""),"")</f>
        <v/>
      </c>
      <c r="B1074" s="63">
        <f t="shared" si="176"/>
        <v>1</v>
      </c>
      <c r="C1074" s="64">
        <v>42383</v>
      </c>
      <c r="D1074" s="64" t="s">
        <v>699</v>
      </c>
      <c r="E1074" s="64">
        <v>42383</v>
      </c>
      <c r="F1074" s="67" t="s">
        <v>700</v>
      </c>
      <c r="G1074" s="67" t="s">
        <v>916</v>
      </c>
      <c r="H1074" s="72"/>
      <c r="I1074" s="437"/>
      <c r="J1074" s="437"/>
      <c r="K1074" s="428">
        <v>4700</v>
      </c>
      <c r="L1074" s="437">
        <v>22440</v>
      </c>
      <c r="M1074" s="81">
        <f>ROUND(K1074*L1074,0)</f>
        <v>105468000</v>
      </c>
      <c r="N1074" s="66" t="s">
        <v>266</v>
      </c>
      <c r="O1074" s="66" t="s">
        <v>266</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row>
    <row r="1075" spans="1:31" ht="15.75" customHeight="1">
      <c r="A1075" s="334" t="str">
        <f>IF(B1075&lt;&gt;"",IF(AND(B1075='IN-TC'!$S$4,OR(TH!N1075="1111",TH!O1075="1111")),TH!D1075,""),"")</f>
        <v/>
      </c>
      <c r="B1075" s="63">
        <f t="shared" si="176"/>
        <v>1</v>
      </c>
      <c r="C1075" s="64">
        <v>42383</v>
      </c>
      <c r="D1075" s="64" t="s">
        <v>702</v>
      </c>
      <c r="E1075" s="64">
        <v>42383</v>
      </c>
      <c r="F1075" s="72" t="s">
        <v>1438</v>
      </c>
      <c r="G1075" s="67" t="s">
        <v>915</v>
      </c>
      <c r="H1075" s="72"/>
      <c r="I1075" s="437"/>
      <c r="J1075" s="437"/>
      <c r="K1075" s="428">
        <v>6000</v>
      </c>
      <c r="L1075" s="437">
        <v>22400</v>
      </c>
      <c r="M1075" s="81">
        <f>ROUND(K1075*L1075,0)</f>
        <v>134400000</v>
      </c>
      <c r="N1075" s="66" t="s">
        <v>26</v>
      </c>
      <c r="O1075" s="66" t="s">
        <v>266</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row>
    <row r="1076" spans="1:31" ht="15.75" customHeight="1">
      <c r="A1076" s="334" t="str">
        <f>IF(B1076&lt;&gt;"",IF(AND(B1076='IN-TC'!$S$4,OR(TH!N1076="1111",TH!O1076="1111")),TH!D1076,""),"")</f>
        <v/>
      </c>
      <c r="B1076" s="63">
        <f t="shared" si="176"/>
        <v>1</v>
      </c>
      <c r="C1076" s="64">
        <v>42383</v>
      </c>
      <c r="D1076" s="64" t="s">
        <v>702</v>
      </c>
      <c r="E1076" s="64">
        <v>42383</v>
      </c>
      <c r="F1076" s="67" t="s">
        <v>1096</v>
      </c>
      <c r="G1076" s="67" t="s">
        <v>915</v>
      </c>
      <c r="H1076" s="67" t="s">
        <v>629</v>
      </c>
      <c r="I1076" s="441"/>
      <c r="J1076" s="441"/>
      <c r="K1076" s="432"/>
      <c r="L1076" s="441"/>
      <c r="M1076" s="65">
        <v>39198830</v>
      </c>
      <c r="N1076" s="66" t="s">
        <v>8</v>
      </c>
      <c r="O1076" s="66" t="s">
        <v>26</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c r="AE1076" s="1136" t="str">
        <f>IF(H1076&lt;&gt;VLOOKUP(H1076,DSKH,1,0),"","x")</f>
        <v>x</v>
      </c>
    </row>
    <row r="1077" spans="1:31" ht="15.75" customHeight="1">
      <c r="A1077" s="334" t="str">
        <f>IF(B1077&lt;&gt;"",IF(AND(B1077='IN-TC'!$S$4,OR(TH!N1077="1111",TH!O1077="1111")),TH!D1077,""),"")</f>
        <v/>
      </c>
      <c r="B1077" s="63">
        <f t="shared" si="176"/>
        <v>1</v>
      </c>
      <c r="C1077" s="64">
        <v>42383</v>
      </c>
      <c r="D1077" s="64" t="s">
        <v>702</v>
      </c>
      <c r="E1077" s="64">
        <v>42383</v>
      </c>
      <c r="F1077" s="67" t="s">
        <v>740</v>
      </c>
      <c r="G1077" s="67" t="s">
        <v>915</v>
      </c>
      <c r="H1077" s="67"/>
      <c r="I1077" s="437"/>
      <c r="J1077" s="437"/>
      <c r="K1077" s="428"/>
      <c r="L1077" s="437"/>
      <c r="M1077" s="65">
        <v>20000</v>
      </c>
      <c r="N1077" s="66" t="s">
        <v>101</v>
      </c>
      <c r="O1077" s="66" t="s">
        <v>26</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row>
    <row r="1078" spans="1:31" ht="15.75" customHeight="1">
      <c r="A1078" s="334" t="str">
        <f>IF(B1078&lt;&gt;"",IF(AND(B1078='IN-TC'!$S$4,OR(TH!N1078="1111",TH!O1078="1111")),TH!D1078,""),"")</f>
        <v/>
      </c>
      <c r="B1078" s="63">
        <f t="shared" si="176"/>
        <v>1</v>
      </c>
      <c r="C1078" s="64">
        <v>42383</v>
      </c>
      <c r="D1078" s="64" t="s">
        <v>702</v>
      </c>
      <c r="E1078" s="64">
        <v>42383</v>
      </c>
      <c r="F1078" s="67" t="s">
        <v>742</v>
      </c>
      <c r="G1078" s="67" t="s">
        <v>915</v>
      </c>
      <c r="H1078" s="67"/>
      <c r="I1078" s="437"/>
      <c r="J1078" s="437"/>
      <c r="K1078" s="428"/>
      <c r="L1078" s="437"/>
      <c r="M1078" s="65">
        <v>2000</v>
      </c>
      <c r="N1078" s="66" t="s">
        <v>9</v>
      </c>
      <c r="O1078" s="66" t="s">
        <v>26</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x</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row>
    <row r="1079" spans="1:31" ht="15.75" customHeight="1">
      <c r="A1079" s="334" t="str">
        <f>IF(B1079&lt;&gt;"",IF(AND(B1079='IN-TC'!$S$4,OR(TH!N1079="1111",TH!O1079="1111")),TH!D1079,""),"")</f>
        <v/>
      </c>
      <c r="B1079" s="63">
        <f t="shared" si="176"/>
        <v>1</v>
      </c>
      <c r="C1079" s="64">
        <v>42383</v>
      </c>
      <c r="D1079" s="64" t="s">
        <v>887</v>
      </c>
      <c r="E1079" s="64">
        <v>42383</v>
      </c>
      <c r="F1079" s="67" t="s">
        <v>778</v>
      </c>
      <c r="G1079" s="972" t="s">
        <v>824</v>
      </c>
      <c r="H1079" s="72" t="s">
        <v>816</v>
      </c>
      <c r="I1079" s="437"/>
      <c r="J1079" s="437"/>
      <c r="K1079" s="428"/>
      <c r="L1079" s="437"/>
      <c r="M1079" s="65">
        <v>16662900</v>
      </c>
      <c r="N1079" s="66" t="s">
        <v>101</v>
      </c>
      <c r="O1079" s="66" t="s">
        <v>63</v>
      </c>
      <c r="P1079" s="82" t="str">
        <f>IF(AND('331-CT'!$E$7=TH!H1079,OR(N1079="331",O1079="331")),"x","")</f>
        <v/>
      </c>
      <c r="Q1079" s="82" t="str">
        <f>IF(AND(B1079='111'!$L$11,OR($N1079=$Q$7,$O1079=$Q$7)),"x","")</f>
        <v/>
      </c>
      <c r="R1079" s="82" t="str">
        <f>IF(AND($N1079=$Q$7,$B1079&lt;'111'!$L$11),"x","")</f>
        <v/>
      </c>
      <c r="S1079" s="82" t="str">
        <f>IF(AND($O1079=$Q$7,$B1079&lt;'111'!$L$11),"x","")</f>
        <v>x</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row>
    <row r="1080" spans="1:31" ht="15.75" customHeight="1">
      <c r="A1080" s="334" t="str">
        <f>IF(B1080&lt;&gt;"",IF(AND(B1080='IN-TC'!$S$4,OR(TH!N1080="1111",TH!O1080="1111")),TH!D1080,""),"")</f>
        <v/>
      </c>
      <c r="B1080" s="63">
        <f t="shared" si="176"/>
        <v>1</v>
      </c>
      <c r="C1080" s="64">
        <v>42383</v>
      </c>
      <c r="D1080" s="64" t="s">
        <v>887</v>
      </c>
      <c r="E1080" s="64">
        <v>42383</v>
      </c>
      <c r="F1080" s="67" t="s">
        <v>779</v>
      </c>
      <c r="G1080" s="972" t="s">
        <v>824</v>
      </c>
      <c r="H1080" s="72" t="s">
        <v>816</v>
      </c>
      <c r="I1080" s="437"/>
      <c r="J1080" s="437"/>
      <c r="K1080" s="428"/>
      <c r="L1080" s="437"/>
      <c r="M1080" s="65">
        <v>1666290</v>
      </c>
      <c r="N1080" s="66" t="s">
        <v>9</v>
      </c>
      <c r="O1080" s="66" t="s">
        <v>63</v>
      </c>
      <c r="P1080" s="82" t="str">
        <f>IF(AND('331-CT'!$E$7=TH!H1080,OR(N1080="331",O1080="331")),"x","")</f>
        <v/>
      </c>
      <c r="Q1080" s="82" t="str">
        <f>IF(AND(B1080='111'!$L$11,OR($N1080=$Q$7,$O1080=$Q$7)),"x","")</f>
        <v/>
      </c>
      <c r="R1080" s="82" t="str">
        <f>IF(AND($N1080=$Q$7,$B1080&lt;'111'!$L$11),"x","")</f>
        <v/>
      </c>
      <c r="S1080" s="82" t="str">
        <f>IF(AND($O1080=$Q$7,$B1080&lt;'111'!$L$11),"x","")</f>
        <v>x</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x</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1" ht="15.75" customHeight="1">
      <c r="A1081" s="334" t="str">
        <f>IF(B1081&lt;&gt;"",IF(AND(B1081='IN-TC'!$S$4,OR(TH!N1081="1111",TH!O1081="1111")),TH!D1081,""),"")</f>
        <v/>
      </c>
      <c r="B1081" s="63">
        <f t="shared" si="176"/>
        <v>1</v>
      </c>
      <c r="C1081" s="64">
        <v>42384</v>
      </c>
      <c r="D1081" s="64" t="s">
        <v>899</v>
      </c>
      <c r="E1081" s="64">
        <v>42384</v>
      </c>
      <c r="F1081" s="67" t="s">
        <v>743</v>
      </c>
      <c r="G1081" s="67" t="s">
        <v>915</v>
      </c>
      <c r="H1081" s="73" t="s">
        <v>760</v>
      </c>
      <c r="I1081" s="437"/>
      <c r="J1081" s="437"/>
      <c r="K1081" s="428"/>
      <c r="L1081" s="437"/>
      <c r="M1081" s="65">
        <v>100000000</v>
      </c>
      <c r="N1081" s="66" t="s">
        <v>63</v>
      </c>
      <c r="O1081" s="66" t="s">
        <v>26</v>
      </c>
      <c r="P1081" s="82" t="str">
        <f>IF(AND('331-CT'!$E$7=TH!H1081,OR(N1081="331",O1081="331")),"x","")</f>
        <v/>
      </c>
      <c r="Q1081" s="82" t="str">
        <f>IF(AND(B1081='111'!$L$11,OR($N1081=$Q$7,$O1081=$Q$7)),"x","")</f>
        <v/>
      </c>
      <c r="R1081" s="82" t="str">
        <f>IF(AND($N1081=$Q$7,$B1081&lt;'111'!$L$11),"x","")</f>
        <v>x</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row>
    <row r="1082" spans="1:31" ht="15.75" customHeight="1">
      <c r="A1082" s="334" t="str">
        <f>IF(B1082&lt;&gt;"",IF(AND(B1082='IN-TC'!$S$4,OR(TH!N1082="1111",TH!O1082="1111")),TH!D1082,""),"")</f>
        <v/>
      </c>
      <c r="B1082" s="63">
        <f t="shared" si="176"/>
        <v>1</v>
      </c>
      <c r="C1082" s="64">
        <v>42384</v>
      </c>
      <c r="D1082" s="64" t="s">
        <v>888</v>
      </c>
      <c r="E1082" s="64">
        <v>42384</v>
      </c>
      <c r="F1082" s="67" t="s">
        <v>773</v>
      </c>
      <c r="G1082" s="67" t="s">
        <v>825</v>
      </c>
      <c r="H1082" s="344" t="s">
        <v>811</v>
      </c>
      <c r="I1082" s="441"/>
      <c r="J1082" s="441"/>
      <c r="K1082" s="432"/>
      <c r="L1082" s="441"/>
      <c r="M1082" s="65">
        <v>306027</v>
      </c>
      <c r="N1082" s="66" t="s">
        <v>101</v>
      </c>
      <c r="O1082" s="66" t="s">
        <v>63</v>
      </c>
      <c r="P1082" s="82" t="str">
        <f>IF(AND('331-CT'!$E$7=TH!H1082,OR(N1082="331",O1082="331")),"x","")</f>
        <v/>
      </c>
      <c r="Q1082" s="82" t="str">
        <f>IF(AND(B1082='111'!$L$11,OR($N1082=$Q$7,$O1082=$Q$7)),"x","")</f>
        <v/>
      </c>
      <c r="R1082" s="82" t="str">
        <f>IF(AND($N1082=$Q$7,$B1082&lt;'111'!$L$11),"x","")</f>
        <v/>
      </c>
      <c r="S1082" s="82" t="str">
        <f>IF(AND($O1082=$Q$7,$B1082&lt;'111'!$L$11),"x","")</f>
        <v>x</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row>
    <row r="1083" spans="1:31" ht="15.75" customHeight="1">
      <c r="A1083" s="334" t="str">
        <f>IF(B1083&lt;&gt;"",IF(AND(B1083='IN-TC'!$S$4,OR(TH!N1083="1111",TH!O1083="1111")),TH!D1083,""),"")</f>
        <v/>
      </c>
      <c r="B1083" s="63">
        <f t="shared" si="176"/>
        <v>1</v>
      </c>
      <c r="C1083" s="64">
        <v>42384</v>
      </c>
      <c r="D1083" s="64" t="s">
        <v>888</v>
      </c>
      <c r="E1083" s="64">
        <v>42384</v>
      </c>
      <c r="F1083" s="67" t="s">
        <v>774</v>
      </c>
      <c r="G1083" s="67" t="s">
        <v>825</v>
      </c>
      <c r="H1083" s="344" t="s">
        <v>811</v>
      </c>
      <c r="I1083" s="441"/>
      <c r="J1083" s="441"/>
      <c r="K1083" s="432"/>
      <c r="L1083" s="441"/>
      <c r="M1083" s="65">
        <v>30603</v>
      </c>
      <c r="N1083" s="66" t="s">
        <v>9</v>
      </c>
      <c r="O1083" s="66" t="s">
        <v>63</v>
      </c>
      <c r="P1083" s="82" t="str">
        <f>IF(AND('331-CT'!$E$7=TH!H1083,OR(N1083="331",O1083="331")),"x","")</f>
        <v/>
      </c>
      <c r="Q1083" s="82" t="str">
        <f>IF(AND(B1083='111'!$L$11,OR($N1083=$Q$7,$O1083=$Q$7)),"x","")</f>
        <v/>
      </c>
      <c r="R1083" s="82" t="str">
        <f>IF(AND($N1083=$Q$7,$B1083&lt;'111'!$L$11),"x","")</f>
        <v/>
      </c>
      <c r="S1083" s="82" t="str">
        <f>IF(AND($O1083=$Q$7,$B1083&lt;'111'!$L$11),"x","")</f>
        <v>x</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x</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row>
    <row r="1084" spans="1:31" ht="15.75" customHeight="1">
      <c r="A1084" s="334" t="str">
        <f>IF(B1084&lt;&gt;"",IF(AND(B1084='IN-TC'!$S$4,OR(TH!N1084="1111",TH!O1084="1111")),TH!D1084,""),"")</f>
        <v/>
      </c>
      <c r="B1084" s="63">
        <f t="shared" si="176"/>
        <v>1</v>
      </c>
      <c r="C1084" s="64">
        <v>42384</v>
      </c>
      <c r="D1084" s="64" t="s">
        <v>889</v>
      </c>
      <c r="E1084" s="64">
        <v>42384</v>
      </c>
      <c r="F1084" s="67" t="s">
        <v>773</v>
      </c>
      <c r="G1084" s="67" t="s">
        <v>826</v>
      </c>
      <c r="H1084" s="344" t="s">
        <v>805</v>
      </c>
      <c r="I1084" s="441"/>
      <c r="J1084" s="441"/>
      <c r="K1084" s="432"/>
      <c r="L1084" s="441"/>
      <c r="M1084" s="65">
        <v>593155</v>
      </c>
      <c r="N1084" s="66" t="s">
        <v>101</v>
      </c>
      <c r="O1084" s="66" t="s">
        <v>63</v>
      </c>
      <c r="P1084" s="82" t="str">
        <f>IF(AND('331-CT'!$E$7=TH!H1084,OR(N1084="331",O1084="331")),"x","")</f>
        <v/>
      </c>
      <c r="Q1084" s="82" t="str">
        <f>IF(AND(B1084='111'!$L$11,OR($N1084=$Q$7,$O1084=$Q$7)),"x","")</f>
        <v/>
      </c>
      <c r="R1084" s="82" t="str">
        <f>IF(AND($N1084=$Q$7,$B1084&lt;'111'!$L$11),"x","")</f>
        <v/>
      </c>
      <c r="S1084" s="82" t="str">
        <f>IF(AND($O1084=$Q$7,$B1084&lt;'111'!$L$11),"x","")</f>
        <v>x</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row>
    <row r="1085" spans="1:31" ht="15.75" customHeight="1">
      <c r="A1085" s="334" t="str">
        <f>IF(B1085&lt;&gt;"",IF(AND(B1085='IN-TC'!$S$4,OR(TH!N1085="1111",TH!O1085="1111")),TH!D1085,""),"")</f>
        <v/>
      </c>
      <c r="B1085" s="63">
        <f t="shared" si="176"/>
        <v>1</v>
      </c>
      <c r="C1085" s="64">
        <v>42384</v>
      </c>
      <c r="D1085" s="64" t="s">
        <v>889</v>
      </c>
      <c r="E1085" s="64">
        <v>42384</v>
      </c>
      <c r="F1085" s="67" t="s">
        <v>774</v>
      </c>
      <c r="G1085" s="67" t="s">
        <v>826</v>
      </c>
      <c r="H1085" s="72" t="s">
        <v>805</v>
      </c>
      <c r="I1085" s="437"/>
      <c r="J1085" s="437"/>
      <c r="K1085" s="428"/>
      <c r="L1085" s="437"/>
      <c r="M1085" s="65">
        <v>59315</v>
      </c>
      <c r="N1085" s="66" t="s">
        <v>9</v>
      </c>
      <c r="O1085" s="66" t="s">
        <v>63</v>
      </c>
      <c r="P1085" s="82" t="str">
        <f>IF(AND('331-CT'!$E$7=TH!H1085,OR(N1085="331",O1085="331")),"x","")</f>
        <v/>
      </c>
      <c r="Q1085" s="82" t="str">
        <f>IF(AND(B1085='111'!$L$11,OR($N1085=$Q$7,$O1085=$Q$7)),"x","")</f>
        <v/>
      </c>
      <c r="R1085" s="82" t="str">
        <f>IF(AND($N1085=$Q$7,$B1085&lt;'111'!$L$11),"x","")</f>
        <v/>
      </c>
      <c r="S1085" s="82" t="str">
        <f>IF(AND($O1085=$Q$7,$B1085&lt;'111'!$L$11),"x","")</f>
        <v>x</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x</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row>
    <row r="1086" spans="1:31" ht="15.75" customHeight="1">
      <c r="A1086" s="334" t="str">
        <f>IF(B1086&lt;&gt;"",IF(AND(B1086='IN-TC'!$S$4,OR(TH!N1086="1111",TH!O1086="1111")),TH!D1086,""),"")</f>
        <v/>
      </c>
      <c r="B1086" s="63">
        <f t="shared" si="176"/>
        <v>1</v>
      </c>
      <c r="C1086" s="64">
        <v>42384</v>
      </c>
      <c r="D1086" s="64" t="s">
        <v>890</v>
      </c>
      <c r="E1086" s="64">
        <v>42384</v>
      </c>
      <c r="F1086" s="67" t="s">
        <v>786</v>
      </c>
      <c r="G1086" s="67" t="s">
        <v>827</v>
      </c>
      <c r="H1086" s="72" t="s">
        <v>828</v>
      </c>
      <c r="I1086" s="437"/>
      <c r="J1086" s="437"/>
      <c r="K1086" s="428"/>
      <c r="L1086" s="437"/>
      <c r="M1086" s="65">
        <v>400000</v>
      </c>
      <c r="N1086" s="66" t="s">
        <v>101</v>
      </c>
      <c r="O1086" s="66" t="s">
        <v>63</v>
      </c>
      <c r="P1086" s="82" t="str">
        <f>IF(AND('331-CT'!$E$7=TH!H1086,OR(N1086="331",O1086="331")),"x","")</f>
        <v/>
      </c>
      <c r="Q1086" s="82" t="str">
        <f>IF(AND(B1086='111'!$L$11,OR($N1086=$Q$7,$O1086=$Q$7)),"x","")</f>
        <v/>
      </c>
      <c r="R1086" s="82" t="str">
        <f>IF(AND($N1086=$Q$7,$B1086&lt;'111'!$L$11),"x","")</f>
        <v/>
      </c>
      <c r="S1086" s="82" t="str">
        <f>IF(AND($O1086=$Q$7,$B1086&lt;'111'!$L$11),"x","")</f>
        <v>x</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row>
    <row r="1087" spans="1:31" ht="15.75" customHeight="1">
      <c r="A1087" s="334" t="str">
        <f>IF(B1087&lt;&gt;"",IF(AND(B1087='IN-TC'!$S$4,OR(TH!N1087="1111",TH!O1087="1111")),TH!D1087,""),"")</f>
        <v/>
      </c>
      <c r="B1087" s="63">
        <f t="shared" si="176"/>
        <v>1</v>
      </c>
      <c r="C1087" s="64">
        <v>42384</v>
      </c>
      <c r="D1087" s="64" t="s">
        <v>890</v>
      </c>
      <c r="E1087" s="64">
        <v>42384</v>
      </c>
      <c r="F1087" s="67" t="s">
        <v>787</v>
      </c>
      <c r="G1087" s="67" t="s">
        <v>827</v>
      </c>
      <c r="H1087" s="344" t="s">
        <v>828</v>
      </c>
      <c r="I1087" s="441"/>
      <c r="J1087" s="441"/>
      <c r="K1087" s="432"/>
      <c r="L1087" s="441"/>
      <c r="M1087" s="65">
        <v>20000</v>
      </c>
      <c r="N1087" s="66" t="s">
        <v>9</v>
      </c>
      <c r="O1087" s="66" t="s">
        <v>63</v>
      </c>
      <c r="P1087" s="82" t="str">
        <f>IF(AND('331-CT'!$E$7=TH!H1087,OR(N1087="331",O1087="331")),"x","")</f>
        <v/>
      </c>
      <c r="Q1087" s="82" t="str">
        <f>IF(AND(B1087='111'!$L$11,OR($N1087=$Q$7,$O1087=$Q$7)),"x","")</f>
        <v/>
      </c>
      <c r="R1087" s="82" t="str">
        <f>IF(AND($N1087=$Q$7,$B1087&lt;'111'!$L$11),"x","")</f>
        <v/>
      </c>
      <c r="S1087" s="82" t="str">
        <f>IF(AND($O1087=$Q$7,$B1087&lt;'111'!$L$11),"x","")</f>
        <v>x</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x</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row>
    <row r="1088" spans="1:31" ht="15.75" customHeight="1">
      <c r="A1088" s="334" t="str">
        <f>IF(B1088&lt;&gt;"",IF(AND(B1088='IN-TC'!$S$4,OR(TH!N1088="1111",TH!O1088="1111")),TH!D1088,""),"")</f>
        <v/>
      </c>
      <c r="B1088" s="63">
        <f t="shared" si="176"/>
        <v>1</v>
      </c>
      <c r="C1088" s="64">
        <v>42384</v>
      </c>
      <c r="D1088" s="64" t="s">
        <v>891</v>
      </c>
      <c r="E1088" s="64">
        <v>42384</v>
      </c>
      <c r="F1088" s="67" t="s">
        <v>778</v>
      </c>
      <c r="G1088" s="67" t="s">
        <v>829</v>
      </c>
      <c r="H1088" s="72" t="s">
        <v>816</v>
      </c>
      <c r="I1088" s="441"/>
      <c r="J1088" s="441"/>
      <c r="K1088" s="432"/>
      <c r="L1088" s="441"/>
      <c r="M1088" s="65">
        <v>17435800</v>
      </c>
      <c r="N1088" s="66" t="s">
        <v>101</v>
      </c>
      <c r="O1088" s="66" t="s">
        <v>63</v>
      </c>
      <c r="P1088" s="82" t="str">
        <f>IF(AND('331-CT'!$E$7=TH!H1088,OR(N1088="331",O1088="331")),"x","")</f>
        <v/>
      </c>
      <c r="Q1088" s="82" t="str">
        <f>IF(AND(B1088='111'!$L$11,OR($N1088=$Q$7,$O1088=$Q$7)),"x","")</f>
        <v/>
      </c>
      <c r="R1088" s="82" t="str">
        <f>IF(AND($N1088=$Q$7,$B1088&lt;'111'!$L$11),"x","")</f>
        <v/>
      </c>
      <c r="S1088" s="82" t="str">
        <f>IF(AND($O1088=$Q$7,$B1088&lt;'111'!$L$11),"x","")</f>
        <v>x</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row>
    <row r="1089" spans="1:31" ht="15.75" customHeight="1">
      <c r="A1089" s="334" t="str">
        <f>IF(B1089&lt;&gt;"",IF(AND(B1089='IN-TC'!$S$4,OR(TH!N1089="1111",TH!O1089="1111")),TH!D1089,""),"")</f>
        <v/>
      </c>
      <c r="B1089" s="63">
        <f t="shared" si="176"/>
        <v>1</v>
      </c>
      <c r="C1089" s="64">
        <v>42384</v>
      </c>
      <c r="D1089" s="64" t="s">
        <v>891</v>
      </c>
      <c r="E1089" s="64">
        <v>42384</v>
      </c>
      <c r="F1089" s="67" t="s">
        <v>779</v>
      </c>
      <c r="G1089" s="67" t="s">
        <v>829</v>
      </c>
      <c r="H1089" s="72" t="s">
        <v>816</v>
      </c>
      <c r="I1089" s="441"/>
      <c r="J1089" s="441"/>
      <c r="K1089" s="432"/>
      <c r="L1089" s="441"/>
      <c r="M1089" s="65">
        <v>1743580</v>
      </c>
      <c r="N1089" s="66" t="s">
        <v>9</v>
      </c>
      <c r="O1089" s="66" t="s">
        <v>63</v>
      </c>
      <c r="P1089" s="82" t="str">
        <f>IF(AND('331-CT'!$E$7=TH!H1089,OR(N1089="331",O1089="331")),"x","")</f>
        <v/>
      </c>
      <c r="Q1089" s="82" t="str">
        <f>IF(AND(B1089='111'!$L$11,OR($N1089=$Q$7,$O1089=$Q$7)),"x","")</f>
        <v/>
      </c>
      <c r="R1089" s="82" t="str">
        <f>IF(AND($N1089=$Q$7,$B1089&lt;'111'!$L$11),"x","")</f>
        <v/>
      </c>
      <c r="S1089" s="82" t="str">
        <f>IF(AND($O1089=$Q$7,$B1089&lt;'111'!$L$11),"x","")</f>
        <v>x</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x</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row>
    <row r="1090" spans="1:31" ht="15.75" customHeight="1">
      <c r="A1090" s="334" t="str">
        <f>IF(B1090&lt;&gt;"",IF(AND(B1090='IN-TC'!$S$4,OR(TH!N1090="1111",TH!O1090="1111")),TH!D1090,""),"")</f>
        <v/>
      </c>
      <c r="B1090" s="63">
        <f t="shared" si="176"/>
        <v>1</v>
      </c>
      <c r="C1090" s="64">
        <v>42387</v>
      </c>
      <c r="D1090" s="64" t="s">
        <v>702</v>
      </c>
      <c r="E1090" s="64">
        <v>42387</v>
      </c>
      <c r="F1090" s="67" t="s">
        <v>744</v>
      </c>
      <c r="G1090" s="67" t="s">
        <v>915</v>
      </c>
      <c r="H1090" s="67" t="s">
        <v>720</v>
      </c>
      <c r="I1090" s="437"/>
      <c r="J1090" s="437"/>
      <c r="K1090" s="428"/>
      <c r="L1090" s="437"/>
      <c r="M1090" s="65">
        <v>3087650</v>
      </c>
      <c r="N1090" s="66" t="s">
        <v>99</v>
      </c>
      <c r="O1090" s="66" t="s">
        <v>26</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row>
    <row r="1091" spans="1:31" ht="15.75" customHeight="1">
      <c r="A1091" s="334" t="str">
        <f>IF(B1091&lt;&gt;"",IF(AND(B1091='IN-TC'!$S$4,OR(TH!N1091="1111",TH!O1091="1111")),TH!D1091,""),"")</f>
        <v/>
      </c>
      <c r="B1091" s="63">
        <f t="shared" si="176"/>
        <v>1</v>
      </c>
      <c r="C1091" s="64">
        <v>42387</v>
      </c>
      <c r="D1091" s="64" t="s">
        <v>702</v>
      </c>
      <c r="E1091" s="64">
        <v>42387</v>
      </c>
      <c r="F1091" s="67" t="s">
        <v>745</v>
      </c>
      <c r="G1091" s="67" t="s">
        <v>915</v>
      </c>
      <c r="H1091" s="67" t="s">
        <v>721</v>
      </c>
      <c r="I1091" s="437"/>
      <c r="J1091" s="437"/>
      <c r="K1091" s="428"/>
      <c r="L1091" s="437"/>
      <c r="M1091" s="65">
        <v>3859450</v>
      </c>
      <c r="N1091" s="66" t="s">
        <v>99</v>
      </c>
      <c r="O1091" s="66" t="s">
        <v>26</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row>
    <row r="1092" spans="1:31" ht="15.75" customHeight="1">
      <c r="A1092" s="334" t="str">
        <f>IF(B1092&lt;&gt;"",IF(AND(B1092='IN-TC'!$S$4,OR(TH!N1092="1111",TH!O1092="1111")),TH!D1092,""),"")</f>
        <v/>
      </c>
      <c r="B1092" s="63">
        <f t="shared" si="176"/>
        <v>1</v>
      </c>
      <c r="C1092" s="64">
        <v>42387</v>
      </c>
      <c r="D1092" s="64" t="s">
        <v>702</v>
      </c>
      <c r="E1092" s="64">
        <v>42387</v>
      </c>
      <c r="F1092" s="343" t="s">
        <v>746</v>
      </c>
      <c r="G1092" s="67" t="s">
        <v>915</v>
      </c>
      <c r="H1092" s="342" t="s">
        <v>714</v>
      </c>
      <c r="I1092" s="441"/>
      <c r="J1092" s="441"/>
      <c r="K1092" s="432"/>
      <c r="L1092" s="441"/>
      <c r="M1092" s="65">
        <v>7490746</v>
      </c>
      <c r="N1092" s="66" t="s">
        <v>99</v>
      </c>
      <c r="O1092" s="66" t="s">
        <v>26</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row>
    <row r="1093" spans="1:31" ht="15.75" customHeight="1">
      <c r="A1093" s="334" t="str">
        <f>IF(B1093&lt;&gt;"",IF(AND(B1093='IN-TC'!$S$4,OR(TH!N1093="1111",TH!O1093="1111")),TH!D1093,""),"")</f>
        <v/>
      </c>
      <c r="B1093" s="63">
        <f t="shared" si="176"/>
        <v>1</v>
      </c>
      <c r="C1093" s="64">
        <v>42387</v>
      </c>
      <c r="D1093" s="64" t="s">
        <v>892</v>
      </c>
      <c r="E1093" s="64">
        <v>42387</v>
      </c>
      <c r="F1093" s="343" t="s">
        <v>788</v>
      </c>
      <c r="G1093" s="67" t="s">
        <v>830</v>
      </c>
      <c r="H1093" s="344" t="s">
        <v>805</v>
      </c>
      <c r="I1093" s="441"/>
      <c r="J1093" s="441"/>
      <c r="K1093" s="432"/>
      <c r="L1093" s="441"/>
      <c r="M1093" s="65">
        <v>1346136</v>
      </c>
      <c r="N1093" s="66" t="s">
        <v>101</v>
      </c>
      <c r="O1093" s="66" t="s">
        <v>63</v>
      </c>
      <c r="P1093" s="82" t="str">
        <f>IF(AND('331-CT'!$E$7=TH!H1093,OR(N1093="331",O1093="331")),"x","")</f>
        <v/>
      </c>
      <c r="Q1093" s="82" t="str">
        <f>IF(AND(B1093='111'!$L$11,OR($N1093=$Q$7,$O1093=$Q$7)),"x","")</f>
        <v/>
      </c>
      <c r="R1093" s="82" t="str">
        <f>IF(AND($N1093=$Q$7,$B1093&lt;'111'!$L$11),"x","")</f>
        <v/>
      </c>
      <c r="S1093" s="82" t="str">
        <f>IF(AND($O1093=$Q$7,$B1093&lt;'111'!$L$11),"x","")</f>
        <v>x</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row>
    <row r="1094" spans="1:31" ht="15.75" customHeight="1">
      <c r="A1094" s="334" t="str">
        <f>IF(B1094&lt;&gt;"",IF(AND(B1094='IN-TC'!$S$4,OR(TH!N1094="1111",TH!O1094="1111")),TH!D1094,""),"")</f>
        <v/>
      </c>
      <c r="B1094" s="63">
        <f t="shared" si="176"/>
        <v>1</v>
      </c>
      <c r="C1094" s="64">
        <v>42387</v>
      </c>
      <c r="D1094" s="64" t="s">
        <v>892</v>
      </c>
      <c r="E1094" s="64">
        <v>42387</v>
      </c>
      <c r="F1094" s="343" t="s">
        <v>789</v>
      </c>
      <c r="G1094" s="67" t="s">
        <v>830</v>
      </c>
      <c r="H1094" s="72" t="s">
        <v>805</v>
      </c>
      <c r="I1094" s="437"/>
      <c r="J1094" s="437"/>
      <c r="K1094" s="428"/>
      <c r="L1094" s="437"/>
      <c r="M1094" s="65">
        <v>134614</v>
      </c>
      <c r="N1094" s="66" t="s">
        <v>9</v>
      </c>
      <c r="O1094" s="66" t="s">
        <v>63</v>
      </c>
      <c r="P1094" s="82" t="str">
        <f>IF(AND('331-CT'!$E$7=TH!H1094,OR(N1094="331",O1094="331")),"x","")</f>
        <v/>
      </c>
      <c r="Q1094" s="82" t="str">
        <f>IF(AND(B1094='111'!$L$11,OR($N1094=$Q$7,$O1094=$Q$7)),"x","")</f>
        <v/>
      </c>
      <c r="R1094" s="82" t="str">
        <f>IF(AND($N1094=$Q$7,$B1094&lt;'111'!$L$11),"x","")</f>
        <v/>
      </c>
      <c r="S1094" s="82" t="str">
        <f>IF(AND($O1094=$Q$7,$B1094&lt;'111'!$L$11),"x","")</f>
        <v>x</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x</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row>
    <row r="1095" spans="1:31" ht="15.75" customHeight="1">
      <c r="A1095" s="334" t="str">
        <f>IF(B1095&lt;&gt;"",IF(AND(B1095='IN-TC'!$S$4,OR(TH!N1095="1111",TH!O1095="1111")),TH!D1095,""),"")</f>
        <v/>
      </c>
      <c r="B1095" s="63">
        <f t="shared" ref="B1095:B1158" si="177">IF(C1095&lt;&gt;"",MONTH(C1095),"")</f>
        <v>1</v>
      </c>
      <c r="C1095" s="64">
        <v>42387</v>
      </c>
      <c r="D1095" s="64" t="s">
        <v>893</v>
      </c>
      <c r="E1095" s="64">
        <v>42387</v>
      </c>
      <c r="F1095" s="343" t="s">
        <v>777</v>
      </c>
      <c r="G1095" s="67" t="s">
        <v>668</v>
      </c>
      <c r="H1095" s="72" t="s">
        <v>672</v>
      </c>
      <c r="I1095" s="437"/>
      <c r="J1095" s="437"/>
      <c r="K1095" s="428"/>
      <c r="L1095" s="437"/>
      <c r="M1095" s="65">
        <v>15250000</v>
      </c>
      <c r="N1095" s="66" t="s">
        <v>8</v>
      </c>
      <c r="O1095" s="66" t="s">
        <v>63</v>
      </c>
      <c r="P1095" s="82" t="str">
        <f>IF(AND('331-CT'!$E$7=TH!H1095,OR(N1095="331",O1095="331")),"x","")</f>
        <v/>
      </c>
      <c r="Q1095" s="82" t="str">
        <f>IF(AND(B1095='111'!$L$11,OR($N1095=$Q$7,$O1095=$Q$7)),"x","")</f>
        <v/>
      </c>
      <c r="R1095" s="82" t="str">
        <f>IF(AND($N1095=$Q$7,$B1095&lt;'111'!$L$11),"x","")</f>
        <v/>
      </c>
      <c r="S1095" s="82" t="str">
        <f>IF(AND($O1095=$Q$7,$B1095&lt;'111'!$L$11),"x","")</f>
        <v>x</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s="1136" t="str">
        <f>IF(H1095&lt;&gt;VLOOKUP(H1095,DSKH,1,0),"","x")</f>
        <v>x</v>
      </c>
    </row>
    <row r="1096" spans="1:31" ht="15.75" customHeight="1">
      <c r="A1096" s="334" t="str">
        <f>IF(B1096&lt;&gt;"",IF(AND(B1096='IN-TC'!$S$4,OR(TH!N1096="1111",TH!O1096="1111")),TH!D1096,""),"")</f>
        <v/>
      </c>
      <c r="B1096" s="63">
        <f t="shared" si="177"/>
        <v>1</v>
      </c>
      <c r="C1096" s="64">
        <v>42388</v>
      </c>
      <c r="D1096" s="64" t="s">
        <v>894</v>
      </c>
      <c r="E1096" s="64">
        <v>42388</v>
      </c>
      <c r="F1096" s="343" t="s">
        <v>773</v>
      </c>
      <c r="G1096" s="67" t="s">
        <v>831</v>
      </c>
      <c r="H1096" s="72" t="s">
        <v>811</v>
      </c>
      <c r="I1096" s="437"/>
      <c r="J1096" s="437"/>
      <c r="K1096" s="428"/>
      <c r="L1096" s="437"/>
      <c r="M1096" s="65">
        <v>29145</v>
      </c>
      <c r="N1096" s="66" t="s">
        <v>101</v>
      </c>
      <c r="O1096" s="66" t="s">
        <v>63</v>
      </c>
      <c r="P1096" s="82" t="str">
        <f>IF(AND('331-CT'!$E$7=TH!H1096,OR(N1096="331",O1096="331")),"x","")</f>
        <v/>
      </c>
      <c r="Q1096" s="82" t="str">
        <f>IF(AND(B1096='111'!$L$11,OR($N1096=$Q$7,$O1096=$Q$7)),"x","")</f>
        <v/>
      </c>
      <c r="R1096" s="82" t="str">
        <f>IF(AND($N1096=$Q$7,$B1096&lt;'111'!$L$11),"x","")</f>
        <v/>
      </c>
      <c r="S1096" s="82" t="str">
        <f>IF(AND($O1096=$Q$7,$B1096&lt;'111'!$L$11),"x","")</f>
        <v>x</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row>
    <row r="1097" spans="1:31" ht="15.75" customHeight="1">
      <c r="A1097" s="334" t="str">
        <f>IF(B1097&lt;&gt;"",IF(AND(B1097='IN-TC'!$S$4,OR(TH!N1097="1111",TH!O1097="1111")),TH!D1097,""),"")</f>
        <v/>
      </c>
      <c r="B1097" s="63">
        <f t="shared" si="177"/>
        <v>1</v>
      </c>
      <c r="C1097" s="64">
        <v>42388</v>
      </c>
      <c r="D1097" s="64" t="s">
        <v>894</v>
      </c>
      <c r="E1097" s="64">
        <v>42388</v>
      </c>
      <c r="F1097" s="343" t="s">
        <v>774</v>
      </c>
      <c r="G1097" s="67" t="s">
        <v>831</v>
      </c>
      <c r="H1097" s="344" t="s">
        <v>811</v>
      </c>
      <c r="I1097" s="441"/>
      <c r="J1097" s="441"/>
      <c r="K1097" s="432"/>
      <c r="L1097" s="441"/>
      <c r="M1097" s="65">
        <v>2915</v>
      </c>
      <c r="N1097" s="66" t="s">
        <v>9</v>
      </c>
      <c r="O1097" s="66" t="s">
        <v>63</v>
      </c>
      <c r="P1097" s="82" t="str">
        <f>IF(AND('331-CT'!$E$7=TH!H1097,OR(N1097="331",O1097="331")),"x","")</f>
        <v/>
      </c>
      <c r="Q1097" s="82" t="str">
        <f>IF(AND(B1097='111'!$L$11,OR($N1097=$Q$7,$O1097=$Q$7)),"x","")</f>
        <v/>
      </c>
      <c r="R1097" s="82" t="str">
        <f>IF(AND($N1097=$Q$7,$B1097&lt;'111'!$L$11),"x","")</f>
        <v/>
      </c>
      <c r="S1097" s="82" t="str">
        <f>IF(AND($O1097=$Q$7,$B1097&lt;'111'!$L$11),"x","")</f>
        <v>x</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x</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row>
    <row r="1098" spans="1:31" ht="15.75" customHeight="1">
      <c r="A1098" s="334" t="str">
        <f>IF(B1098&lt;&gt;"",IF(AND(B1098='IN-TC'!$S$4,OR(TH!N1098="1111",TH!O1098="1111")),TH!D1098,""),"")</f>
        <v/>
      </c>
      <c r="B1098" s="63">
        <f t="shared" si="177"/>
        <v>1</v>
      </c>
      <c r="C1098" s="64">
        <v>42389</v>
      </c>
      <c r="D1098" s="64" t="s">
        <v>895</v>
      </c>
      <c r="E1098" s="64">
        <v>42389</v>
      </c>
      <c r="F1098" s="343" t="s">
        <v>773</v>
      </c>
      <c r="G1098" s="67" t="s">
        <v>832</v>
      </c>
      <c r="H1098" s="72" t="s">
        <v>805</v>
      </c>
      <c r="I1098" s="437"/>
      <c r="J1098" s="437"/>
      <c r="K1098" s="428"/>
      <c r="L1098" s="437"/>
      <c r="M1098" s="65">
        <v>689618</v>
      </c>
      <c r="N1098" s="66" t="s">
        <v>101</v>
      </c>
      <c r="O1098" s="66" t="s">
        <v>63</v>
      </c>
      <c r="P1098" s="82" t="str">
        <f>IF(AND('331-CT'!$E$7=TH!H1098,OR(N1098="331",O1098="331")),"x","")</f>
        <v/>
      </c>
      <c r="Q1098" s="82" t="str">
        <f>IF(AND(B1098='111'!$L$11,OR($N1098=$Q$7,$O1098=$Q$7)),"x","")</f>
        <v/>
      </c>
      <c r="R1098" s="82" t="str">
        <f>IF(AND($N1098=$Q$7,$B1098&lt;'111'!$L$11),"x","")</f>
        <v/>
      </c>
      <c r="S1098" s="82" t="str">
        <f>IF(AND($O1098=$Q$7,$B1098&lt;'111'!$L$11),"x","")</f>
        <v>x</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row>
    <row r="1099" spans="1:31" ht="15.75" customHeight="1">
      <c r="A1099" s="334" t="str">
        <f>IF(B1099&lt;&gt;"",IF(AND(B1099='IN-TC'!$S$4,OR(TH!N1099="1111",TH!O1099="1111")),TH!D1099,""),"")</f>
        <v/>
      </c>
      <c r="B1099" s="63">
        <f t="shared" si="177"/>
        <v>1</v>
      </c>
      <c r="C1099" s="64">
        <v>42389</v>
      </c>
      <c r="D1099" s="64" t="s">
        <v>895</v>
      </c>
      <c r="E1099" s="64">
        <v>42389</v>
      </c>
      <c r="F1099" s="343" t="s">
        <v>774</v>
      </c>
      <c r="G1099" s="67" t="s">
        <v>832</v>
      </c>
      <c r="H1099" s="72" t="s">
        <v>805</v>
      </c>
      <c r="I1099" s="437"/>
      <c r="J1099" s="437"/>
      <c r="K1099" s="428"/>
      <c r="L1099" s="437"/>
      <c r="M1099" s="65">
        <v>68962</v>
      </c>
      <c r="N1099" s="66" t="s">
        <v>9</v>
      </c>
      <c r="O1099" s="66" t="s">
        <v>63</v>
      </c>
      <c r="P1099" s="82" t="str">
        <f>IF(AND('331-CT'!$E$7=TH!H1099,OR(N1099="331",O1099="331")),"x","")</f>
        <v/>
      </c>
      <c r="Q1099" s="82" t="str">
        <f>IF(AND(B1099='111'!$L$11,OR($N1099=$Q$7,$O1099=$Q$7)),"x","")</f>
        <v/>
      </c>
      <c r="R1099" s="82" t="str">
        <f>IF(AND($N1099=$Q$7,$B1099&lt;'111'!$L$11),"x","")</f>
        <v/>
      </c>
      <c r="S1099" s="82" t="str">
        <f>IF(AND($O1099=$Q$7,$B1099&lt;'111'!$L$11),"x","")</f>
        <v>x</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x</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row>
    <row r="1100" spans="1:31" ht="15.75" customHeight="1">
      <c r="A1100" s="334" t="str">
        <f>IF(B1100&lt;&gt;"",IF(AND(B1100='IN-TC'!$S$4,OR(TH!N1100="1111",TH!O1100="1111")),TH!D1100,""),"")</f>
        <v/>
      </c>
      <c r="B1100" s="63">
        <f t="shared" si="177"/>
        <v>1</v>
      </c>
      <c r="C1100" s="64">
        <v>42390</v>
      </c>
      <c r="D1100" s="64" t="s">
        <v>896</v>
      </c>
      <c r="E1100" s="64">
        <v>42390</v>
      </c>
      <c r="F1100" s="343" t="s">
        <v>768</v>
      </c>
      <c r="G1100" s="67" t="s">
        <v>833</v>
      </c>
      <c r="H1100" s="344" t="s">
        <v>805</v>
      </c>
      <c r="I1100" s="441"/>
      <c r="J1100" s="441"/>
      <c r="K1100" s="432"/>
      <c r="L1100" s="441"/>
      <c r="M1100" s="65">
        <v>380182</v>
      </c>
      <c r="N1100" s="66" t="s">
        <v>101</v>
      </c>
      <c r="O1100" s="66" t="s">
        <v>63</v>
      </c>
      <c r="P1100" s="82" t="str">
        <f>IF(AND('331-CT'!$E$7=TH!H1100,OR(N1100="331",O1100="331")),"x","")</f>
        <v/>
      </c>
      <c r="Q1100" s="82" t="str">
        <f>IF(AND(B1100='111'!$L$11,OR($N1100=$Q$7,$O1100=$Q$7)),"x","")</f>
        <v/>
      </c>
      <c r="R1100" s="82" t="str">
        <f>IF(AND($N1100=$Q$7,$B1100&lt;'111'!$L$11),"x","")</f>
        <v/>
      </c>
      <c r="S1100" s="82" t="str">
        <f>IF(AND($O1100=$Q$7,$B1100&lt;'111'!$L$11),"x","")</f>
        <v>x</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customHeight="1">
      <c r="A1101" s="334" t="str">
        <f>IF(B1101&lt;&gt;"",IF(AND(B1101='IN-TC'!$S$4,OR(TH!N1101="1111",TH!O1101="1111")),TH!D1101,""),"")</f>
        <v/>
      </c>
      <c r="B1101" s="63">
        <f t="shared" si="177"/>
        <v>1</v>
      </c>
      <c r="C1101" s="64">
        <v>42390</v>
      </c>
      <c r="D1101" s="64" t="s">
        <v>896</v>
      </c>
      <c r="E1101" s="64">
        <v>42390</v>
      </c>
      <c r="F1101" s="343" t="s">
        <v>769</v>
      </c>
      <c r="G1101" s="67" t="s">
        <v>833</v>
      </c>
      <c r="H1101" s="72" t="s">
        <v>805</v>
      </c>
      <c r="I1101" s="437"/>
      <c r="J1101" s="437"/>
      <c r="K1101" s="428"/>
      <c r="L1101" s="437"/>
      <c r="M1101" s="65">
        <v>38018</v>
      </c>
      <c r="N1101" s="66" t="s">
        <v>9</v>
      </c>
      <c r="O1101" s="66" t="s">
        <v>63</v>
      </c>
      <c r="P1101" s="82" t="str">
        <f>IF(AND('331-CT'!$E$7=TH!H1101,OR(N1101="331",O1101="331")),"x","")</f>
        <v/>
      </c>
      <c r="Q1101" s="82" t="str">
        <f>IF(AND(B1101='111'!$L$11,OR($N1101=$Q$7,$O1101=$Q$7)),"x","")</f>
        <v/>
      </c>
      <c r="R1101" s="82" t="str">
        <f>IF(AND($N1101=$Q$7,$B1101&lt;'111'!$L$11),"x","")</f>
        <v/>
      </c>
      <c r="S1101" s="82" t="str">
        <f>IF(AND($O1101=$Q$7,$B1101&lt;'111'!$L$11),"x","")</f>
        <v>x</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x</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row>
    <row r="1102" spans="1:31" ht="15.75" customHeight="1">
      <c r="A1102" s="334" t="str">
        <f>IF(B1102&lt;&gt;"",IF(AND(B1102='IN-TC'!$S$4,OR(TH!N1102="1111",TH!O1102="1111")),TH!D1102,""),"")</f>
        <v/>
      </c>
      <c r="B1102" s="63">
        <f t="shared" si="177"/>
        <v>1</v>
      </c>
      <c r="C1102" s="78">
        <f>E1102</f>
        <v>42390</v>
      </c>
      <c r="D1102" s="64" t="s">
        <v>897</v>
      </c>
      <c r="E1102" s="78">
        <v>42390</v>
      </c>
      <c r="F1102" s="343" t="s">
        <v>960</v>
      </c>
      <c r="G1102" s="79"/>
      <c r="H1102" s="80" t="s">
        <v>959</v>
      </c>
      <c r="I1102" s="435"/>
      <c r="J1102" s="435"/>
      <c r="K1102" s="426"/>
      <c r="L1102" s="435"/>
      <c r="M1102" s="81">
        <v>500000000</v>
      </c>
      <c r="N1102" s="82" t="s">
        <v>272</v>
      </c>
      <c r="O1102" s="66" t="s">
        <v>63</v>
      </c>
      <c r="P1102" s="82" t="str">
        <f>IF(AND('331-CT'!$E$7=TH!H1102,OR(N1102="331",O1102="331")),"x","")</f>
        <v/>
      </c>
      <c r="Q1102" s="82" t="str">
        <f>IF(AND(B1102='111'!$L$11,OR($N1102=$Q$7,$O1102=$Q$7)),"x","")</f>
        <v/>
      </c>
      <c r="R1102" s="82" t="str">
        <f>IF(AND($N1102=$Q$7,$B1102&lt;'111'!$L$11),"x","")</f>
        <v/>
      </c>
      <c r="S1102" s="82" t="str">
        <f>IF(AND($O1102=$Q$7,$B1102&lt;'111'!$L$11),"x","")</f>
        <v>x</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customHeight="1">
      <c r="A1103" s="334" t="str">
        <f>IF(B1103&lt;&gt;"",IF(AND(B1103='IN-TC'!$S$4,OR(TH!N1103="1111",TH!O1103="1111")),TH!D1103,""),"")</f>
        <v/>
      </c>
      <c r="B1103" s="63">
        <f t="shared" si="177"/>
        <v>1</v>
      </c>
      <c r="C1103" s="64">
        <v>42391</v>
      </c>
      <c r="D1103" s="64" t="s">
        <v>898</v>
      </c>
      <c r="E1103" s="64">
        <v>42391</v>
      </c>
      <c r="F1103" s="343" t="s">
        <v>736</v>
      </c>
      <c r="G1103" s="67" t="s">
        <v>914</v>
      </c>
      <c r="H1103" s="67" t="s">
        <v>760</v>
      </c>
      <c r="I1103" s="439"/>
      <c r="J1103" s="439"/>
      <c r="K1103" s="430"/>
      <c r="L1103" s="439"/>
      <c r="M1103" s="65">
        <v>20000000</v>
      </c>
      <c r="N1103" s="66" t="s">
        <v>26</v>
      </c>
      <c r="O1103" s="66" t="s">
        <v>63</v>
      </c>
      <c r="P1103" s="82" t="str">
        <f>IF(AND('331-CT'!$E$7=TH!H1103,OR(N1103="331",O1103="331")),"x","")</f>
        <v/>
      </c>
      <c r="Q1103" s="82" t="str">
        <f>IF(AND(B1103='111'!$L$11,OR($N1103=$Q$7,$O1103=$Q$7)),"x","")</f>
        <v/>
      </c>
      <c r="R1103" s="82" t="str">
        <f>IF(AND($N1103=$Q$7,$B1103&lt;'111'!$L$11),"x","")</f>
        <v/>
      </c>
      <c r="S1103" s="82" t="str">
        <f>IF(AND($O1103=$Q$7,$B1103&lt;'111'!$L$11),"x","")</f>
        <v>x</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customHeight="1">
      <c r="A1104" s="334" t="str">
        <f>IF(B1104&lt;&gt;"",IF(AND(B1104='IN-TC'!$S$4,OR(TH!N1104="1111",TH!O1104="1111")),TH!D1104,""),"")</f>
        <v/>
      </c>
      <c r="B1104" s="63">
        <f t="shared" si="177"/>
        <v>1</v>
      </c>
      <c r="C1104" s="64">
        <v>42391</v>
      </c>
      <c r="D1104" s="64" t="s">
        <v>702</v>
      </c>
      <c r="E1104" s="64">
        <v>42391</v>
      </c>
      <c r="F1104" s="343" t="s">
        <v>753</v>
      </c>
      <c r="G1104" s="67" t="s">
        <v>914</v>
      </c>
      <c r="H1104" s="72" t="s">
        <v>716</v>
      </c>
      <c r="I1104" s="437"/>
      <c r="J1104" s="437"/>
      <c r="K1104" s="428"/>
      <c r="L1104" s="437"/>
      <c r="M1104" s="65">
        <v>4045251</v>
      </c>
      <c r="N1104" s="66" t="s">
        <v>99</v>
      </c>
      <c r="O1104" s="66" t="s">
        <v>26</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customHeight="1">
      <c r="A1105" s="334" t="str">
        <f>IF(B1105&lt;&gt;"",IF(AND(B1105='IN-TC'!$S$4,OR(TH!N1105="1111",TH!O1105="1111")),TH!D1105,""),"")</f>
        <v/>
      </c>
      <c r="B1105" s="63">
        <f t="shared" si="177"/>
        <v>1</v>
      </c>
      <c r="C1105" s="64">
        <v>42391</v>
      </c>
      <c r="D1105" s="64" t="s">
        <v>702</v>
      </c>
      <c r="E1105" s="64">
        <v>42391</v>
      </c>
      <c r="F1105" s="343" t="s">
        <v>754</v>
      </c>
      <c r="G1105" s="67" t="s">
        <v>914</v>
      </c>
      <c r="H1105" s="72" t="s">
        <v>726</v>
      </c>
      <c r="I1105" s="437"/>
      <c r="J1105" s="437"/>
      <c r="K1105" s="428"/>
      <c r="L1105" s="437"/>
      <c r="M1105" s="65">
        <v>7783659</v>
      </c>
      <c r="N1105" s="66" t="s">
        <v>99</v>
      </c>
      <c r="O1105" s="66" t="s">
        <v>26</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customHeight="1">
      <c r="A1106" s="334" t="str">
        <f>IF(B1106&lt;&gt;"",IF(AND(B1106='IN-TC'!$S$4,OR(TH!N1106="1111",TH!O1106="1111")),TH!D1106,""),"")</f>
        <v/>
      </c>
      <c r="B1106" s="63">
        <f t="shared" si="177"/>
        <v>1</v>
      </c>
      <c r="C1106" s="64">
        <v>42391</v>
      </c>
      <c r="D1106" s="64" t="s">
        <v>702</v>
      </c>
      <c r="E1106" s="64">
        <v>42391</v>
      </c>
      <c r="F1106" s="343" t="s">
        <v>755</v>
      </c>
      <c r="G1106" s="67" t="s">
        <v>914</v>
      </c>
      <c r="H1106" s="72" t="s">
        <v>727</v>
      </c>
      <c r="I1106" s="437"/>
      <c r="J1106" s="437"/>
      <c r="K1106" s="428"/>
      <c r="L1106" s="437"/>
      <c r="M1106" s="65">
        <v>5878679</v>
      </c>
      <c r="N1106" s="66" t="s">
        <v>99</v>
      </c>
      <c r="O1106" s="66" t="s">
        <v>26</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customHeight="1">
      <c r="A1107" s="334" t="str">
        <f>IF(B1107&lt;&gt;"",IF(AND(B1107='IN-TC'!$S$4,OR(TH!N1107="1111",TH!O1107="1111")),TH!D1107,""),"")</f>
        <v/>
      </c>
      <c r="B1107" s="63">
        <f t="shared" si="177"/>
        <v>1</v>
      </c>
      <c r="C1107" s="64">
        <v>42391</v>
      </c>
      <c r="D1107" s="64" t="s">
        <v>702</v>
      </c>
      <c r="E1107" s="64">
        <v>42391</v>
      </c>
      <c r="F1107" s="343" t="s">
        <v>756</v>
      </c>
      <c r="G1107" s="67" t="s">
        <v>914</v>
      </c>
      <c r="H1107" s="72" t="s">
        <v>728</v>
      </c>
      <c r="I1107" s="437"/>
      <c r="J1107" s="437"/>
      <c r="K1107" s="428"/>
      <c r="L1107" s="437"/>
      <c r="M1107" s="65">
        <v>2964125</v>
      </c>
      <c r="N1107" s="66" t="s">
        <v>99</v>
      </c>
      <c r="O1107" s="66" t="s">
        <v>26</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customHeight="1">
      <c r="A1108" s="334" t="str">
        <f>IF(B1108&lt;&gt;"",IF(AND(B1108='IN-TC'!$S$4,OR(TH!N1108="1111",TH!O1108="1111")),TH!D1108,""),"")</f>
        <v/>
      </c>
      <c r="B1108" s="63">
        <f t="shared" si="177"/>
        <v>1</v>
      </c>
      <c r="C1108" s="64">
        <v>42392</v>
      </c>
      <c r="D1108" s="64" t="s">
        <v>699</v>
      </c>
      <c r="E1108" s="64">
        <v>42392</v>
      </c>
      <c r="F1108" s="343" t="s">
        <v>735</v>
      </c>
      <c r="G1108" s="67" t="s">
        <v>915</v>
      </c>
      <c r="H1108" s="72"/>
      <c r="I1108" s="437"/>
      <c r="J1108" s="437"/>
      <c r="K1108" s="428"/>
      <c r="L1108" s="437"/>
      <c r="M1108" s="65">
        <v>4172</v>
      </c>
      <c r="N1108" s="66" t="s">
        <v>26</v>
      </c>
      <c r="O1108" s="66" t="s">
        <v>43</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customHeight="1">
      <c r="A1109" s="334" t="str">
        <f>IF(B1109&lt;&gt;"",IF(AND(B1109='IN-TC'!$S$4,OR(TH!N1109="1111",TH!O1109="1111")),TH!D1109,""),"")</f>
        <v/>
      </c>
      <c r="B1109" s="63">
        <f t="shared" si="177"/>
        <v>1</v>
      </c>
      <c r="C1109" s="64">
        <v>42392</v>
      </c>
      <c r="D1109" s="64" t="s">
        <v>699</v>
      </c>
      <c r="E1109" s="64">
        <v>42392</v>
      </c>
      <c r="F1109" s="343" t="s">
        <v>737</v>
      </c>
      <c r="G1109" s="67" t="s">
        <v>914</v>
      </c>
      <c r="H1109" s="67"/>
      <c r="I1109" s="437"/>
      <c r="J1109" s="437"/>
      <c r="K1109" s="428"/>
      <c r="L1109" s="437"/>
      <c r="M1109" s="65">
        <v>1541</v>
      </c>
      <c r="N1109" s="66" t="s">
        <v>26</v>
      </c>
      <c r="O1109" s="66" t="s">
        <v>43</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s="345" customFormat="1" ht="15.75" customHeight="1">
      <c r="A1110" s="334" t="str">
        <f>IF(B1110&lt;&gt;"",IF(AND(B1110='IN-TC'!$S$4,OR(TH!N1110="1111",TH!O1110="1111")),TH!D1110,""),"")</f>
        <v/>
      </c>
      <c r="B1110" s="63">
        <f t="shared" si="177"/>
        <v>1</v>
      </c>
      <c r="C1110" s="78">
        <f>E1110</f>
        <v>42392</v>
      </c>
      <c r="D1110" s="78" t="s">
        <v>900</v>
      </c>
      <c r="E1110" s="78">
        <v>42392</v>
      </c>
      <c r="F1110" s="343" t="s">
        <v>960</v>
      </c>
      <c r="G1110" s="79"/>
      <c r="H1110" s="80" t="s">
        <v>959</v>
      </c>
      <c r="I1110" s="435"/>
      <c r="J1110" s="435"/>
      <c r="K1110" s="426"/>
      <c r="L1110" s="435"/>
      <c r="M1110" s="81">
        <v>500000000</v>
      </c>
      <c r="N1110" s="82" t="s">
        <v>272</v>
      </c>
      <c r="O1110" s="66" t="s">
        <v>63</v>
      </c>
      <c r="P1110" s="82" t="str">
        <f>IF(AND('331-CT'!$E$7=TH!H1110,OR(N1110="331",O1110="331")),"x","")</f>
        <v/>
      </c>
      <c r="Q1110" s="82" t="str">
        <f>IF(AND(B1110='111'!$L$11,OR($N1110=$Q$7,$O1110=$Q$7)),"x","")</f>
        <v/>
      </c>
      <c r="R1110" s="82" t="str">
        <f>IF(AND($N1110=$Q$7,$B1110&lt;'111'!$L$11),"x","")</f>
        <v/>
      </c>
      <c r="S1110" s="82" t="str">
        <f>IF(AND($O1110=$Q$7,$B1110&lt;'111'!$L$11),"x","")</f>
        <v>x</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customHeight="1">
      <c r="A1111" s="334" t="str">
        <f>IF(B1111&lt;&gt;"",IF(AND(B1111='IN-TC'!$S$4,OR(TH!N1111="1111",TH!O1111="1111")),TH!D1111,""),"")</f>
        <v/>
      </c>
      <c r="B1111" s="63">
        <f t="shared" si="177"/>
        <v>1</v>
      </c>
      <c r="C1111" s="64">
        <v>42393</v>
      </c>
      <c r="D1111" s="64" t="s">
        <v>901</v>
      </c>
      <c r="E1111" s="64">
        <v>42393</v>
      </c>
      <c r="F1111" s="343" t="s">
        <v>788</v>
      </c>
      <c r="G1111" s="67" t="s">
        <v>834</v>
      </c>
      <c r="H1111" s="72" t="s">
        <v>805</v>
      </c>
      <c r="I1111" s="437"/>
      <c r="J1111" s="437"/>
      <c r="K1111" s="428"/>
      <c r="L1111" s="437"/>
      <c r="M1111" s="65">
        <v>1137764</v>
      </c>
      <c r="N1111" s="66" t="s">
        <v>101</v>
      </c>
      <c r="O1111" s="66" t="s">
        <v>63</v>
      </c>
      <c r="P1111" s="82" t="str">
        <f>IF(AND('331-CT'!$E$7=TH!H1111,OR(N1111="331",O1111="331")),"x","")</f>
        <v/>
      </c>
      <c r="Q1111" s="82" t="str">
        <f>IF(AND(B1111='111'!$L$11,OR($N1111=$Q$7,$O1111=$Q$7)),"x","")</f>
        <v/>
      </c>
      <c r="R1111" s="82" t="str">
        <f>IF(AND($N1111=$Q$7,$B1111&lt;'111'!$L$11),"x","")</f>
        <v/>
      </c>
      <c r="S1111" s="82" t="str">
        <f>IF(AND($O1111=$Q$7,$B1111&lt;'111'!$L$11),"x","")</f>
        <v>x</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customHeight="1">
      <c r="A1112" s="334" t="str">
        <f>IF(B1112&lt;&gt;"",IF(AND(B1112='IN-TC'!$S$4,OR(TH!N1112="1111",TH!O1112="1111")),TH!D1112,""),"")</f>
        <v/>
      </c>
      <c r="B1112" s="63">
        <f t="shared" si="177"/>
        <v>1</v>
      </c>
      <c r="C1112" s="64">
        <v>42393</v>
      </c>
      <c r="D1112" s="64" t="s">
        <v>901</v>
      </c>
      <c r="E1112" s="64">
        <v>42393</v>
      </c>
      <c r="F1112" s="343" t="s">
        <v>789</v>
      </c>
      <c r="G1112" s="67" t="s">
        <v>834</v>
      </c>
      <c r="H1112" s="344" t="s">
        <v>805</v>
      </c>
      <c r="I1112" s="441"/>
      <c r="J1112" s="441"/>
      <c r="K1112" s="432"/>
      <c r="L1112" s="441"/>
      <c r="M1112" s="65">
        <v>113776</v>
      </c>
      <c r="N1112" s="66" t="s">
        <v>9</v>
      </c>
      <c r="O1112" s="66" t="s">
        <v>63</v>
      </c>
      <c r="P1112" s="82" t="str">
        <f>IF(AND('331-CT'!$E$7=TH!H1112,OR(N1112="331",O1112="331")),"x","")</f>
        <v/>
      </c>
      <c r="Q1112" s="82" t="str">
        <f>IF(AND(B1112='111'!$L$11,OR($N1112=$Q$7,$O1112=$Q$7)),"x","")</f>
        <v/>
      </c>
      <c r="R1112" s="82" t="str">
        <f>IF(AND($N1112=$Q$7,$B1112&lt;'111'!$L$11),"x","")</f>
        <v/>
      </c>
      <c r="S1112" s="82" t="str">
        <f>IF(AND($O1112=$Q$7,$B1112&lt;'111'!$L$11),"x","")</f>
        <v>x</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x</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customHeight="1">
      <c r="A1113" s="334" t="str">
        <f>IF(B1113&lt;&gt;"",IF(AND(B1113='IN-TC'!$S$4,OR(TH!N1113="1111",TH!O1113="1111")),TH!D1113,""),"")</f>
        <v/>
      </c>
      <c r="B1113" s="63">
        <f t="shared" si="177"/>
        <v>1</v>
      </c>
      <c r="C1113" s="64">
        <v>42394</v>
      </c>
      <c r="D1113" s="64" t="s">
        <v>702</v>
      </c>
      <c r="E1113" s="64">
        <v>42394</v>
      </c>
      <c r="F1113" s="343" t="s">
        <v>707</v>
      </c>
      <c r="G1113" s="67" t="s">
        <v>915</v>
      </c>
      <c r="H1113" s="72"/>
      <c r="I1113" s="437"/>
      <c r="J1113" s="437"/>
      <c r="K1113" s="428">
        <v>15</v>
      </c>
      <c r="L1113" s="437">
        <v>22370</v>
      </c>
      <c r="M1113" s="81">
        <f>ROUND(K1113*L1113,0)</f>
        <v>335550</v>
      </c>
      <c r="N1113" s="66" t="s">
        <v>101</v>
      </c>
      <c r="O1113" s="66" t="s">
        <v>266</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customHeight="1">
      <c r="A1114" s="334" t="str">
        <f>IF(B1114&lt;&gt;"",IF(AND(B1114='IN-TC'!$S$4,OR(TH!N1114="1111",TH!O1114="1111")),TH!D1114,""),"")</f>
        <v/>
      </c>
      <c r="B1114" s="63">
        <f t="shared" si="177"/>
        <v>1</v>
      </c>
      <c r="C1114" s="64">
        <v>42394</v>
      </c>
      <c r="D1114" s="64" t="s">
        <v>702</v>
      </c>
      <c r="E1114" s="64">
        <v>42394</v>
      </c>
      <c r="F1114" s="343" t="s">
        <v>708</v>
      </c>
      <c r="G1114" s="67" t="s">
        <v>915</v>
      </c>
      <c r="H1114" s="72"/>
      <c r="I1114" s="437"/>
      <c r="J1114" s="437"/>
      <c r="K1114" s="428">
        <v>1.5</v>
      </c>
      <c r="L1114" s="437">
        <v>22370</v>
      </c>
      <c r="M1114" s="81">
        <f>ROUND(K1114*L1114,0)</f>
        <v>33555</v>
      </c>
      <c r="N1114" s="66" t="s">
        <v>9</v>
      </c>
      <c r="O1114" s="66" t="s">
        <v>266</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x</v>
      </c>
      <c r="Y1114" s="82" t="str">
        <f>IF(AND(OR(N1114="131",O1114="131"),H1114='131-CT'!$H$9),"x","")</f>
        <v/>
      </c>
      <c r="Z1114" s="82"/>
      <c r="AA1114" s="82" t="str">
        <f>IF(AND(MONTH(E1114)='IN-NX'!$J$5,'IN-NX'!$D$7=D1114),"x","")</f>
        <v/>
      </c>
      <c r="AB1114" s="82" t="str">
        <f>IF(AND(OR(LEFT(TH!N1114,2)="15",LEFT(TH!O1114,2)="15"),LEFT(TH!O1114,3)&lt;&gt;"111",'152-CT'!$J$8=TH!F1114),"x","")</f>
        <v/>
      </c>
      <c r="AC1114" s="82" t="str">
        <f>IF(AND(OR(LEFT(TH!N1114,2)="15",LEFT(TH!O1114,2)="15"),TK!$E$7=TH!F1114),"x","")</f>
        <v/>
      </c>
      <c r="AD1114" s="82" t="str">
        <f>IF(AND(N1114="1521",MONTH(C1114)='BK-NL'!$M$11),"x","")</f>
        <v/>
      </c>
    </row>
    <row r="1115" spans="1:30" ht="15.75" customHeight="1">
      <c r="A1115" s="334" t="str">
        <f>IF(B1115&lt;&gt;"",IF(AND(B1115='IN-TC'!$S$4,OR(TH!N1115="1111",TH!O1115="1111")),TH!D1115,""),"")</f>
        <v/>
      </c>
      <c r="B1115" s="63">
        <f t="shared" si="177"/>
        <v>1</v>
      </c>
      <c r="C1115" s="64">
        <v>42394</v>
      </c>
      <c r="D1115" s="64" t="s">
        <v>903</v>
      </c>
      <c r="E1115" s="64">
        <v>42394</v>
      </c>
      <c r="F1115" s="343" t="s">
        <v>734</v>
      </c>
      <c r="G1115" s="67" t="s">
        <v>915</v>
      </c>
      <c r="H1115" s="72" t="s">
        <v>229</v>
      </c>
      <c r="I1115" s="437"/>
      <c r="J1115" s="437"/>
      <c r="K1115" s="428"/>
      <c r="L1115" s="437"/>
      <c r="M1115" s="65">
        <v>2168920000</v>
      </c>
      <c r="N1115" s="66" t="s">
        <v>26</v>
      </c>
      <c r="O1115" s="66" t="s">
        <v>63</v>
      </c>
      <c r="P1115" s="82" t="str">
        <f>IF(AND('331-CT'!$E$7=TH!H1115,OR(N1115="331",O1115="331")),"x","")</f>
        <v/>
      </c>
      <c r="Q1115" s="82" t="str">
        <f>IF(AND(B1115='111'!$L$11,OR($N1115=$Q$7,$O1115=$Q$7)),"x","")</f>
        <v/>
      </c>
      <c r="R1115" s="82" t="str">
        <f>IF(AND($N1115=$Q$7,$B1115&lt;'111'!$L$11),"x","")</f>
        <v/>
      </c>
      <c r="S1115" s="82" t="str">
        <f>IF(AND($O1115=$Q$7,$B1115&lt;'111'!$L$11),"x","")</f>
        <v>x</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row>
    <row r="1116" spans="1:30" ht="15.75" customHeight="1">
      <c r="A1116" s="334" t="str">
        <f>IF(B1116&lt;&gt;"",IF(AND(B1116='IN-TC'!$S$4,OR(TH!N1116="1111",TH!O1116="1111")),TH!D1116,""),"")</f>
        <v/>
      </c>
      <c r="B1116" s="63">
        <f t="shared" si="177"/>
        <v>1</v>
      </c>
      <c r="C1116" s="64">
        <v>42394</v>
      </c>
      <c r="D1116" s="64" t="s">
        <v>699</v>
      </c>
      <c r="E1116" s="64">
        <v>42394</v>
      </c>
      <c r="F1116" s="343" t="s">
        <v>701</v>
      </c>
      <c r="G1116" s="67" t="s">
        <v>915</v>
      </c>
      <c r="H1116" s="72"/>
      <c r="I1116" s="437"/>
      <c r="J1116" s="437"/>
      <c r="K1116" s="428">
        <v>97000</v>
      </c>
      <c r="L1116" s="437">
        <v>22360</v>
      </c>
      <c r="M1116" s="81">
        <f>ROUND(K1116*L1116,0)</f>
        <v>2168920000</v>
      </c>
      <c r="N1116" s="66" t="s">
        <v>266</v>
      </c>
      <c r="O1116" s="66" t="s">
        <v>26</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row>
    <row r="1117" spans="1:30" ht="15.75" customHeight="1">
      <c r="A1117" s="334" t="str">
        <f>IF(B1117&lt;&gt;"",IF(AND(B1117='IN-TC'!$S$4,OR(TH!N1117="1111",TH!O1117="1111")),TH!D1117,""),"")</f>
        <v/>
      </c>
      <c r="B1117" s="63">
        <f t="shared" si="177"/>
        <v>1</v>
      </c>
      <c r="C1117" s="64">
        <v>42394</v>
      </c>
      <c r="D1117" s="64" t="s">
        <v>702</v>
      </c>
      <c r="E1117" s="64">
        <v>42394</v>
      </c>
      <c r="F1117" s="67" t="s">
        <v>1880</v>
      </c>
      <c r="G1117" s="67" t="s">
        <v>915</v>
      </c>
      <c r="H1117" s="342" t="s">
        <v>714</v>
      </c>
      <c r="I1117" s="437"/>
      <c r="J1117" s="437"/>
      <c r="K1117" s="428"/>
      <c r="L1117" s="437"/>
      <c r="M1117" s="65">
        <v>2171830</v>
      </c>
      <c r="N1117" s="66" t="s">
        <v>99</v>
      </c>
      <c r="O1117" s="66" t="s">
        <v>26</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customHeight="1">
      <c r="A1118" s="334" t="str">
        <f>IF(B1118&lt;&gt;"",IF(AND(B1118='IN-TC'!$S$4,OR(TH!N1118="1111",TH!O1118="1111")),TH!D1118,""),"")</f>
        <v/>
      </c>
      <c r="B1118" s="63">
        <f t="shared" si="177"/>
        <v>1</v>
      </c>
      <c r="C1118" s="64">
        <v>42394</v>
      </c>
      <c r="D1118" s="64" t="s">
        <v>702</v>
      </c>
      <c r="E1118" s="64">
        <v>42394</v>
      </c>
      <c r="F1118" s="343" t="s">
        <v>713</v>
      </c>
      <c r="G1118" s="67" t="s">
        <v>915</v>
      </c>
      <c r="H1118" s="342" t="s">
        <v>714</v>
      </c>
      <c r="I1118" s="441"/>
      <c r="J1118" s="441"/>
      <c r="K1118" s="432">
        <v>97000</v>
      </c>
      <c r="L1118" s="441">
        <v>22360</v>
      </c>
      <c r="M1118" s="81">
        <f>ROUND(K1118*L1118,0)</f>
        <v>2168920000</v>
      </c>
      <c r="N1118" s="66" t="s">
        <v>260</v>
      </c>
      <c r="O1118" s="66" t="s">
        <v>266</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row>
    <row r="1119" spans="1:30" ht="15.75" customHeight="1">
      <c r="A1119" s="334" t="str">
        <f>IF(B1119&lt;&gt;"",IF(AND(B1119='IN-TC'!$S$4,OR(TH!N1119="1111",TH!O1119="1111")),TH!D1119,""),"")</f>
        <v/>
      </c>
      <c r="B1119" s="63">
        <f t="shared" si="177"/>
        <v>1</v>
      </c>
      <c r="C1119" s="64">
        <v>42394</v>
      </c>
      <c r="D1119" s="64" t="s">
        <v>579</v>
      </c>
      <c r="E1119" s="64">
        <v>42394</v>
      </c>
      <c r="F1119" s="343" t="s">
        <v>731</v>
      </c>
      <c r="G1119" s="67" t="s">
        <v>915</v>
      </c>
      <c r="H1119" s="342" t="s">
        <v>714</v>
      </c>
      <c r="I1119" s="437"/>
      <c r="J1119" s="437"/>
      <c r="K1119" s="428"/>
      <c r="L1119" s="437"/>
      <c r="M1119" s="65">
        <v>51895000</v>
      </c>
      <c r="N1119" s="66" t="s">
        <v>99</v>
      </c>
      <c r="O1119" s="66" t="s">
        <v>260</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customHeight="1">
      <c r="A1120" s="334" t="str">
        <f>IF(B1120&lt;&gt;"",IF(AND(B1120='IN-TC'!$S$4,OR(TH!N1120="1111",TH!O1120="1111")),TH!D1120,""),"")</f>
        <v/>
      </c>
      <c r="B1120" s="63">
        <f t="shared" si="177"/>
        <v>1</v>
      </c>
      <c r="C1120" s="340">
        <v>42394</v>
      </c>
      <c r="D1120" s="64" t="s">
        <v>699</v>
      </c>
      <c r="E1120" s="64">
        <v>42394</v>
      </c>
      <c r="F1120" s="67" t="s">
        <v>703</v>
      </c>
      <c r="G1120" s="67" t="s">
        <v>915</v>
      </c>
      <c r="H1120" s="72" t="s">
        <v>733</v>
      </c>
      <c r="I1120" s="437"/>
      <c r="J1120" s="437"/>
      <c r="K1120" s="428">
        <v>97000</v>
      </c>
      <c r="L1120" s="437">
        <v>22360</v>
      </c>
      <c r="M1120" s="81">
        <f>ROUND(K1120*L1120,0)</f>
        <v>2168920000</v>
      </c>
      <c r="N1120" s="66" t="s">
        <v>266</v>
      </c>
      <c r="O1120" s="66" t="s">
        <v>260</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row>
    <row r="1121" spans="1:30" ht="15.75" customHeight="1">
      <c r="A1121" s="334" t="str">
        <f>IF(B1121&lt;&gt;"",IF(AND(B1121='IN-TC'!$S$4,OR(TH!N1121="1111",TH!O1121="1111")),TH!D1121,""),"")</f>
        <v/>
      </c>
      <c r="B1121" s="63">
        <f t="shared" si="177"/>
        <v>1</v>
      </c>
      <c r="C1121" s="64">
        <v>42394</v>
      </c>
      <c r="D1121" s="64" t="s">
        <v>702</v>
      </c>
      <c r="E1121" s="64">
        <v>42394</v>
      </c>
      <c r="F1121" s="72" t="s">
        <v>1438</v>
      </c>
      <c r="G1121" s="67" t="s">
        <v>915</v>
      </c>
      <c r="H1121" s="72"/>
      <c r="I1121" s="437"/>
      <c r="J1121" s="437"/>
      <c r="K1121" s="428">
        <v>97000</v>
      </c>
      <c r="L1121" s="437">
        <v>22360</v>
      </c>
      <c r="M1121" s="81">
        <f>ROUND(K1121*L1121,0)</f>
        <v>2168920000</v>
      </c>
      <c r="N1121" s="66" t="s">
        <v>26</v>
      </c>
      <c r="O1121" s="66" t="s">
        <v>266</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customHeight="1">
      <c r="A1122" s="334" t="str">
        <f>IF(B1122&lt;&gt;"",IF(AND(B1122='IN-TC'!$S$4,OR(TH!N1122="1111",TH!O1122="1111")),TH!D1122,""),"")</f>
        <v/>
      </c>
      <c r="B1122" s="63">
        <f t="shared" si="177"/>
        <v>1</v>
      </c>
      <c r="C1122" s="64">
        <v>42394</v>
      </c>
      <c r="D1122" s="64" t="s">
        <v>902</v>
      </c>
      <c r="E1122" s="64">
        <v>42394</v>
      </c>
      <c r="F1122" s="67" t="s">
        <v>743</v>
      </c>
      <c r="G1122" s="67" t="s">
        <v>915</v>
      </c>
      <c r="H1122" s="73" t="s">
        <v>760</v>
      </c>
      <c r="I1122" s="441"/>
      <c r="J1122" s="441"/>
      <c r="K1122" s="432"/>
      <c r="L1122" s="441"/>
      <c r="M1122" s="65">
        <v>2168920000</v>
      </c>
      <c r="N1122" s="66" t="s">
        <v>63</v>
      </c>
      <c r="O1122" s="66" t="s">
        <v>26</v>
      </c>
      <c r="P1122" s="82" t="str">
        <f>IF(AND('331-CT'!$E$7=TH!H1122,OR(N1122="331",O1122="331")),"x","")</f>
        <v/>
      </c>
      <c r="Q1122" s="82" t="str">
        <f>IF(AND(B1122='111'!$L$11,OR($N1122=$Q$7,$O1122=$Q$7)),"x","")</f>
        <v/>
      </c>
      <c r="R1122" s="82" t="str">
        <f>IF(AND($N1122=$Q$7,$B1122&lt;'111'!$L$11),"x","")</f>
        <v>x</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customHeight="1">
      <c r="A1123" s="334" t="str">
        <f>IF(B1123&lt;&gt;"",IF(AND(B1123='IN-TC'!$S$4,OR(TH!N1123="1111",TH!O1123="1111")),TH!D1123,""),"")</f>
        <v/>
      </c>
      <c r="B1123" s="63">
        <f t="shared" si="177"/>
        <v>1</v>
      </c>
      <c r="C1123" s="64">
        <v>42394</v>
      </c>
      <c r="D1123" s="64" t="s">
        <v>904</v>
      </c>
      <c r="E1123" s="64">
        <v>42394</v>
      </c>
      <c r="F1123" s="67" t="s">
        <v>790</v>
      </c>
      <c r="G1123" s="67" t="s">
        <v>835</v>
      </c>
      <c r="H1123" s="72" t="s">
        <v>836</v>
      </c>
      <c r="I1123" s="437"/>
      <c r="J1123" s="437"/>
      <c r="K1123" s="428"/>
      <c r="L1123" s="437"/>
      <c r="M1123" s="65">
        <v>15000000</v>
      </c>
      <c r="N1123" s="66" t="s">
        <v>101</v>
      </c>
      <c r="O1123" s="66" t="s">
        <v>63</v>
      </c>
      <c r="P1123" s="82" t="str">
        <f>IF(AND('331-CT'!$E$7=TH!H1123,OR(N1123="331",O1123="331")),"x","")</f>
        <v/>
      </c>
      <c r="Q1123" s="82" t="str">
        <f>IF(AND(B1123='111'!$L$11,OR($N1123=$Q$7,$O1123=$Q$7)),"x","")</f>
        <v/>
      </c>
      <c r="R1123" s="82" t="str">
        <f>IF(AND($N1123=$Q$7,$B1123&lt;'111'!$L$11),"x","")</f>
        <v/>
      </c>
      <c r="S1123" s="82" t="str">
        <f>IF(AND($O1123=$Q$7,$B1123&lt;'111'!$L$11),"x","")</f>
        <v>x</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customHeight="1">
      <c r="A1124" s="334" t="str">
        <f>IF(B1124&lt;&gt;"",IF(AND(B1124='IN-TC'!$S$4,OR(TH!N1124="1111",TH!O1124="1111")),TH!D1124,""),"")</f>
        <v/>
      </c>
      <c r="B1124" s="63">
        <f t="shared" si="177"/>
        <v>1</v>
      </c>
      <c r="C1124" s="64">
        <v>42394</v>
      </c>
      <c r="D1124" s="64" t="s">
        <v>904</v>
      </c>
      <c r="E1124" s="64">
        <v>42394</v>
      </c>
      <c r="F1124" s="67" t="s">
        <v>791</v>
      </c>
      <c r="G1124" s="67" t="s">
        <v>835</v>
      </c>
      <c r="H1124" s="72" t="s">
        <v>836</v>
      </c>
      <c r="I1124" s="437"/>
      <c r="J1124" s="437"/>
      <c r="K1124" s="428"/>
      <c r="L1124" s="437"/>
      <c r="M1124" s="65">
        <v>1500000</v>
      </c>
      <c r="N1124" s="66" t="s">
        <v>9</v>
      </c>
      <c r="O1124" s="66" t="s">
        <v>63</v>
      </c>
      <c r="P1124" s="82" t="str">
        <f>IF(AND('331-CT'!$E$7=TH!H1124,OR(N1124="331",O1124="331")),"x","")</f>
        <v/>
      </c>
      <c r="Q1124" s="82" t="str">
        <f>IF(AND(B1124='111'!$L$11,OR($N1124=$Q$7,$O1124=$Q$7)),"x","")</f>
        <v/>
      </c>
      <c r="R1124" s="82" t="str">
        <f>IF(AND($N1124=$Q$7,$B1124&lt;'111'!$L$11),"x","")</f>
        <v/>
      </c>
      <c r="S1124" s="82" t="str">
        <f>IF(AND($O1124=$Q$7,$B1124&lt;'111'!$L$11),"x","")</f>
        <v>x</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x</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row>
    <row r="1125" spans="1:30" ht="15.75" customHeight="1">
      <c r="A1125" s="334" t="str">
        <f>IF(B1125&lt;&gt;"",IF(AND(B1125='IN-TC'!$S$4,OR(TH!N1125="1111",TH!O1125="1111")),TH!D1125,""),"")</f>
        <v/>
      </c>
      <c r="B1125" s="63">
        <f t="shared" si="177"/>
        <v>1</v>
      </c>
      <c r="C1125" s="64">
        <v>42395</v>
      </c>
      <c r="D1125" s="64" t="s">
        <v>907</v>
      </c>
      <c r="E1125" s="64">
        <v>42395</v>
      </c>
      <c r="F1125" s="67" t="s">
        <v>734</v>
      </c>
      <c r="G1125" s="67" t="s">
        <v>915</v>
      </c>
      <c r="H1125" s="72" t="s">
        <v>761</v>
      </c>
      <c r="I1125" s="439"/>
      <c r="J1125" s="439"/>
      <c r="K1125" s="428"/>
      <c r="L1125" s="437"/>
      <c r="M1125" s="65">
        <v>45000000</v>
      </c>
      <c r="N1125" s="66" t="s">
        <v>26</v>
      </c>
      <c r="O1125" s="66" t="s">
        <v>63</v>
      </c>
      <c r="P1125" s="82" t="str">
        <f>IF(AND('331-CT'!$E$7=TH!H1125,OR(N1125="331",O1125="331")),"x","")</f>
        <v/>
      </c>
      <c r="Q1125" s="82" t="str">
        <f>IF(AND(B1125='111'!$L$11,OR($N1125=$Q$7,$O1125=$Q$7)),"x","")</f>
        <v/>
      </c>
      <c r="R1125" s="82" t="str">
        <f>IF(AND($N1125=$Q$7,$B1125&lt;'111'!$L$11),"x","")</f>
        <v/>
      </c>
      <c r="S1125" s="82" t="str">
        <f>IF(AND($O1125=$Q$7,$B1125&lt;'111'!$L$11),"x","")</f>
        <v>x</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row>
    <row r="1126" spans="1:30" ht="15.75" customHeight="1">
      <c r="A1126" s="334" t="str">
        <f>IF(B1126&lt;&gt;"",IF(AND(B1126='IN-TC'!$S$4,OR(TH!N1126="1111",TH!O1126="1111")),TH!D1126,""),"")</f>
        <v/>
      </c>
      <c r="B1126" s="63">
        <f t="shared" si="177"/>
        <v>1</v>
      </c>
      <c r="C1126" s="64">
        <v>42395</v>
      </c>
      <c r="D1126" s="64" t="s">
        <v>702</v>
      </c>
      <c r="E1126" s="64">
        <v>42395</v>
      </c>
      <c r="F1126" s="67" t="s">
        <v>747</v>
      </c>
      <c r="G1126" s="67" t="s">
        <v>915</v>
      </c>
      <c r="H1126" s="512" t="s">
        <v>719</v>
      </c>
      <c r="I1126" s="437"/>
      <c r="J1126" s="437"/>
      <c r="K1126" s="428"/>
      <c r="L1126" s="437"/>
      <c r="M1126" s="65">
        <v>6323855</v>
      </c>
      <c r="N1126" s="66" t="s">
        <v>99</v>
      </c>
      <c r="O1126" s="66" t="s">
        <v>26</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row>
    <row r="1127" spans="1:30" ht="15.75" customHeight="1">
      <c r="A1127" s="334" t="str">
        <f>IF(B1127&lt;&gt;"",IF(AND(B1127='IN-TC'!$S$4,OR(TH!N1127="1111",TH!O1127="1111")),TH!D1127,""),"")</f>
        <v/>
      </c>
      <c r="B1127" s="63">
        <f t="shared" si="177"/>
        <v>1</v>
      </c>
      <c r="C1127" s="64">
        <v>42395</v>
      </c>
      <c r="D1127" s="64" t="s">
        <v>702</v>
      </c>
      <c r="E1127" s="64">
        <v>42395</v>
      </c>
      <c r="F1127" s="512" t="s">
        <v>748</v>
      </c>
      <c r="G1127" s="67" t="s">
        <v>915</v>
      </c>
      <c r="H1127" s="512" t="s">
        <v>722</v>
      </c>
      <c r="I1127" s="437"/>
      <c r="J1127" s="437"/>
      <c r="K1127" s="428"/>
      <c r="L1127" s="437"/>
      <c r="M1127" s="65">
        <v>6902308</v>
      </c>
      <c r="N1127" s="66" t="s">
        <v>99</v>
      </c>
      <c r="O1127" s="66" t="s">
        <v>26</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row>
    <row r="1128" spans="1:30" ht="15.75" customHeight="1">
      <c r="A1128" s="334" t="str">
        <f>IF(B1128&lt;&gt;"",IF(AND(B1128='IN-TC'!$S$4,OR(TH!N1128="1111",TH!O1128="1111")),TH!D1128,""),"")</f>
        <v/>
      </c>
      <c r="B1128" s="63">
        <f t="shared" si="177"/>
        <v>1</v>
      </c>
      <c r="C1128" s="64">
        <v>42395</v>
      </c>
      <c r="D1128" s="64" t="s">
        <v>702</v>
      </c>
      <c r="E1128" s="64">
        <v>42395</v>
      </c>
      <c r="F1128" s="512" t="s">
        <v>749</v>
      </c>
      <c r="G1128" s="67" t="s">
        <v>915</v>
      </c>
      <c r="H1128" s="512" t="s">
        <v>723</v>
      </c>
      <c r="I1128" s="441"/>
      <c r="J1128" s="437"/>
      <c r="K1128" s="432"/>
      <c r="L1128" s="441"/>
      <c r="M1128" s="65">
        <v>6863849</v>
      </c>
      <c r="N1128" s="66" t="s">
        <v>99</v>
      </c>
      <c r="O1128" s="66" t="s">
        <v>26</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customHeight="1">
      <c r="A1129" s="334" t="str">
        <f>IF(B1129&lt;&gt;"",IF(AND(B1129='IN-TC'!$S$4,OR(TH!N1129="1111",TH!O1129="1111")),TH!D1129,""),"")</f>
        <v/>
      </c>
      <c r="B1129" s="63">
        <f t="shared" si="177"/>
        <v>1</v>
      </c>
      <c r="C1129" s="64">
        <v>42395</v>
      </c>
      <c r="D1129" s="64" t="s">
        <v>702</v>
      </c>
      <c r="E1129" s="64">
        <v>42395</v>
      </c>
      <c r="F1129" s="512" t="s">
        <v>750</v>
      </c>
      <c r="G1129" s="67" t="s">
        <v>915</v>
      </c>
      <c r="H1129" s="512" t="s">
        <v>730</v>
      </c>
      <c r="I1129" s="437"/>
      <c r="J1129" s="437"/>
      <c r="K1129" s="428"/>
      <c r="L1129" s="437"/>
      <c r="M1129" s="65">
        <v>8954733</v>
      </c>
      <c r="N1129" s="66" t="s">
        <v>99</v>
      </c>
      <c r="O1129" s="66" t="s">
        <v>26</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customHeight="1">
      <c r="A1130" s="334" t="str">
        <f>IF(B1130&lt;&gt;"",IF(AND(B1130='IN-TC'!$S$4,OR(TH!N1130="1111",TH!O1130="1111")),TH!D1130,""),"")</f>
        <v/>
      </c>
      <c r="B1130" s="63">
        <f t="shared" si="177"/>
        <v>1</v>
      </c>
      <c r="C1130" s="64">
        <v>42395</v>
      </c>
      <c r="D1130" s="64" t="s">
        <v>702</v>
      </c>
      <c r="E1130" s="64">
        <v>42395</v>
      </c>
      <c r="F1130" s="512" t="s">
        <v>751</v>
      </c>
      <c r="G1130" s="67" t="s">
        <v>915</v>
      </c>
      <c r="H1130" s="512" t="s">
        <v>724</v>
      </c>
      <c r="I1130" s="437"/>
      <c r="J1130" s="437"/>
      <c r="K1130" s="428"/>
      <c r="L1130" s="437"/>
      <c r="M1130" s="65">
        <v>10627708</v>
      </c>
      <c r="N1130" s="66" t="s">
        <v>99</v>
      </c>
      <c r="O1130" s="66" t="s">
        <v>26</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row>
    <row r="1131" spans="1:30" ht="15.75" customHeight="1">
      <c r="A1131" s="334" t="str">
        <f>IF(B1131&lt;&gt;"",IF(AND(B1131='IN-TC'!$S$4,OR(TH!N1131="1111",TH!O1131="1111")),TH!D1131,""),"")</f>
        <v/>
      </c>
      <c r="B1131" s="63">
        <f t="shared" si="177"/>
        <v>1</v>
      </c>
      <c r="C1131" s="64">
        <v>42396</v>
      </c>
      <c r="D1131" s="64" t="s">
        <v>699</v>
      </c>
      <c r="E1131" s="64">
        <v>42396</v>
      </c>
      <c r="F1131" s="512" t="s">
        <v>704</v>
      </c>
      <c r="G1131" s="67" t="s">
        <v>915</v>
      </c>
      <c r="H1131" s="72" t="s">
        <v>595</v>
      </c>
      <c r="I1131" s="437"/>
      <c r="J1131" s="437"/>
      <c r="K1131" s="428">
        <v>39553.120000000003</v>
      </c>
      <c r="L1131" s="437">
        <v>22310</v>
      </c>
      <c r="M1131" s="81">
        <f>ROUND(K1131*L1131,0)</f>
        <v>882430107</v>
      </c>
      <c r="N1131" s="66" t="s">
        <v>266</v>
      </c>
      <c r="O1131" s="66" t="s">
        <v>585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row>
    <row r="1132" spans="1:30" s="339" customFormat="1" ht="15.75" customHeight="1">
      <c r="A1132" s="334" t="str">
        <f>IF(B1132&lt;&gt;"",IF(AND(B1132='IN-TC'!$S$4,OR(TH!N1132="1111",TH!O1132="1111")),TH!D1132,""),"")</f>
        <v/>
      </c>
      <c r="B1132" s="63">
        <f t="shared" si="177"/>
        <v>1</v>
      </c>
      <c r="C1132" s="64">
        <f>E1132</f>
        <v>42396</v>
      </c>
      <c r="D1132" s="64" t="s">
        <v>579</v>
      </c>
      <c r="E1132" s="64">
        <v>42396</v>
      </c>
      <c r="F1132" s="512" t="s">
        <v>611</v>
      </c>
      <c r="G1132" s="67" t="s">
        <v>915</v>
      </c>
      <c r="H1132" s="72" t="s">
        <v>595</v>
      </c>
      <c r="I1132" s="437"/>
      <c r="J1132" s="437"/>
      <c r="K1132" s="428">
        <v>11</v>
      </c>
      <c r="L1132" s="437">
        <v>22310</v>
      </c>
      <c r="M1132" s="65">
        <f>ROUND(K1132*L1132,0)</f>
        <v>245410</v>
      </c>
      <c r="N1132" s="66" t="s">
        <v>101</v>
      </c>
      <c r="O1132" s="66" t="s">
        <v>585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row>
    <row r="1133" spans="1:30" s="339" customFormat="1" ht="15.75" customHeight="1">
      <c r="A1133" s="334" t="str">
        <f>IF(B1133&lt;&gt;"",IF(AND(B1133='IN-TC'!$S$4,OR(TH!N1133="1111",TH!O1133="1111")),TH!D1133,""),"")</f>
        <v/>
      </c>
      <c r="B1133" s="63">
        <f t="shared" si="177"/>
        <v>1</v>
      </c>
      <c r="C1133" s="64">
        <f>E1133</f>
        <v>42396</v>
      </c>
      <c r="D1133" s="64" t="s">
        <v>579</v>
      </c>
      <c r="E1133" s="64">
        <v>42396</v>
      </c>
      <c r="F1133" s="512" t="s">
        <v>612</v>
      </c>
      <c r="G1133" s="67" t="s">
        <v>915</v>
      </c>
      <c r="H1133" s="72" t="s">
        <v>595</v>
      </c>
      <c r="I1133" s="437"/>
      <c r="J1133" s="437"/>
      <c r="K1133" s="428">
        <v>30.38</v>
      </c>
      <c r="L1133" s="437">
        <v>22310</v>
      </c>
      <c r="M1133" s="65">
        <f>ROUND(K1133*L1133,0)</f>
        <v>677778</v>
      </c>
      <c r="N1133" s="66" t="s">
        <v>101</v>
      </c>
      <c r="O1133" s="66" t="s">
        <v>585</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s="339" customFormat="1" ht="15.75" customHeight="1">
      <c r="A1134" s="334" t="str">
        <f>IF(B1134&lt;&gt;"",IF(AND(B1134='IN-TC'!$S$4,OR(TH!N1134="1111",TH!O1134="1111")),TH!D1134,""),"")</f>
        <v/>
      </c>
      <c r="B1134" s="63">
        <f t="shared" si="177"/>
        <v>1</v>
      </c>
      <c r="C1134" s="64">
        <f>E1134</f>
        <v>42396</v>
      </c>
      <c r="D1134" s="64" t="s">
        <v>579</v>
      </c>
      <c r="E1134" s="64">
        <v>42396</v>
      </c>
      <c r="F1134" s="512" t="s">
        <v>613</v>
      </c>
      <c r="G1134" s="67" t="s">
        <v>915</v>
      </c>
      <c r="H1134" s="71" t="s">
        <v>595</v>
      </c>
      <c r="I1134" s="438"/>
      <c r="J1134" s="438"/>
      <c r="K1134" s="429">
        <v>5.5</v>
      </c>
      <c r="L1134" s="438">
        <v>22310</v>
      </c>
      <c r="M1134" s="65">
        <f>ROUND(K1134*L1134,0)</f>
        <v>122705</v>
      </c>
      <c r="N1134" s="66" t="s">
        <v>101</v>
      </c>
      <c r="O1134" s="66" t="s">
        <v>585</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customHeight="1">
      <c r="A1135" s="334" t="str">
        <f>IF(B1135&lt;&gt;"",IF(AND(B1135='IN-TC'!$S$4,OR(TH!N1135="1111",TH!O1135="1111")),TH!D1135,""),"")</f>
        <v/>
      </c>
      <c r="B1135" s="63">
        <f t="shared" si="177"/>
        <v>1</v>
      </c>
      <c r="C1135" s="64">
        <v>42396</v>
      </c>
      <c r="D1135" s="64" t="s">
        <v>702</v>
      </c>
      <c r="E1135" s="64">
        <v>42396</v>
      </c>
      <c r="F1135" s="72" t="s">
        <v>1438</v>
      </c>
      <c r="G1135" s="67" t="s">
        <v>915</v>
      </c>
      <c r="H1135" s="72"/>
      <c r="I1135" s="437"/>
      <c r="J1135" s="437"/>
      <c r="K1135" s="428">
        <v>39400</v>
      </c>
      <c r="L1135" s="437">
        <v>22280</v>
      </c>
      <c r="M1135" s="81">
        <f>ROUND(K1135*L1135,0)</f>
        <v>877832000</v>
      </c>
      <c r="N1135" s="66" t="s">
        <v>26</v>
      </c>
      <c r="O1135" s="66" t="s">
        <v>266</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customHeight="1">
      <c r="A1136" s="334" t="str">
        <f>IF(B1136&lt;&gt;"",IF(AND(B1136='IN-TC'!$S$4,OR(TH!N1136="1111",TH!O1136="1111")),TH!D1136,""),"")</f>
        <v/>
      </c>
      <c r="B1136" s="63">
        <f t="shared" si="177"/>
        <v>1</v>
      </c>
      <c r="C1136" s="64">
        <v>42396</v>
      </c>
      <c r="D1136" s="64" t="s">
        <v>905</v>
      </c>
      <c r="E1136" s="64">
        <v>42396</v>
      </c>
      <c r="F1136" s="512" t="s">
        <v>743</v>
      </c>
      <c r="G1136" s="67" t="s">
        <v>915</v>
      </c>
      <c r="H1136" s="73" t="s">
        <v>760</v>
      </c>
      <c r="I1136" s="440"/>
      <c r="J1136" s="437"/>
      <c r="K1136" s="431"/>
      <c r="L1136" s="440"/>
      <c r="M1136" s="65">
        <v>850000000</v>
      </c>
      <c r="N1136" s="66" t="s">
        <v>63</v>
      </c>
      <c r="O1136" s="66" t="s">
        <v>26</v>
      </c>
      <c r="P1136" s="82" t="str">
        <f>IF(AND('331-CT'!$E$7=TH!H1136,OR(N1136="331",O1136="331")),"x","")</f>
        <v/>
      </c>
      <c r="Q1136" s="82" t="str">
        <f>IF(AND(B1136='111'!$L$11,OR($N1136=$Q$7,$O1136=$Q$7)),"x","")</f>
        <v/>
      </c>
      <c r="R1136" s="82" t="str">
        <f>IF(AND($N1136=$Q$7,$B1136&lt;'111'!$L$11),"x","")</f>
        <v>x</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customHeight="1">
      <c r="A1137" s="334" t="str">
        <f>IF(B1137&lt;&gt;"",IF(AND(B1137='IN-TC'!$S$4,OR(TH!N1137="1111",TH!O1137="1111")),TH!D1137,""),"")</f>
        <v/>
      </c>
      <c r="B1137" s="63">
        <f t="shared" si="177"/>
        <v>1</v>
      </c>
      <c r="C1137" s="64">
        <v>42396</v>
      </c>
      <c r="D1137" s="64" t="s">
        <v>702</v>
      </c>
      <c r="E1137" s="64">
        <v>42396</v>
      </c>
      <c r="F1137" s="512" t="s">
        <v>1089</v>
      </c>
      <c r="G1137" s="67" t="s">
        <v>915</v>
      </c>
      <c r="H1137" s="512" t="s">
        <v>629</v>
      </c>
      <c r="I1137" s="437"/>
      <c r="J1137" s="437"/>
      <c r="K1137" s="428"/>
      <c r="L1137" s="437"/>
      <c r="M1137" s="65">
        <v>27118300</v>
      </c>
      <c r="N1137" s="66" t="s">
        <v>19</v>
      </c>
      <c r="O1137" s="66" t="s">
        <v>26</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customHeight="1">
      <c r="A1138" s="334" t="str">
        <f>IF(B1138&lt;&gt;"",IF(AND(B1138='IN-TC'!$S$4,OR(TH!N1138="1111",TH!O1138="1111")),TH!D1138,""),"")</f>
        <v/>
      </c>
      <c r="B1138" s="63">
        <f t="shared" si="177"/>
        <v>1</v>
      </c>
      <c r="C1138" s="64">
        <v>42396</v>
      </c>
      <c r="D1138" s="64" t="s">
        <v>702</v>
      </c>
      <c r="E1138" s="64">
        <v>42396</v>
      </c>
      <c r="F1138" s="512" t="s">
        <v>740</v>
      </c>
      <c r="G1138" s="67" t="s">
        <v>915</v>
      </c>
      <c r="H1138" s="512"/>
      <c r="I1138" s="437"/>
      <c r="J1138" s="437"/>
      <c r="K1138" s="428"/>
      <c r="L1138" s="437"/>
      <c r="M1138" s="65">
        <v>25000</v>
      </c>
      <c r="N1138" s="66" t="s">
        <v>101</v>
      </c>
      <c r="O1138" s="66" t="s">
        <v>26</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customHeight="1">
      <c r="A1139" s="334" t="str">
        <f>IF(B1139&lt;&gt;"",IF(AND(B1139='IN-TC'!$S$4,OR(TH!N1139="1111",TH!O1139="1111")),TH!D1139,""),"")</f>
        <v/>
      </c>
      <c r="B1139" s="63">
        <f t="shared" si="177"/>
        <v>1</v>
      </c>
      <c r="C1139" s="64">
        <v>42396</v>
      </c>
      <c r="D1139" s="64" t="s">
        <v>702</v>
      </c>
      <c r="E1139" s="64">
        <v>42396</v>
      </c>
      <c r="F1139" s="512" t="s">
        <v>742</v>
      </c>
      <c r="G1139" s="67" t="s">
        <v>915</v>
      </c>
      <c r="H1139" s="857"/>
      <c r="I1139" s="441"/>
      <c r="J1139" s="441"/>
      <c r="K1139" s="432"/>
      <c r="L1139" s="441"/>
      <c r="M1139" s="65">
        <v>2500</v>
      </c>
      <c r="N1139" s="66" t="s">
        <v>9</v>
      </c>
      <c r="O1139" s="66" t="s">
        <v>26</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x</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customHeight="1">
      <c r="A1140" s="334" t="str">
        <f>IF(B1140&lt;&gt;"",IF(AND(B1140='IN-TC'!$S$4,OR(TH!N1140="1111",TH!O1140="1111")),TH!D1140,""),"")</f>
        <v/>
      </c>
      <c r="B1140" s="63">
        <f t="shared" si="177"/>
        <v>1</v>
      </c>
      <c r="C1140" s="78">
        <f>E1140</f>
        <v>42396</v>
      </c>
      <c r="D1140" s="78" t="s">
        <v>908</v>
      </c>
      <c r="E1140" s="78">
        <v>42396</v>
      </c>
      <c r="F1140" s="512" t="s">
        <v>960</v>
      </c>
      <c r="G1140" s="79"/>
      <c r="H1140" s="80" t="s">
        <v>959</v>
      </c>
      <c r="I1140" s="435"/>
      <c r="J1140" s="435"/>
      <c r="K1140" s="426"/>
      <c r="L1140" s="435"/>
      <c r="M1140" s="81">
        <v>560000000</v>
      </c>
      <c r="N1140" s="82" t="s">
        <v>272</v>
      </c>
      <c r="O1140" s="66" t="s">
        <v>63</v>
      </c>
      <c r="P1140" s="82" t="str">
        <f>IF(AND('331-CT'!$E$7=TH!H1140,OR(N1140="331",O1140="331")),"x","")</f>
        <v/>
      </c>
      <c r="Q1140" s="82" t="str">
        <f>IF(AND(B1140='111'!$L$11,OR($N1140=$Q$7,$O1140=$Q$7)),"x","")</f>
        <v/>
      </c>
      <c r="R1140" s="82" t="str">
        <f>IF(AND($N1140=$Q$7,$B1140&lt;'111'!$L$11),"x","")</f>
        <v/>
      </c>
      <c r="S1140" s="82" t="str">
        <f>IF(AND($O1140=$Q$7,$B1140&lt;'111'!$L$11),"x","")</f>
        <v>x</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customHeight="1">
      <c r="A1141" s="334" t="str">
        <f>IF(B1141&lt;&gt;"",IF(AND(B1141='IN-TC'!$S$4,OR(TH!N1141="1111",TH!O1141="1111")),TH!D1141,""),"")</f>
        <v/>
      </c>
      <c r="B1141" s="63">
        <f t="shared" si="177"/>
        <v>1</v>
      </c>
      <c r="C1141" s="64">
        <v>42397</v>
      </c>
      <c r="D1141" s="64" t="s">
        <v>699</v>
      </c>
      <c r="E1141" s="64">
        <v>42397</v>
      </c>
      <c r="F1141" s="512" t="s">
        <v>705</v>
      </c>
      <c r="G1141" s="67" t="s">
        <v>915</v>
      </c>
      <c r="H1141" s="72" t="s">
        <v>598</v>
      </c>
      <c r="I1141" s="437"/>
      <c r="J1141" s="437"/>
      <c r="K1141" s="428">
        <v>71518.62</v>
      </c>
      <c r="L1141" s="437">
        <v>22300</v>
      </c>
      <c r="M1141" s="81">
        <f t="shared" ref="M1141:M1147" si="178">ROUND(K1141*L1141,0)</f>
        <v>1594865226</v>
      </c>
      <c r="N1141" s="66" t="s">
        <v>266</v>
      </c>
      <c r="O1141" s="66" t="s">
        <v>585</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s="339" customFormat="1" ht="15.75" customHeight="1">
      <c r="A1142" s="334" t="str">
        <f>IF(B1142&lt;&gt;"",IF(AND(B1142='IN-TC'!$S$4,OR(TH!N1142="1111",TH!O1142="1111")),TH!D1142,""),"")</f>
        <v/>
      </c>
      <c r="B1142" s="63">
        <f t="shared" si="177"/>
        <v>1</v>
      </c>
      <c r="C1142" s="64">
        <f>E1142</f>
        <v>42397</v>
      </c>
      <c r="D1142" s="64" t="s">
        <v>579</v>
      </c>
      <c r="E1142" s="64">
        <v>42397</v>
      </c>
      <c r="F1142" s="512" t="s">
        <v>611</v>
      </c>
      <c r="G1142" s="67" t="s">
        <v>915</v>
      </c>
      <c r="H1142" s="72" t="s">
        <v>598</v>
      </c>
      <c r="I1142" s="437"/>
      <c r="J1142" s="437"/>
      <c r="K1142" s="428">
        <v>11</v>
      </c>
      <c r="L1142" s="437">
        <v>22310</v>
      </c>
      <c r="M1142" s="65">
        <f t="shared" si="178"/>
        <v>245410</v>
      </c>
      <c r="N1142" s="66" t="s">
        <v>101</v>
      </c>
      <c r="O1142" s="66" t="s">
        <v>585</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s="339" customFormat="1" ht="15.75" customHeight="1">
      <c r="A1143" s="334" t="str">
        <f>IF(B1143&lt;&gt;"",IF(AND(B1143='IN-TC'!$S$4,OR(TH!N1143="1111",TH!O1143="1111")),TH!D1143,""),"")</f>
        <v/>
      </c>
      <c r="B1143" s="63">
        <f t="shared" si="177"/>
        <v>1</v>
      </c>
      <c r="C1143" s="64">
        <f>E1143</f>
        <v>42397</v>
      </c>
      <c r="D1143" s="64" t="s">
        <v>579</v>
      </c>
      <c r="E1143" s="64">
        <v>42397</v>
      </c>
      <c r="F1143" s="512" t="s">
        <v>612</v>
      </c>
      <c r="G1143" s="67" t="s">
        <v>915</v>
      </c>
      <c r="H1143" s="72" t="s">
        <v>598</v>
      </c>
      <c r="I1143" s="437"/>
      <c r="J1143" s="437"/>
      <c r="K1143" s="428">
        <v>30.38</v>
      </c>
      <c r="L1143" s="437">
        <v>22310</v>
      </c>
      <c r="M1143" s="65">
        <f t="shared" si="178"/>
        <v>677778</v>
      </c>
      <c r="N1143" s="66" t="s">
        <v>101</v>
      </c>
      <c r="O1143" s="66" t="s">
        <v>585</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customHeight="1">
      <c r="A1144" s="334" t="str">
        <f>IF(B1144&lt;&gt;"",IF(AND(B1144='IN-TC'!$S$4,OR(TH!N1144="1111",TH!O1144="1111")),TH!D1144,""),"")</f>
        <v/>
      </c>
      <c r="B1144" s="63">
        <f t="shared" si="177"/>
        <v>1</v>
      </c>
      <c r="C1144" s="64">
        <v>42398</v>
      </c>
      <c r="D1144" s="64" t="s">
        <v>699</v>
      </c>
      <c r="E1144" s="64">
        <v>42398</v>
      </c>
      <c r="F1144" s="512" t="s">
        <v>700</v>
      </c>
      <c r="G1144" s="67" t="s">
        <v>921</v>
      </c>
      <c r="H1144" s="344"/>
      <c r="I1144" s="441"/>
      <c r="J1144" s="441"/>
      <c r="K1144" s="432">
        <v>52300</v>
      </c>
      <c r="L1144" s="441">
        <v>22225</v>
      </c>
      <c r="M1144" s="81">
        <f t="shared" si="178"/>
        <v>1162367500</v>
      </c>
      <c r="N1144" s="66" t="s">
        <v>266</v>
      </c>
      <c r="O1144" s="66" t="s">
        <v>266</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customHeight="1">
      <c r="A1145" s="334" t="str">
        <f>IF(B1145&lt;&gt;"",IF(AND(B1145='IN-TC'!$S$4,OR(TH!N1145="1111",TH!O1145="1111")),TH!D1145,""),"")</f>
        <v/>
      </c>
      <c r="B1145" s="63">
        <f t="shared" si="177"/>
        <v>1</v>
      </c>
      <c r="C1145" s="64">
        <v>42398</v>
      </c>
      <c r="D1145" s="64" t="s">
        <v>702</v>
      </c>
      <c r="E1145" s="64">
        <v>42398</v>
      </c>
      <c r="F1145" s="72" t="s">
        <v>1438</v>
      </c>
      <c r="G1145" s="67" t="s">
        <v>915</v>
      </c>
      <c r="H1145" s="72"/>
      <c r="I1145" s="437"/>
      <c r="J1145" s="437"/>
      <c r="K1145" s="428">
        <v>19400</v>
      </c>
      <c r="L1145" s="437">
        <v>22225</v>
      </c>
      <c r="M1145" s="81">
        <f t="shared" si="178"/>
        <v>431165000</v>
      </c>
      <c r="N1145" s="66" t="s">
        <v>26</v>
      </c>
      <c r="O1145" s="66" t="s">
        <v>266</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customHeight="1">
      <c r="A1146" s="334" t="str">
        <f>IF(B1146&lt;&gt;"",IF(AND(B1146='IN-TC'!$S$4,OR(TH!N1146="1111",TH!O1146="1111")),TH!D1146,""),"")</f>
        <v/>
      </c>
      <c r="B1146" s="63">
        <f t="shared" si="177"/>
        <v>1</v>
      </c>
      <c r="C1146" s="64">
        <v>42398</v>
      </c>
      <c r="D1146" s="64" t="s">
        <v>702</v>
      </c>
      <c r="E1146" s="64">
        <v>42398</v>
      </c>
      <c r="F1146" s="512" t="s">
        <v>715</v>
      </c>
      <c r="G1146" s="67" t="s">
        <v>914</v>
      </c>
      <c r="H1146" s="72" t="s">
        <v>716</v>
      </c>
      <c r="I1146" s="437"/>
      <c r="J1146" s="437"/>
      <c r="K1146" s="428">
        <v>52300</v>
      </c>
      <c r="L1146" s="437">
        <v>22490</v>
      </c>
      <c r="M1146" s="81">
        <f t="shared" si="178"/>
        <v>1176227000</v>
      </c>
      <c r="N1146" s="66" t="s">
        <v>260</v>
      </c>
      <c r="O1146" s="66" t="s">
        <v>266</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customHeight="1">
      <c r="A1147" s="334" t="str">
        <f>IF(B1147&lt;&gt;"",IF(AND(B1147='IN-TC'!$S$4,OR(TH!N1147="1111",TH!O1147="1111")),TH!D1147,""),"")</f>
        <v/>
      </c>
      <c r="B1147" s="63">
        <f t="shared" si="177"/>
        <v>1</v>
      </c>
      <c r="C1147" s="64">
        <v>42398</v>
      </c>
      <c r="D1147" s="64" t="s">
        <v>702</v>
      </c>
      <c r="E1147" s="64">
        <v>42398</v>
      </c>
      <c r="F1147" s="343" t="s">
        <v>753</v>
      </c>
      <c r="G1147" s="67" t="s">
        <v>914</v>
      </c>
      <c r="H1147" s="72" t="s">
        <v>716</v>
      </c>
      <c r="I1147" s="437"/>
      <c r="J1147" s="437"/>
      <c r="K1147" s="428">
        <v>81.36</v>
      </c>
      <c r="L1147" s="437">
        <v>22490</v>
      </c>
      <c r="M1147" s="81">
        <f t="shared" si="178"/>
        <v>1829786</v>
      </c>
      <c r="N1147" s="66" t="s">
        <v>99</v>
      </c>
      <c r="O1147" s="66" t="s">
        <v>266</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customHeight="1">
      <c r="A1148" s="334" t="str">
        <f>IF(B1148&lt;&gt;"",IF(AND(B1148='IN-TC'!$S$4,OR(TH!N1148="1111",TH!O1148="1111")),TH!D1148,""),"")</f>
        <v/>
      </c>
      <c r="B1148" s="63">
        <f t="shared" si="177"/>
        <v>1</v>
      </c>
      <c r="C1148" s="64">
        <v>42398</v>
      </c>
      <c r="D1148" s="64" t="s">
        <v>579</v>
      </c>
      <c r="E1148" s="64">
        <v>42398</v>
      </c>
      <c r="F1148" s="512" t="s">
        <v>732</v>
      </c>
      <c r="G1148" s="67" t="s">
        <v>914</v>
      </c>
      <c r="H1148" s="72" t="s">
        <v>716</v>
      </c>
      <c r="I1148" s="437"/>
      <c r="J1148" s="437"/>
      <c r="K1148" s="428"/>
      <c r="L1148" s="437"/>
      <c r="M1148" s="65">
        <v>21443000</v>
      </c>
      <c r="N1148" s="66" t="s">
        <v>99</v>
      </c>
      <c r="O1148" s="66" t="s">
        <v>260</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customHeight="1">
      <c r="A1149" s="334" t="str">
        <f>IF(B1149&lt;&gt;"",IF(AND(B1149='IN-TC'!$S$4,OR(TH!N1149="1111",TH!O1149="1111")),TH!D1149,""),"")</f>
        <v/>
      </c>
      <c r="B1149" s="63">
        <f t="shared" si="177"/>
        <v>1</v>
      </c>
      <c r="C1149" s="92">
        <v>42398</v>
      </c>
      <c r="D1149" s="64" t="s">
        <v>699</v>
      </c>
      <c r="E1149" s="92">
        <v>42398</v>
      </c>
      <c r="F1149" s="512" t="s">
        <v>759</v>
      </c>
      <c r="G1149" s="93"/>
      <c r="H1149" s="94"/>
      <c r="I1149" s="443"/>
      <c r="J1149" s="443"/>
      <c r="K1149" s="434"/>
      <c r="L1149" s="443"/>
      <c r="M1149" s="95">
        <v>9640081</v>
      </c>
      <c r="N1149" s="83" t="s">
        <v>266</v>
      </c>
      <c r="O1149" s="66" t="s">
        <v>43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customHeight="1">
      <c r="A1150" s="334" t="str">
        <f>IF(B1150&lt;&gt;"",IF(AND(B1150='IN-TC'!$S$4,OR(TH!N1150="1111",TH!O1150="1111")),TH!D1150,""),"")</f>
        <v/>
      </c>
      <c r="B1150" s="63">
        <f t="shared" si="177"/>
        <v>1</v>
      </c>
      <c r="C1150" s="64">
        <v>42398</v>
      </c>
      <c r="D1150" s="64" t="s">
        <v>699</v>
      </c>
      <c r="E1150" s="64">
        <v>42398</v>
      </c>
      <c r="F1150" s="512" t="s">
        <v>738</v>
      </c>
      <c r="G1150" s="67" t="s">
        <v>914</v>
      </c>
      <c r="H1150" s="72" t="s">
        <v>739</v>
      </c>
      <c r="I1150" s="437"/>
      <c r="J1150" s="437"/>
      <c r="K1150" s="428">
        <v>52300</v>
      </c>
      <c r="L1150" s="437">
        <f>M1150/K1150</f>
        <v>22220</v>
      </c>
      <c r="M1150" s="65">
        <v>1162106000</v>
      </c>
      <c r="N1150" s="66" t="s">
        <v>26</v>
      </c>
      <c r="O1150" s="66" t="s">
        <v>260</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customHeight="1">
      <c r="A1151" s="334" t="str">
        <f>IF(B1151&lt;&gt;"",IF(AND(B1151='IN-TC'!$S$4,OR(TH!N1151="1111",TH!O1151="1111")),TH!D1151,""),"")</f>
        <v/>
      </c>
      <c r="B1151" s="63">
        <f t="shared" si="177"/>
        <v>1</v>
      </c>
      <c r="C1151" s="64">
        <v>42398</v>
      </c>
      <c r="D1151" s="64" t="s">
        <v>909</v>
      </c>
      <c r="E1151" s="64">
        <v>42398</v>
      </c>
      <c r="F1151" s="512" t="s">
        <v>736</v>
      </c>
      <c r="G1151" s="67" t="s">
        <v>914</v>
      </c>
      <c r="H1151" s="67" t="s">
        <v>760</v>
      </c>
      <c r="I1151" s="437"/>
      <c r="J1151" s="437"/>
      <c r="K1151" s="428"/>
      <c r="L1151" s="437"/>
      <c r="M1151" s="65">
        <v>2000000</v>
      </c>
      <c r="N1151" s="66" t="s">
        <v>26</v>
      </c>
      <c r="O1151" s="66" t="s">
        <v>63</v>
      </c>
      <c r="P1151" s="82" t="str">
        <f>IF(AND('331-CT'!$E$7=TH!H1151,OR(N1151="331",O1151="331")),"x","")</f>
        <v/>
      </c>
      <c r="Q1151" s="82" t="str">
        <f>IF(AND(B1151='111'!$L$11,OR($N1151=$Q$7,$O1151=$Q$7)),"x","")</f>
        <v/>
      </c>
      <c r="R1151" s="82" t="str">
        <f>IF(AND($N1151=$Q$7,$B1151&lt;'111'!$L$11),"x","")</f>
        <v/>
      </c>
      <c r="S1151" s="82" t="str">
        <f>IF(AND($O1151=$Q$7,$B1151&lt;'111'!$L$11),"x","")</f>
        <v>x</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customHeight="1">
      <c r="A1152" s="334" t="str">
        <f>IF(B1152&lt;&gt;"",IF(AND(B1152='IN-TC'!$S$4,OR(TH!N1152="1111",TH!O1152="1111")),TH!D1152,""),"")</f>
        <v/>
      </c>
      <c r="B1152" s="63">
        <f t="shared" si="177"/>
        <v>1</v>
      </c>
      <c r="C1152" s="64">
        <v>42398</v>
      </c>
      <c r="D1152" s="64" t="s">
        <v>906</v>
      </c>
      <c r="E1152" s="64">
        <v>42398</v>
      </c>
      <c r="F1152" s="512" t="s">
        <v>743</v>
      </c>
      <c r="G1152" s="67" t="s">
        <v>915</v>
      </c>
      <c r="H1152" s="73" t="s">
        <v>760</v>
      </c>
      <c r="I1152" s="437"/>
      <c r="J1152" s="437"/>
      <c r="K1152" s="428"/>
      <c r="L1152" s="437"/>
      <c r="M1152" s="65">
        <v>370000000</v>
      </c>
      <c r="N1152" s="66" t="s">
        <v>63</v>
      </c>
      <c r="O1152" s="66" t="s">
        <v>26</v>
      </c>
      <c r="P1152" s="82" t="str">
        <f>IF(AND('331-CT'!$E$7=TH!H1152,OR(N1152="331",O1152="331")),"x","")</f>
        <v/>
      </c>
      <c r="Q1152" s="82" t="str">
        <f>IF(AND(B1152='111'!$L$11,OR($N1152=$Q$7,$O1152=$Q$7)),"x","")</f>
        <v/>
      </c>
      <c r="R1152" s="82" t="str">
        <f>IF(AND($N1152=$Q$7,$B1152&lt;'111'!$L$11),"x","")</f>
        <v>x</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1" ht="15.75" customHeight="1">
      <c r="A1153" s="334" t="str">
        <f>IF(B1153&lt;&gt;"",IF(AND(B1153='IN-TC'!$S$4,OR(TH!N1153="1111",TH!O1153="1111")),TH!D1153,""),"")</f>
        <v/>
      </c>
      <c r="B1153" s="63">
        <f t="shared" si="177"/>
        <v>1</v>
      </c>
      <c r="C1153" s="64">
        <v>42398</v>
      </c>
      <c r="D1153" s="64" t="s">
        <v>913</v>
      </c>
      <c r="E1153" s="64">
        <v>42398</v>
      </c>
      <c r="F1153" s="512" t="s">
        <v>752</v>
      </c>
      <c r="G1153" s="67" t="s">
        <v>914</v>
      </c>
      <c r="H1153" s="73" t="s">
        <v>760</v>
      </c>
      <c r="I1153" s="440"/>
      <c r="J1153" s="440"/>
      <c r="K1153" s="431"/>
      <c r="L1153" s="440"/>
      <c r="M1153" s="65">
        <v>1170000000</v>
      </c>
      <c r="N1153" s="66" t="s">
        <v>63</v>
      </c>
      <c r="O1153" s="66" t="s">
        <v>26</v>
      </c>
      <c r="P1153" s="82" t="str">
        <f>IF(AND('331-CT'!$E$7=TH!H1153,OR(N1153="331",O1153="331")),"x","")</f>
        <v/>
      </c>
      <c r="Q1153" s="82" t="str">
        <f>IF(AND(B1153='111'!$L$11,OR($N1153=$Q$7,$O1153=$Q$7)),"x","")</f>
        <v/>
      </c>
      <c r="R1153" s="82" t="str">
        <f>IF(AND($N1153=$Q$7,$B1153&lt;'111'!$L$11),"x","")</f>
        <v>x</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1" ht="15.75" customHeight="1">
      <c r="A1154" s="334" t="str">
        <f>IF(B1154&lt;&gt;"",IF(AND(B1154='IN-TC'!$S$4,OR(TH!N1154="1111",TH!O1154="1111")),TH!D1154,""),"")</f>
        <v/>
      </c>
      <c r="B1154" s="63">
        <f t="shared" si="177"/>
        <v>1</v>
      </c>
      <c r="C1154" s="64">
        <v>42398</v>
      </c>
      <c r="D1154" s="64" t="s">
        <v>702</v>
      </c>
      <c r="E1154" s="64">
        <v>42398</v>
      </c>
      <c r="F1154" s="512" t="s">
        <v>757</v>
      </c>
      <c r="G1154" s="67" t="s">
        <v>914</v>
      </c>
      <c r="H1154" s="72"/>
      <c r="I1154" s="437"/>
      <c r="J1154" s="437"/>
      <c r="K1154" s="428"/>
      <c r="L1154" s="437"/>
      <c r="M1154" s="65">
        <v>20000</v>
      </c>
      <c r="N1154" s="66" t="s">
        <v>101</v>
      </c>
      <c r="O1154" s="66" t="s">
        <v>26</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1" ht="15.75" customHeight="1">
      <c r="A1155" s="334" t="str">
        <f>IF(B1155&lt;&gt;"",IF(AND(B1155='IN-TC'!$S$4,OR(TH!N1155="1111",TH!O1155="1111")),TH!D1155,""),"")</f>
        <v/>
      </c>
      <c r="B1155" s="63">
        <f t="shared" si="177"/>
        <v>1</v>
      </c>
      <c r="C1155" s="64">
        <v>42398</v>
      </c>
      <c r="D1155" s="64" t="s">
        <v>702</v>
      </c>
      <c r="E1155" s="64">
        <v>42398</v>
      </c>
      <c r="F1155" s="512" t="s">
        <v>758</v>
      </c>
      <c r="G1155" s="67" t="s">
        <v>914</v>
      </c>
      <c r="H1155" s="72"/>
      <c r="I1155" s="437"/>
      <c r="J1155" s="437"/>
      <c r="K1155" s="428"/>
      <c r="L1155" s="437"/>
      <c r="M1155" s="65">
        <v>2000</v>
      </c>
      <c r="N1155" s="66" t="s">
        <v>9</v>
      </c>
      <c r="O1155" s="66" t="s">
        <v>26</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x</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1" ht="15.75" customHeight="1">
      <c r="A1156" s="334" t="str">
        <f>IF(B1156&lt;&gt;"",IF(AND(B1156='IN-TC'!$S$4,OR(TH!N1156="1111",TH!O1156="1111")),TH!D1156,""),"")</f>
        <v/>
      </c>
      <c r="B1156" s="63">
        <f t="shared" si="177"/>
        <v>1</v>
      </c>
      <c r="C1156" s="64">
        <v>42398</v>
      </c>
      <c r="D1156" s="64" t="s">
        <v>910</v>
      </c>
      <c r="E1156" s="64">
        <v>42398</v>
      </c>
      <c r="F1156" s="512" t="s">
        <v>773</v>
      </c>
      <c r="G1156" s="67" t="s">
        <v>837</v>
      </c>
      <c r="H1156" s="344" t="s">
        <v>805</v>
      </c>
      <c r="I1156" s="441"/>
      <c r="J1156" s="441"/>
      <c r="K1156" s="432"/>
      <c r="L1156" s="441"/>
      <c r="M1156" s="65">
        <v>660273</v>
      </c>
      <c r="N1156" s="66" t="s">
        <v>101</v>
      </c>
      <c r="O1156" s="66" t="s">
        <v>63</v>
      </c>
      <c r="P1156" s="82" t="str">
        <f>IF(AND('331-CT'!$E$7=TH!H1156,OR(N1156="331",O1156="331")),"x","")</f>
        <v/>
      </c>
      <c r="Q1156" s="82" t="str">
        <f>IF(AND(B1156='111'!$L$11,OR($N1156=$Q$7,$O1156=$Q$7)),"x","")</f>
        <v/>
      </c>
      <c r="R1156" s="82" t="str">
        <f>IF(AND($N1156=$Q$7,$B1156&lt;'111'!$L$11),"x","")</f>
        <v/>
      </c>
      <c r="S1156" s="82" t="str">
        <f>IF(AND($O1156=$Q$7,$B1156&lt;'111'!$L$11),"x","")</f>
        <v>x</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1" ht="15.75" customHeight="1">
      <c r="A1157" s="334" t="str">
        <f>IF(B1157&lt;&gt;"",IF(AND(B1157='IN-TC'!$S$4,OR(TH!N1157="1111",TH!O1157="1111")),TH!D1157,""),"")</f>
        <v/>
      </c>
      <c r="B1157" s="63">
        <f t="shared" si="177"/>
        <v>1</v>
      </c>
      <c r="C1157" s="64">
        <v>42398</v>
      </c>
      <c r="D1157" s="64" t="s">
        <v>910</v>
      </c>
      <c r="E1157" s="64">
        <v>42398</v>
      </c>
      <c r="F1157" s="512" t="s">
        <v>774</v>
      </c>
      <c r="G1157" s="67" t="s">
        <v>837</v>
      </c>
      <c r="H1157" s="72" t="s">
        <v>805</v>
      </c>
      <c r="I1157" s="437"/>
      <c r="J1157" s="437"/>
      <c r="K1157" s="428"/>
      <c r="L1157" s="437"/>
      <c r="M1157" s="65">
        <v>66027</v>
      </c>
      <c r="N1157" s="66" t="s">
        <v>9</v>
      </c>
      <c r="O1157" s="66" t="s">
        <v>63</v>
      </c>
      <c r="P1157" s="82" t="str">
        <f>IF(AND('331-CT'!$E$7=TH!H1157,OR(N1157="331",O1157="331")),"x","")</f>
        <v/>
      </c>
      <c r="Q1157" s="82" t="str">
        <f>IF(AND(B1157='111'!$L$11,OR($N1157=$Q$7,$O1157=$Q$7)),"x","")</f>
        <v/>
      </c>
      <c r="R1157" s="82" t="str">
        <f>IF(AND($N1157=$Q$7,$B1157&lt;'111'!$L$11),"x","")</f>
        <v/>
      </c>
      <c r="S1157" s="82" t="str">
        <f>IF(AND($O1157=$Q$7,$B1157&lt;'111'!$L$11),"x","")</f>
        <v>x</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x</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1" ht="15.75" customHeight="1">
      <c r="A1158" s="334" t="str">
        <f>IF(B1158&lt;&gt;"",IF(AND(B1158='IN-TC'!$S$4,OR(TH!N1158="1111",TH!O1158="1111")),TH!D1158,""),"")</f>
        <v/>
      </c>
      <c r="B1158" s="63">
        <f t="shared" si="177"/>
        <v>1</v>
      </c>
      <c r="C1158" s="64">
        <v>42399</v>
      </c>
      <c r="D1158" s="64" t="s">
        <v>702</v>
      </c>
      <c r="E1158" s="64">
        <v>42399</v>
      </c>
      <c r="F1158" s="512" t="s">
        <v>1090</v>
      </c>
      <c r="G1158" s="67" t="s">
        <v>915</v>
      </c>
      <c r="H1158" s="73" t="s">
        <v>631</v>
      </c>
      <c r="I1158" s="440"/>
      <c r="J1158" s="440"/>
      <c r="K1158" s="431"/>
      <c r="L1158" s="440"/>
      <c r="M1158" s="65">
        <v>56980000</v>
      </c>
      <c r="N1158" s="66" t="s">
        <v>8</v>
      </c>
      <c r="O1158" s="66" t="s">
        <v>26</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E1158" s="1136" t="str">
        <f>IF(H1158&lt;&gt;VLOOKUP(H1158,DSKH,1,0),"","x")</f>
        <v>x</v>
      </c>
    </row>
    <row r="1159" spans="1:31" ht="15.75" customHeight="1">
      <c r="A1159" s="334" t="str">
        <f>IF(B1159&lt;&gt;"",IF(AND(B1159='IN-TC'!$S$4,OR(TH!N1159="1111",TH!O1159="1111")),TH!D1159,""),"")</f>
        <v/>
      </c>
      <c r="B1159" s="63">
        <f t="shared" ref="B1159:B1222" si="179">IF(C1159&lt;&gt;"",MONTH(C1159),"")</f>
        <v>1</v>
      </c>
      <c r="C1159" s="64">
        <v>42399</v>
      </c>
      <c r="D1159" s="64" t="s">
        <v>702</v>
      </c>
      <c r="E1159" s="64">
        <v>42399</v>
      </c>
      <c r="F1159" s="512" t="s">
        <v>740</v>
      </c>
      <c r="G1159" s="67" t="s">
        <v>915</v>
      </c>
      <c r="H1159" s="72"/>
      <c r="I1159" s="437"/>
      <c r="J1159" s="437"/>
      <c r="K1159" s="428"/>
      <c r="L1159" s="437"/>
      <c r="M1159" s="65">
        <v>28490</v>
      </c>
      <c r="N1159" s="66" t="s">
        <v>101</v>
      </c>
      <c r="O1159" s="66" t="s">
        <v>26</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1" ht="15.75" customHeight="1">
      <c r="A1160" s="334" t="str">
        <f>IF(B1160&lt;&gt;"",IF(AND(B1160='IN-TC'!$S$4,OR(TH!N1160="1111",TH!O1160="1111")),TH!D1160,""),"")</f>
        <v/>
      </c>
      <c r="B1160" s="63">
        <f t="shared" si="179"/>
        <v>1</v>
      </c>
      <c r="C1160" s="64">
        <v>42399</v>
      </c>
      <c r="D1160" s="64" t="s">
        <v>702</v>
      </c>
      <c r="E1160" s="64">
        <v>42399</v>
      </c>
      <c r="F1160" s="512" t="s">
        <v>742</v>
      </c>
      <c r="G1160" s="67" t="s">
        <v>915</v>
      </c>
      <c r="H1160" s="72"/>
      <c r="I1160" s="437"/>
      <c r="J1160" s="437"/>
      <c r="K1160" s="428"/>
      <c r="L1160" s="437"/>
      <c r="M1160" s="65">
        <v>2849</v>
      </c>
      <c r="N1160" s="66" t="s">
        <v>9</v>
      </c>
      <c r="O1160" s="66" t="s">
        <v>26</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x</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1" ht="15.75" customHeight="1">
      <c r="A1161" s="334" t="str">
        <f>IF(B1161&lt;&gt;"",IF(AND(B1161='IN-TC'!$S$4,OR(TH!N1161="1111",TH!O1161="1111")),TH!D1161,""),"")</f>
        <v/>
      </c>
      <c r="B1161" s="63">
        <f t="shared" si="179"/>
        <v>1</v>
      </c>
      <c r="C1161" s="64">
        <v>42399</v>
      </c>
      <c r="D1161" s="64" t="s">
        <v>702</v>
      </c>
      <c r="E1161" s="64">
        <v>42399</v>
      </c>
      <c r="F1161" s="512" t="s">
        <v>1091</v>
      </c>
      <c r="G1161" s="67" t="s">
        <v>915</v>
      </c>
      <c r="H1161" s="74" t="s">
        <v>626</v>
      </c>
      <c r="I1161" s="439"/>
      <c r="J1161" s="439"/>
      <c r="K1161" s="430"/>
      <c r="L1161" s="439"/>
      <c r="M1161" s="65">
        <v>1300000</v>
      </c>
      <c r="N1161" s="66" t="s">
        <v>8</v>
      </c>
      <c r="O1161" s="66" t="s">
        <v>26</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c r="AE1161" s="1136" t="str">
        <f>IF(H1161&lt;&gt;VLOOKUP(H1161,DSKH,1,0),"","x")</f>
        <v>x</v>
      </c>
    </row>
    <row r="1162" spans="1:31" ht="15.75" customHeight="1">
      <c r="A1162" s="334" t="str">
        <f>IF(B1162&lt;&gt;"",IF(AND(B1162='IN-TC'!$S$4,OR(TH!N1162="1111",TH!O1162="1111")),TH!D1162,""),"")</f>
        <v/>
      </c>
      <c r="B1162" s="63">
        <f t="shared" si="179"/>
        <v>1</v>
      </c>
      <c r="C1162" s="64">
        <v>42399</v>
      </c>
      <c r="D1162" s="64" t="s">
        <v>702</v>
      </c>
      <c r="E1162" s="64">
        <v>42399</v>
      </c>
      <c r="F1162" s="512" t="s">
        <v>740</v>
      </c>
      <c r="G1162" s="67" t="s">
        <v>915</v>
      </c>
      <c r="H1162" s="74"/>
      <c r="I1162" s="439"/>
      <c r="J1162" s="439"/>
      <c r="K1162" s="430"/>
      <c r="L1162" s="439"/>
      <c r="M1162" s="65">
        <v>20000</v>
      </c>
      <c r="N1162" s="66" t="s">
        <v>101</v>
      </c>
      <c r="O1162" s="66" t="s">
        <v>26</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1" ht="15.75" customHeight="1">
      <c r="A1163" s="334" t="str">
        <f>IF(B1163&lt;&gt;"",IF(AND(B1163='IN-TC'!$S$4,OR(TH!N1163="1111",TH!O1163="1111")),TH!D1163,""),"")</f>
        <v/>
      </c>
      <c r="B1163" s="63">
        <f t="shared" si="179"/>
        <v>1</v>
      </c>
      <c r="C1163" s="64">
        <v>42399</v>
      </c>
      <c r="D1163" s="64" t="s">
        <v>702</v>
      </c>
      <c r="E1163" s="64">
        <v>42399</v>
      </c>
      <c r="F1163" s="512" t="s">
        <v>742</v>
      </c>
      <c r="G1163" s="67" t="s">
        <v>915</v>
      </c>
      <c r="H1163" s="74"/>
      <c r="I1163" s="439"/>
      <c r="J1163" s="439"/>
      <c r="K1163" s="430"/>
      <c r="L1163" s="439"/>
      <c r="M1163" s="65">
        <v>2000</v>
      </c>
      <c r="N1163" s="66" t="s">
        <v>9</v>
      </c>
      <c r="O1163" s="66" t="s">
        <v>26</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x</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1" ht="15.75" customHeight="1">
      <c r="A1164" s="334" t="str">
        <f>IF(B1164&lt;&gt;"",IF(AND(B1164='IN-TC'!$S$4,OR(TH!N1164="1111",TH!O1164="1111")),TH!D1164,""),"")</f>
        <v/>
      </c>
      <c r="B1164" s="63">
        <f t="shared" si="179"/>
        <v>1</v>
      </c>
      <c r="C1164" s="64">
        <v>42399</v>
      </c>
      <c r="D1164" s="64" t="s">
        <v>702</v>
      </c>
      <c r="E1164" s="64">
        <v>42399</v>
      </c>
      <c r="F1164" s="512" t="s">
        <v>1091</v>
      </c>
      <c r="G1164" s="67" t="s">
        <v>915</v>
      </c>
      <c r="H1164" s="74" t="s">
        <v>626</v>
      </c>
      <c r="I1164" s="439"/>
      <c r="J1164" s="439"/>
      <c r="K1164" s="430"/>
      <c r="L1164" s="439"/>
      <c r="M1164" s="65">
        <v>4645000</v>
      </c>
      <c r="N1164" s="66" t="s">
        <v>8</v>
      </c>
      <c r="O1164" s="66" t="s">
        <v>26</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c r="AE1164" s="1136" t="str">
        <f>IF(H1164&lt;&gt;VLOOKUP(H1164,DSKH,1,0),"","x")</f>
        <v>x</v>
      </c>
    </row>
    <row r="1165" spans="1:31" ht="15.75" customHeight="1">
      <c r="A1165" s="334" t="str">
        <f>IF(B1165&lt;&gt;"",IF(AND(B1165='IN-TC'!$S$4,OR(TH!N1165="1111",TH!O1165="1111")),TH!D1165,""),"")</f>
        <v/>
      </c>
      <c r="B1165" s="63">
        <f t="shared" si="179"/>
        <v>1</v>
      </c>
      <c r="C1165" s="64">
        <v>42399</v>
      </c>
      <c r="D1165" s="64" t="s">
        <v>702</v>
      </c>
      <c r="E1165" s="64">
        <v>42399</v>
      </c>
      <c r="F1165" s="512" t="s">
        <v>740</v>
      </c>
      <c r="G1165" s="67" t="s">
        <v>915</v>
      </c>
      <c r="H1165" s="74"/>
      <c r="I1165" s="439"/>
      <c r="J1165" s="439"/>
      <c r="K1165" s="430"/>
      <c r="L1165" s="439"/>
      <c r="M1165" s="65">
        <v>20000</v>
      </c>
      <c r="N1165" s="83" t="s">
        <v>101</v>
      </c>
      <c r="O1165" s="66" t="s">
        <v>26</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1" ht="15.75" customHeight="1">
      <c r="A1166" s="334" t="str">
        <f>IF(B1166&lt;&gt;"",IF(AND(B1166='IN-TC'!$S$4,OR(TH!N1166="1111",TH!O1166="1111")),TH!D1166,""),"")</f>
        <v/>
      </c>
      <c r="B1166" s="63">
        <f t="shared" si="179"/>
        <v>1</v>
      </c>
      <c r="C1166" s="64">
        <v>42399</v>
      </c>
      <c r="D1166" s="64" t="s">
        <v>702</v>
      </c>
      <c r="E1166" s="64">
        <v>42399</v>
      </c>
      <c r="F1166" s="512" t="s">
        <v>742</v>
      </c>
      <c r="G1166" s="67" t="s">
        <v>915</v>
      </c>
      <c r="H1166" s="74"/>
      <c r="I1166" s="439"/>
      <c r="J1166" s="439"/>
      <c r="K1166" s="430"/>
      <c r="L1166" s="439"/>
      <c r="M1166" s="65">
        <v>2000</v>
      </c>
      <c r="N1166" s="83" t="s">
        <v>9</v>
      </c>
      <c r="O1166" s="66" t="s">
        <v>26</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x</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1" ht="15.75" customHeight="1">
      <c r="A1167" s="334" t="str">
        <f>IF(B1167&lt;&gt;"",IF(AND(B1167='IN-TC'!$S$4,OR(TH!N1167="1111",TH!O1167="1111")),TH!D1167,""),"")</f>
        <v/>
      </c>
      <c r="B1167" s="63">
        <f t="shared" si="179"/>
        <v>1</v>
      </c>
      <c r="C1167" s="64">
        <v>42399</v>
      </c>
      <c r="D1167" s="64" t="s">
        <v>911</v>
      </c>
      <c r="E1167" s="64">
        <v>42399</v>
      </c>
      <c r="F1167" s="512" t="s">
        <v>773</v>
      </c>
      <c r="G1167" s="67" t="s">
        <v>838</v>
      </c>
      <c r="H1167" s="72" t="s">
        <v>805</v>
      </c>
      <c r="I1167" s="437"/>
      <c r="J1167" s="437"/>
      <c r="K1167" s="428"/>
      <c r="L1167" s="437"/>
      <c r="M1167" s="65">
        <v>674945</v>
      </c>
      <c r="N1167" s="66" t="s">
        <v>101</v>
      </c>
      <c r="O1167" s="66" t="s">
        <v>63</v>
      </c>
      <c r="P1167" s="82" t="str">
        <f>IF(AND('331-CT'!$E$7=TH!H1167,OR(N1167="331",O1167="331")),"x","")</f>
        <v/>
      </c>
      <c r="Q1167" s="82" t="str">
        <f>IF(AND(B1167='111'!$L$11,OR($N1167=$Q$7,$O1167=$Q$7)),"x","")</f>
        <v/>
      </c>
      <c r="R1167" s="82" t="str">
        <f>IF(AND($N1167=$Q$7,$B1167&lt;'111'!$L$11),"x","")</f>
        <v/>
      </c>
      <c r="S1167" s="82" t="str">
        <f>IF(AND($O1167=$Q$7,$B1167&lt;'111'!$L$11),"x","")</f>
        <v>x</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1" ht="15.75" customHeight="1">
      <c r="A1168" s="334" t="str">
        <f>IF(B1168&lt;&gt;"",IF(AND(B1168='IN-TC'!$S$4,OR(TH!N1168="1111",TH!O1168="1111")),TH!D1168,""),"")</f>
        <v/>
      </c>
      <c r="B1168" s="63">
        <f t="shared" si="179"/>
        <v>1</v>
      </c>
      <c r="C1168" s="64">
        <v>42399</v>
      </c>
      <c r="D1168" s="64" t="s">
        <v>911</v>
      </c>
      <c r="E1168" s="64">
        <v>42399</v>
      </c>
      <c r="F1168" s="512" t="s">
        <v>774</v>
      </c>
      <c r="G1168" s="972" t="s">
        <v>838</v>
      </c>
      <c r="H1168" s="72" t="s">
        <v>805</v>
      </c>
      <c r="I1168" s="437"/>
      <c r="J1168" s="437"/>
      <c r="K1168" s="428"/>
      <c r="L1168" s="437"/>
      <c r="M1168" s="65">
        <v>67495</v>
      </c>
      <c r="N1168" s="66" t="s">
        <v>9</v>
      </c>
      <c r="O1168" s="66" t="s">
        <v>63</v>
      </c>
      <c r="P1168" s="82" t="str">
        <f>IF(AND('331-CT'!$E$7=TH!H1168,OR(N1168="331",O1168="331")),"x","")</f>
        <v/>
      </c>
      <c r="Q1168" s="82" t="str">
        <f>IF(AND(B1168='111'!$L$11,OR($N1168=$Q$7,$O1168=$Q$7)),"x","")</f>
        <v/>
      </c>
      <c r="R1168" s="82" t="str">
        <f>IF(AND($N1168=$Q$7,$B1168&lt;'111'!$L$11),"x","")</f>
        <v/>
      </c>
      <c r="S1168" s="82" t="str">
        <f>IF(AND($O1168=$Q$7,$B1168&lt;'111'!$L$11),"x","")</f>
        <v>x</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x</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2" s="348" customFormat="1" ht="15.75" customHeight="1">
      <c r="A1169" s="1229" t="str">
        <f>IF(B1169&lt;&gt;"",IF(AND(B1169='IN-TC'!$S$4,OR(TH!N1169="1111",TH!O1169="1111")),TH!D1169,""),"")</f>
        <v/>
      </c>
      <c r="B1169" s="1134">
        <f t="shared" si="179"/>
        <v>1</v>
      </c>
      <c r="C1169" s="92">
        <v>42400</v>
      </c>
      <c r="D1169" s="92" t="s">
        <v>1556</v>
      </c>
      <c r="E1169" s="92">
        <v>42400</v>
      </c>
      <c r="F1169" s="72" t="s">
        <v>1891</v>
      </c>
      <c r="G1169" s="1138"/>
      <c r="H1169" s="94" t="s">
        <v>1211</v>
      </c>
      <c r="I1169" s="443"/>
      <c r="J1169" s="443"/>
      <c r="K1169" s="434"/>
      <c r="L1169" s="443"/>
      <c r="M1169" s="95">
        <v>1500000000</v>
      </c>
      <c r="N1169" s="83" t="s">
        <v>63</v>
      </c>
      <c r="O1169" s="83" t="s">
        <v>72</v>
      </c>
      <c r="P1169" s="83" t="str">
        <f>IF(AND('331-CT'!$E$7=TH!H1169,OR(N1169="331",O1169="331")),"x","")</f>
        <v/>
      </c>
      <c r="Q1169" s="83" t="str">
        <f>IF(AND(B1169='111'!$L$11,OR($N1169=$Q$7,$O1169=$Q$7)),"x","")</f>
        <v/>
      </c>
      <c r="R1169" s="83" t="str">
        <f>IF(AND($N1169=$Q$7,$B1169&lt;'111'!$L$11),"x","")</f>
        <v>x</v>
      </c>
      <c r="S1169" s="83" t="str">
        <f>IF(AND($O1169=$Q$7,$B1169&lt;'111'!$L$11),"x","")</f>
        <v/>
      </c>
      <c r="T1169" s="83" t="str">
        <f>IF(ISERROR(FIND('112'!$M$9,G1169,1)),"",IF((AND(FIND('112'!$M$9,G1169,1)&gt;=1,B1169='112'!$K$9,OR($N1169='112'!$I$6,$O1169='112'!$I$6))),"x",""))</f>
        <v/>
      </c>
      <c r="U1169" s="83" t="str">
        <f>IF(ISERROR(FIND('112'!$M$9,G1169,1)),"",IF((AND(LEFT(G1169,2)=LEFT('112'!$M$9,2),B1169&lt;'112'!$K$9,$N1169='112'!$I$6)),"x",""))</f>
        <v/>
      </c>
      <c r="V1169" s="83" t="str">
        <f>IF(ISERROR(FIND('112'!$M$9,G1169,1)),"",IF((AND(RIGHT(G1169,2)=RIGHT('112'!$M$9,2),B1169&lt;'112'!$K$9,$O1169='112'!$I$6)),"x",""))</f>
        <v/>
      </c>
      <c r="W1169" s="83" t="str">
        <f>IF(AND('341-CT'!$H$9=H1169,OR(LEFT(N1169,3)=$W$7,LEFT(O1169,3)=$W$7)),"x","")</f>
        <v/>
      </c>
      <c r="X1169" s="83" t="str">
        <f>IF(OR(TH!N1169=TH!$X$7,O1169=TH!$X$7),"x","")</f>
        <v/>
      </c>
      <c r="Y1169" s="83" t="str">
        <f>IF(AND(OR(N1169="131",O1169="131"),H1169='131-CT'!$H$9),"x","")</f>
        <v/>
      </c>
      <c r="Z1169" s="83"/>
      <c r="AA1169" s="83" t="str">
        <f>IF(AND(MONTH(E1169)='IN-NX'!$J$5,'IN-NX'!$D$7=D1169),"x","")</f>
        <v/>
      </c>
      <c r="AB1169" s="83" t="str">
        <f>IF(AND(OR(LEFT(TH!N1169,2)="15",LEFT(TH!O1169,2)="15"),LEFT(TH!O1169,3)&lt;&gt;"111",'152-CT'!$J$8=TH!F1169),"x","")</f>
        <v/>
      </c>
      <c r="AC1169" s="83" t="str">
        <f>IF(AND(OR(LEFT(TH!N1169,2)="15",LEFT(TH!O1169,2)="15"),TK!$E$7=TH!F1169),"x","")</f>
        <v/>
      </c>
      <c r="AD1169" s="83" t="str">
        <f>IF(AND(N1169="1521",MONTH(C1169)='BK-NL'!$M$11),"x","")</f>
        <v/>
      </c>
    </row>
    <row r="1170" spans="1:32" ht="15.75" customHeight="1">
      <c r="A1170" s="334" t="str">
        <f>IF(B1170&lt;&gt;"",IF(AND(B1170='IN-TC'!$S$4,OR(TH!N1170="1111",TH!O1170="1111")),TH!D1170,""),"")</f>
        <v/>
      </c>
      <c r="B1170" s="63">
        <f t="shared" si="179"/>
        <v>1</v>
      </c>
      <c r="C1170" s="64">
        <v>42400</v>
      </c>
      <c r="D1170" s="64" t="s">
        <v>912</v>
      </c>
      <c r="E1170" s="64">
        <v>42400</v>
      </c>
      <c r="F1170" s="512" t="s">
        <v>788</v>
      </c>
      <c r="G1170" s="67" t="s">
        <v>839</v>
      </c>
      <c r="H1170" s="72" t="s">
        <v>811</v>
      </c>
      <c r="I1170" s="437"/>
      <c r="J1170" s="437"/>
      <c r="K1170" s="428"/>
      <c r="L1170" s="437"/>
      <c r="M1170" s="65">
        <v>320291</v>
      </c>
      <c r="N1170" s="66" t="s">
        <v>101</v>
      </c>
      <c r="O1170" s="66" t="s">
        <v>63</v>
      </c>
      <c r="P1170" s="82" t="str">
        <f>IF(AND('331-CT'!$E$7=TH!H1170,OR(N1170="331",O1170="331")),"x","")</f>
        <v/>
      </c>
      <c r="Q1170" s="82" t="str">
        <f>IF(AND(B1170='111'!$L$11,OR($N1170=$Q$7,$O1170=$Q$7)),"x","")</f>
        <v/>
      </c>
      <c r="R1170" s="82" t="str">
        <f>IF(AND($N1170=$Q$7,$B1170&lt;'111'!$L$11),"x","")</f>
        <v/>
      </c>
      <c r="S1170" s="82" t="str">
        <f>IF(AND($O1170=$Q$7,$B1170&lt;'111'!$L$11),"x","")</f>
        <v>x</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2" ht="15.75" customHeight="1">
      <c r="A1171" s="334" t="str">
        <f>IF(B1171&lt;&gt;"",IF(AND(B1171='IN-TC'!$S$4,OR(TH!N1171="1111",TH!O1171="1111")),TH!D1171,""),"")</f>
        <v/>
      </c>
      <c r="B1171" s="63">
        <f t="shared" si="179"/>
        <v>1</v>
      </c>
      <c r="C1171" s="64">
        <v>42400</v>
      </c>
      <c r="D1171" s="64" t="s">
        <v>912</v>
      </c>
      <c r="E1171" s="64">
        <v>42400</v>
      </c>
      <c r="F1171" s="512" t="s">
        <v>789</v>
      </c>
      <c r="G1171" s="67" t="s">
        <v>839</v>
      </c>
      <c r="H1171" s="72" t="s">
        <v>811</v>
      </c>
      <c r="I1171" s="437"/>
      <c r="J1171" s="437"/>
      <c r="K1171" s="428"/>
      <c r="L1171" s="437"/>
      <c r="M1171" s="65">
        <v>32029</v>
      </c>
      <c r="N1171" s="66" t="s">
        <v>9</v>
      </c>
      <c r="O1171" s="66" t="s">
        <v>63</v>
      </c>
      <c r="P1171" s="82" t="str">
        <f>IF(AND('331-CT'!$E$7=TH!H1171,OR(N1171="331",O1171="331")),"x","")</f>
        <v/>
      </c>
      <c r="Q1171" s="82" t="str">
        <f>IF(AND(B1171='111'!$L$11,OR($N1171=$Q$7,$O1171=$Q$7)),"x","")</f>
        <v/>
      </c>
      <c r="R1171" s="82" t="str">
        <f>IF(AND($N1171=$Q$7,$B1171&lt;'111'!$L$11),"x","")</f>
        <v/>
      </c>
      <c r="S1171" s="82" t="str">
        <f>IF(AND($O1171=$Q$7,$B1171&lt;'111'!$L$11),"x","")</f>
        <v>x</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x</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2" ht="15.75" customHeight="1">
      <c r="A1172" s="334" t="str">
        <f>IF(B1172&lt;&gt;"",IF(AND(B1172='IN-TC'!$S$4,OR(TH!N1172="1111",TH!O1172="1111")),TH!D1172,""),"")</f>
        <v/>
      </c>
      <c r="B1172" s="63">
        <f t="shared" si="179"/>
        <v>1</v>
      </c>
      <c r="C1172" s="64">
        <v>42400</v>
      </c>
      <c r="D1172" s="64" t="s">
        <v>961</v>
      </c>
      <c r="E1172" s="64">
        <v>42400</v>
      </c>
      <c r="F1172" s="512" t="s">
        <v>773</v>
      </c>
      <c r="G1172" s="67" t="s">
        <v>840</v>
      </c>
      <c r="H1172" s="72" t="s">
        <v>841</v>
      </c>
      <c r="I1172" s="437"/>
      <c r="J1172" s="437"/>
      <c r="K1172" s="428"/>
      <c r="L1172" s="437"/>
      <c r="M1172" s="65">
        <v>44018</v>
      </c>
      <c r="N1172" s="66" t="s">
        <v>101</v>
      </c>
      <c r="O1172" s="66" t="s">
        <v>63</v>
      </c>
      <c r="P1172" s="82" t="str">
        <f>IF(AND('331-CT'!$E$7=TH!H1172,OR(N1172="331",O1172="331")),"x","")</f>
        <v/>
      </c>
      <c r="Q1172" s="82" t="str">
        <f>IF(AND(B1172='111'!$L$11,OR($N1172=$Q$7,$O1172=$Q$7)),"x","")</f>
        <v/>
      </c>
      <c r="R1172" s="82" t="str">
        <f>IF(AND($N1172=$Q$7,$B1172&lt;'111'!$L$11),"x","")</f>
        <v/>
      </c>
      <c r="S1172" s="82" t="str">
        <f>IF(AND($O1172=$Q$7,$B1172&lt;'111'!$L$11),"x","")</f>
        <v>x</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2" ht="15.75" customHeight="1">
      <c r="A1173" s="334" t="str">
        <f>IF(B1173&lt;&gt;"",IF(AND(B1173='IN-TC'!$S$4,OR(TH!N1173="1111",TH!O1173="1111")),TH!D1173,""),"")</f>
        <v/>
      </c>
      <c r="B1173" s="63">
        <f t="shared" si="179"/>
        <v>1</v>
      </c>
      <c r="C1173" s="64">
        <v>42400</v>
      </c>
      <c r="D1173" s="64" t="s">
        <v>961</v>
      </c>
      <c r="E1173" s="64">
        <v>42400</v>
      </c>
      <c r="F1173" s="512" t="s">
        <v>774</v>
      </c>
      <c r="G1173" s="67" t="s">
        <v>840</v>
      </c>
      <c r="H1173" s="72" t="s">
        <v>841</v>
      </c>
      <c r="I1173" s="437"/>
      <c r="J1173" s="437"/>
      <c r="K1173" s="428"/>
      <c r="L1173" s="437"/>
      <c r="M1173" s="65">
        <v>4402</v>
      </c>
      <c r="N1173" s="66" t="s">
        <v>9</v>
      </c>
      <c r="O1173" s="66" t="s">
        <v>63</v>
      </c>
      <c r="P1173" s="82" t="str">
        <f>IF(AND('331-CT'!$E$7=TH!H1173,OR(N1173="331",O1173="331")),"x","")</f>
        <v/>
      </c>
      <c r="Q1173" s="82" t="str">
        <f>IF(AND(B1173='111'!$L$11,OR($N1173=$Q$7,$O1173=$Q$7)),"x","")</f>
        <v/>
      </c>
      <c r="R1173" s="82" t="str">
        <f>IF(AND($N1173=$Q$7,$B1173&lt;'111'!$L$11),"x","")</f>
        <v/>
      </c>
      <c r="S1173" s="82" t="str">
        <f>IF(AND($O1173=$Q$7,$B1173&lt;'111'!$L$11),"x","")</f>
        <v>x</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x</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2" ht="15.75" customHeight="1">
      <c r="A1174" s="334" t="str">
        <f>IF(B1174&lt;&gt;"",IF(AND(B1174='IN-TC'!$S$4,OR(TH!N1174="1111",TH!O1174="1111")),TH!D1174,""),"")</f>
        <v/>
      </c>
      <c r="B1174" s="63">
        <f t="shared" si="179"/>
        <v>1</v>
      </c>
      <c r="C1174" s="64">
        <v>42400</v>
      </c>
      <c r="D1174" s="64" t="s">
        <v>962</v>
      </c>
      <c r="E1174" s="64">
        <v>42400</v>
      </c>
      <c r="F1174" s="512" t="s">
        <v>792</v>
      </c>
      <c r="G1174" s="67" t="s">
        <v>842</v>
      </c>
      <c r="H1174" s="72" t="s">
        <v>843</v>
      </c>
      <c r="I1174" s="437"/>
      <c r="J1174" s="437"/>
      <c r="K1174" s="428"/>
      <c r="L1174" s="437"/>
      <c r="M1174" s="65">
        <v>1970034</v>
      </c>
      <c r="N1174" s="66" t="s">
        <v>101</v>
      </c>
      <c r="O1174" s="66" t="s">
        <v>63</v>
      </c>
      <c r="P1174" s="82" t="str">
        <f>IF(AND('331-CT'!$E$7=TH!H1174,OR(N1174="331",O1174="331")),"x","")</f>
        <v/>
      </c>
      <c r="Q1174" s="82" t="str">
        <f>IF(AND(B1174='111'!$L$11,OR($N1174=$Q$7,$O1174=$Q$7)),"x","")</f>
        <v/>
      </c>
      <c r="R1174" s="82" t="str">
        <f>IF(AND($N1174=$Q$7,$B1174&lt;'111'!$L$11),"x","")</f>
        <v/>
      </c>
      <c r="S1174" s="82" t="str">
        <f>IF(AND($O1174=$Q$7,$B1174&lt;'111'!$L$11),"x","")</f>
        <v>x</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2" ht="15.75" customHeight="1">
      <c r="A1175" s="334" t="str">
        <f>IF(B1175&lt;&gt;"",IF(AND(B1175='IN-TC'!$S$4,OR(TH!N1175="1111",TH!O1175="1111")),TH!D1175,""),"")</f>
        <v/>
      </c>
      <c r="B1175" s="63">
        <f t="shared" si="179"/>
        <v>1</v>
      </c>
      <c r="C1175" s="64">
        <v>42400</v>
      </c>
      <c r="D1175" s="64" t="s">
        <v>962</v>
      </c>
      <c r="E1175" s="64">
        <v>42400</v>
      </c>
      <c r="F1175" s="512" t="s">
        <v>793</v>
      </c>
      <c r="G1175" s="67" t="s">
        <v>842</v>
      </c>
      <c r="H1175" s="72" t="s">
        <v>843</v>
      </c>
      <c r="I1175" s="437"/>
      <c r="J1175" s="437"/>
      <c r="K1175" s="428"/>
      <c r="L1175" s="437"/>
      <c r="M1175" s="65">
        <v>197003</v>
      </c>
      <c r="N1175" s="66" t="s">
        <v>9</v>
      </c>
      <c r="O1175" s="66" t="s">
        <v>63</v>
      </c>
      <c r="P1175" s="82" t="str">
        <f>IF(AND('331-CT'!$E$7=TH!H1175,OR(N1175="331",O1175="331")),"x","")</f>
        <v/>
      </c>
      <c r="Q1175" s="82" t="str">
        <f>IF(AND(B1175='111'!$L$11,OR($N1175=$Q$7,$O1175=$Q$7)),"x","")</f>
        <v/>
      </c>
      <c r="R1175" s="82" t="str">
        <f>IF(AND($N1175=$Q$7,$B1175&lt;'111'!$L$11),"x","")</f>
        <v/>
      </c>
      <c r="S1175" s="82" t="str">
        <f>IF(AND($O1175=$Q$7,$B1175&lt;'111'!$L$11),"x","")</f>
        <v>x</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x</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2" ht="15.75" customHeight="1">
      <c r="A1176" s="334" t="str">
        <f>IF(B1176&lt;&gt;"",IF(AND(B1176='IN-TC'!$S$4,OR(TH!N1176="1111",TH!O1176="1111")),TH!D1176,""),"")</f>
        <v/>
      </c>
      <c r="B1176" s="63">
        <f t="shared" si="179"/>
        <v>1</v>
      </c>
      <c r="C1176" s="64">
        <v>42400</v>
      </c>
      <c r="D1176" s="64" t="s">
        <v>963</v>
      </c>
      <c r="E1176" s="64">
        <v>42400</v>
      </c>
      <c r="F1176" s="512" t="s">
        <v>794</v>
      </c>
      <c r="G1176" s="67" t="s">
        <v>844</v>
      </c>
      <c r="H1176" s="72" t="s">
        <v>1470</v>
      </c>
      <c r="I1176" s="437"/>
      <c r="J1176" s="437"/>
      <c r="K1176" s="428"/>
      <c r="L1176" s="437"/>
      <c r="M1176" s="65">
        <v>354533</v>
      </c>
      <c r="N1176" s="66" t="s">
        <v>101</v>
      </c>
      <c r="O1176" s="66" t="s">
        <v>63</v>
      </c>
      <c r="P1176" s="82" t="str">
        <f>IF(AND('331-CT'!$E$7=TH!H1176,OR(N1176="331",O1176="331")),"x","")</f>
        <v/>
      </c>
      <c r="Q1176" s="82" t="str">
        <f>IF(AND(B1176='111'!$L$11,OR($N1176=$Q$7,$O1176=$Q$7)),"x","")</f>
        <v/>
      </c>
      <c r="R1176" s="82" t="str">
        <f>IF(AND($N1176=$Q$7,$B1176&lt;'111'!$L$11),"x","")</f>
        <v/>
      </c>
      <c r="S1176" s="82" t="str">
        <f>IF(AND($O1176=$Q$7,$B1176&lt;'111'!$L$11),"x","")</f>
        <v>x</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2" ht="15.75" customHeight="1">
      <c r="A1177" s="334" t="str">
        <f>IF(B1177&lt;&gt;"",IF(AND(B1177='IN-TC'!$S$4,OR(TH!N1177="1111",TH!O1177="1111")),TH!D1177,""),"")</f>
        <v/>
      </c>
      <c r="B1177" s="63">
        <f t="shared" si="179"/>
        <v>1</v>
      </c>
      <c r="C1177" s="64">
        <v>42400</v>
      </c>
      <c r="D1177" s="64" t="s">
        <v>963</v>
      </c>
      <c r="E1177" s="64">
        <v>42400</v>
      </c>
      <c r="F1177" s="512" t="s">
        <v>795</v>
      </c>
      <c r="G1177" s="67" t="s">
        <v>844</v>
      </c>
      <c r="H1177" s="72" t="s">
        <v>1470</v>
      </c>
      <c r="I1177" s="437"/>
      <c r="J1177" s="437"/>
      <c r="K1177" s="428"/>
      <c r="L1177" s="437"/>
      <c r="M1177" s="65">
        <v>35453</v>
      </c>
      <c r="N1177" s="66" t="s">
        <v>9</v>
      </c>
      <c r="O1177" s="66" t="s">
        <v>63</v>
      </c>
      <c r="P1177" s="82" t="str">
        <f>IF(AND('331-CT'!$E$7=TH!H1177,OR(N1177="331",O1177="331")),"x","")</f>
        <v/>
      </c>
      <c r="Q1177" s="82" t="str">
        <f>IF(AND(B1177='111'!$L$11,OR($N1177=$Q$7,$O1177=$Q$7)),"x","")</f>
        <v/>
      </c>
      <c r="R1177" s="82" t="str">
        <f>IF(AND($N1177=$Q$7,$B1177&lt;'111'!$L$11),"x","")</f>
        <v/>
      </c>
      <c r="S1177" s="82" t="str">
        <f>IF(AND($O1177=$Q$7,$B1177&lt;'111'!$L$11),"x","")</f>
        <v>x</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x</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2" s="345" customFormat="1" ht="15.75" customHeight="1">
      <c r="A1178" s="1230" t="str">
        <f>IF(B1178&lt;&gt;"",IF(AND(B1178='IN-TC'!$S$4,OR(TH!N1178="1111",TH!O1178="1111")),TH!D1178,""),"")</f>
        <v/>
      </c>
      <c r="B1178" s="993">
        <f t="shared" si="179"/>
        <v>1</v>
      </c>
      <c r="C1178" s="78">
        <f>E1178</f>
        <v>42400</v>
      </c>
      <c r="D1178" s="78" t="s">
        <v>964</v>
      </c>
      <c r="E1178" s="78">
        <v>42400</v>
      </c>
      <c r="F1178" s="512" t="s">
        <v>960</v>
      </c>
      <c r="G1178" s="79"/>
      <c r="H1178" s="80" t="s">
        <v>959</v>
      </c>
      <c r="I1178" s="435"/>
      <c r="J1178" s="435"/>
      <c r="K1178" s="426"/>
      <c r="L1178" s="435"/>
      <c r="M1178" s="81">
        <v>700000000</v>
      </c>
      <c r="N1178" s="82" t="s">
        <v>272</v>
      </c>
      <c r="O1178" s="82" t="s">
        <v>63</v>
      </c>
      <c r="P1178" s="82" t="str">
        <f>IF(AND('331-CT'!$E$7=TH!H1178,OR(N1178="331",O1178="331")),"x","")</f>
        <v/>
      </c>
      <c r="Q1178" s="82" t="str">
        <f>IF(AND(B1178='111'!$L$11,OR($N1178=$Q$7,$O1178=$Q$7)),"x","")</f>
        <v/>
      </c>
      <c r="R1178" s="82" t="str">
        <f>IF(AND($N1178=$Q$7,$B1178&lt;'111'!$L$11),"x","")</f>
        <v/>
      </c>
      <c r="S1178" s="82" t="str">
        <f>IF(AND($O1178=$Q$7,$B1178&lt;'111'!$L$11),"x","")</f>
        <v>x</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2" s="348" customFormat="1" ht="15.75" customHeight="1">
      <c r="A1179" s="1229" t="str">
        <f>IF(B1179&lt;&gt;"",IF(AND(B1179='IN-TC'!$S$4,OR(TH!N1179="1111",TH!O1179="1111")),TH!D1179,""),"")</f>
        <v/>
      </c>
      <c r="B1179" s="1134">
        <f t="shared" si="179"/>
        <v>1</v>
      </c>
      <c r="C1179" s="92">
        <v>42400</v>
      </c>
      <c r="D1179" s="92" t="s">
        <v>965</v>
      </c>
      <c r="E1179" s="92">
        <v>42400</v>
      </c>
      <c r="F1179" s="1259" t="s">
        <v>1944</v>
      </c>
      <c r="G1179" s="93"/>
      <c r="H1179" s="94" t="s">
        <v>845</v>
      </c>
      <c r="I1179" s="443"/>
      <c r="J1179" s="443"/>
      <c r="K1179" s="434"/>
      <c r="L1179" s="443"/>
      <c r="M1179" s="95">
        <v>140608780</v>
      </c>
      <c r="N1179" s="83" t="s">
        <v>589</v>
      </c>
      <c r="O1179" s="83" t="s">
        <v>63</v>
      </c>
      <c r="P1179" s="82" t="str">
        <f>IF(AND('331-CT'!$E$7=TH!H1179,OR(N1179="331",O1179="331")),"x","")</f>
        <v/>
      </c>
      <c r="Q1179" s="82" t="str">
        <f>IF(AND(B1179='111'!$L$11,OR($N1179=$Q$7,$O1179=$Q$7)),"x","")</f>
        <v/>
      </c>
      <c r="R1179" s="82" t="str">
        <f>IF(AND($N1179=$Q$7,$B1179&lt;'111'!$L$11),"x","")</f>
        <v/>
      </c>
      <c r="S1179" s="82" t="str">
        <f>IF(AND($O1179=$Q$7,$B1179&lt;'111'!$L$11),"x","")</f>
        <v>x</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2" ht="15.75" customHeight="1">
      <c r="A1180" s="334" t="str">
        <f>IF(B1180&lt;&gt;"",IF(AND(B1180='IN-TC'!$S$4,OR(TH!N1180="1111",TH!O1180="1111")),TH!D1180,""),"")</f>
        <v>C01</v>
      </c>
      <c r="B1180" s="63">
        <f t="shared" si="179"/>
        <v>2</v>
      </c>
      <c r="C1180" s="64">
        <v>42401</v>
      </c>
      <c r="D1180" s="64" t="s">
        <v>864</v>
      </c>
      <c r="E1180" s="64">
        <v>42384</v>
      </c>
      <c r="F1180" s="512" t="s">
        <v>994</v>
      </c>
      <c r="G1180" s="972" t="s">
        <v>1015</v>
      </c>
      <c r="H1180" s="72" t="s">
        <v>617</v>
      </c>
      <c r="I1180" s="437"/>
      <c r="J1180" s="437"/>
      <c r="K1180" s="428"/>
      <c r="L1180" s="437"/>
      <c r="M1180" s="65">
        <v>4243750</v>
      </c>
      <c r="N1180" s="66" t="s">
        <v>101</v>
      </c>
      <c r="O1180" s="66" t="s">
        <v>63</v>
      </c>
      <c r="P1180" s="82" t="str">
        <f>IF(AND('331-CT'!$E$7=TH!H1180,OR(N1180="331",O1180="331")),"x","")</f>
        <v/>
      </c>
      <c r="Q1180" s="82" t="str">
        <f>IF(AND(B1180='111'!$L$11,OR($N1180=$Q$7,$O1180=$Q$7)),"x","")</f>
        <v/>
      </c>
      <c r="R1180" s="82" t="str">
        <f>IF(AND($N1180=$Q$7,$B1180&lt;'111'!$L$11),"x","")</f>
        <v/>
      </c>
      <c r="S1180" s="82" t="str">
        <f>IF(AND($O1180=$Q$7,$B1180&lt;'111'!$L$11),"x","")</f>
        <v>x</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2" ht="15.75" customHeight="1">
      <c r="A1181" s="334" t="str">
        <f>IF(B1181&lt;&gt;"",IF(AND(B1181='IN-TC'!$S$4,OR(TH!N1181="1111",TH!O1181="1111")),TH!D1181,""),"")</f>
        <v>C01</v>
      </c>
      <c r="B1181" s="63">
        <f t="shared" si="179"/>
        <v>2</v>
      </c>
      <c r="C1181" s="64">
        <v>42401</v>
      </c>
      <c r="D1181" s="64" t="s">
        <v>864</v>
      </c>
      <c r="E1181" s="64">
        <v>42384</v>
      </c>
      <c r="F1181" s="512" t="s">
        <v>995</v>
      </c>
      <c r="G1181" s="972" t="s">
        <v>1015</v>
      </c>
      <c r="H1181" s="72" t="s">
        <v>617</v>
      </c>
      <c r="I1181" s="437"/>
      <c r="J1181" s="437"/>
      <c r="K1181" s="428"/>
      <c r="L1181" s="437"/>
      <c r="M1181" s="65">
        <v>424375</v>
      </c>
      <c r="N1181" s="66" t="s">
        <v>9</v>
      </c>
      <c r="O1181" s="66" t="s">
        <v>63</v>
      </c>
      <c r="P1181" s="82" t="str">
        <f>IF(AND('331-CT'!$E$7=TH!H1181,OR(N1181="331",O1181="331")),"x","")</f>
        <v/>
      </c>
      <c r="Q1181" s="82" t="str">
        <f>IF(AND(B1181='111'!$L$11,OR($N1181=$Q$7,$O1181=$Q$7)),"x","")</f>
        <v/>
      </c>
      <c r="R1181" s="82" t="str">
        <f>IF(AND($N1181=$Q$7,$B1181&lt;'111'!$L$11),"x","")</f>
        <v/>
      </c>
      <c r="S1181" s="82" t="str">
        <f>IF(AND($O1181=$Q$7,$B1181&lt;'111'!$L$11),"x","")</f>
        <v>x</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x</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2" ht="15.75" customHeight="1">
      <c r="A1182" s="334" t="str">
        <f>IF(B1182&lt;&gt;"",IF(AND(B1182='IN-TC'!$S$4,OR(TH!N1542="1111",TH!O1542="1111")),TH!D1542,""),"")</f>
        <v>C25</v>
      </c>
      <c r="B1182" s="1148">
        <f t="shared" si="179"/>
        <v>2</v>
      </c>
      <c r="C1182" s="1149">
        <v>42401</v>
      </c>
      <c r="D1182" s="1149" t="s">
        <v>865</v>
      </c>
      <c r="E1182" s="1149">
        <f>C1182</f>
        <v>42401</v>
      </c>
      <c r="F1182" s="512" t="s">
        <v>960</v>
      </c>
      <c r="G1182" s="1151"/>
      <c r="H1182" s="1150" t="s">
        <v>959</v>
      </c>
      <c r="I1182" s="1152"/>
      <c r="J1182" s="1152"/>
      <c r="K1182" s="1153"/>
      <c r="L1182" s="1152"/>
      <c r="M1182" s="1154">
        <v>310000000</v>
      </c>
      <c r="N1182" s="1155" t="s">
        <v>272</v>
      </c>
      <c r="O1182" s="1155" t="s">
        <v>63</v>
      </c>
      <c r="P1182" s="1155" t="str">
        <f>IF(AND('331-CT'!$E$7=TH!H1542,OR(N1182="331",O1182="331")),"x","")</f>
        <v/>
      </c>
      <c r="Q1182" s="1155" t="str">
        <f>IF(AND(B1182='111'!$L$11,OR($N1182=$Q$7,$O1182=$Q$7)),"x","")</f>
        <v/>
      </c>
      <c r="R1182" s="1155" t="str">
        <f>IF(AND($N1182=$Q$7,$B1182&lt;'111'!$L$11),"x","")</f>
        <v/>
      </c>
      <c r="S1182" s="1155" t="str">
        <f>IF(AND($O1182=$Q$7,$B1182&lt;'111'!$L$11),"x","")</f>
        <v>x</v>
      </c>
      <c r="T1182" s="1155" t="str">
        <f>IF(ISERROR(FIND('112'!$M$9,G1182,1)),"",IF((AND(FIND('112'!$M$9,G1182,1)&gt;=1,B1182='112'!$K$9,OR($N1182='112'!$I$6,$O1182='112'!$I$6))),"x",""))</f>
        <v/>
      </c>
      <c r="U1182" s="1155" t="str">
        <f>IF(ISERROR(FIND('112'!$M$9,G1182,1)),"",IF((AND(LEFT(G1182,2)=LEFT('112'!$M$9,2),B1182&lt;'112'!$K$9,$N1182='112'!$I$6)),"x",""))</f>
        <v/>
      </c>
      <c r="V1182" s="1155" t="str">
        <f>IF(ISERROR(FIND('112'!$M$9,G1182,1)),"",IF((AND(RIGHT(G1182,2)=RIGHT('112'!$M$9,2),B1182&lt;'112'!$K$9,$O1182='112'!$I$6)),"x",""))</f>
        <v/>
      </c>
      <c r="W1182" s="1155" t="str">
        <f>IF(AND('341-CT'!$H$9=H1182,OR(LEFT(N1182,3)=$W$7,LEFT(O1182,3)=$W$7)),"x","")</f>
        <v/>
      </c>
      <c r="X1182" s="1155" t="str">
        <f>IF(OR(TH!N1542=TH!$X$7,O1182=TH!$X$7),"x","")</f>
        <v/>
      </c>
      <c r="Y1182" s="1155" t="str">
        <f>IF(AND(OR(N1182="131",O1182="131"),H1182='131-CT'!$H$9),"x","")</f>
        <v/>
      </c>
      <c r="Z1182" s="1155"/>
      <c r="AA1182" s="1155" t="str">
        <f>IF(AND(MONTH(E1182)='IN-NX'!$J$5,'IN-NX'!$D$7=D1182),"x","")</f>
        <v/>
      </c>
      <c r="AB1182" s="1155" t="str">
        <f>IF(AND(OR(LEFT(TH!N1542,2)="15",LEFT(TH!O1542,2)="15"),LEFT(TH!O1542,3)&lt;&gt;"111",'152-CT'!$J$8=TH!F1542),"x","")</f>
        <v/>
      </c>
      <c r="AC1182" s="1155" t="str">
        <f>IF(AND(OR(LEFT(TH!N1542,2)="15",LEFT(TH!O1542,2)="15"),TK!$E$7=TH!F1542),"x","")</f>
        <v/>
      </c>
      <c r="AD1182" s="1155" t="str">
        <f>IF(AND(N1182="1521",MONTH(C1182)='BK-NL'!$M$11),"x","")</f>
        <v/>
      </c>
      <c r="AE1182" s="1156"/>
      <c r="AF1182" s="1156"/>
    </row>
    <row r="1183" spans="1:32" ht="15.75" customHeight="1">
      <c r="A1183" s="334" t="str">
        <f>IF(B1183&lt;&gt;"",IF(AND(B1183='IN-TC'!$S$4,OR(TH!N1544="1111",TH!O1544="1111")),TH!D1544,""),"")</f>
        <v>C26</v>
      </c>
      <c r="B1183" s="1148">
        <f t="shared" si="179"/>
        <v>2</v>
      </c>
      <c r="C1183" s="1149">
        <v>42401</v>
      </c>
      <c r="D1183" s="1149" t="s">
        <v>866</v>
      </c>
      <c r="E1183" s="1149">
        <f>C1183</f>
        <v>42401</v>
      </c>
      <c r="F1183" s="512" t="s">
        <v>960</v>
      </c>
      <c r="G1183" s="1151"/>
      <c r="H1183" s="1150" t="s">
        <v>2239</v>
      </c>
      <c r="I1183" s="1152"/>
      <c r="J1183" s="1152"/>
      <c r="K1183" s="1153"/>
      <c r="L1183" s="1152"/>
      <c r="M1183" s="1154">
        <v>400000000</v>
      </c>
      <c r="N1183" s="1155" t="s">
        <v>272</v>
      </c>
      <c r="O1183" s="1155" t="s">
        <v>63</v>
      </c>
      <c r="P1183" s="1155" t="str">
        <f>IF(AND('331-CT'!$E$7=TH!H1544,OR(N1183="331",O1183="331")),"x","")</f>
        <v/>
      </c>
      <c r="Q1183" s="1155" t="str">
        <f>IF(AND(B1183='111'!$L$11,OR($N1183=$Q$7,$O1183=$Q$7)),"x","")</f>
        <v/>
      </c>
      <c r="R1183" s="1155" t="str">
        <f>IF(AND($N1183=$Q$7,$B1183&lt;'111'!$L$11),"x","")</f>
        <v/>
      </c>
      <c r="S1183" s="1155" t="str">
        <f>IF(AND($O1183=$Q$7,$B1183&lt;'111'!$L$11),"x","")</f>
        <v>x</v>
      </c>
      <c r="T1183" s="1155" t="str">
        <f>IF(ISERROR(FIND('112'!$M$9,G1183,1)),"",IF((AND(FIND('112'!$M$9,G1183,1)&gt;=1,B1183='112'!$K$9,OR($N1183='112'!$I$6,$O1183='112'!$I$6))),"x",""))</f>
        <v/>
      </c>
      <c r="U1183" s="1155" t="str">
        <f>IF(ISERROR(FIND('112'!$M$9,G1183,1)),"",IF((AND(LEFT(G1183,2)=LEFT('112'!$M$9,2),B1183&lt;'112'!$K$9,$N1183='112'!$I$6)),"x",""))</f>
        <v/>
      </c>
      <c r="V1183" s="1155" t="str">
        <f>IF(ISERROR(FIND('112'!$M$9,G1183,1)),"",IF((AND(RIGHT(G1183,2)=RIGHT('112'!$M$9,2),B1183&lt;'112'!$K$9,$O1183='112'!$I$6)),"x",""))</f>
        <v/>
      </c>
      <c r="W1183" s="1155" t="str">
        <f>IF(AND('341-CT'!$H$9=H1183,OR(LEFT(N1183,3)=$W$7,LEFT(O1183,3)=$W$7)),"x","")</f>
        <v/>
      </c>
      <c r="X1183" s="1155" t="str">
        <f>IF(OR(TH!N1544=TH!$X$7,O1183=TH!$X$7),"x","")</f>
        <v/>
      </c>
      <c r="Y1183" s="1155" t="str">
        <f>IF(AND(OR(N1183="131",O1183="131"),H1183='131-CT'!$H$9),"x","")</f>
        <v/>
      </c>
      <c r="Z1183" s="1155"/>
      <c r="AA1183" s="1155" t="str">
        <f>IF(AND(MONTH(E1183)='IN-NX'!$J$5,'IN-NX'!$D$7=D1183),"x","")</f>
        <v/>
      </c>
      <c r="AB1183" s="1155" t="str">
        <f>IF(AND(OR(LEFT(TH!N1544,2)="15",LEFT(TH!O1544,2)="15"),LEFT(TH!O1544,3)&lt;&gt;"111",'152-CT'!$J$8=TH!F1544),"x","")</f>
        <v/>
      </c>
      <c r="AC1183" s="1155" t="str">
        <f>IF(AND(OR(LEFT(TH!N1544,2)="15",LEFT(TH!O1544,2)="15"),TK!$E$7=TH!F1544),"x","")</f>
        <v/>
      </c>
      <c r="AD1183" s="1155" t="str">
        <f>IF(AND(N1183="1521",MONTH(C1183)='BK-NL'!$M$11),"x","")</f>
        <v/>
      </c>
      <c r="AE1183" s="1156"/>
      <c r="AF1183" s="1156"/>
    </row>
    <row r="1184" spans="1:32" ht="15.75" customHeight="1">
      <c r="A1184" s="334" t="str">
        <f>IF(B1184&lt;&gt;"",IF(AND(B1184='IN-TC'!$S$4,OR(TH!N1184="1111",TH!O1184="1111")),TH!D1184,""),"")</f>
        <v/>
      </c>
      <c r="B1184" s="63">
        <f t="shared" si="179"/>
        <v>2</v>
      </c>
      <c r="C1184" s="64">
        <v>42402</v>
      </c>
      <c r="D1184" s="64" t="s">
        <v>699</v>
      </c>
      <c r="E1184" s="64">
        <v>42402</v>
      </c>
      <c r="F1184" s="512" t="s">
        <v>1039</v>
      </c>
      <c r="G1184" s="67" t="s">
        <v>915</v>
      </c>
      <c r="H1184" s="72"/>
      <c r="I1184" s="437"/>
      <c r="J1184" s="437"/>
      <c r="K1184" s="428"/>
      <c r="L1184" s="437"/>
      <c r="M1184" s="65">
        <v>27118300</v>
      </c>
      <c r="N1184" s="66" t="s">
        <v>26</v>
      </c>
      <c r="O1184" s="66" t="s">
        <v>19</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1" ht="15.75" customHeight="1">
      <c r="A1185" s="334" t="str">
        <f>IF(B1185&lt;&gt;"",IF(AND(B1185='IN-TC'!$S$4,OR(TH!N1185="1111",TH!O1185="1111")),TH!D1185,""),"")</f>
        <v/>
      </c>
      <c r="B1185" s="63">
        <f t="shared" si="179"/>
        <v>2</v>
      </c>
      <c r="C1185" s="64">
        <v>42402</v>
      </c>
      <c r="D1185" s="64" t="s">
        <v>702</v>
      </c>
      <c r="E1185" s="64">
        <v>42402</v>
      </c>
      <c r="F1185" s="512" t="s">
        <v>1089</v>
      </c>
      <c r="G1185" s="67" t="s">
        <v>915</v>
      </c>
      <c r="H1185" s="67" t="s">
        <v>629</v>
      </c>
      <c r="I1185" s="437"/>
      <c r="J1185" s="437"/>
      <c r="K1185" s="428"/>
      <c r="L1185" s="437"/>
      <c r="M1185" s="65">
        <v>27118300</v>
      </c>
      <c r="N1185" s="66" t="s">
        <v>8</v>
      </c>
      <c r="O1185" s="66" t="s">
        <v>26</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c r="AE1185" s="1136" t="str">
        <f>IF(H1185&lt;&gt;VLOOKUP(H1185,DSKH,1,0),"","x")</f>
        <v>x</v>
      </c>
    </row>
    <row r="1186" spans="1:31" ht="15.75" customHeight="1">
      <c r="A1186" s="334" t="str">
        <f>IF(B1186&lt;&gt;"",IF(AND(B1186='IN-TC'!$S$4,OR(TH!N1186="1111",TH!O1186="1111")),TH!D1186,""),"")</f>
        <v/>
      </c>
      <c r="B1186" s="63">
        <f t="shared" si="179"/>
        <v>2</v>
      </c>
      <c r="C1186" s="147">
        <v>42402</v>
      </c>
      <c r="D1186" s="147" t="s">
        <v>702</v>
      </c>
      <c r="E1186" s="147">
        <v>42402</v>
      </c>
      <c r="F1186" s="512" t="s">
        <v>740</v>
      </c>
      <c r="G1186" s="67" t="s">
        <v>915</v>
      </c>
      <c r="H1186" s="72"/>
      <c r="I1186" s="442"/>
      <c r="J1186" s="442"/>
      <c r="K1186" s="433"/>
      <c r="L1186" s="442"/>
      <c r="M1186" s="148">
        <v>25000</v>
      </c>
      <c r="N1186" s="149" t="s">
        <v>101</v>
      </c>
      <c r="O1186" s="66" t="s">
        <v>26</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1" ht="15.75" customHeight="1">
      <c r="A1187" s="334" t="str">
        <f>IF(B1187&lt;&gt;"",IF(AND(B1187='IN-TC'!$S$4,OR(TH!N1187="1111",TH!O1187="1111")),TH!D1187,""),"")</f>
        <v/>
      </c>
      <c r="B1187" s="63">
        <f t="shared" si="179"/>
        <v>2</v>
      </c>
      <c r="C1187" s="64">
        <v>42402</v>
      </c>
      <c r="D1187" s="64" t="s">
        <v>702</v>
      </c>
      <c r="E1187" s="64">
        <v>42402</v>
      </c>
      <c r="F1187" s="512" t="s">
        <v>742</v>
      </c>
      <c r="G1187" s="67" t="s">
        <v>915</v>
      </c>
      <c r="H1187" s="72"/>
      <c r="I1187" s="437"/>
      <c r="J1187" s="437"/>
      <c r="K1187" s="428"/>
      <c r="L1187" s="437"/>
      <c r="M1187" s="65">
        <v>2500</v>
      </c>
      <c r="N1187" s="66" t="s">
        <v>9</v>
      </c>
      <c r="O1187" s="66" t="s">
        <v>26</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x</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1" ht="15.75" customHeight="1">
      <c r="A1188" s="334" t="str">
        <f>IF(B1188&lt;&gt;"",IF(AND(B1188='IN-TC'!$S$4,OR(TH!N1188="1111",TH!O1188="1111")),TH!D1188,""),"")</f>
        <v/>
      </c>
      <c r="B1188" s="63">
        <f t="shared" si="179"/>
        <v>2</v>
      </c>
      <c r="C1188" s="64">
        <v>42403</v>
      </c>
      <c r="D1188" s="64" t="s">
        <v>699</v>
      </c>
      <c r="E1188" s="64">
        <v>42403</v>
      </c>
      <c r="F1188" s="512" t="s">
        <v>1048</v>
      </c>
      <c r="G1188" s="67" t="s">
        <v>914</v>
      </c>
      <c r="H1188" s="342" t="s">
        <v>596</v>
      </c>
      <c r="I1188" s="437"/>
      <c r="J1188" s="437"/>
      <c r="K1188" s="428">
        <v>97740.36</v>
      </c>
      <c r="L1188" s="437">
        <v>22250</v>
      </c>
      <c r="M1188" s="65">
        <f>ROUND(K1188*L1188,0)</f>
        <v>2174723010</v>
      </c>
      <c r="N1188" s="66" t="s">
        <v>266</v>
      </c>
      <c r="O1188" s="66" t="s">
        <v>585</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1" ht="15.75" customHeight="1">
      <c r="A1189" s="334" t="str">
        <f>IF(B1189&lt;&gt;"",IF(AND(B1189='IN-TC'!$S$4,OR(TH!N1189="1111",TH!O1189="1111")),TH!D1189,""),"")</f>
        <v/>
      </c>
      <c r="B1189" s="63">
        <f t="shared" si="179"/>
        <v>2</v>
      </c>
      <c r="C1189" s="64">
        <f>E1189</f>
        <v>42403</v>
      </c>
      <c r="D1189" s="316" t="s">
        <v>579</v>
      </c>
      <c r="E1189" s="316">
        <v>42403</v>
      </c>
      <c r="F1189" s="512" t="s">
        <v>1063</v>
      </c>
      <c r="G1189" s="67" t="s">
        <v>914</v>
      </c>
      <c r="H1189" s="318" t="s">
        <v>596</v>
      </c>
      <c r="I1189" s="437"/>
      <c r="J1189" s="437"/>
      <c r="K1189" s="428">
        <v>54.22</v>
      </c>
      <c r="L1189" s="437">
        <v>22250</v>
      </c>
      <c r="M1189" s="65">
        <f>ROUND(K1189*L1189,0)</f>
        <v>1206395</v>
      </c>
      <c r="N1189" s="319" t="s">
        <v>101</v>
      </c>
      <c r="O1189" s="66" t="s">
        <v>585</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1" ht="15.75" customHeight="1">
      <c r="A1190" s="334" t="str">
        <f>IF(B1190&lt;&gt;"",IF(AND(B1190='IN-TC'!$S$4,OR(TH!N1190="1111",TH!O1190="1111")),TH!D1190,""),"")</f>
        <v/>
      </c>
      <c r="B1190" s="63">
        <f t="shared" si="179"/>
        <v>2</v>
      </c>
      <c r="C1190" s="64">
        <f>E1190</f>
        <v>42403</v>
      </c>
      <c r="D1190" s="316" t="s">
        <v>579</v>
      </c>
      <c r="E1190" s="316">
        <v>42403</v>
      </c>
      <c r="F1190" s="512" t="s">
        <v>1064</v>
      </c>
      <c r="G1190" s="67" t="s">
        <v>914</v>
      </c>
      <c r="H1190" s="318" t="s">
        <v>596</v>
      </c>
      <c r="I1190" s="437"/>
      <c r="J1190" s="437"/>
      <c r="K1190" s="428">
        <v>5.42</v>
      </c>
      <c r="L1190" s="437">
        <v>22250</v>
      </c>
      <c r="M1190" s="65">
        <f>ROUND(K1190*L1190,0)</f>
        <v>120595</v>
      </c>
      <c r="N1190" s="319" t="s">
        <v>9</v>
      </c>
      <c r="O1190" s="66" t="s">
        <v>585</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x</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1" ht="15.75" customHeight="1">
      <c r="A1191" s="334" t="str">
        <f>IF(B1191&lt;&gt;"",IF(AND(B1191='IN-TC'!$S$4,OR(TH!N1191="1111",TH!O1191="1111")),TH!D1191,""),"")</f>
        <v/>
      </c>
      <c r="B1191" s="63">
        <f t="shared" si="179"/>
        <v>2</v>
      </c>
      <c r="C1191" s="64">
        <v>42403</v>
      </c>
      <c r="D1191" s="64" t="s">
        <v>702</v>
      </c>
      <c r="E1191" s="64">
        <v>42403</v>
      </c>
      <c r="F1191" s="72" t="s">
        <v>1438</v>
      </c>
      <c r="G1191" s="67" t="s">
        <v>914</v>
      </c>
      <c r="H1191" s="72"/>
      <c r="I1191" s="437"/>
      <c r="J1191" s="437"/>
      <c r="K1191" s="428">
        <v>97700</v>
      </c>
      <c r="L1191" s="437">
        <v>22280</v>
      </c>
      <c r="M1191" s="65">
        <f>ROUND(K1191*L1191,0)</f>
        <v>2176756000</v>
      </c>
      <c r="N1191" s="66" t="s">
        <v>26</v>
      </c>
      <c r="O1191" s="66" t="s">
        <v>266</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1" ht="15.75" customHeight="1">
      <c r="A1192" s="334" t="str">
        <f>IF(B1192&lt;&gt;"",IF(AND(B1192='IN-TC'!$S$4,OR(TH!N1182="1111",TH!O1182="1111")),TH!D1182,""),"")</f>
        <v>C02</v>
      </c>
      <c r="B1192" s="63">
        <f t="shared" si="179"/>
        <v>2</v>
      </c>
      <c r="C1192" s="64">
        <v>42402</v>
      </c>
      <c r="D1192" s="64" t="s">
        <v>867</v>
      </c>
      <c r="E1192" s="64">
        <v>42402</v>
      </c>
      <c r="F1192" s="512" t="s">
        <v>996</v>
      </c>
      <c r="G1192" s="972" t="s">
        <v>1016</v>
      </c>
      <c r="H1192" s="72" t="s">
        <v>828</v>
      </c>
      <c r="I1192" s="437"/>
      <c r="J1192" s="437"/>
      <c r="K1192" s="428"/>
      <c r="L1192" s="437"/>
      <c r="M1192" s="65">
        <v>500000</v>
      </c>
      <c r="N1192" s="66" t="s">
        <v>101</v>
      </c>
      <c r="O1192" s="66" t="s">
        <v>63</v>
      </c>
      <c r="P1192" s="82" t="str">
        <f>IF(AND('331-CT'!$E$7=TH!H1182,OR(N1192="331",O1192="331")),"x","")</f>
        <v/>
      </c>
      <c r="Q1192" s="82" t="str">
        <f>IF(AND(B1192='111'!$L$11,OR($N1192=$Q$7,$O1192=$Q$7)),"x","")</f>
        <v/>
      </c>
      <c r="R1192" s="82" t="str">
        <f>IF(AND($N1192=$Q$7,$B1192&lt;'111'!$L$11),"x","")</f>
        <v/>
      </c>
      <c r="S1192" s="82" t="str">
        <f>IF(AND($O1192=$Q$7,$B1192&lt;'111'!$L$11),"x","")</f>
        <v>x</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IF(OR(TH!N1182=TH!$X$7,O1192=TH!$X$7),"x","")</f>
        <v/>
      </c>
      <c r="Y1192" s="82" t="str">
        <f>IF(AND(OR(N1192="131",O1192="131"),H1192='131-CT'!$H$9),"x","")</f>
        <v/>
      </c>
      <c r="Z1192" s="82"/>
      <c r="AA1192" s="82" t="str">
        <f>IF(AND(MONTH(E1192)='IN-NX'!$J$5,'IN-NX'!$D$7=D1192),"x","")</f>
        <v/>
      </c>
      <c r="AB1192" s="82" t="str">
        <f>IF(AND(OR(LEFT(TH!N1182,2)="15",LEFT(TH!O1182,2)="15"),LEFT(TH!O1182,3)&lt;&gt;"111",'152-CT'!$J$8=TH!F1182),"x","")</f>
        <v/>
      </c>
      <c r="AC1192" s="82" t="str">
        <f>IF(AND(OR(LEFT(TH!N1182,2)="15",LEFT(TH!O1182,2)="15"),TK!$E$7=TH!F1182),"x","")</f>
        <v/>
      </c>
      <c r="AD1192" s="82" t="str">
        <f>IF(AND(N1192="1521",MONTH(C1192)='BK-NL'!$M$11),"x","")</f>
        <v/>
      </c>
    </row>
    <row r="1193" spans="1:31" ht="15.75" customHeight="1">
      <c r="A1193" s="334" t="str">
        <f>IF(B1193&lt;&gt;"",IF(AND(B1193='IN-TC'!$S$4,OR(TH!N1183="1111",TH!O1183="1111")),TH!D1183,""),"")</f>
        <v>C03</v>
      </c>
      <c r="B1193" s="63">
        <f t="shared" si="179"/>
        <v>2</v>
      </c>
      <c r="C1193" s="64">
        <v>42402</v>
      </c>
      <c r="D1193" s="64" t="s">
        <v>867</v>
      </c>
      <c r="E1193" s="64">
        <v>42402</v>
      </c>
      <c r="F1193" s="512" t="s">
        <v>997</v>
      </c>
      <c r="G1193" s="972" t="s">
        <v>1016</v>
      </c>
      <c r="H1193" s="72" t="s">
        <v>828</v>
      </c>
      <c r="I1193" s="437"/>
      <c r="J1193" s="437"/>
      <c r="K1193" s="428"/>
      <c r="L1193" s="437"/>
      <c r="M1193" s="65">
        <v>25000</v>
      </c>
      <c r="N1193" s="66" t="s">
        <v>9</v>
      </c>
      <c r="O1193" s="66" t="s">
        <v>63</v>
      </c>
      <c r="P1193" s="82" t="str">
        <f>IF(AND('331-CT'!$E$7=TH!H1183,OR(N1193="331",O1193="331")),"x","")</f>
        <v/>
      </c>
      <c r="Q1193" s="82" t="str">
        <f>IF(AND(B1193='111'!$L$11,OR($N1193=$Q$7,$O1193=$Q$7)),"x","")</f>
        <v/>
      </c>
      <c r="R1193" s="82" t="str">
        <f>IF(AND($N1193=$Q$7,$B1193&lt;'111'!$L$11),"x","")</f>
        <v/>
      </c>
      <c r="S1193" s="82" t="str">
        <f>IF(AND($O1193=$Q$7,$B1193&lt;'111'!$L$11),"x","")</f>
        <v>x</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IF(OR(TH!N1183=TH!$X$7,O1193=TH!$X$7),"x","")</f>
        <v/>
      </c>
      <c r="Y1193" s="82" t="str">
        <f>IF(AND(OR(N1193="131",O1193="131"),H1193='131-CT'!$H$9),"x","")</f>
        <v/>
      </c>
      <c r="Z1193" s="82"/>
      <c r="AA1193" s="82" t="str">
        <f>IF(AND(MONTH(E1193)='IN-NX'!$J$5,'IN-NX'!$D$7=D1193),"x","")</f>
        <v/>
      </c>
      <c r="AB1193" s="82" t="str">
        <f>IF(AND(OR(LEFT(TH!N1183,2)="15",LEFT(TH!O1183,2)="15"),LEFT(TH!O1183,3)&lt;&gt;"111",'152-CT'!$J$8=TH!F1183),"x","")</f>
        <v/>
      </c>
      <c r="AC1193" s="82" t="str">
        <f>IF(AND(OR(LEFT(TH!N1183,2)="15",LEFT(TH!O1183,2)="15"),TK!$E$7=TH!F1183),"x","")</f>
        <v/>
      </c>
      <c r="AD1193" s="82" t="str">
        <f>IF(AND(N1193="1521",MONTH(C1193)='BK-NL'!$M$11),"x","")</f>
        <v/>
      </c>
    </row>
    <row r="1194" spans="1:31" ht="15.75" customHeight="1">
      <c r="A1194" s="334" t="str">
        <f>IF(B1194&lt;&gt;"",IF(AND(B1194='IN-TC'!$S$4,OR(TH!N1192="1111",TH!O1192="1111")),TH!D1192,""),"")</f>
        <v>C04</v>
      </c>
      <c r="B1194" s="63">
        <f t="shared" si="179"/>
        <v>2</v>
      </c>
      <c r="C1194" s="64">
        <v>42403</v>
      </c>
      <c r="D1194" s="64" t="s">
        <v>868</v>
      </c>
      <c r="E1194" s="64">
        <v>42403</v>
      </c>
      <c r="F1194" s="512" t="s">
        <v>998</v>
      </c>
      <c r="G1194" s="972" t="s">
        <v>1017</v>
      </c>
      <c r="H1194" s="72" t="s">
        <v>811</v>
      </c>
      <c r="I1194" s="437"/>
      <c r="J1194" s="437"/>
      <c r="K1194" s="428"/>
      <c r="L1194" s="437"/>
      <c r="M1194" s="65">
        <v>112291</v>
      </c>
      <c r="N1194" s="66" t="s">
        <v>101</v>
      </c>
      <c r="O1194" s="66" t="s">
        <v>63</v>
      </c>
      <c r="P1194" s="82" t="str">
        <f>IF(AND('331-CT'!$E$7=TH!H1192,OR(N1194="331",O1194="331")),"x","")</f>
        <v/>
      </c>
      <c r="Q1194" s="82" t="str">
        <f>IF(AND(B1194='111'!$L$11,OR($N1194=$Q$7,$O1194=$Q$7)),"x","")</f>
        <v/>
      </c>
      <c r="R1194" s="82" t="str">
        <f>IF(AND($N1194=$Q$7,$B1194&lt;'111'!$L$11),"x","")</f>
        <v/>
      </c>
      <c r="S1194" s="82" t="str">
        <f>IF(AND($O1194=$Q$7,$B1194&lt;'111'!$L$11),"x","")</f>
        <v>x</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IF(OR(TH!N1192=TH!$X$7,O1194=TH!$X$7),"x","")</f>
        <v/>
      </c>
      <c r="Y1194" s="82" t="str">
        <f>IF(AND(OR(N1194="131",O1194="131"),H1194='131-CT'!$H$9),"x","")</f>
        <v/>
      </c>
      <c r="Z1194" s="82"/>
      <c r="AA1194" s="82" t="str">
        <f>IF(AND(MONTH(E1194)='IN-NX'!$J$5,'IN-NX'!$D$7=D1194),"x","")</f>
        <v/>
      </c>
      <c r="AB1194" s="82" t="str">
        <f>IF(AND(OR(LEFT(TH!N1192,2)="15",LEFT(TH!O1192,2)="15"),LEFT(TH!O1192,3)&lt;&gt;"111",'152-CT'!$J$8=TH!F1192),"x","")</f>
        <v/>
      </c>
      <c r="AC1194" s="82" t="str">
        <f>IF(AND(OR(LEFT(TH!N1192,2)="15",LEFT(TH!O1192,2)="15"),TK!$E$7=TH!F1192),"x","")</f>
        <v/>
      </c>
      <c r="AD1194" s="82" t="str">
        <f>IF(AND(N1194="1521",MONTH(C1194)='BK-NL'!$M$11),"x","")</f>
        <v/>
      </c>
    </row>
    <row r="1195" spans="1:31" ht="15.75" customHeight="1">
      <c r="A1195" s="334" t="str">
        <f>IF(B1195&lt;&gt;"",IF(AND(B1195='IN-TC'!$S$4,OR(TH!N1193="1111",TH!O1193="1111")),TH!D1193,""),"")</f>
        <v>C04</v>
      </c>
      <c r="B1195" s="63">
        <f t="shared" si="179"/>
        <v>2</v>
      </c>
      <c r="C1195" s="64">
        <v>42403</v>
      </c>
      <c r="D1195" s="64" t="s">
        <v>868</v>
      </c>
      <c r="E1195" s="64">
        <v>42403</v>
      </c>
      <c r="F1195" s="512" t="s">
        <v>999</v>
      </c>
      <c r="G1195" s="972" t="s">
        <v>1017</v>
      </c>
      <c r="H1195" s="72" t="s">
        <v>811</v>
      </c>
      <c r="I1195" s="437"/>
      <c r="J1195" s="437"/>
      <c r="K1195" s="428"/>
      <c r="L1195" s="437"/>
      <c r="M1195" s="65">
        <v>11229</v>
      </c>
      <c r="N1195" s="66" t="s">
        <v>9</v>
      </c>
      <c r="O1195" s="66" t="s">
        <v>63</v>
      </c>
      <c r="P1195" s="82" t="str">
        <f>IF(AND('331-CT'!$E$7=TH!H1193,OR(N1195="331",O1195="331")),"x","")</f>
        <v/>
      </c>
      <c r="Q1195" s="82" t="str">
        <f>IF(AND(B1195='111'!$L$11,OR($N1195=$Q$7,$O1195=$Q$7)),"x","")</f>
        <v/>
      </c>
      <c r="R1195" s="82" t="str">
        <f>IF(AND($N1195=$Q$7,$B1195&lt;'111'!$L$11),"x","")</f>
        <v/>
      </c>
      <c r="S1195" s="82" t="str">
        <f>IF(AND($O1195=$Q$7,$B1195&lt;'111'!$L$11),"x","")</f>
        <v>x</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IF(OR(TH!N1193=TH!$X$7,O1195=TH!$X$7),"x","")</f>
        <v>x</v>
      </c>
      <c r="Y1195" s="82" t="str">
        <f>IF(AND(OR(N1195="131",O1195="131"),H1195='131-CT'!$H$9),"x","")</f>
        <v/>
      </c>
      <c r="Z1195" s="82"/>
      <c r="AA1195" s="82" t="str">
        <f>IF(AND(MONTH(E1195)='IN-NX'!$J$5,'IN-NX'!$D$7=D1195),"x","")</f>
        <v/>
      </c>
      <c r="AB1195" s="82" t="str">
        <f>IF(AND(OR(LEFT(TH!N1193,2)="15",LEFT(TH!O1193,2)="15"),LEFT(TH!O1193,3)&lt;&gt;"111",'152-CT'!$J$8=TH!F1193),"x","")</f>
        <v/>
      </c>
      <c r="AC1195" s="82" t="str">
        <f>IF(AND(OR(LEFT(TH!N1193,2)="15",LEFT(TH!O1193,2)="15"),TK!$E$7=TH!F1193),"x","")</f>
        <v/>
      </c>
      <c r="AD1195" s="82" t="str">
        <f>IF(AND(N1195="1521",MONTH(C1195)='BK-NL'!$M$11),"x","")</f>
        <v/>
      </c>
    </row>
    <row r="1196" spans="1:31" ht="15.75" customHeight="1">
      <c r="A1196" s="334" t="str">
        <f>IF(B1196&lt;&gt;"",IF(AND(B1196='IN-TC'!$S$4,OR(TH!N1196="1111",TH!O1196="1111")),TH!D1196,""),"")</f>
        <v/>
      </c>
      <c r="B1196" s="63">
        <f t="shared" si="179"/>
        <v>2</v>
      </c>
      <c r="C1196" s="64">
        <v>42403</v>
      </c>
      <c r="D1196" s="64" t="s">
        <v>699</v>
      </c>
      <c r="E1196" s="64">
        <v>42403</v>
      </c>
      <c r="F1196" s="512" t="s">
        <v>1040</v>
      </c>
      <c r="G1196" s="67" t="s">
        <v>916</v>
      </c>
      <c r="H1196" s="72"/>
      <c r="I1196" s="437"/>
      <c r="J1196" s="437"/>
      <c r="K1196" s="428"/>
      <c r="L1196" s="437"/>
      <c r="M1196" s="65">
        <v>500000000</v>
      </c>
      <c r="N1196" s="66" t="s">
        <v>26</v>
      </c>
      <c r="O1196" s="66" t="s">
        <v>26</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1" ht="15.75" customHeight="1">
      <c r="A1197" s="334" t="str">
        <f>IF(B1197&lt;&gt;"",IF(AND(B1197='IN-TC'!$S$4,OR(TH!N1197="1111",TH!O1197="1111")),TH!D1197,""),"")</f>
        <v/>
      </c>
      <c r="B1197" s="63">
        <f t="shared" si="179"/>
        <v>2</v>
      </c>
      <c r="C1197" s="64">
        <v>42403</v>
      </c>
      <c r="D1197" s="64" t="s">
        <v>699</v>
      </c>
      <c r="E1197" s="64">
        <v>42403</v>
      </c>
      <c r="F1197" s="72" t="s">
        <v>1891</v>
      </c>
      <c r="G1197" s="67" t="s">
        <v>915</v>
      </c>
      <c r="H1197" s="72" t="s">
        <v>1211</v>
      </c>
      <c r="I1197" s="437"/>
      <c r="J1197" s="437"/>
      <c r="K1197" s="428"/>
      <c r="L1197" s="437"/>
      <c r="M1197" s="65">
        <v>110000000</v>
      </c>
      <c r="N1197" s="66" t="s">
        <v>26</v>
      </c>
      <c r="O1197" s="66" t="s">
        <v>72</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1" ht="15.75" customHeight="1">
      <c r="A1198" s="334" t="str">
        <f>IF(B1198&lt;&gt;"",IF(AND(B1198='IN-TC'!$S$4,OR(TH!N1198="1111",TH!O1198="1111")),TH!D1198,""),"")</f>
        <v/>
      </c>
      <c r="B1198" s="63">
        <f t="shared" si="179"/>
        <v>2</v>
      </c>
      <c r="C1198" s="64">
        <v>42403</v>
      </c>
      <c r="D1198" s="64" t="s">
        <v>702</v>
      </c>
      <c r="E1198" s="64">
        <v>42403</v>
      </c>
      <c r="F1198" s="512" t="s">
        <v>1092</v>
      </c>
      <c r="G1198" s="67" t="s">
        <v>915</v>
      </c>
      <c r="H1198" s="342" t="s">
        <v>628</v>
      </c>
      <c r="I1198" s="437"/>
      <c r="J1198" s="437"/>
      <c r="K1198" s="428"/>
      <c r="L1198" s="437"/>
      <c r="M1198" s="65">
        <v>100000000</v>
      </c>
      <c r="N1198" s="66" t="s">
        <v>8</v>
      </c>
      <c r="O1198" s="66" t="s">
        <v>26</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c r="AE1198" s="1136" t="str">
        <f>IF(H1198&lt;&gt;VLOOKUP(H1198,DSKH,1,0),"","x")</f>
        <v>x</v>
      </c>
    </row>
    <row r="1199" spans="1:31" ht="15.75" customHeight="1">
      <c r="A1199" s="334" t="str">
        <f>IF(B1199&lt;&gt;"",IF(AND(B1199='IN-TC'!$S$4,OR(TH!N1199="1111",TH!O1199="1111")),TH!D1199,""),"")</f>
        <v/>
      </c>
      <c r="B1199" s="63">
        <f t="shared" si="179"/>
        <v>2</v>
      </c>
      <c r="C1199" s="64">
        <v>42403</v>
      </c>
      <c r="D1199" s="64" t="s">
        <v>702</v>
      </c>
      <c r="E1199" s="64">
        <v>42403</v>
      </c>
      <c r="F1199" s="512" t="s">
        <v>740</v>
      </c>
      <c r="G1199" s="67" t="s">
        <v>915</v>
      </c>
      <c r="H1199" s="72"/>
      <c r="I1199" s="437"/>
      <c r="J1199" s="437"/>
      <c r="K1199" s="428"/>
      <c r="L1199" s="437"/>
      <c r="M1199" s="65">
        <v>50000</v>
      </c>
      <c r="N1199" s="66" t="s">
        <v>101</v>
      </c>
      <c r="O1199" s="66" t="s">
        <v>26</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1" ht="15.75" customHeight="1">
      <c r="A1200" s="334" t="str">
        <f>IF(B1200&lt;&gt;"",IF(AND(B1200='IN-TC'!$S$4,OR(TH!N1200="1111",TH!O1200="1111")),TH!D1200,""),"")</f>
        <v/>
      </c>
      <c r="B1200" s="63">
        <f t="shared" si="179"/>
        <v>2</v>
      </c>
      <c r="C1200" s="64">
        <v>42403</v>
      </c>
      <c r="D1200" s="64" t="s">
        <v>702</v>
      </c>
      <c r="E1200" s="64">
        <v>42403</v>
      </c>
      <c r="F1200" s="512" t="s">
        <v>742</v>
      </c>
      <c r="G1200" s="67" t="s">
        <v>915</v>
      </c>
      <c r="H1200" s="72"/>
      <c r="I1200" s="437"/>
      <c r="J1200" s="437"/>
      <c r="K1200" s="428"/>
      <c r="L1200" s="437"/>
      <c r="M1200" s="65">
        <v>5000</v>
      </c>
      <c r="N1200" s="66" t="s">
        <v>9</v>
      </c>
      <c r="O1200" s="66" t="s">
        <v>26</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x</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1" ht="15.75" customHeight="1">
      <c r="A1201" s="334" t="str">
        <f>IF(B1201&lt;&gt;"",IF(AND(B1201='IN-TC'!$S$4,OR(TH!N1201="1111",TH!O1201="1111")),TH!D1201,""),"")</f>
        <v/>
      </c>
      <c r="B1201" s="63">
        <f t="shared" si="179"/>
        <v>2</v>
      </c>
      <c r="C1201" s="64">
        <v>42403</v>
      </c>
      <c r="D1201" s="64" t="s">
        <v>702</v>
      </c>
      <c r="E1201" s="64">
        <v>42403</v>
      </c>
      <c r="F1201" s="512" t="s">
        <v>1093</v>
      </c>
      <c r="G1201" s="67" t="s">
        <v>915</v>
      </c>
      <c r="H1201" s="7" t="s">
        <v>625</v>
      </c>
      <c r="I1201" s="437"/>
      <c r="J1201" s="437"/>
      <c r="K1201" s="428"/>
      <c r="L1201" s="437"/>
      <c r="M1201" s="65">
        <v>24446400</v>
      </c>
      <c r="N1201" s="66" t="s">
        <v>8</v>
      </c>
      <c r="O1201" s="66" t="s">
        <v>26</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c r="AE1201" s="1136" t="str">
        <f>IF(H1201&lt;&gt;VLOOKUP(H1201,DSKH,1,0),"","x")</f>
        <v>x</v>
      </c>
    </row>
    <row r="1202" spans="1:31" ht="15.75" customHeight="1">
      <c r="A1202" s="334" t="str">
        <f>IF(B1202&lt;&gt;"",IF(AND(B1202='IN-TC'!$S$4,OR(TH!N1202="1111",TH!O1202="1111")),TH!D1202,""),"")</f>
        <v/>
      </c>
      <c r="B1202" s="63">
        <f t="shared" si="179"/>
        <v>2</v>
      </c>
      <c r="C1202" s="64">
        <v>42403</v>
      </c>
      <c r="D1202" s="64" t="s">
        <v>702</v>
      </c>
      <c r="E1202" s="64">
        <v>42403</v>
      </c>
      <c r="F1202" s="512" t="s">
        <v>740</v>
      </c>
      <c r="G1202" s="67" t="s">
        <v>915</v>
      </c>
      <c r="H1202" s="72"/>
      <c r="I1202" s="437"/>
      <c r="J1202" s="437"/>
      <c r="K1202" s="428"/>
      <c r="L1202" s="437"/>
      <c r="M1202" s="65">
        <v>20000</v>
      </c>
      <c r="N1202" s="66" t="s">
        <v>101</v>
      </c>
      <c r="O1202" s="66" t="s">
        <v>26</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1" ht="15.75" customHeight="1">
      <c r="A1203" s="334" t="str">
        <f>IF(B1203&lt;&gt;"",IF(AND(B1203='IN-TC'!$S$4,OR(TH!N1203="1111",TH!O1203="1111")),TH!D1203,""),"")</f>
        <v/>
      </c>
      <c r="B1203" s="63">
        <f t="shared" si="179"/>
        <v>2</v>
      </c>
      <c r="C1203" s="64">
        <v>42403</v>
      </c>
      <c r="D1203" s="64" t="s">
        <v>702</v>
      </c>
      <c r="E1203" s="64">
        <v>42403</v>
      </c>
      <c r="F1203" s="512" t="s">
        <v>742</v>
      </c>
      <c r="G1203" s="67" t="s">
        <v>915</v>
      </c>
      <c r="H1203" s="72"/>
      <c r="I1203" s="437"/>
      <c r="J1203" s="437"/>
      <c r="K1203" s="428"/>
      <c r="L1203" s="437"/>
      <c r="M1203" s="65">
        <v>2000</v>
      </c>
      <c r="N1203" s="66" t="s">
        <v>9</v>
      </c>
      <c r="O1203" s="66" t="s">
        <v>26</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x</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1" ht="15.75" customHeight="1">
      <c r="A1204" s="334" t="str">
        <f>IF(B1204&lt;&gt;"",IF(AND(B1204='IN-TC'!$S$4,OR(TH!N1204="1111",TH!O1204="1111")),TH!D1204,""),"")</f>
        <v/>
      </c>
      <c r="B1204" s="63">
        <f t="shared" si="179"/>
        <v>2</v>
      </c>
      <c r="C1204" s="64">
        <v>42403</v>
      </c>
      <c r="D1204" s="64" t="s">
        <v>702</v>
      </c>
      <c r="E1204" s="64">
        <v>42403</v>
      </c>
      <c r="F1204" s="512" t="s">
        <v>1094</v>
      </c>
      <c r="G1204" s="67" t="s">
        <v>915</v>
      </c>
      <c r="H1204" s="72" t="s">
        <v>621</v>
      </c>
      <c r="I1204" s="437"/>
      <c r="J1204" s="437"/>
      <c r="K1204" s="428"/>
      <c r="L1204" s="437"/>
      <c r="M1204" s="65">
        <v>60000000</v>
      </c>
      <c r="N1204" s="66" t="s">
        <v>8</v>
      </c>
      <c r="O1204" s="66" t="s">
        <v>26</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c r="AE1204" s="1136" t="str">
        <f>IF(H1204&lt;&gt;VLOOKUP(H1204,DSKH,1,0),"","x")</f>
        <v>x</v>
      </c>
    </row>
    <row r="1205" spans="1:31" ht="15.75" customHeight="1">
      <c r="A1205" s="334" t="str">
        <f>IF(B1205&lt;&gt;"",IF(AND(B1205='IN-TC'!$S$4,OR(TH!N1205="1111",TH!O1205="1111")),TH!D1205,""),"")</f>
        <v/>
      </c>
      <c r="B1205" s="63">
        <f t="shared" si="179"/>
        <v>2</v>
      </c>
      <c r="C1205" s="64">
        <v>42403</v>
      </c>
      <c r="D1205" s="64" t="s">
        <v>702</v>
      </c>
      <c r="E1205" s="64">
        <v>42403</v>
      </c>
      <c r="F1205" s="512" t="s">
        <v>740</v>
      </c>
      <c r="G1205" s="67" t="s">
        <v>915</v>
      </c>
      <c r="H1205" s="72"/>
      <c r="I1205" s="437"/>
      <c r="J1205" s="437"/>
      <c r="K1205" s="428"/>
      <c r="L1205" s="437"/>
      <c r="M1205" s="65">
        <v>30000</v>
      </c>
      <c r="N1205" s="66" t="s">
        <v>101</v>
      </c>
      <c r="O1205" s="66" t="s">
        <v>26</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1" ht="15.75" customHeight="1">
      <c r="A1206" s="334" t="str">
        <f>IF(B1206&lt;&gt;"",IF(AND(B1206='IN-TC'!$S$4,OR(TH!N1206="1111",TH!O1206="1111")),TH!D1206,""),"")</f>
        <v/>
      </c>
      <c r="B1206" s="63">
        <f t="shared" si="179"/>
        <v>2</v>
      </c>
      <c r="C1206" s="64">
        <v>42403</v>
      </c>
      <c r="D1206" s="64" t="s">
        <v>702</v>
      </c>
      <c r="E1206" s="64">
        <v>42403</v>
      </c>
      <c r="F1206" s="512" t="s">
        <v>742</v>
      </c>
      <c r="G1206" s="67" t="s">
        <v>915</v>
      </c>
      <c r="H1206" s="72"/>
      <c r="I1206" s="437"/>
      <c r="J1206" s="437"/>
      <c r="K1206" s="428"/>
      <c r="L1206" s="437"/>
      <c r="M1206" s="65">
        <v>3000</v>
      </c>
      <c r="N1206" s="66" t="s">
        <v>9</v>
      </c>
      <c r="O1206" s="66" t="s">
        <v>26</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x</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1" ht="15.75" customHeight="1">
      <c r="A1207" s="334" t="str">
        <f>IF(B1207&lt;&gt;"",IF(AND(B1207='IN-TC'!$S$4,OR(TH!N1207="1111",TH!O1207="1111")),TH!D1207,""),"")</f>
        <v/>
      </c>
      <c r="B1207" s="63">
        <f t="shared" si="179"/>
        <v>2</v>
      </c>
      <c r="C1207" s="64">
        <v>42403</v>
      </c>
      <c r="D1207" s="64" t="s">
        <v>702</v>
      </c>
      <c r="E1207" s="64">
        <v>42403</v>
      </c>
      <c r="F1207" s="512" t="s">
        <v>1095</v>
      </c>
      <c r="G1207" s="67" t="s">
        <v>915</v>
      </c>
      <c r="H1207" s="72"/>
      <c r="I1207" s="437"/>
      <c r="J1207" s="437"/>
      <c r="K1207" s="428"/>
      <c r="L1207" s="437"/>
      <c r="M1207" s="65">
        <v>32260140</v>
      </c>
      <c r="N1207" s="66" t="s">
        <v>19</v>
      </c>
      <c r="O1207" s="66" t="s">
        <v>26</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1" ht="15.75" customHeight="1">
      <c r="A1208" s="334" t="str">
        <f>IF(B1208&lt;&gt;"",IF(AND(B1208='IN-TC'!$S$4,OR(TH!N1208="1111",TH!O1208="1111")),TH!D1208,""),"")</f>
        <v/>
      </c>
      <c r="B1208" s="63">
        <f t="shared" si="179"/>
        <v>2</v>
      </c>
      <c r="C1208" s="64">
        <v>42403</v>
      </c>
      <c r="D1208" s="64" t="s">
        <v>702</v>
      </c>
      <c r="E1208" s="64">
        <v>42403</v>
      </c>
      <c r="F1208" s="512" t="s">
        <v>740</v>
      </c>
      <c r="G1208" s="67" t="s">
        <v>915</v>
      </c>
      <c r="H1208" s="72"/>
      <c r="I1208" s="437"/>
      <c r="J1208" s="437"/>
      <c r="K1208" s="428"/>
      <c r="L1208" s="437"/>
      <c r="M1208" s="65">
        <v>25000</v>
      </c>
      <c r="N1208" s="66" t="s">
        <v>101</v>
      </c>
      <c r="O1208" s="66" t="s">
        <v>26</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1" ht="15.75" customHeight="1">
      <c r="A1209" s="334" t="str">
        <f>IF(B1209&lt;&gt;"",IF(AND(B1209='IN-TC'!$S$4,OR(TH!N1209="1111",TH!O1209="1111")),TH!D1209,""),"")</f>
        <v/>
      </c>
      <c r="B1209" s="63">
        <f t="shared" si="179"/>
        <v>2</v>
      </c>
      <c r="C1209" s="147">
        <v>42403</v>
      </c>
      <c r="D1209" s="64" t="s">
        <v>702</v>
      </c>
      <c r="E1209" s="147">
        <v>42403</v>
      </c>
      <c r="F1209" s="512" t="s">
        <v>742</v>
      </c>
      <c r="G1209" s="67" t="s">
        <v>915</v>
      </c>
      <c r="H1209" s="72"/>
      <c r="I1209" s="442"/>
      <c r="J1209" s="442"/>
      <c r="K1209" s="433"/>
      <c r="L1209" s="442"/>
      <c r="M1209" s="148">
        <v>2500</v>
      </c>
      <c r="N1209" s="149" t="s">
        <v>9</v>
      </c>
      <c r="O1209" s="66" t="s">
        <v>26</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x</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1" ht="15.75" customHeight="1">
      <c r="A1210" s="334" t="str">
        <f>IF(B1210&lt;&gt;"",IF(AND(B1210='IN-TC'!$S$4,OR(TH!N1210="1111",TH!O1210="1111")),TH!D1210,""),"")</f>
        <v>T01</v>
      </c>
      <c r="B1210" s="63">
        <f t="shared" si="179"/>
        <v>2</v>
      </c>
      <c r="C1210" s="64">
        <v>42403</v>
      </c>
      <c r="D1210" s="64" t="s">
        <v>870</v>
      </c>
      <c r="E1210" s="64">
        <v>42403</v>
      </c>
      <c r="F1210" s="512" t="s">
        <v>752</v>
      </c>
      <c r="G1210" s="67" t="s">
        <v>914</v>
      </c>
      <c r="H1210" s="73" t="s">
        <v>760</v>
      </c>
      <c r="I1210" s="437"/>
      <c r="J1210" s="437"/>
      <c r="K1210" s="428"/>
      <c r="L1210" s="437"/>
      <c r="M1210" s="65">
        <v>1670000000</v>
      </c>
      <c r="N1210" s="66" t="s">
        <v>63</v>
      </c>
      <c r="O1210" s="66" t="s">
        <v>26</v>
      </c>
      <c r="P1210" s="82" t="str">
        <f>IF(AND('331-CT'!$E$7=TH!H1210,OR(N1210="331",O1210="331")),"x","")</f>
        <v/>
      </c>
      <c r="Q1210" s="82" t="str">
        <f>IF(AND(B1210='111'!$L$11,OR($N1210=$Q$7,$O1210=$Q$7)),"x","")</f>
        <v/>
      </c>
      <c r="R1210" s="82" t="str">
        <f>IF(AND($N1210=$Q$7,$B1210&lt;'111'!$L$11),"x","")</f>
        <v>x</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1" ht="15.75" customHeight="1">
      <c r="A1211" s="334" t="str">
        <f>IF(B1211&lt;&gt;"",IF(AND(B1211='IN-TC'!$S$4,OR(TH!N1194="1111",TH!O1194="1111")),TH!D1194,""),"")</f>
        <v>C05</v>
      </c>
      <c r="B1211" s="63">
        <f t="shared" si="179"/>
        <v>2</v>
      </c>
      <c r="C1211" s="64">
        <v>42403</v>
      </c>
      <c r="D1211" s="64" t="s">
        <v>869</v>
      </c>
      <c r="E1211" s="64">
        <v>42403</v>
      </c>
      <c r="F1211" s="512" t="s">
        <v>1000</v>
      </c>
      <c r="G1211" s="972" t="s">
        <v>1018</v>
      </c>
      <c r="H1211" s="72" t="s">
        <v>805</v>
      </c>
      <c r="I1211" s="437"/>
      <c r="J1211" s="437"/>
      <c r="K1211" s="428"/>
      <c r="L1211" s="437"/>
      <c r="M1211" s="65">
        <v>660273</v>
      </c>
      <c r="N1211" s="66" t="s">
        <v>101</v>
      </c>
      <c r="O1211" s="66" t="s">
        <v>63</v>
      </c>
      <c r="P1211" s="82" t="str">
        <f>IF(AND('331-CT'!$E$7=TH!H1194,OR(N1211="331",O1211="331")),"x","")</f>
        <v/>
      </c>
      <c r="Q1211" s="82" t="str">
        <f>IF(AND(B1211='111'!$L$11,OR($N1211=$Q$7,$O1211=$Q$7)),"x","")</f>
        <v/>
      </c>
      <c r="R1211" s="82" t="str">
        <f>IF(AND($N1211=$Q$7,$B1211&lt;'111'!$L$11),"x","")</f>
        <v/>
      </c>
      <c r="S1211" s="82" t="str">
        <f>IF(AND($O1211=$Q$7,$B1211&lt;'111'!$L$11),"x","")</f>
        <v>x</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IF(OR(TH!N1194=TH!$X$7,O1211=TH!$X$7),"x","")</f>
        <v/>
      </c>
      <c r="Y1211" s="82" t="str">
        <f>IF(AND(OR(N1211="131",O1211="131"),H1211='131-CT'!$H$9),"x","")</f>
        <v/>
      </c>
      <c r="Z1211" s="82"/>
      <c r="AA1211" s="82" t="str">
        <f>IF(AND(MONTH(E1211)='IN-NX'!$J$5,'IN-NX'!$D$7=D1211),"x","")</f>
        <v/>
      </c>
      <c r="AB1211" s="82" t="str">
        <f>IF(AND(OR(LEFT(TH!N1194,2)="15",LEFT(TH!O1194,2)="15"),LEFT(TH!O1194,3)&lt;&gt;"111",'152-CT'!$J$8=TH!F1194),"x","")</f>
        <v/>
      </c>
      <c r="AC1211" s="82" t="str">
        <f>IF(AND(OR(LEFT(TH!N1194,2)="15",LEFT(TH!O1194,2)="15"),TK!$E$7=TH!F1194),"x","")</f>
        <v/>
      </c>
      <c r="AD1211" s="82" t="str">
        <f>IF(AND(N1211="1521",MONTH(C1211)='BK-NL'!$M$11),"x","")</f>
        <v/>
      </c>
    </row>
    <row r="1212" spans="1:31" ht="15.75" customHeight="1">
      <c r="A1212" s="334" t="str">
        <f>IF(B1212&lt;&gt;"",IF(AND(B1212='IN-TC'!$S$4,OR(TH!N1195="1111",TH!O1195="1111")),TH!D1195,""),"")</f>
        <v>C05</v>
      </c>
      <c r="B1212" s="63">
        <f t="shared" si="179"/>
        <v>2</v>
      </c>
      <c r="C1212" s="64">
        <v>42403</v>
      </c>
      <c r="D1212" s="64" t="s">
        <v>869</v>
      </c>
      <c r="E1212" s="64">
        <v>42403</v>
      </c>
      <c r="F1212" s="512" t="s">
        <v>1001</v>
      </c>
      <c r="G1212" s="972" t="s">
        <v>1018</v>
      </c>
      <c r="H1212" s="72" t="s">
        <v>805</v>
      </c>
      <c r="I1212" s="437"/>
      <c r="J1212" s="437"/>
      <c r="K1212" s="428"/>
      <c r="L1212" s="437"/>
      <c r="M1212" s="65">
        <v>66027</v>
      </c>
      <c r="N1212" s="66" t="s">
        <v>9</v>
      </c>
      <c r="O1212" s="66" t="s">
        <v>63</v>
      </c>
      <c r="P1212" s="82" t="str">
        <f>IF(AND('331-CT'!$E$7=TH!H1195,OR(N1212="331",O1212="331")),"x","")</f>
        <v/>
      </c>
      <c r="Q1212" s="82" t="str">
        <f>IF(AND(B1212='111'!$L$11,OR($N1212=$Q$7,$O1212=$Q$7)),"x","")</f>
        <v/>
      </c>
      <c r="R1212" s="82" t="str">
        <f>IF(AND($N1212=$Q$7,$B1212&lt;'111'!$L$11),"x","")</f>
        <v/>
      </c>
      <c r="S1212" s="82" t="str">
        <f>IF(AND($O1212=$Q$7,$B1212&lt;'111'!$L$11),"x","")</f>
        <v>x</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IF(OR(TH!N1195=TH!$X$7,O1212=TH!$X$7),"x","")</f>
        <v>x</v>
      </c>
      <c r="Y1212" s="82" t="str">
        <f>IF(AND(OR(N1212="131",O1212="131"),H1212='131-CT'!$H$9),"x","")</f>
        <v/>
      </c>
      <c r="Z1212" s="82"/>
      <c r="AA1212" s="82" t="str">
        <f>IF(AND(MONTH(E1212)='IN-NX'!$J$5,'IN-NX'!$D$7=D1212),"x","")</f>
        <v/>
      </c>
      <c r="AB1212" s="82" t="str">
        <f>IF(AND(OR(LEFT(TH!N1195,2)="15",LEFT(TH!O1195,2)="15"),LEFT(TH!O1195,3)&lt;&gt;"111",'152-CT'!$J$8=TH!F1195),"x","")</f>
        <v/>
      </c>
      <c r="AC1212" s="82" t="str">
        <f>IF(AND(OR(LEFT(TH!N1195,2)="15",LEFT(TH!O1195,2)="15"),TK!$E$7=TH!F1195),"x","")</f>
        <v/>
      </c>
      <c r="AD1212" s="82" t="str">
        <f>IF(AND(N1212="1521",MONTH(C1212)='BK-NL'!$M$11),"x","")</f>
        <v/>
      </c>
    </row>
    <row r="1213" spans="1:31" ht="15.75" customHeight="1">
      <c r="A1213" s="334" t="str">
        <f>IF(B1213&lt;&gt;"",IF(AND(B1213='IN-TC'!$S$4,OR(TH!N1213="1111",TH!O1213="1111")),TH!D1213,""),"")</f>
        <v>T02</v>
      </c>
      <c r="B1213" s="63">
        <f t="shared" si="179"/>
        <v>2</v>
      </c>
      <c r="C1213" s="147">
        <v>42404</v>
      </c>
      <c r="D1213" s="64" t="s">
        <v>899</v>
      </c>
      <c r="E1213" s="147">
        <v>42404</v>
      </c>
      <c r="F1213" s="512" t="s">
        <v>743</v>
      </c>
      <c r="G1213" s="67" t="s">
        <v>915</v>
      </c>
      <c r="H1213" s="73" t="s">
        <v>760</v>
      </c>
      <c r="I1213" s="442"/>
      <c r="J1213" s="442"/>
      <c r="K1213" s="433"/>
      <c r="L1213" s="442"/>
      <c r="M1213" s="148">
        <v>390000000</v>
      </c>
      <c r="N1213" s="149" t="s">
        <v>63</v>
      </c>
      <c r="O1213" s="66" t="s">
        <v>26</v>
      </c>
      <c r="P1213" s="82" t="str">
        <f>IF(AND('331-CT'!$E$7=TH!H1213,OR(N1213="331",O1213="331")),"x","")</f>
        <v/>
      </c>
      <c r="Q1213" s="82" t="str">
        <f>IF(AND(B1213='111'!$L$11,OR($N1213=$Q$7,$O1213=$Q$7)),"x","")</f>
        <v/>
      </c>
      <c r="R1213" s="82" t="str">
        <f>IF(AND($N1213=$Q$7,$B1213&lt;'111'!$L$11),"x","")</f>
        <v>x</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1" ht="15.75" customHeight="1">
      <c r="A1214" s="334" t="str">
        <f>IF(B1214&lt;&gt;"",IF(AND(B1214='IN-TC'!$S$4,OR(TH!N1214="1111",TH!O1214="1111")),TH!D1214,""),"")</f>
        <v/>
      </c>
      <c r="B1214" s="63">
        <f t="shared" si="179"/>
        <v>2</v>
      </c>
      <c r="C1214" s="64">
        <v>42405</v>
      </c>
      <c r="D1214" s="64" t="s">
        <v>699</v>
      </c>
      <c r="E1214" s="64">
        <v>42405</v>
      </c>
      <c r="F1214" s="512" t="s">
        <v>1041</v>
      </c>
      <c r="G1214" s="67" t="s">
        <v>915</v>
      </c>
      <c r="H1214" s="72"/>
      <c r="I1214" s="437"/>
      <c r="J1214" s="437"/>
      <c r="K1214" s="428"/>
      <c r="L1214" s="437"/>
      <c r="M1214" s="65">
        <v>32260140</v>
      </c>
      <c r="N1214" s="66" t="s">
        <v>26</v>
      </c>
      <c r="O1214" s="66" t="s">
        <v>19</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1" ht="15.75" customHeight="1">
      <c r="A1215" s="334" t="str">
        <f>IF(B1215&lt;&gt;"",IF(AND(B1215='IN-TC'!$S$4,OR(TH!N1215="1111",TH!O1215="1111")),TH!D1215,""),"")</f>
        <v/>
      </c>
      <c r="B1215" s="63">
        <f t="shared" si="179"/>
        <v>2</v>
      </c>
      <c r="C1215" s="64">
        <v>42405</v>
      </c>
      <c r="D1215" s="64" t="s">
        <v>699</v>
      </c>
      <c r="E1215" s="64">
        <v>42405</v>
      </c>
      <c r="F1215" s="512" t="s">
        <v>1046</v>
      </c>
      <c r="G1215" s="67" t="s">
        <v>915</v>
      </c>
      <c r="H1215" s="72" t="s">
        <v>598</v>
      </c>
      <c r="I1215" s="437"/>
      <c r="J1215" s="437"/>
      <c r="K1215" s="428">
        <v>7743.32</v>
      </c>
      <c r="L1215" s="437">
        <v>22270</v>
      </c>
      <c r="M1215" s="65">
        <f>ROUND(K1215*L1215,0)</f>
        <v>172443736</v>
      </c>
      <c r="N1215" s="66" t="s">
        <v>266</v>
      </c>
      <c r="O1215" s="66" t="s">
        <v>585</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1" ht="15.75" customHeight="1">
      <c r="A1216" s="334" t="str">
        <f>IF(B1216&lt;&gt;"",IF(AND(B1216='IN-TC'!$S$4,OR(TH!N1216="1111",TH!O1216="1111")),TH!D1216,""),"")</f>
        <v/>
      </c>
      <c r="B1216" s="63">
        <f t="shared" si="179"/>
        <v>2</v>
      </c>
      <c r="C1216" s="64">
        <f>E1216</f>
        <v>42405</v>
      </c>
      <c r="D1216" s="64" t="s">
        <v>579</v>
      </c>
      <c r="E1216" s="64">
        <v>42405</v>
      </c>
      <c r="F1216" s="512" t="s">
        <v>1058</v>
      </c>
      <c r="G1216" s="67" t="s">
        <v>915</v>
      </c>
      <c r="H1216" s="72" t="s">
        <v>598</v>
      </c>
      <c r="I1216" s="437"/>
      <c r="J1216" s="437"/>
      <c r="K1216" s="428">
        <v>107.34</v>
      </c>
      <c r="L1216" s="437">
        <v>22270</v>
      </c>
      <c r="M1216" s="65">
        <f>ROUND(K1216*L1216,0)</f>
        <v>2390462</v>
      </c>
      <c r="N1216" s="66" t="s">
        <v>101</v>
      </c>
      <c r="O1216" s="66" t="s">
        <v>585</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2" ht="15.75" customHeight="1">
      <c r="A1217" s="334" t="str">
        <f>IF(B1217&lt;&gt;"",IF(AND(B1217='IN-TC'!$S$4,OR(TH!N1217="1111",TH!O1217="1111")),TH!D1217,""),"")</f>
        <v/>
      </c>
      <c r="B1217" s="63">
        <f t="shared" si="179"/>
        <v>2</v>
      </c>
      <c r="C1217" s="64">
        <f>E1217</f>
        <v>42405</v>
      </c>
      <c r="D1217" s="64" t="s">
        <v>579</v>
      </c>
      <c r="E1217" s="64">
        <v>42405</v>
      </c>
      <c r="F1217" s="512" t="s">
        <v>1059</v>
      </c>
      <c r="G1217" s="67" t="s">
        <v>915</v>
      </c>
      <c r="H1217" s="72" t="s">
        <v>598</v>
      </c>
      <c r="I1217" s="437"/>
      <c r="J1217" s="437"/>
      <c r="K1217" s="428">
        <v>10.73</v>
      </c>
      <c r="L1217" s="437">
        <v>22270</v>
      </c>
      <c r="M1217" s="65">
        <f>ROUND(K1217*L1217,0)</f>
        <v>238957</v>
      </c>
      <c r="N1217" s="66" t="s">
        <v>9</v>
      </c>
      <c r="O1217" s="66" t="s">
        <v>585</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x</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2" ht="15.75" customHeight="1">
      <c r="A1218" s="334" t="str">
        <f>IF(B1218&lt;&gt;"",IF(AND(B1218='IN-TC'!$S$4,OR(TH!N1218="1111",TH!O1218="1111")),TH!D1218,""),"")</f>
        <v/>
      </c>
      <c r="B1218" s="63">
        <f t="shared" si="179"/>
        <v>2</v>
      </c>
      <c r="C1218" s="64">
        <f>E1218</f>
        <v>42405</v>
      </c>
      <c r="D1218" s="64" t="s">
        <v>579</v>
      </c>
      <c r="E1218" s="64">
        <v>42405</v>
      </c>
      <c r="F1218" s="512" t="s">
        <v>1060</v>
      </c>
      <c r="G1218" s="67" t="s">
        <v>915</v>
      </c>
      <c r="H1218" s="72" t="s">
        <v>598</v>
      </c>
      <c r="I1218" s="437"/>
      <c r="J1218" s="437"/>
      <c r="K1218" s="428">
        <v>63.61</v>
      </c>
      <c r="L1218" s="437">
        <v>22270</v>
      </c>
      <c r="M1218" s="65">
        <f>ROUND(K1218*L1218,0)</f>
        <v>1416595</v>
      </c>
      <c r="N1218" s="66" t="s">
        <v>99</v>
      </c>
      <c r="O1218" s="66" t="s">
        <v>585</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2" ht="15.75" customHeight="1">
      <c r="A1219" s="334" t="str">
        <f>IF(B1219&lt;&gt;"",IF(AND(B1219='IN-TC'!$S$4,OR(TH!N1219="1111",TH!O1219="1111")),TH!D1219,""),"")</f>
        <v/>
      </c>
      <c r="B1219" s="63">
        <f t="shared" si="179"/>
        <v>2</v>
      </c>
      <c r="C1219" s="64">
        <f>E1219</f>
        <v>42405</v>
      </c>
      <c r="D1219" s="64" t="s">
        <v>579</v>
      </c>
      <c r="E1219" s="64">
        <v>42405</v>
      </c>
      <c r="F1219" s="512" t="s">
        <v>1061</v>
      </c>
      <c r="G1219" s="67" t="s">
        <v>915</v>
      </c>
      <c r="H1219" s="72" t="s">
        <v>598</v>
      </c>
      <c r="I1219" s="437"/>
      <c r="J1219" s="437"/>
      <c r="K1219" s="428">
        <v>35</v>
      </c>
      <c r="L1219" s="437">
        <v>22270</v>
      </c>
      <c r="M1219" s="65">
        <f>ROUND(K1219*L1219,0)</f>
        <v>779450</v>
      </c>
      <c r="N1219" s="66" t="s">
        <v>101</v>
      </c>
      <c r="O1219" s="66" t="s">
        <v>585</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2" ht="15.75" customHeight="1">
      <c r="A1220" s="334" t="str">
        <f>IF(B1220&lt;&gt;"",IF(AND(B1220='IN-TC'!$S$4,OR(TH!N1220="1111",TH!O1220="1111")),TH!D1220,""),"")</f>
        <v/>
      </c>
      <c r="B1220" s="63">
        <f t="shared" si="179"/>
        <v>2</v>
      </c>
      <c r="C1220" s="64">
        <f>E1220</f>
        <v>42405</v>
      </c>
      <c r="D1220" s="64" t="s">
        <v>579</v>
      </c>
      <c r="E1220" s="64">
        <v>42405</v>
      </c>
      <c r="F1220" s="512" t="s">
        <v>1062</v>
      </c>
      <c r="G1220" s="67"/>
      <c r="H1220" s="72" t="s">
        <v>598</v>
      </c>
      <c r="I1220" s="437"/>
      <c r="J1220" s="437"/>
      <c r="K1220" s="428"/>
      <c r="L1220" s="437"/>
      <c r="M1220" s="65">
        <v>5407186</v>
      </c>
      <c r="N1220" s="66" t="s">
        <v>99</v>
      </c>
      <c r="O1220" s="66" t="s">
        <v>585</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2" ht="15.75" customHeight="1">
      <c r="A1221" s="334" t="str">
        <f>IF(B1221&lt;&gt;"",IF(AND(B1221='IN-TC'!$S$4,OR(TH!N1211="1111",TH!O1211="1111")),TH!D1211,""),"")</f>
        <v>C06</v>
      </c>
      <c r="B1221" s="63">
        <f t="shared" si="179"/>
        <v>2</v>
      </c>
      <c r="C1221" s="64">
        <v>42404</v>
      </c>
      <c r="D1221" s="64" t="s">
        <v>871</v>
      </c>
      <c r="E1221" s="64">
        <v>42404</v>
      </c>
      <c r="F1221" s="512" t="s">
        <v>768</v>
      </c>
      <c r="G1221" s="67" t="s">
        <v>1019</v>
      </c>
      <c r="H1221" s="344" t="s">
        <v>805</v>
      </c>
      <c r="I1221" s="441"/>
      <c r="J1221" s="441"/>
      <c r="K1221" s="432"/>
      <c r="L1221" s="441"/>
      <c r="M1221" s="65">
        <v>452873</v>
      </c>
      <c r="N1221" s="66" t="s">
        <v>101</v>
      </c>
      <c r="O1221" s="66" t="s">
        <v>63</v>
      </c>
      <c r="P1221" s="82" t="str">
        <f>IF(AND('331-CT'!$E$7=TH!H1211,OR(N1221="331",O1221="331")),"x","")</f>
        <v/>
      </c>
      <c r="Q1221" s="82" t="str">
        <f>IF(AND(B1221='111'!$L$11,OR($N1221=$Q$7,$O1221=$Q$7)),"x","")</f>
        <v/>
      </c>
      <c r="R1221" s="82" t="str">
        <f>IF(AND($N1221=$Q$7,$B1221&lt;'111'!$L$11),"x","")</f>
        <v/>
      </c>
      <c r="S1221" s="82" t="str">
        <f>IF(AND($O1221=$Q$7,$B1221&lt;'111'!$L$11),"x","")</f>
        <v>x</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IF(OR(TH!N1211=TH!$X$7,O1221=TH!$X$7),"x","")</f>
        <v/>
      </c>
      <c r="Y1221" s="82" t="str">
        <f>IF(AND(OR(N1221="131",O1221="131"),H1221='131-CT'!$H$9),"x","")</f>
        <v/>
      </c>
      <c r="Z1221" s="82"/>
      <c r="AA1221" s="82" t="str">
        <f>IF(AND(MONTH(E1221)='IN-NX'!$J$5,'IN-NX'!$D$7=D1221),"x","")</f>
        <v/>
      </c>
      <c r="AB1221" s="82" t="str">
        <f>IF(AND(OR(LEFT(TH!N1211,2)="15",LEFT(TH!O1211,2)="15"),LEFT(TH!O1211,3)&lt;&gt;"111",'152-CT'!$J$8=TH!F1211),"x","")</f>
        <v/>
      </c>
      <c r="AC1221" s="82" t="str">
        <f>IF(AND(OR(LEFT(TH!N1211,2)="15",LEFT(TH!O1211,2)="15"),TK!$E$7=TH!F1211),"x","")</f>
        <v/>
      </c>
      <c r="AD1221" s="82" t="str">
        <f>IF(AND(N1221="1521",MONTH(C1221)='BK-NL'!$M$11),"x","")</f>
        <v/>
      </c>
    </row>
    <row r="1222" spans="1:32" ht="15.75" customHeight="1">
      <c r="A1222" s="334" t="str">
        <f>IF(B1222&lt;&gt;"",IF(AND(B1222='IN-TC'!$S$4,OR(TH!N1212="1111",TH!O1212="1111")),TH!D1212,""),"")</f>
        <v>C06</v>
      </c>
      <c r="B1222" s="63">
        <f t="shared" si="179"/>
        <v>2</v>
      </c>
      <c r="C1222" s="64">
        <v>42404</v>
      </c>
      <c r="D1222" s="64" t="s">
        <v>871</v>
      </c>
      <c r="E1222" s="64">
        <v>42404</v>
      </c>
      <c r="F1222" s="512" t="s">
        <v>769</v>
      </c>
      <c r="G1222" s="67" t="s">
        <v>1019</v>
      </c>
      <c r="H1222" s="72" t="s">
        <v>805</v>
      </c>
      <c r="I1222" s="437"/>
      <c r="J1222" s="437"/>
      <c r="K1222" s="428"/>
      <c r="L1222" s="437"/>
      <c r="M1222" s="65">
        <v>45287</v>
      </c>
      <c r="N1222" s="66" t="s">
        <v>9</v>
      </c>
      <c r="O1222" s="66" t="s">
        <v>63</v>
      </c>
      <c r="P1222" s="82" t="str">
        <f>IF(AND('331-CT'!$E$7=TH!H1212,OR(N1222="331",O1222="331")),"x","")</f>
        <v/>
      </c>
      <c r="Q1222" s="82" t="str">
        <f>IF(AND(B1222='111'!$L$11,OR($N1222=$Q$7,$O1222=$Q$7)),"x","")</f>
        <v/>
      </c>
      <c r="R1222" s="82" t="str">
        <f>IF(AND($N1222=$Q$7,$B1222&lt;'111'!$L$11),"x","")</f>
        <v/>
      </c>
      <c r="S1222" s="82" t="str">
        <f>IF(AND($O1222=$Q$7,$B1222&lt;'111'!$L$11),"x","")</f>
        <v>x</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IF(OR(TH!N1212=TH!$X$7,O1222=TH!$X$7),"x","")</f>
        <v>x</v>
      </c>
      <c r="Y1222" s="82" t="str">
        <f>IF(AND(OR(N1222="131",O1222="131"),H1222='131-CT'!$H$9),"x","")</f>
        <v/>
      </c>
      <c r="Z1222" s="82"/>
      <c r="AA1222" s="82" t="str">
        <f>IF(AND(MONTH(E1222)='IN-NX'!$J$5,'IN-NX'!$D$7=D1222),"x","")</f>
        <v/>
      </c>
      <c r="AB1222" s="82" t="str">
        <f>IF(AND(OR(LEFT(TH!N1212,2)="15",LEFT(TH!O1212,2)="15"),LEFT(TH!O1212,3)&lt;&gt;"111",'152-CT'!$J$8=TH!F1212),"x","")</f>
        <v/>
      </c>
      <c r="AC1222" s="82" t="str">
        <f>IF(AND(OR(LEFT(TH!N1212,2)="15",LEFT(TH!O1212,2)="15"),TK!$E$7=TH!F1212),"x","")</f>
        <v/>
      </c>
      <c r="AD1222" s="82" t="str">
        <f>IF(AND(N1222="1521",MONTH(C1222)='BK-NL'!$M$11),"x","")</f>
        <v/>
      </c>
    </row>
    <row r="1223" spans="1:32" ht="15.75" customHeight="1">
      <c r="A1223" s="334" t="str">
        <f>IF(B1223&lt;&gt;"",IF(AND(B1223='IN-TC'!$S$4,OR(TH!N1223="1111",TH!O1223="1111")),TH!D1223,""),"")</f>
        <v/>
      </c>
      <c r="B1223" s="63">
        <f t="shared" ref="B1223:B1286" si="180">IF(C1223&lt;&gt;"",MONTH(C1223),"")</f>
        <v>2</v>
      </c>
      <c r="C1223" s="147">
        <v>42415</v>
      </c>
      <c r="D1223" s="64" t="s">
        <v>702</v>
      </c>
      <c r="E1223" s="147">
        <v>42415</v>
      </c>
      <c r="F1223" s="512" t="s">
        <v>1042</v>
      </c>
      <c r="G1223" s="67" t="s">
        <v>915</v>
      </c>
      <c r="H1223" s="72" t="s">
        <v>709</v>
      </c>
      <c r="I1223" s="437"/>
      <c r="J1223" s="437"/>
      <c r="K1223" s="428"/>
      <c r="L1223" s="437"/>
      <c r="M1223" s="148">
        <v>1341984</v>
      </c>
      <c r="N1223" s="66" t="s">
        <v>99</v>
      </c>
      <c r="O1223" s="66" t="s">
        <v>26</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2" ht="15.75" customHeight="1">
      <c r="A1224" s="334" t="str">
        <f>IF(B1224&lt;&gt;"",IF(AND(B1224='IN-TC'!$S$4,OR(TH!N1224="1111",TH!O1224="1111")),TH!D1224,""),"")</f>
        <v/>
      </c>
      <c r="B1224" s="63">
        <f t="shared" si="180"/>
        <v>2</v>
      </c>
      <c r="C1224" s="64">
        <v>42415</v>
      </c>
      <c r="D1224" s="64" t="s">
        <v>702</v>
      </c>
      <c r="E1224" s="64">
        <v>42415</v>
      </c>
      <c r="F1224" s="512" t="s">
        <v>1043</v>
      </c>
      <c r="G1224" s="67" t="s">
        <v>915</v>
      </c>
      <c r="H1224" s="342" t="s">
        <v>710</v>
      </c>
      <c r="I1224" s="439"/>
      <c r="J1224" s="439"/>
      <c r="K1224" s="430"/>
      <c r="L1224" s="439"/>
      <c r="M1224" s="65">
        <v>2892064</v>
      </c>
      <c r="N1224" s="66" t="s">
        <v>99</v>
      </c>
      <c r="O1224" s="66" t="s">
        <v>26</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2" ht="15.75" customHeight="1">
      <c r="A1225" s="334" t="str">
        <f>IF(B1225&lt;&gt;"",IF(AND(B1225='IN-TC'!$S$4,OR(TH!N1225="1111",TH!O1225="1111")),TH!D1225,""),"")</f>
        <v/>
      </c>
      <c r="B1225" s="63">
        <f t="shared" si="180"/>
        <v>2</v>
      </c>
      <c r="C1225" s="64">
        <v>42415</v>
      </c>
      <c r="D1225" s="64" t="s">
        <v>702</v>
      </c>
      <c r="E1225" s="64">
        <v>42415</v>
      </c>
      <c r="F1225" s="512" t="s">
        <v>1044</v>
      </c>
      <c r="G1225" s="67" t="s">
        <v>915</v>
      </c>
      <c r="H1225" s="342" t="s">
        <v>711</v>
      </c>
      <c r="I1225" s="439"/>
      <c r="J1225" s="439"/>
      <c r="K1225" s="430"/>
      <c r="L1225" s="439"/>
      <c r="M1225" s="65">
        <v>1780800</v>
      </c>
      <c r="N1225" s="66" t="s">
        <v>99</v>
      </c>
      <c r="O1225" s="66" t="s">
        <v>26</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2" ht="15.75" customHeight="1">
      <c r="A1226" s="334" t="str">
        <f>IF(B1226&lt;&gt;"",IF(AND(B1226='IN-TC'!$S$4,OR(TH!N1226="1111",TH!O1226="1111")),TH!D1226,""),"")</f>
        <v/>
      </c>
      <c r="B1226" s="63">
        <f t="shared" si="180"/>
        <v>2</v>
      </c>
      <c r="C1226" s="64">
        <v>42415</v>
      </c>
      <c r="D1226" s="64" t="s">
        <v>702</v>
      </c>
      <c r="E1226" s="64">
        <v>42415</v>
      </c>
      <c r="F1226" s="512" t="s">
        <v>1045</v>
      </c>
      <c r="G1226" s="67" t="s">
        <v>915</v>
      </c>
      <c r="H1226" s="72" t="s">
        <v>712</v>
      </c>
      <c r="I1226" s="437"/>
      <c r="J1226" s="437"/>
      <c r="K1226" s="428"/>
      <c r="L1226" s="437"/>
      <c r="M1226" s="65">
        <v>2492896</v>
      </c>
      <c r="N1226" s="66" t="s">
        <v>99</v>
      </c>
      <c r="O1226" s="66" t="s">
        <v>26</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2" ht="15.75" customHeight="1">
      <c r="A1227" s="334" t="str">
        <f>IF(B1227&lt;&gt;"",IF(AND(B1227='IN-TC'!$S$4,OR(TH!N1227="1111",TH!O1227="1111")),TH!D1227,""),"")</f>
        <v/>
      </c>
      <c r="B1227" s="63">
        <f t="shared" si="180"/>
        <v>2</v>
      </c>
      <c r="C1227" s="64">
        <v>42415</v>
      </c>
      <c r="D1227" s="64" t="s">
        <v>702</v>
      </c>
      <c r="E1227" s="64">
        <v>42415</v>
      </c>
      <c r="F1227" s="512" t="s">
        <v>757</v>
      </c>
      <c r="G1227" s="67" t="s">
        <v>914</v>
      </c>
      <c r="H1227" s="72"/>
      <c r="I1227" s="437"/>
      <c r="J1227" s="437"/>
      <c r="K1227" s="428"/>
      <c r="L1227" s="437"/>
      <c r="M1227" s="65">
        <v>50000</v>
      </c>
      <c r="N1227" s="66" t="s">
        <v>101</v>
      </c>
      <c r="O1227" s="66" t="s">
        <v>26</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2" ht="15.75" customHeight="1">
      <c r="A1228" s="334" t="str">
        <f>IF(B1228&lt;&gt;"",IF(AND(B1228='IN-TC'!$S$4,OR(TH!N1228="1111",TH!O1228="1111")),TH!D1228,""),"")</f>
        <v/>
      </c>
      <c r="B1228" s="63">
        <f t="shared" si="180"/>
        <v>2</v>
      </c>
      <c r="C1228" s="64">
        <v>42415</v>
      </c>
      <c r="D1228" s="64" t="s">
        <v>702</v>
      </c>
      <c r="E1228" s="64">
        <v>42415</v>
      </c>
      <c r="F1228" s="512" t="s">
        <v>758</v>
      </c>
      <c r="G1228" s="67" t="s">
        <v>914</v>
      </c>
      <c r="H1228" s="72"/>
      <c r="I1228" s="437"/>
      <c r="J1228" s="437"/>
      <c r="K1228" s="428"/>
      <c r="L1228" s="437"/>
      <c r="M1228" s="65">
        <v>5000</v>
      </c>
      <c r="N1228" s="66" t="s">
        <v>9</v>
      </c>
      <c r="O1228" s="66" t="s">
        <v>26</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x</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2" ht="15.75" customHeight="1">
      <c r="A1229" s="334" t="str">
        <f>IF(B1229&lt;&gt;"",IF(AND(B1229='IN-TC'!$S$4,OR(TH!N1229="1111",TH!O1229="1111")),TH!D1229,""),"")</f>
        <v/>
      </c>
      <c r="B1229" s="63">
        <f t="shared" si="180"/>
        <v>2</v>
      </c>
      <c r="C1229" s="64">
        <v>42415</v>
      </c>
      <c r="D1229" s="64" t="s">
        <v>702</v>
      </c>
      <c r="E1229" s="64">
        <v>42415</v>
      </c>
      <c r="F1229" s="512" t="s">
        <v>757</v>
      </c>
      <c r="G1229" s="67" t="s">
        <v>914</v>
      </c>
      <c r="H1229" s="72"/>
      <c r="I1229" s="437"/>
      <c r="J1229" s="437"/>
      <c r="K1229" s="428"/>
      <c r="L1229" s="437"/>
      <c r="M1229" s="65">
        <v>50000</v>
      </c>
      <c r="N1229" s="66" t="s">
        <v>101</v>
      </c>
      <c r="O1229" s="66" t="s">
        <v>26</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2" ht="15.75" customHeight="1">
      <c r="A1230" s="334" t="str">
        <f>IF(B1230&lt;&gt;"",IF(AND(B1230='IN-TC'!$S$4,OR(TH!N1230="1111",TH!O1230="1111")),TH!D1230,""),"")</f>
        <v/>
      </c>
      <c r="B1230" s="63">
        <f t="shared" si="180"/>
        <v>2</v>
      </c>
      <c r="C1230" s="64">
        <v>42415</v>
      </c>
      <c r="D1230" s="64" t="s">
        <v>702</v>
      </c>
      <c r="E1230" s="64">
        <v>42415</v>
      </c>
      <c r="F1230" s="512" t="s">
        <v>758</v>
      </c>
      <c r="G1230" s="67" t="s">
        <v>914</v>
      </c>
      <c r="H1230" s="72"/>
      <c r="I1230" s="437"/>
      <c r="J1230" s="437"/>
      <c r="K1230" s="428"/>
      <c r="L1230" s="437"/>
      <c r="M1230" s="65">
        <v>5000</v>
      </c>
      <c r="N1230" s="66" t="s">
        <v>9</v>
      </c>
      <c r="O1230" s="66" t="s">
        <v>26</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x</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2" s="346" customFormat="1" ht="15.75" customHeight="1">
      <c r="A1231" s="334" t="str">
        <f>IF(B1231&lt;&gt;"",IF(AND(B1231='IN-TC'!$S$4,OR(TH!N1221="1111",TH!O1221="1111")),TH!D1221,""),"")</f>
        <v>C07</v>
      </c>
      <c r="B1231" s="63">
        <f t="shared" si="180"/>
        <v>2</v>
      </c>
      <c r="C1231" s="64">
        <v>42406</v>
      </c>
      <c r="D1231" s="64" t="s">
        <v>872</v>
      </c>
      <c r="E1231" s="64">
        <v>42406</v>
      </c>
      <c r="F1231" s="512" t="s">
        <v>1000</v>
      </c>
      <c r="G1231" s="67" t="s">
        <v>1020</v>
      </c>
      <c r="H1231" s="72" t="s">
        <v>805</v>
      </c>
      <c r="I1231" s="437"/>
      <c r="J1231" s="437"/>
      <c r="K1231" s="428"/>
      <c r="L1231" s="437"/>
      <c r="M1231" s="65">
        <v>798518</v>
      </c>
      <c r="N1231" s="66" t="s">
        <v>101</v>
      </c>
      <c r="O1231" s="66" t="s">
        <v>63</v>
      </c>
      <c r="P1231" s="82" t="str">
        <f>IF(AND('331-CT'!$E$7=TH!H1221,OR(N1231="331",O1231="331")),"x","")</f>
        <v/>
      </c>
      <c r="Q1231" s="82" t="str">
        <f>IF(AND(B1231='111'!$L$11,OR($N1231=$Q$7,$O1231=$Q$7)),"x","")</f>
        <v/>
      </c>
      <c r="R1231" s="82" t="str">
        <f>IF(AND($N1231=$Q$7,$B1231&lt;'111'!$L$11),"x","")</f>
        <v/>
      </c>
      <c r="S1231" s="82" t="str">
        <f>IF(AND($O1231=$Q$7,$B1231&lt;'111'!$L$11),"x","")</f>
        <v>x</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IF(OR(TH!N1221=TH!$X$7,O1231=TH!$X$7),"x","")</f>
        <v/>
      </c>
      <c r="Y1231" s="82" t="str">
        <f>IF(AND(OR(N1231="131",O1231="131"),H1231='131-CT'!$H$9),"x","")</f>
        <v/>
      </c>
      <c r="Z1231" s="82"/>
      <c r="AA1231" s="82" t="str">
        <f>IF(AND(MONTH(E1231)='IN-NX'!$J$5,'IN-NX'!$D$7=D1231),"x","")</f>
        <v/>
      </c>
      <c r="AB1231" s="82" t="str">
        <f>IF(AND(OR(LEFT(TH!N1221,2)="15",LEFT(TH!O1221,2)="15"),LEFT(TH!O1221,3)&lt;&gt;"111",'152-CT'!$J$8=TH!F1221),"x","")</f>
        <v/>
      </c>
      <c r="AC1231" s="82" t="str">
        <f>IF(AND(OR(LEFT(TH!N1221,2)="15",LEFT(TH!O1221,2)="15"),TK!$E$7=TH!F1221),"x","")</f>
        <v/>
      </c>
      <c r="AD1231" s="82" t="str">
        <f>IF(AND(N1231="1521",MONTH(C1231)='BK-NL'!$M$11),"x","")</f>
        <v/>
      </c>
      <c r="AE1231" s="328"/>
      <c r="AF1231" s="328"/>
    </row>
    <row r="1232" spans="1:32" ht="15.75" customHeight="1">
      <c r="A1232" s="334" t="str">
        <f>IF(B1232&lt;&gt;"",IF(AND(B1232='IN-TC'!$S$4,OR(TH!N1222="1111",TH!O1222="1111")),TH!D1222,""),"")</f>
        <v>C07</v>
      </c>
      <c r="B1232" s="63">
        <f t="shared" si="180"/>
        <v>2</v>
      </c>
      <c r="C1232" s="64">
        <v>42406</v>
      </c>
      <c r="D1232" s="64" t="s">
        <v>872</v>
      </c>
      <c r="E1232" s="64">
        <v>42406</v>
      </c>
      <c r="F1232" s="512" t="s">
        <v>1001</v>
      </c>
      <c r="G1232" s="67" t="s">
        <v>1020</v>
      </c>
      <c r="H1232" s="72" t="s">
        <v>805</v>
      </c>
      <c r="I1232" s="437"/>
      <c r="J1232" s="437"/>
      <c r="K1232" s="428"/>
      <c r="L1232" s="437"/>
      <c r="M1232" s="65">
        <v>79852</v>
      </c>
      <c r="N1232" s="66" t="s">
        <v>9</v>
      </c>
      <c r="O1232" s="66" t="s">
        <v>63</v>
      </c>
      <c r="P1232" s="82" t="str">
        <f>IF(AND('331-CT'!$E$7=TH!H1222,OR(N1232="331",O1232="331")),"x","")</f>
        <v/>
      </c>
      <c r="Q1232" s="82" t="str">
        <f>IF(AND(B1232='111'!$L$11,OR($N1232=$Q$7,$O1232=$Q$7)),"x","")</f>
        <v/>
      </c>
      <c r="R1232" s="82" t="str">
        <f>IF(AND($N1232=$Q$7,$B1232&lt;'111'!$L$11),"x","")</f>
        <v/>
      </c>
      <c r="S1232" s="82" t="str">
        <f>IF(AND($O1232=$Q$7,$B1232&lt;'111'!$L$11),"x","")</f>
        <v>x</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IF(OR(TH!N1222=TH!$X$7,O1232=TH!$X$7),"x","")</f>
        <v>x</v>
      </c>
      <c r="Y1232" s="82" t="str">
        <f>IF(AND(OR(N1232="131",O1232="131"),H1232='131-CT'!$H$9),"x","")</f>
        <v/>
      </c>
      <c r="Z1232" s="82"/>
      <c r="AA1232" s="82" t="str">
        <f>IF(AND(MONTH(E1232)='IN-NX'!$J$5,'IN-NX'!$D$7=D1232),"x","")</f>
        <v/>
      </c>
      <c r="AB1232" s="82" t="str">
        <f>IF(AND(OR(LEFT(TH!N1222,2)="15",LEFT(TH!O1222,2)="15"),LEFT(TH!O1222,3)&lt;&gt;"111",'152-CT'!$J$8=TH!F1222),"x","")</f>
        <v/>
      </c>
      <c r="AC1232" s="82" t="str">
        <f>IF(AND(OR(LEFT(TH!N1222,2)="15",LEFT(TH!O1222,2)="15"),TK!$E$7=TH!F1222),"x","")</f>
        <v/>
      </c>
      <c r="AD1232" s="82" t="str">
        <f>IF(AND(N1232="1521",MONTH(C1232)='BK-NL'!$M$11),"x","")</f>
        <v/>
      </c>
    </row>
    <row r="1233" spans="1:32" ht="15.75" customHeight="1">
      <c r="A1233" s="334" t="str">
        <f>IF(B1233&lt;&gt;"",IF(AND(B1233='IN-TC'!$S$4,OR(TH!N1543="1111",TH!O1543="1111")),TH!D1543,""),"")</f>
        <v>C25</v>
      </c>
      <c r="B1233" s="1148">
        <f t="shared" si="180"/>
        <v>2</v>
      </c>
      <c r="C1233" s="1149">
        <v>42415</v>
      </c>
      <c r="D1233" s="1149" t="s">
        <v>873</v>
      </c>
      <c r="E1233" s="1149">
        <f>C1233</f>
        <v>42415</v>
      </c>
      <c r="F1233" s="512" t="s">
        <v>960</v>
      </c>
      <c r="G1233" s="1151"/>
      <c r="H1233" s="1150" t="s">
        <v>959</v>
      </c>
      <c r="I1233" s="1152"/>
      <c r="J1233" s="1152"/>
      <c r="K1233" s="1153"/>
      <c r="L1233" s="1152"/>
      <c r="M1233" s="1154">
        <v>400000000</v>
      </c>
      <c r="N1233" s="1155" t="s">
        <v>272</v>
      </c>
      <c r="O1233" s="1155" t="s">
        <v>63</v>
      </c>
      <c r="P1233" s="1155" t="str">
        <f>IF(AND('331-CT'!$E$7=TH!H1543,OR(N1233="331",O1233="331")),"x","")</f>
        <v/>
      </c>
      <c r="Q1233" s="1155" t="str">
        <f>IF(AND(B1233='111'!$L$11,OR($N1233=$Q$7,$O1233=$Q$7)),"x","")</f>
        <v/>
      </c>
      <c r="R1233" s="1155" t="str">
        <f>IF(AND($N1233=$Q$7,$B1233&lt;'111'!$L$11),"x","")</f>
        <v/>
      </c>
      <c r="S1233" s="1155" t="str">
        <f>IF(AND($O1233=$Q$7,$B1233&lt;'111'!$L$11),"x","")</f>
        <v>x</v>
      </c>
      <c r="T1233" s="1155" t="str">
        <f>IF(ISERROR(FIND('112'!$M$9,G1233,1)),"",IF((AND(FIND('112'!$M$9,G1233,1)&gt;=1,B1233='112'!$K$9,OR($N1233='112'!$I$6,$O1233='112'!$I$6))),"x",""))</f>
        <v/>
      </c>
      <c r="U1233" s="1155" t="str">
        <f>IF(ISERROR(FIND('112'!$M$9,G1233,1)),"",IF((AND(LEFT(G1233,2)=LEFT('112'!$M$9,2),B1233&lt;'112'!$K$9,$N1233='112'!$I$6)),"x",""))</f>
        <v/>
      </c>
      <c r="V1233" s="1155" t="str">
        <f>IF(ISERROR(FIND('112'!$M$9,G1233,1)),"",IF((AND(RIGHT(G1233,2)=RIGHT('112'!$M$9,2),B1233&lt;'112'!$K$9,$O1233='112'!$I$6)),"x",""))</f>
        <v/>
      </c>
      <c r="W1233" s="1155" t="str">
        <f>IF(AND('341-CT'!$H$9=H1233,OR(LEFT(N1233,3)=$W$7,LEFT(O1233,3)=$W$7)),"x","")</f>
        <v/>
      </c>
      <c r="X1233" s="1155" t="str">
        <f>IF(OR(TH!N1543=TH!$X$7,O1233=TH!$X$7),"x","")</f>
        <v>x</v>
      </c>
      <c r="Y1233" s="1155" t="str">
        <f>IF(AND(OR(N1233="131",O1233="131"),H1233='131-CT'!$H$9),"x","")</f>
        <v/>
      </c>
      <c r="Z1233" s="1155"/>
      <c r="AA1233" s="1155" t="str">
        <f>IF(AND(MONTH(E1233)='IN-NX'!$J$5,'IN-NX'!$D$7=D1233),"x","")</f>
        <v/>
      </c>
      <c r="AB1233" s="1155" t="str">
        <f>IF(AND(OR(LEFT(TH!N1543,2)="15",LEFT(TH!O1543,2)="15"),LEFT(TH!O1543,3)&lt;&gt;"111",'152-CT'!$J$8=TH!F1543),"x","")</f>
        <v/>
      </c>
      <c r="AC1233" s="1155" t="str">
        <f>IF(AND(OR(LEFT(TH!N1543,2)="15",LEFT(TH!O1543,2)="15"),TK!$E$7=TH!F1543),"x","")</f>
        <v/>
      </c>
      <c r="AD1233" s="1155" t="str">
        <f>IF(AND(N1233="1521",MONTH(C1233)='BK-NL'!$M$11),"x","")</f>
        <v/>
      </c>
      <c r="AE1233" s="1156"/>
      <c r="AF1233" s="1156"/>
    </row>
    <row r="1234" spans="1:32" ht="15.75" customHeight="1">
      <c r="A1234" s="334" t="str">
        <f>IF(B1234&lt;&gt;"",IF(AND(B1234='IN-TC'!$S$4,OR(TH!N1545="1111",TH!O1545="1111")),TH!D1545,""),"")</f>
        <v>C27</v>
      </c>
      <c r="B1234" s="1148">
        <f t="shared" si="180"/>
        <v>2</v>
      </c>
      <c r="C1234" s="1149">
        <v>42415</v>
      </c>
      <c r="D1234" s="1149" t="s">
        <v>874</v>
      </c>
      <c r="E1234" s="1149">
        <f>C1234</f>
        <v>42415</v>
      </c>
      <c r="F1234" s="512" t="s">
        <v>960</v>
      </c>
      <c r="G1234" s="1151"/>
      <c r="H1234" s="1150" t="s">
        <v>2239</v>
      </c>
      <c r="I1234" s="1152"/>
      <c r="J1234" s="1152"/>
      <c r="K1234" s="1153"/>
      <c r="L1234" s="1152"/>
      <c r="M1234" s="1154">
        <v>500000000</v>
      </c>
      <c r="N1234" s="1155" t="s">
        <v>272</v>
      </c>
      <c r="O1234" s="1155" t="s">
        <v>63</v>
      </c>
      <c r="P1234" s="1155" t="str">
        <f>IF(AND('331-CT'!$E$7=TH!H1545,OR(N1234="331",O1234="331")),"x","")</f>
        <v/>
      </c>
      <c r="Q1234" s="1155" t="str">
        <f>IF(AND(B1234='111'!$L$11,OR($N1234=$Q$7,$O1234=$Q$7)),"x","")</f>
        <v/>
      </c>
      <c r="R1234" s="1155" t="str">
        <f>IF(AND($N1234=$Q$7,$B1234&lt;'111'!$L$11),"x","")</f>
        <v/>
      </c>
      <c r="S1234" s="1155" t="str">
        <f>IF(AND($O1234=$Q$7,$B1234&lt;'111'!$L$11),"x","")</f>
        <v>x</v>
      </c>
      <c r="T1234" s="1155" t="str">
        <f>IF(ISERROR(FIND('112'!$M$9,G1234,1)),"",IF((AND(FIND('112'!$M$9,G1234,1)&gt;=1,B1234='112'!$K$9,OR($N1234='112'!$I$6,$O1234='112'!$I$6))),"x",""))</f>
        <v/>
      </c>
      <c r="U1234" s="1155" t="str">
        <f>IF(ISERROR(FIND('112'!$M$9,G1234,1)),"",IF((AND(LEFT(G1234,2)=LEFT('112'!$M$9,2),B1234&lt;'112'!$K$9,$N1234='112'!$I$6)),"x",""))</f>
        <v/>
      </c>
      <c r="V1234" s="1155" t="str">
        <f>IF(ISERROR(FIND('112'!$M$9,G1234,1)),"",IF((AND(RIGHT(G1234,2)=RIGHT('112'!$M$9,2),B1234&lt;'112'!$K$9,$O1234='112'!$I$6)),"x",""))</f>
        <v/>
      </c>
      <c r="W1234" s="1155" t="str">
        <f>IF(AND('341-CT'!$H$9=H1234,OR(LEFT(N1234,3)=$W$7,LEFT(O1234,3)=$W$7)),"x","")</f>
        <v/>
      </c>
      <c r="X1234" s="1155" t="str">
        <f>IF(OR(TH!N1545=TH!$X$7,O1234=TH!$X$7),"x","")</f>
        <v/>
      </c>
      <c r="Y1234" s="1155" t="str">
        <f>IF(AND(OR(N1234="131",O1234="131"),H1234='131-CT'!$H$9),"x","")</f>
        <v/>
      </c>
      <c r="Z1234" s="1155"/>
      <c r="AA1234" s="1155" t="str">
        <f>IF(AND(MONTH(E1234)='IN-NX'!$J$5,'IN-NX'!$D$7=D1234),"x","")</f>
        <v/>
      </c>
      <c r="AB1234" s="1155" t="str">
        <f>IF(AND(OR(LEFT(TH!N1545,2)="15",LEFT(TH!O1545,2)="15"),LEFT(TH!O1545,3)&lt;&gt;"111",'152-CT'!$J$8=TH!F1545),"x","")</f>
        <v/>
      </c>
      <c r="AC1234" s="1155" t="str">
        <f>IF(AND(OR(LEFT(TH!N1545,2)="15",LEFT(TH!O1545,2)="15"),TK!$E$7=TH!F1545),"x","")</f>
        <v/>
      </c>
      <c r="AD1234" s="1155" t="str">
        <f>IF(AND(N1234="1521",MONTH(C1234)='BK-NL'!$M$11),"x","")</f>
        <v/>
      </c>
      <c r="AE1234" s="1156"/>
      <c r="AF1234" s="1156"/>
    </row>
    <row r="1235" spans="1:32" ht="15.75" customHeight="1">
      <c r="A1235" s="334" t="str">
        <f>IF(B1235&lt;&gt;"",IF(AND(B1235='IN-TC'!$S$4,OR(TH!N1235="1111",TH!O1235="1111")),TH!D1235,""),"")</f>
        <v/>
      </c>
      <c r="B1235" s="63">
        <f t="shared" si="180"/>
        <v>2</v>
      </c>
      <c r="C1235" s="64">
        <v>42418</v>
      </c>
      <c r="D1235" s="64" t="s">
        <v>699</v>
      </c>
      <c r="E1235" s="64">
        <v>42418</v>
      </c>
      <c r="F1235" s="512" t="s">
        <v>1047</v>
      </c>
      <c r="G1235" s="67" t="s">
        <v>915</v>
      </c>
      <c r="H1235" s="72" t="s">
        <v>595</v>
      </c>
      <c r="I1235" s="437"/>
      <c r="J1235" s="437"/>
      <c r="K1235" s="428">
        <v>1750.86</v>
      </c>
      <c r="L1235" s="437">
        <v>22370</v>
      </c>
      <c r="M1235" s="65">
        <f>ROUND(K1235*L1235,0)</f>
        <v>39166738</v>
      </c>
      <c r="N1235" s="66" t="s">
        <v>266</v>
      </c>
      <c r="O1235" s="66" t="s">
        <v>585</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2" ht="15.75" customHeight="1">
      <c r="A1236" s="334" t="str">
        <f>IF(B1236&lt;&gt;"",IF(AND(B1236='IN-TC'!$S$4,OR(TH!N1236="1111",TH!O1236="1111")),TH!D1236,""),"")</f>
        <v/>
      </c>
      <c r="B1236" s="63">
        <f t="shared" si="180"/>
        <v>2</v>
      </c>
      <c r="C1236" s="64">
        <f>E1236</f>
        <v>42418</v>
      </c>
      <c r="D1236" s="64" t="s">
        <v>579</v>
      </c>
      <c r="E1236" s="64">
        <v>42418</v>
      </c>
      <c r="F1236" s="512" t="s">
        <v>1058</v>
      </c>
      <c r="G1236" s="67" t="s">
        <v>915</v>
      </c>
      <c r="H1236" s="72" t="s">
        <v>595</v>
      </c>
      <c r="I1236" s="437"/>
      <c r="J1236" s="437"/>
      <c r="K1236" s="428">
        <v>59.4</v>
      </c>
      <c r="L1236" s="437">
        <v>22370</v>
      </c>
      <c r="M1236" s="65">
        <f>ROUND(K1236*L1236,0)</f>
        <v>1328778</v>
      </c>
      <c r="N1236" s="66" t="s">
        <v>101</v>
      </c>
      <c r="O1236" s="66" t="s">
        <v>585</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2" ht="15.75" customHeight="1">
      <c r="A1237" s="334" t="str">
        <f>IF(B1237&lt;&gt;"",IF(AND(B1237='IN-TC'!$S$4,OR(TH!N1237="1111",TH!O1237="1111")),TH!D1237,""),"")</f>
        <v/>
      </c>
      <c r="B1237" s="63">
        <f t="shared" si="180"/>
        <v>2</v>
      </c>
      <c r="C1237" s="64">
        <f>E1237</f>
        <v>42418</v>
      </c>
      <c r="D1237" s="64" t="s">
        <v>579</v>
      </c>
      <c r="E1237" s="64">
        <v>42418</v>
      </c>
      <c r="F1237" s="512" t="s">
        <v>1059</v>
      </c>
      <c r="G1237" s="67" t="s">
        <v>915</v>
      </c>
      <c r="H1237" s="72" t="s">
        <v>595</v>
      </c>
      <c r="I1237" s="437"/>
      <c r="J1237" s="437"/>
      <c r="K1237" s="428">
        <v>5.94</v>
      </c>
      <c r="L1237" s="437">
        <v>22370</v>
      </c>
      <c r="M1237" s="65">
        <f>ROUND(K1237*L1237,0)</f>
        <v>132878</v>
      </c>
      <c r="N1237" s="66" t="s">
        <v>9</v>
      </c>
      <c r="O1237" s="66" t="s">
        <v>585</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x</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2" ht="15.75" customHeight="1">
      <c r="A1238" s="334" t="str">
        <f>IF(B1238&lt;&gt;"",IF(AND(B1238='IN-TC'!$S$4,OR(TH!N1238="1111",TH!O1238="1111")),TH!D1238,""),"")</f>
        <v/>
      </c>
      <c r="B1238" s="63">
        <f t="shared" si="180"/>
        <v>2</v>
      </c>
      <c r="C1238" s="64">
        <f>E1238</f>
        <v>42418</v>
      </c>
      <c r="D1238" s="64" t="s">
        <v>579</v>
      </c>
      <c r="E1238" s="64">
        <v>42418</v>
      </c>
      <c r="F1238" s="512" t="s">
        <v>1060</v>
      </c>
      <c r="G1238" s="67" t="s">
        <v>915</v>
      </c>
      <c r="H1238" s="72" t="s">
        <v>595</v>
      </c>
      <c r="I1238" s="437"/>
      <c r="J1238" s="437"/>
      <c r="K1238" s="428">
        <v>96.8</v>
      </c>
      <c r="L1238" s="437">
        <v>22370</v>
      </c>
      <c r="M1238" s="65">
        <f>ROUND(K1238*L1238,0)</f>
        <v>2165416</v>
      </c>
      <c r="N1238" s="66" t="s">
        <v>99</v>
      </c>
      <c r="O1238" s="66" t="s">
        <v>585</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2" s="345" customFormat="1" ht="15.75" customHeight="1">
      <c r="A1239" s="334" t="str">
        <f>IF(B1239&lt;&gt;"",IF(AND(B1239='IN-TC'!$S$4,OR(TH!N1239="1111",TH!O1239="1111")),TH!D1239,""),"")</f>
        <v/>
      </c>
      <c r="B1239" s="63">
        <f t="shared" si="180"/>
        <v>2</v>
      </c>
      <c r="C1239" s="64">
        <f>E1239</f>
        <v>42418</v>
      </c>
      <c r="D1239" s="64" t="s">
        <v>579</v>
      </c>
      <c r="E1239" s="64">
        <v>42418</v>
      </c>
      <c r="F1239" s="512" t="s">
        <v>1087</v>
      </c>
      <c r="G1239" s="67" t="s">
        <v>915</v>
      </c>
      <c r="H1239" s="72" t="s">
        <v>595</v>
      </c>
      <c r="I1239" s="437"/>
      <c r="J1239" s="437"/>
      <c r="K1239" s="428">
        <v>247</v>
      </c>
      <c r="L1239" s="437">
        <v>22370</v>
      </c>
      <c r="M1239" s="65">
        <f>ROUND(K1239*L1239,0)</f>
        <v>5525390</v>
      </c>
      <c r="N1239" s="66" t="s">
        <v>101</v>
      </c>
      <c r="O1239" s="66" t="s">
        <v>585</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c r="AE1239" s="328"/>
    </row>
    <row r="1240" spans="1:32" ht="15.75" customHeight="1">
      <c r="A1240" s="334" t="str">
        <f>IF(B1240&lt;&gt;"",IF(AND(B1240='IN-TC'!$S$4,OR(TH!N1240="1111",TH!O1240="1111")),TH!D1240,""),"")</f>
        <v/>
      </c>
      <c r="B1240" s="63">
        <f t="shared" si="180"/>
        <v>2</v>
      </c>
      <c r="C1240" s="64">
        <f>E1240</f>
        <v>42418</v>
      </c>
      <c r="D1240" s="64" t="s">
        <v>579</v>
      </c>
      <c r="E1240" s="64">
        <v>42418</v>
      </c>
      <c r="F1240" s="512" t="s">
        <v>1062</v>
      </c>
      <c r="G1240" s="67"/>
      <c r="H1240" s="72" t="s">
        <v>595</v>
      </c>
      <c r="I1240" s="437"/>
      <c r="J1240" s="437"/>
      <c r="K1240" s="428"/>
      <c r="L1240" s="437"/>
      <c r="M1240" s="65">
        <v>2167200</v>
      </c>
      <c r="N1240" s="66" t="s">
        <v>99</v>
      </c>
      <c r="O1240" s="66" t="s">
        <v>585</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2" ht="15.75" customHeight="1">
      <c r="A1241" s="334" t="str">
        <f>IF(B1241&lt;&gt;"",IF(AND(B1241='IN-TC'!$S$4,OR(TH!N1241="1111",TH!O1241="1111")),TH!D1241,""),"")</f>
        <v/>
      </c>
      <c r="B1241" s="63">
        <f t="shared" si="180"/>
        <v>2</v>
      </c>
      <c r="C1241" s="64">
        <v>42418</v>
      </c>
      <c r="D1241" s="64" t="s">
        <v>702</v>
      </c>
      <c r="E1241" s="64">
        <v>42418</v>
      </c>
      <c r="F1241" s="512" t="s">
        <v>1049</v>
      </c>
      <c r="G1241" s="67" t="s">
        <v>915</v>
      </c>
      <c r="H1241" s="72" t="s">
        <v>719</v>
      </c>
      <c r="I1241" s="437"/>
      <c r="J1241" s="437"/>
      <c r="K1241" s="428">
        <v>282.44</v>
      </c>
      <c r="L1241" s="437">
        <v>22370</v>
      </c>
      <c r="M1241" s="65">
        <f t="shared" ref="M1241:M1248" si="181">ROUND(K1241*L1241,0)</f>
        <v>6318183</v>
      </c>
      <c r="N1241" s="66" t="s">
        <v>99</v>
      </c>
      <c r="O1241" s="66" t="s">
        <v>266</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c r="AE1241" s="345"/>
    </row>
    <row r="1242" spans="1:32" ht="15.75" customHeight="1">
      <c r="A1242" s="334" t="str">
        <f>IF(B1242&lt;&gt;"",IF(AND(B1242='IN-TC'!$S$4,OR(TH!N1242="1111",TH!O1242="1111")),TH!D1242,""),"")</f>
        <v/>
      </c>
      <c r="B1242" s="63">
        <f t="shared" si="180"/>
        <v>2</v>
      </c>
      <c r="C1242" s="64">
        <v>42418</v>
      </c>
      <c r="D1242" s="64" t="s">
        <v>702</v>
      </c>
      <c r="E1242" s="64">
        <v>42418</v>
      </c>
      <c r="F1242" s="512" t="s">
        <v>1050</v>
      </c>
      <c r="G1242" s="67" t="s">
        <v>915</v>
      </c>
      <c r="H1242" s="72" t="s">
        <v>720</v>
      </c>
      <c r="I1242" s="437"/>
      <c r="J1242" s="437"/>
      <c r="K1242" s="428">
        <v>137.78</v>
      </c>
      <c r="L1242" s="437">
        <v>22370</v>
      </c>
      <c r="M1242" s="65">
        <f t="shared" si="181"/>
        <v>3082139</v>
      </c>
      <c r="N1242" s="66" t="s">
        <v>99</v>
      </c>
      <c r="O1242" s="66" t="s">
        <v>266</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2" ht="15.75" customHeight="1">
      <c r="A1243" s="334" t="str">
        <f>IF(B1243&lt;&gt;"",IF(AND(B1243='IN-TC'!$S$4,OR(TH!N1243="1111",TH!O1243="1111")),TH!D1243,""),"")</f>
        <v/>
      </c>
      <c r="B1243" s="63">
        <f t="shared" si="180"/>
        <v>2</v>
      </c>
      <c r="C1243" s="64">
        <v>42418</v>
      </c>
      <c r="D1243" s="64" t="s">
        <v>702</v>
      </c>
      <c r="E1243" s="64">
        <v>42418</v>
      </c>
      <c r="F1243" s="512" t="s">
        <v>1051</v>
      </c>
      <c r="G1243" s="67" t="s">
        <v>915</v>
      </c>
      <c r="H1243" s="72" t="s">
        <v>721</v>
      </c>
      <c r="I1243" s="437"/>
      <c r="J1243" s="437"/>
      <c r="K1243" s="428">
        <v>172.22</v>
      </c>
      <c r="L1243" s="437">
        <v>22370</v>
      </c>
      <c r="M1243" s="65">
        <f t="shared" si="181"/>
        <v>3852561</v>
      </c>
      <c r="N1243" s="66" t="s">
        <v>99</v>
      </c>
      <c r="O1243" s="66" t="s">
        <v>266</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2" ht="15.75" customHeight="1">
      <c r="A1244" s="334" t="str">
        <f>IF(B1244&lt;&gt;"",IF(AND(B1244='IN-TC'!$S$4,OR(TH!N1244="1111",TH!O1244="1111")),TH!D1244,""),"")</f>
        <v/>
      </c>
      <c r="B1244" s="63">
        <f t="shared" si="180"/>
        <v>2</v>
      </c>
      <c r="C1244" s="64">
        <v>42418</v>
      </c>
      <c r="D1244" s="64" t="s">
        <v>702</v>
      </c>
      <c r="E1244" s="64">
        <v>42418</v>
      </c>
      <c r="F1244" s="512" t="s">
        <v>1052</v>
      </c>
      <c r="G1244" s="67" t="s">
        <v>915</v>
      </c>
      <c r="H1244" s="72" t="s">
        <v>722</v>
      </c>
      <c r="I1244" s="437"/>
      <c r="J1244" s="437"/>
      <c r="K1244" s="428">
        <v>308.27999999999997</v>
      </c>
      <c r="L1244" s="437">
        <v>22370</v>
      </c>
      <c r="M1244" s="65">
        <f t="shared" si="181"/>
        <v>6896224</v>
      </c>
      <c r="N1244" s="66" t="s">
        <v>99</v>
      </c>
      <c r="O1244" s="66" t="s">
        <v>266</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2" ht="15.75" customHeight="1">
      <c r="A1245" s="334" t="str">
        <f>IF(B1245&lt;&gt;"",IF(AND(B1245='IN-TC'!$S$4,OR(TH!N1245="1111",TH!O1245="1111")),TH!D1245,""),"")</f>
        <v/>
      </c>
      <c r="B1245" s="63">
        <f t="shared" si="180"/>
        <v>2</v>
      </c>
      <c r="C1245" s="64">
        <v>42418</v>
      </c>
      <c r="D1245" s="64" t="s">
        <v>702</v>
      </c>
      <c r="E1245" s="64">
        <v>42418</v>
      </c>
      <c r="F1245" s="512" t="s">
        <v>1053</v>
      </c>
      <c r="G1245" s="67" t="s">
        <v>915</v>
      </c>
      <c r="H1245" s="72" t="s">
        <v>723</v>
      </c>
      <c r="I1245" s="437"/>
      <c r="J1245" s="437"/>
      <c r="K1245" s="428">
        <v>306.56</v>
      </c>
      <c r="L1245" s="437">
        <v>22370</v>
      </c>
      <c r="M1245" s="65">
        <f t="shared" si="181"/>
        <v>6857747</v>
      </c>
      <c r="N1245" s="66" t="s">
        <v>99</v>
      </c>
      <c r="O1245" s="66" t="s">
        <v>266</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2" ht="15.75" customHeight="1">
      <c r="A1246" s="334" t="str">
        <f>IF(B1246&lt;&gt;"",IF(AND(B1246='IN-TC'!$S$4,OR(TH!N1246="1111",TH!O1246="1111")),TH!D1246,""),"")</f>
        <v/>
      </c>
      <c r="B1246" s="63">
        <f t="shared" si="180"/>
        <v>2</v>
      </c>
      <c r="C1246" s="64">
        <v>42418</v>
      </c>
      <c r="D1246" s="64" t="s">
        <v>702</v>
      </c>
      <c r="E1246" s="64">
        <v>42418</v>
      </c>
      <c r="F1246" s="512" t="s">
        <v>1054</v>
      </c>
      <c r="G1246" s="67" t="s">
        <v>915</v>
      </c>
      <c r="H1246" s="72" t="s">
        <v>730</v>
      </c>
      <c r="I1246" s="437"/>
      <c r="J1246" s="437"/>
      <c r="K1246" s="428">
        <v>210.11</v>
      </c>
      <c r="L1246" s="437">
        <v>22370</v>
      </c>
      <c r="M1246" s="65">
        <f t="shared" si="181"/>
        <v>4700161</v>
      </c>
      <c r="N1246" s="66" t="s">
        <v>99</v>
      </c>
      <c r="O1246" s="66" t="s">
        <v>266</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2" ht="15.75" customHeight="1">
      <c r="A1247" s="334" t="str">
        <f>IF(B1247&lt;&gt;"",IF(AND(B1247='IN-TC'!$S$4,OR(TH!N1247="1111",TH!O1247="1111")),TH!D1247,""),"")</f>
        <v/>
      </c>
      <c r="B1247" s="63">
        <f t="shared" si="180"/>
        <v>2</v>
      </c>
      <c r="C1247" s="64">
        <v>42418</v>
      </c>
      <c r="D1247" s="64" t="s">
        <v>702</v>
      </c>
      <c r="E1247" s="64">
        <v>42418</v>
      </c>
      <c r="F1247" s="512" t="s">
        <v>1055</v>
      </c>
      <c r="G1247" s="67" t="s">
        <v>915</v>
      </c>
      <c r="H1247" s="72" t="s">
        <v>725</v>
      </c>
      <c r="I1247" s="437"/>
      <c r="J1247" s="437"/>
      <c r="K1247" s="428">
        <v>567.11</v>
      </c>
      <c r="L1247" s="437">
        <v>22370</v>
      </c>
      <c r="M1247" s="65">
        <f t="shared" si="181"/>
        <v>12686251</v>
      </c>
      <c r="N1247" s="66" t="s">
        <v>99</v>
      </c>
      <c r="O1247" s="66" t="s">
        <v>266</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2" ht="15.75" customHeight="1">
      <c r="A1248" s="334" t="str">
        <f>IF(B1248&lt;&gt;"",IF(AND(B1248='IN-TC'!$S$4,OR(TH!N1248="1111",TH!O1248="1111")),TH!D1248,""),"")</f>
        <v/>
      </c>
      <c r="B1248" s="63">
        <f t="shared" si="180"/>
        <v>2</v>
      </c>
      <c r="C1248" s="64">
        <v>42418</v>
      </c>
      <c r="D1248" s="64" t="s">
        <v>702</v>
      </c>
      <c r="E1248" s="64">
        <v>42418</v>
      </c>
      <c r="F1248" s="512" t="s">
        <v>751</v>
      </c>
      <c r="G1248" s="67" t="s">
        <v>915</v>
      </c>
      <c r="H1248" s="72" t="s">
        <v>724</v>
      </c>
      <c r="I1248" s="437"/>
      <c r="J1248" s="437"/>
      <c r="K1248" s="428">
        <v>306.56</v>
      </c>
      <c r="L1248" s="437">
        <v>22370</v>
      </c>
      <c r="M1248" s="65">
        <f t="shared" si="181"/>
        <v>6857747</v>
      </c>
      <c r="N1248" s="66" t="s">
        <v>99</v>
      </c>
      <c r="O1248" s="66" t="s">
        <v>266</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2" s="346" customFormat="1" ht="15.75" customHeight="1">
      <c r="A1249" s="334" t="str">
        <f>IF(B1249&lt;&gt;"",IF(AND(B1249='IN-TC'!$S$4,OR(TH!N1231="1111",TH!O1231="1111")),TH!D1231,""),"")</f>
        <v>C08</v>
      </c>
      <c r="B1249" s="63">
        <f t="shared" si="180"/>
        <v>2</v>
      </c>
      <c r="C1249" s="64">
        <v>42418</v>
      </c>
      <c r="D1249" s="64" t="s">
        <v>875</v>
      </c>
      <c r="E1249" s="64">
        <v>42418</v>
      </c>
      <c r="F1249" s="512" t="s">
        <v>1000</v>
      </c>
      <c r="G1249" s="67" t="s">
        <v>1021</v>
      </c>
      <c r="H1249" s="72" t="s">
        <v>805</v>
      </c>
      <c r="I1249" s="437"/>
      <c r="J1249" s="437"/>
      <c r="K1249" s="428"/>
      <c r="L1249" s="437"/>
      <c r="M1249" s="65">
        <v>602391</v>
      </c>
      <c r="N1249" s="66" t="s">
        <v>101</v>
      </c>
      <c r="O1249" s="66" t="s">
        <v>63</v>
      </c>
      <c r="P1249" s="82" t="str">
        <f>IF(AND('331-CT'!$E$7=TH!H1231,OR(N1249="331",O1249="331")),"x","")</f>
        <v/>
      </c>
      <c r="Q1249" s="82" t="str">
        <f>IF(AND(B1249='111'!$L$11,OR($N1249=$Q$7,$O1249=$Q$7)),"x","")</f>
        <v/>
      </c>
      <c r="R1249" s="82" t="str">
        <f>IF(AND($N1249=$Q$7,$B1249&lt;'111'!$L$11),"x","")</f>
        <v/>
      </c>
      <c r="S1249" s="82" t="str">
        <f>IF(AND($O1249=$Q$7,$B1249&lt;'111'!$L$11),"x","")</f>
        <v>x</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IF(OR(TH!N1231=TH!$X$7,O1249=TH!$X$7),"x","")</f>
        <v/>
      </c>
      <c r="Y1249" s="82" t="str">
        <f>IF(AND(OR(N1249="131",O1249="131"),H1249='131-CT'!$H$9),"x","")</f>
        <v/>
      </c>
      <c r="Z1249" s="82"/>
      <c r="AA1249" s="82" t="str">
        <f>IF(AND(MONTH(E1249)='IN-NX'!$J$5,'IN-NX'!$D$7=D1249),"x","")</f>
        <v/>
      </c>
      <c r="AB1249" s="82" t="str">
        <f>IF(AND(OR(LEFT(TH!N1231,2)="15",LEFT(TH!O1231,2)="15"),LEFT(TH!O1231,3)&lt;&gt;"111",'152-CT'!$J$8=TH!F1231),"x","")</f>
        <v/>
      </c>
      <c r="AC1249" s="82" t="str">
        <f>IF(AND(OR(LEFT(TH!N1231,2)="15",LEFT(TH!O1231,2)="15"),TK!$E$7=TH!F1231),"x","")</f>
        <v/>
      </c>
      <c r="AD1249" s="82" t="str">
        <f>IF(AND(N1249="1521",MONTH(C1249)='BK-NL'!$M$11),"x","")</f>
        <v/>
      </c>
      <c r="AE1249" s="328"/>
    </row>
    <row r="1250" spans="1:32" s="346" customFormat="1" ht="15.75" customHeight="1">
      <c r="A1250" s="334" t="str">
        <f>IF(B1250&lt;&gt;"",IF(AND(B1250='IN-TC'!$S$4,OR(TH!N1232="1111",TH!O1232="1111")),TH!D1232,""),"")</f>
        <v>C08</v>
      </c>
      <c r="B1250" s="63">
        <f t="shared" si="180"/>
        <v>2</v>
      </c>
      <c r="C1250" s="64">
        <v>42418</v>
      </c>
      <c r="D1250" s="64" t="s">
        <v>875</v>
      </c>
      <c r="E1250" s="64">
        <v>42418</v>
      </c>
      <c r="F1250" s="512" t="s">
        <v>1001</v>
      </c>
      <c r="G1250" s="67" t="s">
        <v>1021</v>
      </c>
      <c r="H1250" s="72" t="s">
        <v>805</v>
      </c>
      <c r="I1250" s="437"/>
      <c r="J1250" s="437"/>
      <c r="K1250" s="428"/>
      <c r="L1250" s="437"/>
      <c r="M1250" s="65">
        <v>60239</v>
      </c>
      <c r="N1250" s="66" t="s">
        <v>9</v>
      </c>
      <c r="O1250" s="66" t="s">
        <v>63</v>
      </c>
      <c r="P1250" s="82" t="str">
        <f>IF(AND('331-CT'!$E$7=TH!H1232,OR(N1250="331",O1250="331")),"x","")</f>
        <v/>
      </c>
      <c r="Q1250" s="82" t="str">
        <f>IF(AND(B1250='111'!$L$11,OR($N1250=$Q$7,$O1250=$Q$7)),"x","")</f>
        <v/>
      </c>
      <c r="R1250" s="82" t="str">
        <f>IF(AND($N1250=$Q$7,$B1250&lt;'111'!$L$11),"x","")</f>
        <v/>
      </c>
      <c r="S1250" s="82" t="str">
        <f>IF(AND($O1250=$Q$7,$B1250&lt;'111'!$L$11),"x","")</f>
        <v>x</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IF(OR(TH!N1232=TH!$X$7,O1250=TH!$X$7),"x","")</f>
        <v>x</v>
      </c>
      <c r="Y1250" s="82" t="str">
        <f>IF(AND(OR(N1250="131",O1250="131"),H1250='131-CT'!$H$9),"x","")</f>
        <v/>
      </c>
      <c r="Z1250" s="82"/>
      <c r="AA1250" s="82" t="str">
        <f>IF(AND(MONTH(E1250)='IN-NX'!$J$5,'IN-NX'!$D$7=D1250),"x","")</f>
        <v/>
      </c>
      <c r="AB1250" s="82" t="str">
        <f>IF(AND(OR(LEFT(TH!N1232,2)="15",LEFT(TH!O1232,2)="15"),LEFT(TH!O1232,3)&lt;&gt;"111",'152-CT'!$J$8=TH!F1232),"x","")</f>
        <v/>
      </c>
      <c r="AC1250" s="82" t="str">
        <f>IF(AND(OR(LEFT(TH!N1232,2)="15",LEFT(TH!O1232,2)="15"),TK!$E$7=TH!F1232),"x","")</f>
        <v/>
      </c>
      <c r="AD1250" s="82" t="str">
        <f>IF(AND(N1250="1521",MONTH(C1250)='BK-NL'!$M$11),"x","")</f>
        <v/>
      </c>
      <c r="AE1250" s="328"/>
      <c r="AF1250" s="328"/>
    </row>
    <row r="1251" spans="1:32" s="347" customFormat="1" ht="15.75" customHeight="1">
      <c r="A1251" s="334" t="str">
        <f>IF(B1251&lt;&gt;"",IF(AND(B1251='IN-TC'!$S$4,OR(TH!N1251="1111",TH!O1251="1111")),TH!D1251,""),"")</f>
        <v/>
      </c>
      <c r="B1251" s="63">
        <f t="shared" si="180"/>
        <v>2</v>
      </c>
      <c r="C1251" s="64">
        <v>42419</v>
      </c>
      <c r="D1251" s="64" t="s">
        <v>699</v>
      </c>
      <c r="E1251" s="64">
        <v>42419</v>
      </c>
      <c r="F1251" s="512" t="s">
        <v>1040</v>
      </c>
      <c r="G1251" s="67" t="s">
        <v>916</v>
      </c>
      <c r="H1251" s="72"/>
      <c r="I1251" s="437"/>
      <c r="J1251" s="437"/>
      <c r="K1251" s="428"/>
      <c r="L1251" s="437"/>
      <c r="M1251" s="65">
        <v>5000000</v>
      </c>
      <c r="N1251" s="66" t="s">
        <v>26</v>
      </c>
      <c r="O1251" s="66" t="s">
        <v>26</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c r="AE1251" s="346"/>
    </row>
    <row r="1252" spans="1:32" ht="15.75" customHeight="1">
      <c r="A1252" s="334" t="str">
        <f>IF(B1252&lt;&gt;"",IF(AND(B1252='IN-TC'!$S$4,OR(TH!N1252="1111",TH!O1252="1111")),TH!D1252,""),"")</f>
        <v/>
      </c>
      <c r="B1252" s="63">
        <f t="shared" si="180"/>
        <v>2</v>
      </c>
      <c r="C1252" s="64">
        <v>42419</v>
      </c>
      <c r="D1252" s="64" t="s">
        <v>699</v>
      </c>
      <c r="E1252" s="64">
        <v>42419</v>
      </c>
      <c r="F1252" s="512" t="s">
        <v>1097</v>
      </c>
      <c r="G1252" s="67" t="s">
        <v>915</v>
      </c>
      <c r="H1252" s="67" t="s">
        <v>629</v>
      </c>
      <c r="I1252" s="439"/>
      <c r="J1252" s="439"/>
      <c r="K1252" s="430"/>
      <c r="L1252" s="439"/>
      <c r="M1252" s="65">
        <v>32260140</v>
      </c>
      <c r="N1252" s="66" t="s">
        <v>8</v>
      </c>
      <c r="O1252" s="66" t="s">
        <v>26</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c r="AE1252" s="1136" t="str">
        <f>IF(H1252&lt;&gt;VLOOKUP(H1252,DSKH,1,0),"","x")</f>
        <v>x</v>
      </c>
    </row>
    <row r="1253" spans="1:32" ht="15.75" customHeight="1">
      <c r="A1253" s="334" t="str">
        <f>IF(B1253&lt;&gt;"",IF(AND(B1253='IN-TC'!$S$4,OR(TH!N1253="1111",TH!O1253="1111")),TH!D1253,""),"")</f>
        <v/>
      </c>
      <c r="B1253" s="63">
        <f t="shared" si="180"/>
        <v>2</v>
      </c>
      <c r="C1253" s="64">
        <v>42420</v>
      </c>
      <c r="D1253" s="64" t="s">
        <v>699</v>
      </c>
      <c r="E1253" s="64">
        <v>42420</v>
      </c>
      <c r="F1253" s="512" t="s">
        <v>1048</v>
      </c>
      <c r="G1253" s="67" t="s">
        <v>914</v>
      </c>
      <c r="H1253" s="342" t="s">
        <v>596</v>
      </c>
      <c r="I1253" s="437"/>
      <c r="J1253" s="437"/>
      <c r="K1253" s="428">
        <v>4819.12</v>
      </c>
      <c r="L1253" s="437">
        <v>22345</v>
      </c>
      <c r="M1253" s="65">
        <f>ROUND(K1253*L1253,0)</f>
        <v>107683236</v>
      </c>
      <c r="N1253" s="66" t="s">
        <v>266</v>
      </c>
      <c r="O1253" s="66" t="s">
        <v>585</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c r="AE1253" s="347"/>
    </row>
    <row r="1254" spans="1:32" ht="15.75" customHeight="1">
      <c r="A1254" s="334" t="str">
        <f>IF(B1254&lt;&gt;"",IF(AND(B1254='IN-TC'!$S$4,OR(TH!N1254="1111",TH!O1254="1111")),TH!D1254,""),"")</f>
        <v/>
      </c>
      <c r="B1254" s="63">
        <f t="shared" si="180"/>
        <v>2</v>
      </c>
      <c r="C1254" s="64">
        <f>E1254</f>
        <v>42420</v>
      </c>
      <c r="D1254" s="316" t="s">
        <v>579</v>
      </c>
      <c r="E1254" s="316">
        <v>42420</v>
      </c>
      <c r="F1254" s="512" t="s">
        <v>1065</v>
      </c>
      <c r="G1254" s="67" t="s">
        <v>914</v>
      </c>
      <c r="H1254" s="318" t="s">
        <v>596</v>
      </c>
      <c r="I1254" s="437"/>
      <c r="J1254" s="437"/>
      <c r="K1254" s="428">
        <v>154.44</v>
      </c>
      <c r="L1254" s="437">
        <v>22345</v>
      </c>
      <c r="M1254" s="65">
        <f>ROUND(K1254*L1254,0)</f>
        <v>3450962</v>
      </c>
      <c r="N1254" s="319" t="s">
        <v>101</v>
      </c>
      <c r="O1254" s="66" t="s">
        <v>585</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2" ht="15.75" customHeight="1">
      <c r="A1255" s="334" t="str">
        <f>IF(B1255&lt;&gt;"",IF(AND(B1255='IN-TC'!$S$4,OR(TH!N1255="1111",TH!O1255="1111")),TH!D1255,""),"")</f>
        <v/>
      </c>
      <c r="B1255" s="63">
        <f t="shared" si="180"/>
        <v>2</v>
      </c>
      <c r="C1255" s="64">
        <f>E1255</f>
        <v>42420</v>
      </c>
      <c r="D1255" s="316" t="s">
        <v>579</v>
      </c>
      <c r="E1255" s="316">
        <v>42420</v>
      </c>
      <c r="F1255" s="512" t="s">
        <v>1066</v>
      </c>
      <c r="G1255" s="67" t="s">
        <v>914</v>
      </c>
      <c r="H1255" s="318" t="s">
        <v>596</v>
      </c>
      <c r="I1255" s="437"/>
      <c r="J1255" s="437"/>
      <c r="K1255" s="428">
        <v>15.44</v>
      </c>
      <c r="L1255" s="437">
        <v>22345</v>
      </c>
      <c r="M1255" s="65">
        <f>ROUND(K1255*L1255,0)</f>
        <v>345007</v>
      </c>
      <c r="N1255" s="319" t="s">
        <v>9</v>
      </c>
      <c r="O1255" s="66" t="s">
        <v>585</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x</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2" ht="15.75" customHeight="1">
      <c r="A1256" s="334" t="str">
        <f>IF(B1256&lt;&gt;"",IF(AND(B1256='IN-TC'!$S$4,OR(TH!N1256="1111",TH!O1256="1111")),TH!D1256,""),"")</f>
        <v/>
      </c>
      <c r="B1256" s="63">
        <f t="shared" si="180"/>
        <v>2</v>
      </c>
      <c r="C1256" s="64">
        <f>E1256</f>
        <v>42420</v>
      </c>
      <c r="D1256" s="316" t="s">
        <v>579</v>
      </c>
      <c r="E1256" s="316">
        <v>42420</v>
      </c>
      <c r="F1256" s="512" t="s">
        <v>1068</v>
      </c>
      <c r="G1256" s="67" t="s">
        <v>914</v>
      </c>
      <c r="H1256" s="342" t="s">
        <v>596</v>
      </c>
      <c r="I1256" s="437"/>
      <c r="J1256" s="437"/>
      <c r="K1256" s="428">
        <v>171</v>
      </c>
      <c r="L1256" s="437">
        <v>22345</v>
      </c>
      <c r="M1256" s="65">
        <f>ROUND(K1256*L1256,0)</f>
        <v>3820995</v>
      </c>
      <c r="N1256" s="66" t="s">
        <v>101</v>
      </c>
      <c r="O1256" s="66" t="s">
        <v>585</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2" ht="15.75" customHeight="1">
      <c r="A1257" s="334" t="str">
        <f>IF(B1257&lt;&gt;"",IF(AND(B1257='IN-TC'!$S$4,OR(TH!N1257="1111",TH!O1257="1111")),TH!D1257,""),"")</f>
        <v/>
      </c>
      <c r="B1257" s="63">
        <f t="shared" si="180"/>
        <v>2</v>
      </c>
      <c r="C1257" s="64">
        <f>E1257</f>
        <v>42420</v>
      </c>
      <c r="D1257" s="316" t="s">
        <v>579</v>
      </c>
      <c r="E1257" s="316">
        <v>42420</v>
      </c>
      <c r="F1257" s="512" t="s">
        <v>1062</v>
      </c>
      <c r="G1257" s="67"/>
      <c r="H1257" s="342" t="s">
        <v>596</v>
      </c>
      <c r="I1257" s="437"/>
      <c r="J1257" s="437"/>
      <c r="K1257" s="428"/>
      <c r="L1257" s="437"/>
      <c r="M1257" s="65">
        <v>4093800</v>
      </c>
      <c r="N1257" s="66" t="s">
        <v>585</v>
      </c>
      <c r="O1257" s="66" t="s">
        <v>43</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2" s="348" customFormat="1" ht="15.75" customHeight="1">
      <c r="A1258" s="334" t="str">
        <f>IF(B1258&lt;&gt;"",IF(AND(B1258='IN-TC'!$S$4,OR(TH!N1258="1111",TH!O1258="1111")),TH!D1258,""),"")</f>
        <v/>
      </c>
      <c r="B1258" s="63">
        <f t="shared" si="180"/>
        <v>2</v>
      </c>
      <c r="C1258" s="64">
        <v>42420</v>
      </c>
      <c r="D1258" s="64" t="s">
        <v>702</v>
      </c>
      <c r="E1258" s="64">
        <v>42420</v>
      </c>
      <c r="F1258" s="72" t="s">
        <v>1060</v>
      </c>
      <c r="G1258" s="67" t="s">
        <v>914</v>
      </c>
      <c r="H1258" s="72"/>
      <c r="I1258" s="437"/>
      <c r="J1258" s="437"/>
      <c r="K1258" s="428">
        <v>161.63999999999999</v>
      </c>
      <c r="L1258" s="437">
        <v>22345</v>
      </c>
      <c r="M1258" s="65">
        <f>ROUND(K1258*L1258,0)</f>
        <v>3611846</v>
      </c>
      <c r="N1258" s="66" t="s">
        <v>99</v>
      </c>
      <c r="O1258" s="66" t="s">
        <v>266</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328"/>
    </row>
    <row r="1259" spans="1:32" s="348" customFormat="1" ht="15.75" customHeight="1">
      <c r="A1259" s="334" t="str">
        <f>IF(B1259&lt;&gt;"",IF(AND(B1259='IN-TC'!$S$4,OR(TH!N1233="1111",TH!O1233="1111")),TH!D1233,""),"")</f>
        <v>C09</v>
      </c>
      <c r="B1259" s="63">
        <f t="shared" si="180"/>
        <v>2</v>
      </c>
      <c r="C1259" s="64">
        <v>42418</v>
      </c>
      <c r="D1259" s="64" t="s">
        <v>876</v>
      </c>
      <c r="E1259" s="64">
        <v>42418</v>
      </c>
      <c r="F1259" s="512" t="s">
        <v>998</v>
      </c>
      <c r="G1259" s="67" t="s">
        <v>1022</v>
      </c>
      <c r="H1259" s="72" t="s">
        <v>811</v>
      </c>
      <c r="I1259" s="437"/>
      <c r="J1259" s="437"/>
      <c r="K1259" s="428"/>
      <c r="L1259" s="437"/>
      <c r="M1259" s="65">
        <v>106982</v>
      </c>
      <c r="N1259" s="66" t="s">
        <v>101</v>
      </c>
      <c r="O1259" s="66" t="s">
        <v>63</v>
      </c>
      <c r="P1259" s="82" t="str">
        <f>IF(AND('331-CT'!$E$7=TH!H1233,OR(N1259="331",O1259="331")),"x","")</f>
        <v/>
      </c>
      <c r="Q1259" s="82" t="str">
        <f>IF(AND(B1259='111'!$L$11,OR($N1259=$Q$7,$O1259=$Q$7)),"x","")</f>
        <v/>
      </c>
      <c r="R1259" s="82" t="str">
        <f>IF(AND($N1259=$Q$7,$B1259&lt;'111'!$L$11),"x","")</f>
        <v/>
      </c>
      <c r="S1259" s="82" t="str">
        <f>IF(AND($O1259=$Q$7,$B1259&lt;'111'!$L$11),"x","")</f>
        <v>x</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IF(OR(TH!N1233=TH!$X$7,O1259=TH!$X$7),"x","")</f>
        <v/>
      </c>
      <c r="Y1259" s="82" t="str">
        <f>IF(AND(OR(N1259="131",O1259="131"),H1259='131-CT'!$H$9),"x","")</f>
        <v/>
      </c>
      <c r="Z1259" s="82"/>
      <c r="AA1259" s="82" t="str">
        <f>IF(AND(MONTH(E1259)='IN-NX'!$J$5,'IN-NX'!$D$7=D1259),"x","")</f>
        <v/>
      </c>
      <c r="AB1259" s="82" t="str">
        <f>IF(AND(OR(LEFT(TH!N1233,2)="15",LEFT(TH!O1233,2)="15"),LEFT(TH!O1233,3)&lt;&gt;"111",'152-CT'!$J$8=TH!F1233),"x","")</f>
        <v/>
      </c>
      <c r="AC1259" s="82" t="str">
        <f>IF(AND(OR(LEFT(TH!N1233,2)="15",LEFT(TH!O1233,2)="15"),TK!$E$7=TH!F1233),"x","")</f>
        <v/>
      </c>
      <c r="AD1259" s="82" t="str">
        <f>IF(AND(N1259="1521",MONTH(C1259)='BK-NL'!$M$11),"x","")</f>
        <v/>
      </c>
      <c r="AE1259" s="346"/>
      <c r="AF1259" s="328"/>
    </row>
    <row r="1260" spans="1:32" ht="15.75" customHeight="1">
      <c r="A1260" s="334" t="str">
        <f>IF(B1260&lt;&gt;"",IF(AND(B1260='IN-TC'!$S$4,OR(TH!N1234="1111",TH!O1234="1111")),TH!D1234,""),"")</f>
        <v>C10</v>
      </c>
      <c r="B1260" s="63">
        <f t="shared" si="180"/>
        <v>2</v>
      </c>
      <c r="C1260" s="64">
        <v>42418</v>
      </c>
      <c r="D1260" s="64" t="s">
        <v>876</v>
      </c>
      <c r="E1260" s="64">
        <v>42418</v>
      </c>
      <c r="F1260" s="512" t="s">
        <v>999</v>
      </c>
      <c r="G1260" s="67" t="s">
        <v>1022</v>
      </c>
      <c r="H1260" s="72" t="s">
        <v>811</v>
      </c>
      <c r="I1260" s="437"/>
      <c r="J1260" s="437"/>
      <c r="K1260" s="428"/>
      <c r="L1260" s="437"/>
      <c r="M1260" s="65">
        <v>10698</v>
      </c>
      <c r="N1260" s="66" t="s">
        <v>9</v>
      </c>
      <c r="O1260" s="66" t="s">
        <v>63</v>
      </c>
      <c r="P1260" s="82" t="str">
        <f>IF(AND('331-CT'!$E$7=TH!H1234,OR(N1260="331",O1260="331")),"x","")</f>
        <v/>
      </c>
      <c r="Q1260" s="82" t="str">
        <f>IF(AND(B1260='111'!$L$11,OR($N1260=$Q$7,$O1260=$Q$7)),"x","")</f>
        <v/>
      </c>
      <c r="R1260" s="82" t="str">
        <f>IF(AND($N1260=$Q$7,$B1260&lt;'111'!$L$11),"x","")</f>
        <v/>
      </c>
      <c r="S1260" s="82" t="str">
        <f>IF(AND($O1260=$Q$7,$B1260&lt;'111'!$L$11),"x","")</f>
        <v>x</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IF(OR(TH!N1234=TH!$X$7,O1260=TH!$X$7),"x","")</f>
        <v/>
      </c>
      <c r="Y1260" s="82" t="str">
        <f>IF(AND(OR(N1260="131",O1260="131"),H1260='131-CT'!$H$9),"x","")</f>
        <v/>
      </c>
      <c r="Z1260" s="82"/>
      <c r="AA1260" s="82" t="str">
        <f>IF(AND(MONTH(E1260)='IN-NX'!$J$5,'IN-NX'!$D$7=D1260),"x","")</f>
        <v/>
      </c>
      <c r="AB1260" s="82" t="str">
        <f>IF(AND(OR(LEFT(TH!N1234,2)="15",LEFT(TH!O1234,2)="15"),LEFT(TH!O1234,3)&lt;&gt;"111",'152-CT'!$J$8=TH!F1234),"x","")</f>
        <v/>
      </c>
      <c r="AC1260" s="82" t="str">
        <f>IF(AND(OR(LEFT(TH!N1234,2)="15",LEFT(TH!O1234,2)="15"),TK!$E$7=TH!F1234),"x","")</f>
        <v/>
      </c>
      <c r="AD1260" s="82" t="str">
        <f>IF(AND(N1260="1521",MONTH(C1260)='BK-NL'!$M$11),"x","")</f>
        <v/>
      </c>
    </row>
    <row r="1261" spans="1:32" ht="15.75" customHeight="1">
      <c r="A1261" s="334" t="str">
        <f>IF(B1261&lt;&gt;"",IF(AND(B1261='IN-TC'!$S$4,OR(TH!N1261="1111",TH!O1261="1111")),TH!D1261,""),"")</f>
        <v/>
      </c>
      <c r="B1261" s="63">
        <f t="shared" si="180"/>
        <v>2</v>
      </c>
      <c r="C1261" s="64">
        <v>42422</v>
      </c>
      <c r="D1261" s="64" t="s">
        <v>699</v>
      </c>
      <c r="E1261" s="64">
        <v>42422</v>
      </c>
      <c r="F1261" s="512" t="s">
        <v>700</v>
      </c>
      <c r="G1261" s="67" t="s">
        <v>916</v>
      </c>
      <c r="H1261" s="72"/>
      <c r="I1261" s="437"/>
      <c r="J1261" s="437"/>
      <c r="K1261" s="428">
        <v>3600</v>
      </c>
      <c r="L1261" s="437">
        <v>22340</v>
      </c>
      <c r="M1261" s="65">
        <f t="shared" ref="M1261:M1266" si="182">ROUND(K1261*L1261,0)</f>
        <v>80424000</v>
      </c>
      <c r="N1261" s="66" t="s">
        <v>266</v>
      </c>
      <c r="O1261" s="66" t="s">
        <v>266</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c r="AE1261" s="348"/>
    </row>
    <row r="1262" spans="1:32" ht="15.75" customHeight="1">
      <c r="A1262" s="334" t="str">
        <f>IF(B1262&lt;&gt;"",IF(AND(B1262='IN-TC'!$S$4,OR(TH!N1262="1111",TH!O1262="1111")),TH!D1262,""),"")</f>
        <v/>
      </c>
      <c r="B1262" s="63">
        <f t="shared" si="180"/>
        <v>2</v>
      </c>
      <c r="C1262" s="64">
        <v>42422</v>
      </c>
      <c r="D1262" s="64" t="s">
        <v>702</v>
      </c>
      <c r="E1262" s="64">
        <v>42422</v>
      </c>
      <c r="F1262" s="72" t="s">
        <v>1438</v>
      </c>
      <c r="G1262" s="67" t="s">
        <v>915</v>
      </c>
      <c r="H1262" s="72"/>
      <c r="I1262" s="437"/>
      <c r="J1262" s="437"/>
      <c r="K1262" s="428">
        <v>10800</v>
      </c>
      <c r="L1262" s="437">
        <v>22375</v>
      </c>
      <c r="M1262" s="65">
        <f t="shared" si="182"/>
        <v>241650000</v>
      </c>
      <c r="N1262" s="66" t="s">
        <v>26</v>
      </c>
      <c r="O1262" s="66" t="s">
        <v>266</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2" ht="15.75" customHeight="1">
      <c r="A1263" s="334" t="str">
        <f>IF(B1263&lt;&gt;"",IF(AND(B1263='IN-TC'!$S$4,OR(TH!N1263="1111",TH!O1263="1111")),TH!D1263,""),"")</f>
        <v/>
      </c>
      <c r="B1263" s="63">
        <f t="shared" si="180"/>
        <v>2</v>
      </c>
      <c r="C1263" s="64">
        <v>42422</v>
      </c>
      <c r="D1263" s="64" t="s">
        <v>702</v>
      </c>
      <c r="E1263" s="64">
        <v>42422</v>
      </c>
      <c r="F1263" s="512" t="s">
        <v>754</v>
      </c>
      <c r="G1263" s="67" t="s">
        <v>914</v>
      </c>
      <c r="H1263" s="72" t="s">
        <v>726</v>
      </c>
      <c r="I1263" s="437"/>
      <c r="J1263" s="437"/>
      <c r="K1263" s="428">
        <v>244.49</v>
      </c>
      <c r="L1263" s="437">
        <v>22340</v>
      </c>
      <c r="M1263" s="65">
        <f t="shared" si="182"/>
        <v>5461907</v>
      </c>
      <c r="N1263" s="66" t="s">
        <v>99</v>
      </c>
      <c r="O1263" s="66" t="s">
        <v>266</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2" ht="15.75" customHeight="1">
      <c r="A1264" s="334" t="str">
        <f>IF(B1264&lt;&gt;"",IF(AND(B1264='IN-TC'!$S$4,OR(TH!N1264="1111",TH!O1264="1111")),TH!D1264,""),"")</f>
        <v/>
      </c>
      <c r="B1264" s="63">
        <f t="shared" si="180"/>
        <v>2</v>
      </c>
      <c r="C1264" s="64">
        <v>42422</v>
      </c>
      <c r="D1264" s="64" t="s">
        <v>702</v>
      </c>
      <c r="E1264" s="64">
        <v>42422</v>
      </c>
      <c r="F1264" s="512" t="s">
        <v>755</v>
      </c>
      <c r="G1264" s="67" t="s">
        <v>914</v>
      </c>
      <c r="H1264" s="72" t="s">
        <v>727</v>
      </c>
      <c r="I1264" s="437"/>
      <c r="J1264" s="437"/>
      <c r="K1264" s="428">
        <v>213.81</v>
      </c>
      <c r="L1264" s="437">
        <v>22340</v>
      </c>
      <c r="M1264" s="65">
        <f t="shared" si="182"/>
        <v>4776515</v>
      </c>
      <c r="N1264" s="66" t="s">
        <v>99</v>
      </c>
      <c r="O1264" s="66" t="s">
        <v>266</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2" ht="15.75" customHeight="1">
      <c r="A1265" s="334" t="str">
        <f>IF(B1265&lt;&gt;"",IF(AND(B1265='IN-TC'!$S$4,OR(TH!N1265="1111",TH!O1265="1111")),TH!D1265,""),"")</f>
        <v/>
      </c>
      <c r="B1265" s="63">
        <f t="shared" si="180"/>
        <v>2</v>
      </c>
      <c r="C1265" s="64">
        <v>42422</v>
      </c>
      <c r="D1265" s="64" t="s">
        <v>702</v>
      </c>
      <c r="E1265" s="64">
        <v>42422</v>
      </c>
      <c r="F1265" s="512" t="s">
        <v>756</v>
      </c>
      <c r="G1265" s="67" t="s">
        <v>914</v>
      </c>
      <c r="H1265" s="72" t="s">
        <v>728</v>
      </c>
      <c r="I1265" s="437"/>
      <c r="J1265" s="437"/>
      <c r="K1265" s="428">
        <v>113.8</v>
      </c>
      <c r="L1265" s="437">
        <v>22340</v>
      </c>
      <c r="M1265" s="65">
        <f t="shared" si="182"/>
        <v>2542292</v>
      </c>
      <c r="N1265" s="66" t="s">
        <v>99</v>
      </c>
      <c r="O1265" s="66" t="s">
        <v>266</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2" ht="15.75" customHeight="1">
      <c r="A1266" s="334" t="str">
        <f>IF(B1266&lt;&gt;"",IF(AND(B1266='IN-TC'!$S$4,OR(TH!N1266="1111",TH!O1266="1111")),TH!D1266,""),"")</f>
        <v/>
      </c>
      <c r="B1266" s="63">
        <f t="shared" si="180"/>
        <v>2</v>
      </c>
      <c r="C1266" s="64">
        <v>42422</v>
      </c>
      <c r="D1266" s="64" t="s">
        <v>702</v>
      </c>
      <c r="E1266" s="64">
        <v>42422</v>
      </c>
      <c r="F1266" s="512" t="s">
        <v>1057</v>
      </c>
      <c r="G1266" s="67" t="s">
        <v>914</v>
      </c>
      <c r="H1266" s="72" t="s">
        <v>729</v>
      </c>
      <c r="I1266" s="437"/>
      <c r="J1266" s="437"/>
      <c r="K1266" s="428">
        <v>248.73</v>
      </c>
      <c r="L1266" s="437">
        <v>22340</v>
      </c>
      <c r="M1266" s="65">
        <f t="shared" si="182"/>
        <v>5556628</v>
      </c>
      <c r="N1266" s="66" t="s">
        <v>99</v>
      </c>
      <c r="O1266" s="66" t="s">
        <v>266</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2" ht="15.75" customHeight="1">
      <c r="A1267" s="334" t="str">
        <f>IF(B1267&lt;&gt;"",IF(AND(B1267='IN-TC'!$S$4,OR(TH!N1249="1111",TH!O1249="1111")),TH!D1249,""),"")</f>
        <v>C11</v>
      </c>
      <c r="B1267" s="63">
        <f t="shared" si="180"/>
        <v>2</v>
      </c>
      <c r="C1267" s="64">
        <v>42419</v>
      </c>
      <c r="D1267" s="64" t="s">
        <v>877</v>
      </c>
      <c r="E1267" s="64">
        <v>42419</v>
      </c>
      <c r="F1267" s="512" t="s">
        <v>1002</v>
      </c>
      <c r="G1267" s="67" t="s">
        <v>1023</v>
      </c>
      <c r="H1267" s="72" t="s">
        <v>1024</v>
      </c>
      <c r="I1267" s="442"/>
      <c r="J1267" s="442"/>
      <c r="K1267" s="433"/>
      <c r="L1267" s="442"/>
      <c r="M1267" s="65">
        <v>4889537</v>
      </c>
      <c r="N1267" s="66" t="s">
        <v>588</v>
      </c>
      <c r="O1267" s="66" t="s">
        <v>63</v>
      </c>
      <c r="P1267" s="82" t="str">
        <f>IF(AND('331-CT'!$E$7=TH!H1249,OR(N1267="331",O1267="331")),"x","")</f>
        <v/>
      </c>
      <c r="Q1267" s="82" t="str">
        <f>IF(AND(B1267='111'!$L$11,OR($N1267=$Q$7,$O1267=$Q$7)),"x","")</f>
        <v/>
      </c>
      <c r="R1267" s="82" t="str">
        <f>IF(AND($N1267=$Q$7,$B1267&lt;'111'!$L$11),"x","")</f>
        <v/>
      </c>
      <c r="S1267" s="82" t="str">
        <f>IF(AND($O1267=$Q$7,$B1267&lt;'111'!$L$11),"x","")</f>
        <v>x</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IF(OR(TH!N1249=TH!$X$7,O1267=TH!$X$7),"x","")</f>
        <v/>
      </c>
      <c r="Y1267" s="82" t="str">
        <f>IF(AND(OR(N1267="131",O1267="131"),H1267='131-CT'!$H$9),"x","")</f>
        <v/>
      </c>
      <c r="Z1267" s="82"/>
      <c r="AA1267" s="82" t="str">
        <f>IF(AND(MONTH(E1267)='IN-NX'!$J$5,'IN-NX'!$D$7=D1267),"x","")</f>
        <v/>
      </c>
      <c r="AB1267" s="82" t="str">
        <f>IF(AND(OR(LEFT(TH!N1249,2)="15",LEFT(TH!O1249,2)="15"),LEFT(TH!O1249,3)&lt;&gt;"111",'152-CT'!$J$8=TH!F1249),"x","")</f>
        <v/>
      </c>
      <c r="AC1267" s="82" t="str">
        <f>IF(AND(OR(LEFT(TH!N1249,2)="15",LEFT(TH!O1249,2)="15"),TK!$E$7=TH!F1249),"x","")</f>
        <v/>
      </c>
      <c r="AD1267" s="82" t="str">
        <f>IF(AND(N1267="1521",MONTH(C1267)='BK-NL'!$M$11),"x","")</f>
        <v/>
      </c>
      <c r="AF1267" s="346"/>
    </row>
    <row r="1268" spans="1:32" ht="15.75" customHeight="1">
      <c r="A1268" s="334" t="str">
        <f>IF(B1268&lt;&gt;"",IF(AND(B1268='IN-TC'!$S$4,OR(TH!N1268="1111",TH!O1268="1111")),TH!D1268,""),"")</f>
        <v>T03</v>
      </c>
      <c r="B1268" s="63">
        <f t="shared" si="180"/>
        <v>2</v>
      </c>
      <c r="C1268" s="64">
        <v>42423</v>
      </c>
      <c r="D1268" s="64" t="s">
        <v>902</v>
      </c>
      <c r="E1268" s="64">
        <v>42423</v>
      </c>
      <c r="F1268" s="512" t="s">
        <v>743</v>
      </c>
      <c r="G1268" s="67" t="s">
        <v>915</v>
      </c>
      <c r="H1268" s="73" t="s">
        <v>760</v>
      </c>
      <c r="I1268" s="437"/>
      <c r="J1268" s="437"/>
      <c r="K1268" s="428"/>
      <c r="L1268" s="437"/>
      <c r="M1268" s="65">
        <v>240000000</v>
      </c>
      <c r="N1268" s="66" t="s">
        <v>63</v>
      </c>
      <c r="O1268" s="66" t="s">
        <v>26</v>
      </c>
      <c r="P1268" s="82" t="str">
        <f>IF(AND('331-CT'!$E$7=TH!H1268,OR(N1268="331",O1268="331")),"x","")</f>
        <v/>
      </c>
      <c r="Q1268" s="82" t="str">
        <f>IF(AND(B1268='111'!$L$11,OR($N1268=$Q$7,$O1268=$Q$7)),"x","")</f>
        <v/>
      </c>
      <c r="R1268" s="82" t="str">
        <f>IF(AND($N1268=$Q$7,$B1268&lt;'111'!$L$11),"x","")</f>
        <v>x</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2" ht="15.75" customHeight="1">
      <c r="A1269" s="334" t="str">
        <f>IF(B1269&lt;&gt;"",IF(AND(B1269='IN-TC'!$S$4,OR(TH!N1250="1111",TH!O1250="1111")),TH!D1250,""),"")</f>
        <v>C11</v>
      </c>
      <c r="B1269" s="63">
        <f t="shared" si="180"/>
        <v>2</v>
      </c>
      <c r="C1269" s="64">
        <v>42419</v>
      </c>
      <c r="D1269" s="64" t="s">
        <v>877</v>
      </c>
      <c r="E1269" s="64">
        <v>42419</v>
      </c>
      <c r="F1269" s="512" t="s">
        <v>1003</v>
      </c>
      <c r="G1269" s="67" t="s">
        <v>1023</v>
      </c>
      <c r="H1269" s="72" t="s">
        <v>1024</v>
      </c>
      <c r="I1269" s="442"/>
      <c r="J1269" s="442"/>
      <c r="K1269" s="433"/>
      <c r="L1269" s="442"/>
      <c r="M1269" s="65">
        <v>270263</v>
      </c>
      <c r="N1269" s="66" t="s">
        <v>9</v>
      </c>
      <c r="O1269" s="66" t="s">
        <v>63</v>
      </c>
      <c r="P1269" s="82" t="str">
        <f>IF(AND('331-CT'!$E$7=TH!H1250,OR(N1269="331",O1269="331")),"x","")</f>
        <v/>
      </c>
      <c r="Q1269" s="82" t="str">
        <f>IF(AND(B1269='111'!$L$11,OR($N1269=$Q$7,$O1269=$Q$7)),"x","")</f>
        <v/>
      </c>
      <c r="R1269" s="82" t="str">
        <f>IF(AND($N1269=$Q$7,$B1269&lt;'111'!$L$11),"x","")</f>
        <v/>
      </c>
      <c r="S1269" s="82" t="str">
        <f>IF(AND($O1269=$Q$7,$B1269&lt;'111'!$L$11),"x","")</f>
        <v>x</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IF(OR(TH!N1250=TH!$X$7,O1269=TH!$X$7),"x","")</f>
        <v>x</v>
      </c>
      <c r="Y1269" s="82" t="str">
        <f>IF(AND(OR(N1269="131",O1269="131"),H1269='131-CT'!$H$9),"x","")</f>
        <v/>
      </c>
      <c r="Z1269" s="82"/>
      <c r="AA1269" s="82" t="str">
        <f>IF(AND(MONTH(E1269)='IN-NX'!$J$5,'IN-NX'!$D$7=D1269),"x","")</f>
        <v/>
      </c>
      <c r="AB1269" s="82" t="str">
        <f>IF(AND(OR(LEFT(TH!N1250,2)="15",LEFT(TH!O1250,2)="15"),LEFT(TH!O1250,3)&lt;&gt;"111",'152-CT'!$J$8=TH!F1250),"x","")</f>
        <v/>
      </c>
      <c r="AC1269" s="82" t="str">
        <f>IF(AND(OR(LEFT(TH!N1250,2)="15",LEFT(TH!O1250,2)="15"),TK!$E$7=TH!F1250),"x","")</f>
        <v/>
      </c>
      <c r="AD1269" s="82" t="str">
        <f>IF(AND(N1269="1521",MONTH(C1269)='BK-NL'!$M$11),"x","")</f>
        <v/>
      </c>
      <c r="AF1269" s="346"/>
    </row>
    <row r="1270" spans="1:32" ht="15.75" customHeight="1">
      <c r="A1270" s="334" t="str">
        <f>IF(B1270&lt;&gt;"",IF(AND(B1270='IN-TC'!$S$4,OR(TH!N1259="1111",TH!O1259="1111")),TH!D1259,""),"")</f>
        <v>C12</v>
      </c>
      <c r="B1270" s="63">
        <f t="shared" si="180"/>
        <v>2</v>
      </c>
      <c r="C1270" s="64">
        <v>42422</v>
      </c>
      <c r="D1270" s="64" t="s">
        <v>878</v>
      </c>
      <c r="E1270" s="64">
        <v>42422</v>
      </c>
      <c r="F1270" s="512" t="s">
        <v>1000</v>
      </c>
      <c r="G1270" s="67" t="s">
        <v>1025</v>
      </c>
      <c r="H1270" s="344" t="s">
        <v>805</v>
      </c>
      <c r="I1270" s="441"/>
      <c r="J1270" s="441"/>
      <c r="K1270" s="432"/>
      <c r="L1270" s="441"/>
      <c r="M1270" s="65">
        <v>538591</v>
      </c>
      <c r="N1270" s="66" t="s">
        <v>101</v>
      </c>
      <c r="O1270" s="66" t="s">
        <v>63</v>
      </c>
      <c r="P1270" s="82" t="str">
        <f>IF(AND('331-CT'!$E$7=TH!H1259,OR(N1270="331",O1270="331")),"x","")</f>
        <v/>
      </c>
      <c r="Q1270" s="82" t="str">
        <f>IF(AND(B1270='111'!$L$11,OR($N1270=$Q$7,$O1270=$Q$7)),"x","")</f>
        <v/>
      </c>
      <c r="R1270" s="82" t="str">
        <f>IF(AND($N1270=$Q$7,$B1270&lt;'111'!$L$11),"x","")</f>
        <v/>
      </c>
      <c r="S1270" s="82" t="str">
        <f>IF(AND($O1270=$Q$7,$B1270&lt;'111'!$L$11),"x","")</f>
        <v>x</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IF(OR(TH!N1259=TH!$X$7,O1270=TH!$X$7),"x","")</f>
        <v/>
      </c>
      <c r="Y1270" s="82" t="str">
        <f>IF(AND(OR(N1270="131",O1270="131"),H1270='131-CT'!$H$9),"x","")</f>
        <v/>
      </c>
      <c r="Z1270" s="82"/>
      <c r="AA1270" s="82" t="str">
        <f>IF(AND(MONTH(E1270)='IN-NX'!$J$5,'IN-NX'!$D$7=D1270),"x","")</f>
        <v/>
      </c>
      <c r="AB1270" s="82" t="str">
        <f>IF(AND(OR(LEFT(TH!N1259,2)="15",LEFT(TH!O1259,2)="15"),LEFT(TH!O1259,3)&lt;&gt;"111",'152-CT'!$J$8=TH!F1259),"x","")</f>
        <v/>
      </c>
      <c r="AC1270" s="82" t="str">
        <f>IF(AND(OR(LEFT(TH!N1259,2)="15",LEFT(TH!O1259,2)="15"),TK!$E$7=TH!F1259),"x","")</f>
        <v/>
      </c>
      <c r="AD1270" s="82" t="str">
        <f>IF(AND(N1270="1521",MONTH(C1270)='BK-NL'!$M$11),"x","")</f>
        <v/>
      </c>
      <c r="AF1270" s="348"/>
    </row>
    <row r="1271" spans="1:32" ht="15.75" customHeight="1">
      <c r="A1271" s="334" t="str">
        <f>IF(B1271&lt;&gt;"",IF(AND(B1271='IN-TC'!$S$4,OR(TH!N1260="1111",TH!O1260="1111")),TH!D1260,""),"")</f>
        <v>C12</v>
      </c>
      <c r="B1271" s="63">
        <f t="shared" si="180"/>
        <v>2</v>
      </c>
      <c r="C1271" s="64">
        <v>42422</v>
      </c>
      <c r="D1271" s="64" t="s">
        <v>878</v>
      </c>
      <c r="E1271" s="64">
        <v>42422</v>
      </c>
      <c r="F1271" s="512" t="s">
        <v>1001</v>
      </c>
      <c r="G1271" s="67" t="s">
        <v>1025</v>
      </c>
      <c r="H1271" s="72" t="s">
        <v>805</v>
      </c>
      <c r="I1271" s="437"/>
      <c r="J1271" s="437"/>
      <c r="K1271" s="428"/>
      <c r="L1271" s="437"/>
      <c r="M1271" s="65">
        <v>53859</v>
      </c>
      <c r="N1271" s="66" t="s">
        <v>9</v>
      </c>
      <c r="O1271" s="66" t="s">
        <v>63</v>
      </c>
      <c r="P1271" s="82" t="str">
        <f>IF(AND('331-CT'!$E$7=TH!H1260,OR(N1271="331",O1271="331")),"x","")</f>
        <v/>
      </c>
      <c r="Q1271" s="82" t="str">
        <f>IF(AND(B1271='111'!$L$11,OR($N1271=$Q$7,$O1271=$Q$7)),"x","")</f>
        <v/>
      </c>
      <c r="R1271" s="82" t="str">
        <f>IF(AND($N1271=$Q$7,$B1271&lt;'111'!$L$11),"x","")</f>
        <v/>
      </c>
      <c r="S1271" s="82" t="str">
        <f>IF(AND($O1271=$Q$7,$B1271&lt;'111'!$L$11),"x","")</f>
        <v>x</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IF(OR(TH!N1260=TH!$X$7,O1271=TH!$X$7),"x","")</f>
        <v>x</v>
      </c>
      <c r="Y1271" s="82" t="str">
        <f>IF(AND(OR(N1271="131",O1271="131"),H1271='131-CT'!$H$9),"x","")</f>
        <v/>
      </c>
      <c r="Z1271" s="82"/>
      <c r="AA1271" s="82" t="str">
        <f>IF(AND(MONTH(E1271)='IN-NX'!$J$5,'IN-NX'!$D$7=D1271),"x","")</f>
        <v/>
      </c>
      <c r="AB1271" s="82" t="str">
        <f>IF(AND(OR(LEFT(TH!N1260,2)="15",LEFT(TH!O1260,2)="15"),LEFT(TH!O1260,3)&lt;&gt;"111",'152-CT'!$J$8=TH!F1260),"x","")</f>
        <v/>
      </c>
      <c r="AC1271" s="82" t="str">
        <f>IF(AND(OR(LEFT(TH!N1260,2)="15",LEFT(TH!O1260,2)="15"),TK!$E$7=TH!F1260),"x","")</f>
        <v/>
      </c>
      <c r="AD1271" s="82" t="str">
        <f>IF(AND(N1271="1521",MONTH(C1271)='BK-NL'!$M$11),"x","")</f>
        <v/>
      </c>
      <c r="AE1271" s="348"/>
    </row>
    <row r="1272" spans="1:32" ht="15.75" customHeight="1">
      <c r="A1272" s="334" t="str">
        <f>IF(B1272&lt;&gt;"",IF(AND(B1272='IN-TC'!$S$4,OR(TH!N1272="1111",TH!O1272="1111")),TH!D1272,""),"")</f>
        <v/>
      </c>
      <c r="B1272" s="63">
        <f t="shared" si="180"/>
        <v>2</v>
      </c>
      <c r="C1272" s="64">
        <v>42424</v>
      </c>
      <c r="D1272" s="64" t="s">
        <v>699</v>
      </c>
      <c r="E1272" s="64">
        <v>42424</v>
      </c>
      <c r="F1272" s="512" t="s">
        <v>735</v>
      </c>
      <c r="G1272" s="67" t="s">
        <v>915</v>
      </c>
      <c r="H1272" s="72"/>
      <c r="I1272" s="437"/>
      <c r="J1272" s="437"/>
      <c r="K1272" s="428"/>
      <c r="L1272" s="437"/>
      <c r="M1272" s="65">
        <v>10829</v>
      </c>
      <c r="N1272" s="66" t="s">
        <v>26</v>
      </c>
      <c r="O1272" s="66" t="s">
        <v>43</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2" ht="15.75" customHeight="1">
      <c r="A1273" s="334" t="str">
        <f>IF(B1273&lt;&gt;"",IF(AND(B1273='IN-TC'!$S$4,OR(TH!N1273="1111",TH!O1273="1111")),TH!D1273,""),"")</f>
        <v/>
      </c>
      <c r="B1273" s="63">
        <f t="shared" si="180"/>
        <v>2</v>
      </c>
      <c r="C1273" s="64">
        <v>42424</v>
      </c>
      <c r="D1273" s="64" t="s">
        <v>699</v>
      </c>
      <c r="E1273" s="64">
        <v>42424</v>
      </c>
      <c r="F1273" s="512" t="s">
        <v>737</v>
      </c>
      <c r="G1273" s="67" t="s">
        <v>914</v>
      </c>
      <c r="H1273" s="72"/>
      <c r="I1273" s="437"/>
      <c r="J1273" s="437"/>
      <c r="K1273" s="428"/>
      <c r="L1273" s="437"/>
      <c r="M1273" s="65">
        <v>1376</v>
      </c>
      <c r="N1273" s="66" t="s">
        <v>26</v>
      </c>
      <c r="O1273" s="66" t="s">
        <v>43</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2" ht="15.75" customHeight="1">
      <c r="A1274" s="334" t="str">
        <f>IF(B1274&lt;&gt;"",IF(AND(B1274='IN-TC'!$S$4,OR(TH!N1274="1111",TH!O1274="1111")),TH!D1274,""),"")</f>
        <v/>
      </c>
      <c r="B1274" s="63">
        <f t="shared" si="180"/>
        <v>2</v>
      </c>
      <c r="C1274" s="64">
        <v>42424</v>
      </c>
      <c r="D1274" s="64" t="s">
        <v>702</v>
      </c>
      <c r="E1274" s="64">
        <v>42424</v>
      </c>
      <c r="F1274" s="512" t="s">
        <v>1098</v>
      </c>
      <c r="G1274" s="67" t="s">
        <v>915</v>
      </c>
      <c r="H1274" s="67" t="s">
        <v>629</v>
      </c>
      <c r="I1274" s="437"/>
      <c r="J1274" s="437"/>
      <c r="K1274" s="428"/>
      <c r="L1274" s="437"/>
      <c r="M1274" s="65">
        <v>31890650</v>
      </c>
      <c r="N1274" s="66" t="s">
        <v>8</v>
      </c>
      <c r="O1274" s="66" t="s">
        <v>26</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1136" t="str">
        <f>IF(H1274&lt;&gt;VLOOKUP(H1274,DSKH,1,0),"","x")</f>
        <v>x</v>
      </c>
    </row>
    <row r="1275" spans="1:32" ht="15.75" customHeight="1">
      <c r="A1275" s="334" t="str">
        <f>IF(B1275&lt;&gt;"",IF(AND(B1275='IN-TC'!$S$4,OR(TH!N1275="1111",TH!O1275="1111")),TH!D1275,""),"")</f>
        <v/>
      </c>
      <c r="B1275" s="63">
        <f t="shared" si="180"/>
        <v>2</v>
      </c>
      <c r="C1275" s="64">
        <v>42424</v>
      </c>
      <c r="D1275" s="64" t="s">
        <v>702</v>
      </c>
      <c r="E1275" s="64">
        <v>42424</v>
      </c>
      <c r="F1275" s="512" t="s">
        <v>740</v>
      </c>
      <c r="G1275" s="67" t="s">
        <v>915</v>
      </c>
      <c r="H1275" s="72"/>
      <c r="I1275" s="437"/>
      <c r="J1275" s="437"/>
      <c r="K1275" s="428"/>
      <c r="L1275" s="437"/>
      <c r="M1275" s="65">
        <v>45000</v>
      </c>
      <c r="N1275" s="66" t="s">
        <v>101</v>
      </c>
      <c r="O1275" s="66" t="s">
        <v>26</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2" ht="15.75" customHeight="1">
      <c r="A1276" s="334" t="str">
        <f>IF(B1276&lt;&gt;"",IF(AND(B1276='IN-TC'!$S$4,OR(TH!N1276="1111",TH!O1276="1111")),TH!D1276,""),"")</f>
        <v/>
      </c>
      <c r="B1276" s="63">
        <f t="shared" si="180"/>
        <v>2</v>
      </c>
      <c r="C1276" s="64">
        <v>42424</v>
      </c>
      <c r="D1276" s="64" t="s">
        <v>702</v>
      </c>
      <c r="E1276" s="64">
        <v>42424</v>
      </c>
      <c r="F1276" s="512" t="s">
        <v>742</v>
      </c>
      <c r="G1276" s="67" t="s">
        <v>915</v>
      </c>
      <c r="H1276" s="72"/>
      <c r="I1276" s="437"/>
      <c r="J1276" s="437"/>
      <c r="K1276" s="428"/>
      <c r="L1276" s="437"/>
      <c r="M1276" s="65">
        <v>4500</v>
      </c>
      <c r="N1276" s="66" t="s">
        <v>9</v>
      </c>
      <c r="O1276" s="66" t="s">
        <v>26</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x</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2" ht="15.75" customHeight="1">
      <c r="A1277" s="334" t="str">
        <f>IF(B1277&lt;&gt;"",IF(AND(B1277='IN-TC'!$S$4,OR(TH!N1277="1111",TH!O1277="1111")),TH!D1277,""),"")</f>
        <v/>
      </c>
      <c r="B1277" s="63">
        <f t="shared" si="180"/>
        <v>2</v>
      </c>
      <c r="C1277" s="64">
        <v>42424</v>
      </c>
      <c r="D1277" s="64" t="s">
        <v>702</v>
      </c>
      <c r="E1277" s="64">
        <v>42424</v>
      </c>
      <c r="F1277" s="512" t="s">
        <v>1056</v>
      </c>
      <c r="G1277" s="67" t="s">
        <v>915</v>
      </c>
      <c r="H1277" s="72"/>
      <c r="I1277" s="437"/>
      <c r="J1277" s="437"/>
      <c r="K1277" s="428">
        <v>3</v>
      </c>
      <c r="L1277" s="437">
        <v>22340</v>
      </c>
      <c r="M1277" s="65">
        <f>ROUND(K1277*L1277,0)</f>
        <v>67020</v>
      </c>
      <c r="N1277" s="66" t="s">
        <v>101</v>
      </c>
      <c r="O1277" s="66" t="s">
        <v>266</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2" ht="15.75" customHeight="1">
      <c r="A1278" s="334" t="str">
        <f>IF(B1278&lt;&gt;"",IF(AND(B1278='IN-TC'!$S$4,OR(TH!N1546="1111",TH!O1546="1111")),TH!D1546,""),"")</f>
        <v>C27</v>
      </c>
      <c r="B1278" s="1148">
        <f t="shared" si="180"/>
        <v>2</v>
      </c>
      <c r="C1278" s="1149">
        <v>42422</v>
      </c>
      <c r="D1278" s="1149" t="s">
        <v>879</v>
      </c>
      <c r="E1278" s="1149">
        <f>C1278</f>
        <v>42422</v>
      </c>
      <c r="F1278" s="512" t="s">
        <v>960</v>
      </c>
      <c r="G1278" s="1151"/>
      <c r="H1278" s="1150" t="s">
        <v>2239</v>
      </c>
      <c r="I1278" s="1152"/>
      <c r="J1278" s="1152"/>
      <c r="K1278" s="1153"/>
      <c r="L1278" s="1152"/>
      <c r="M1278" s="1154">
        <v>470000000</v>
      </c>
      <c r="N1278" s="1155" t="s">
        <v>272</v>
      </c>
      <c r="O1278" s="1155" t="s">
        <v>63</v>
      </c>
      <c r="P1278" s="1155" t="str">
        <f>IF(AND('331-CT'!$E$7=TH!H1546,OR(N1278="331",O1278="331")),"x","")</f>
        <v/>
      </c>
      <c r="Q1278" s="1155" t="str">
        <f>IF(AND(B1278='111'!$L$11,OR($N1278=$Q$7,$O1278=$Q$7)),"x","")</f>
        <v/>
      </c>
      <c r="R1278" s="1155" t="str">
        <f>IF(AND($N1278=$Q$7,$B1278&lt;'111'!$L$11),"x","")</f>
        <v/>
      </c>
      <c r="S1278" s="1155" t="str">
        <f>IF(AND($O1278=$Q$7,$B1278&lt;'111'!$L$11),"x","")</f>
        <v>x</v>
      </c>
      <c r="T1278" s="1155" t="str">
        <f>IF(ISERROR(FIND('112'!$M$9,G1278,1)),"",IF((AND(FIND('112'!$M$9,G1278,1)&gt;=1,B1278='112'!$K$9,OR($N1278='112'!$I$6,$O1278='112'!$I$6))),"x",""))</f>
        <v/>
      </c>
      <c r="U1278" s="1155" t="str">
        <f>IF(ISERROR(FIND('112'!$M$9,G1278,1)),"",IF((AND(LEFT(G1278,2)=LEFT('112'!$M$9,2),B1278&lt;'112'!$K$9,$N1278='112'!$I$6)),"x",""))</f>
        <v/>
      </c>
      <c r="V1278" s="1155" t="str">
        <f>IF(ISERROR(FIND('112'!$M$9,G1278,1)),"",IF((AND(RIGHT(G1278,2)=RIGHT('112'!$M$9,2),B1278&lt;'112'!$K$9,$O1278='112'!$I$6)),"x",""))</f>
        <v/>
      </c>
      <c r="W1278" s="1155" t="str">
        <f>IF(AND('341-CT'!$H$9=H1278,OR(LEFT(N1278,3)=$W$7,LEFT(O1278,3)=$W$7)),"x","")</f>
        <v/>
      </c>
      <c r="X1278" s="1155" t="str">
        <f>IF(OR(TH!N1546=TH!$X$7,O1278=TH!$X$7),"x","")</f>
        <v>x</v>
      </c>
      <c r="Y1278" s="1155" t="str">
        <f>IF(AND(OR(N1278="131",O1278="131"),H1278='131-CT'!$H$9),"x","")</f>
        <v/>
      </c>
      <c r="Z1278" s="1155"/>
      <c r="AA1278" s="1155" t="str">
        <f>IF(AND(MONTH(E1278)='IN-NX'!$J$5,'IN-NX'!$D$7=D1278),"x","")</f>
        <v/>
      </c>
      <c r="AB1278" s="1155" t="str">
        <f>IF(AND(OR(LEFT(TH!N1546,2)="15",LEFT(TH!O1546,2)="15"),LEFT(TH!O1546,3)&lt;&gt;"111",'152-CT'!$J$8=TH!F1546),"x","")</f>
        <v/>
      </c>
      <c r="AC1278" s="1155" t="str">
        <f>IF(AND(OR(LEFT(TH!N1546,2)="15",LEFT(TH!O1546,2)="15"),TK!$E$7=TH!F1546),"x","")</f>
        <v/>
      </c>
      <c r="AD1278" s="1155" t="str">
        <f>IF(AND(N1278="1521",MONTH(C1278)='BK-NL'!$M$11),"x","")</f>
        <v/>
      </c>
      <c r="AE1278" s="1156"/>
      <c r="AF1278" s="1156"/>
    </row>
    <row r="1279" spans="1:32" ht="15.75" customHeight="1">
      <c r="A1279" s="334" t="str">
        <f>IF(B1279&lt;&gt;"",IF(AND(B1279='IN-TC'!$S$4,OR(TH!N1267="1111",TH!O1267="1111")),TH!D1267,""),"")</f>
        <v>C13</v>
      </c>
      <c r="B1279" s="63">
        <f t="shared" si="180"/>
        <v>2</v>
      </c>
      <c r="C1279" s="64">
        <v>42423</v>
      </c>
      <c r="D1279" s="64" t="s">
        <v>880</v>
      </c>
      <c r="E1279" s="64">
        <v>42423</v>
      </c>
      <c r="F1279" s="512" t="s">
        <v>1004</v>
      </c>
      <c r="G1279" s="67" t="s">
        <v>1026</v>
      </c>
      <c r="H1279" s="72" t="s">
        <v>1027</v>
      </c>
      <c r="I1279" s="437"/>
      <c r="J1279" s="437"/>
      <c r="K1279" s="428"/>
      <c r="L1279" s="437"/>
      <c r="M1279" s="65">
        <v>238000</v>
      </c>
      <c r="N1279" s="66" t="s">
        <v>101</v>
      </c>
      <c r="O1279" s="66" t="s">
        <v>63</v>
      </c>
      <c r="P1279" s="82" t="str">
        <f>IF(AND('331-CT'!$E$7=TH!H1267,OR(N1279="331",O1279="331")),"x","")</f>
        <v/>
      </c>
      <c r="Q1279" s="82" t="str">
        <f>IF(AND(B1279='111'!$L$11,OR($N1279=$Q$7,$O1279=$Q$7)),"x","")</f>
        <v/>
      </c>
      <c r="R1279" s="82" t="str">
        <f>IF(AND($N1279=$Q$7,$B1279&lt;'111'!$L$11),"x","")</f>
        <v/>
      </c>
      <c r="S1279" s="82" t="str">
        <f>IF(AND($O1279=$Q$7,$B1279&lt;'111'!$L$11),"x","")</f>
        <v>x</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IF(OR(TH!N1267=TH!$X$7,O1279=TH!$X$7),"x","")</f>
        <v/>
      </c>
      <c r="Y1279" s="82" t="str">
        <f>IF(AND(OR(N1279="131",O1279="131"),H1279='131-CT'!$H$9),"x","")</f>
        <v/>
      </c>
      <c r="Z1279" s="82"/>
      <c r="AA1279" s="82" t="str">
        <f>IF(AND(MONTH(E1279)='IN-NX'!$J$5,'IN-NX'!$D$7=D1279),"x","")</f>
        <v/>
      </c>
      <c r="AB1279" s="82" t="str">
        <f>IF(AND(OR(LEFT(TH!N1267,2)="15",LEFT(TH!O1267,2)="15"),LEFT(TH!O1267,3)&lt;&gt;"111",'152-CT'!$J$8=TH!F1267),"x","")</f>
        <v/>
      </c>
      <c r="AC1279" s="82" t="str">
        <f>IF(AND(OR(LEFT(TH!N1267,2)="15",LEFT(TH!O1267,2)="15"),TK!$E$7=TH!F1267),"x","")</f>
        <v/>
      </c>
      <c r="AD1279" s="82" t="str">
        <f>IF(AND(N1279="1521",MONTH(C1279)='BK-NL'!$M$11),"x","")</f>
        <v/>
      </c>
    </row>
    <row r="1280" spans="1:32" ht="15.75" customHeight="1">
      <c r="A1280" s="334" t="str">
        <f>IF(B1280&lt;&gt;"",IF(AND(B1280='IN-TC'!$S$4,OR(TH!N1280="1111",TH!O1280="1111")),TH!D1280,""),"")</f>
        <v/>
      </c>
      <c r="B1280" s="63">
        <f t="shared" si="180"/>
        <v>2</v>
      </c>
      <c r="C1280" s="64">
        <v>42425</v>
      </c>
      <c r="D1280" s="64" t="s">
        <v>702</v>
      </c>
      <c r="E1280" s="64">
        <v>42425</v>
      </c>
      <c r="F1280" s="72" t="s">
        <v>1443</v>
      </c>
      <c r="G1280" s="67" t="s">
        <v>915</v>
      </c>
      <c r="H1280" s="72" t="s">
        <v>1211</v>
      </c>
      <c r="I1280" s="437"/>
      <c r="J1280" s="437"/>
      <c r="K1280" s="428"/>
      <c r="L1280" s="437"/>
      <c r="M1280" s="65">
        <v>5000000</v>
      </c>
      <c r="N1280" s="66" t="s">
        <v>72</v>
      </c>
      <c r="O1280" s="66" t="s">
        <v>26</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2" ht="15.75" customHeight="1">
      <c r="A1281" s="334" t="str">
        <f>IF(B1281&lt;&gt;"",IF(AND(B1281='IN-TC'!$S$4,OR(TH!N1269="1111",TH!O1269="1111")),TH!D1269,""),"")</f>
        <v>C13</v>
      </c>
      <c r="B1281" s="63">
        <f t="shared" si="180"/>
        <v>2</v>
      </c>
      <c r="C1281" s="64">
        <v>42424</v>
      </c>
      <c r="D1281" s="64" t="s">
        <v>881</v>
      </c>
      <c r="E1281" s="64">
        <v>42424</v>
      </c>
      <c r="F1281" s="512" t="s">
        <v>768</v>
      </c>
      <c r="G1281" s="972" t="s">
        <v>1028</v>
      </c>
      <c r="H1281" s="72" t="s">
        <v>805</v>
      </c>
      <c r="I1281" s="437"/>
      <c r="J1281" s="437"/>
      <c r="K1281" s="428"/>
      <c r="L1281" s="437"/>
      <c r="M1281" s="65">
        <v>313527</v>
      </c>
      <c r="N1281" s="66" t="s">
        <v>101</v>
      </c>
      <c r="O1281" s="66" t="s">
        <v>63</v>
      </c>
      <c r="P1281" s="82" t="str">
        <f>IF(AND('331-CT'!$E$7=TH!H1269,OR(N1281="331",O1281="331")),"x","")</f>
        <v/>
      </c>
      <c r="Q1281" s="82" t="str">
        <f>IF(AND(B1281='111'!$L$11,OR($N1281=$Q$7,$O1281=$Q$7)),"x","")</f>
        <v/>
      </c>
      <c r="R1281" s="82" t="str">
        <f>IF(AND($N1281=$Q$7,$B1281&lt;'111'!$L$11),"x","")</f>
        <v/>
      </c>
      <c r="S1281" s="82" t="str">
        <f>IF(AND($O1281=$Q$7,$B1281&lt;'111'!$L$11),"x","")</f>
        <v>x</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IF(OR(TH!N1269=TH!$X$7,O1281=TH!$X$7),"x","")</f>
        <v>x</v>
      </c>
      <c r="Y1281" s="82" t="str">
        <f>IF(AND(OR(N1281="131",O1281="131"),H1281='131-CT'!$H$9),"x","")</f>
        <v/>
      </c>
      <c r="Z1281" s="82"/>
      <c r="AA1281" s="82" t="str">
        <f>IF(AND(MONTH(E1281)='IN-NX'!$J$5,'IN-NX'!$D$7=D1281),"x","")</f>
        <v/>
      </c>
      <c r="AB1281" s="82" t="str">
        <f>IF(AND(OR(LEFT(TH!N1269,2)="15",LEFT(TH!O1269,2)="15"),LEFT(TH!O1269,3)&lt;&gt;"111",'152-CT'!$J$8=TH!F1269),"x","")</f>
        <v/>
      </c>
      <c r="AC1281" s="82" t="str">
        <f>IF(AND(OR(LEFT(TH!N1269,2)="15",LEFT(TH!O1269,2)="15"),TK!$E$7=TH!F1269),"x","")</f>
        <v/>
      </c>
      <c r="AD1281" s="82" t="str">
        <f>IF(AND(N1281="1521",MONTH(C1281)='BK-NL'!$M$11),"x","")</f>
        <v/>
      </c>
    </row>
    <row r="1282" spans="1:32" ht="15.75" customHeight="1">
      <c r="A1282" s="334" t="str">
        <f>IF(B1282&lt;&gt;"",IF(AND(B1282='IN-TC'!$S$4,OR(TH!N1270="1111",TH!O1270="1111")),TH!D1270,""),"")</f>
        <v>C14</v>
      </c>
      <c r="B1282" s="63">
        <f t="shared" si="180"/>
        <v>2</v>
      </c>
      <c r="C1282" s="64">
        <v>42424</v>
      </c>
      <c r="D1282" s="64" t="s">
        <v>881</v>
      </c>
      <c r="E1282" s="64">
        <v>42424</v>
      </c>
      <c r="F1282" s="512" t="s">
        <v>769</v>
      </c>
      <c r="G1282" s="972" t="s">
        <v>1028</v>
      </c>
      <c r="H1282" s="72" t="s">
        <v>805</v>
      </c>
      <c r="I1282" s="437"/>
      <c r="J1282" s="437"/>
      <c r="K1282" s="428"/>
      <c r="L1282" s="437"/>
      <c r="M1282" s="65">
        <v>31353</v>
      </c>
      <c r="N1282" s="66" t="s">
        <v>9</v>
      </c>
      <c r="O1282" s="66" t="s">
        <v>63</v>
      </c>
      <c r="P1282" s="82" t="str">
        <f>IF(AND('331-CT'!$E$7=TH!H1270,OR(N1282="331",O1282="331")),"x","")</f>
        <v/>
      </c>
      <c r="Q1282" s="82" t="str">
        <f>IF(AND(B1282='111'!$L$11,OR($N1282=$Q$7,$O1282=$Q$7)),"x","")</f>
        <v/>
      </c>
      <c r="R1282" s="82" t="str">
        <f>IF(AND($N1282=$Q$7,$B1282&lt;'111'!$L$11),"x","")</f>
        <v/>
      </c>
      <c r="S1282" s="82" t="str">
        <f>IF(AND($O1282=$Q$7,$B1282&lt;'111'!$L$11),"x","")</f>
        <v>x</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IF(OR(TH!N1270=TH!$X$7,O1282=TH!$X$7),"x","")</f>
        <v/>
      </c>
      <c r="Y1282" s="82" t="str">
        <f>IF(AND(OR(N1282="131",O1282="131"),H1282='131-CT'!$H$9),"x","")</f>
        <v/>
      </c>
      <c r="Z1282" s="82"/>
      <c r="AA1282" s="82" t="str">
        <f>IF(AND(MONTH(E1282)='IN-NX'!$J$5,'IN-NX'!$D$7=D1282),"x","")</f>
        <v/>
      </c>
      <c r="AB1282" s="82" t="str">
        <f>IF(AND(OR(LEFT(TH!N1270,2)="15",LEFT(TH!O1270,2)="15"),LEFT(TH!O1270,3)&lt;&gt;"111",'152-CT'!$J$8=TH!F1270),"x","")</f>
        <v/>
      </c>
      <c r="AC1282" s="82" t="str">
        <f>IF(AND(OR(LEFT(TH!N1270,2)="15",LEFT(TH!O1270,2)="15"),TK!$E$7=TH!F1270),"x","")</f>
        <v/>
      </c>
      <c r="AD1282" s="82" t="str">
        <f>IF(AND(N1282="1521",MONTH(C1282)='BK-NL'!$M$11),"x","")</f>
        <v/>
      </c>
    </row>
    <row r="1283" spans="1:32" ht="15.75" customHeight="1">
      <c r="A1283" s="334" t="str">
        <f>IF(B1283&lt;&gt;"",IF(AND(B1283='IN-TC'!$S$4,OR(TH!N1271="1111",TH!O1271="1111")),TH!D1271,""),"")</f>
        <v>C14</v>
      </c>
      <c r="B1283" s="63">
        <f t="shared" si="180"/>
        <v>2</v>
      </c>
      <c r="C1283" s="64">
        <v>42424</v>
      </c>
      <c r="D1283" s="64" t="s">
        <v>882</v>
      </c>
      <c r="E1283" s="64">
        <v>42424</v>
      </c>
      <c r="F1283" s="512" t="s">
        <v>734</v>
      </c>
      <c r="G1283" s="67" t="s">
        <v>915</v>
      </c>
      <c r="H1283" s="67" t="s">
        <v>760</v>
      </c>
      <c r="I1283" s="437"/>
      <c r="J1283" s="437"/>
      <c r="K1283" s="428"/>
      <c r="L1283" s="437"/>
      <c r="M1283" s="65">
        <v>32000000</v>
      </c>
      <c r="N1283" s="66" t="s">
        <v>26</v>
      </c>
      <c r="O1283" s="66" t="s">
        <v>63</v>
      </c>
      <c r="P1283" s="82" t="str">
        <f>IF(AND('331-CT'!$E$7=TH!H1271,OR(N1283="331",O1283="331")),"x","")</f>
        <v/>
      </c>
      <c r="Q1283" s="82" t="str">
        <f>IF(AND(B1283='111'!$L$11,OR($N1283=$Q$7,$O1283=$Q$7)),"x","")</f>
        <v/>
      </c>
      <c r="R1283" s="82" t="str">
        <f>IF(AND($N1283=$Q$7,$B1283&lt;'111'!$L$11),"x","")</f>
        <v/>
      </c>
      <c r="S1283" s="82" t="str">
        <f>IF(AND($O1283=$Q$7,$B1283&lt;'111'!$L$11),"x","")</f>
        <v>x</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IF(OR(TH!N1271=TH!$X$7,O1283=TH!$X$7),"x","")</f>
        <v>x</v>
      </c>
      <c r="Y1283" s="82" t="str">
        <f>IF(AND(OR(N1283="131",O1283="131"),H1283='131-CT'!$H$9),"x","")</f>
        <v/>
      </c>
      <c r="Z1283" s="82"/>
      <c r="AA1283" s="82" t="str">
        <f>IF(AND(MONTH(E1283)='IN-NX'!$J$5,'IN-NX'!$D$7=D1283),"x","")</f>
        <v/>
      </c>
      <c r="AB1283" s="82" t="str">
        <f>IF(AND(OR(LEFT(TH!N1271,2)="15",LEFT(TH!O1271,2)="15"),LEFT(TH!O1271,3)&lt;&gt;"111",'152-CT'!$J$8=TH!F1271),"x","")</f>
        <v/>
      </c>
      <c r="AC1283" s="82" t="str">
        <f>IF(AND(OR(LEFT(TH!N1271,2)="15",LEFT(TH!O1271,2)="15"),TK!$E$7=TH!F1271),"x","")</f>
        <v/>
      </c>
      <c r="AD1283" s="82" t="str">
        <f>IF(AND(N1283="1521",MONTH(C1283)='BK-NL'!$M$11),"x","")</f>
        <v/>
      </c>
    </row>
    <row r="1284" spans="1:32" ht="15.75" customHeight="1">
      <c r="A1284" s="334" t="str">
        <f>IF(B1284&lt;&gt;"",IF(AND(B1284='IN-TC'!$S$4,OR(TH!N1278="1111",TH!O1278="1111")),TH!D1278,""),"")</f>
        <v>C15</v>
      </c>
      <c r="B1284" s="63">
        <f t="shared" si="180"/>
        <v>2</v>
      </c>
      <c r="C1284" s="64">
        <v>42425</v>
      </c>
      <c r="D1284" s="316" t="s">
        <v>883</v>
      </c>
      <c r="E1284" s="64">
        <v>42425</v>
      </c>
      <c r="F1284" s="512" t="s">
        <v>1005</v>
      </c>
      <c r="G1284" s="972" t="s">
        <v>1029</v>
      </c>
      <c r="H1284" s="72" t="s">
        <v>836</v>
      </c>
      <c r="I1284" s="437"/>
      <c r="J1284" s="437"/>
      <c r="K1284" s="428"/>
      <c r="L1284" s="437"/>
      <c r="M1284" s="65">
        <v>15000000</v>
      </c>
      <c r="N1284" s="66" t="s">
        <v>101</v>
      </c>
      <c r="O1284" s="66" t="s">
        <v>63</v>
      </c>
      <c r="P1284" s="82" t="str">
        <f>IF(AND('331-CT'!$E$7=TH!H1278,OR(N1284="331",O1284="331")),"x","")</f>
        <v/>
      </c>
      <c r="Q1284" s="82" t="str">
        <f>IF(AND(B1284='111'!$L$11,OR($N1284=$Q$7,$O1284=$Q$7)),"x","")</f>
        <v/>
      </c>
      <c r="R1284" s="82" t="str">
        <f>IF(AND($N1284=$Q$7,$B1284&lt;'111'!$L$11),"x","")</f>
        <v/>
      </c>
      <c r="S1284" s="82" t="str">
        <f>IF(AND($O1284=$Q$7,$B1284&lt;'111'!$L$11),"x","")</f>
        <v>x</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IF(OR(TH!N1278=TH!$X$7,O1284=TH!$X$7),"x","")</f>
        <v/>
      </c>
      <c r="Y1284" s="82" t="str">
        <f>IF(AND(OR(N1284="131",O1284="131"),H1284='131-CT'!$H$9),"x","")</f>
        <v/>
      </c>
      <c r="Z1284" s="82"/>
      <c r="AA1284" s="82" t="str">
        <f>IF(AND(MONTH(E1284)='IN-NX'!$J$5,'IN-NX'!$D$7=D1284),"x","")</f>
        <v/>
      </c>
      <c r="AB1284" s="82" t="str">
        <f>IF(AND(OR(LEFT(TH!N1278,2)="15",LEFT(TH!O1278,2)="15"),LEFT(TH!O1278,3)&lt;&gt;"111",'152-CT'!$J$8=TH!F1278),"x","")</f>
        <v/>
      </c>
      <c r="AC1284" s="82" t="str">
        <f>IF(AND(OR(LEFT(TH!N1278,2)="15",LEFT(TH!O1278,2)="15"),TK!$E$7=TH!F1278),"x","")</f>
        <v/>
      </c>
      <c r="AD1284" s="82" t="str">
        <f>IF(AND(N1284="1521",MONTH(C1284)='BK-NL'!$M$11),"x","")</f>
        <v/>
      </c>
    </row>
    <row r="1285" spans="1:32" ht="15.75" customHeight="1">
      <c r="A1285" s="334" t="str">
        <f>IF(B1285&lt;&gt;"",IF(AND(B1285='IN-TC'!$S$4,OR(TH!N1279="1111",TH!O1279="1111")),TH!D1279,""),"")</f>
        <v>C16</v>
      </c>
      <c r="B1285" s="63">
        <f t="shared" si="180"/>
        <v>2</v>
      </c>
      <c r="C1285" s="64">
        <v>42425</v>
      </c>
      <c r="D1285" s="316" t="s">
        <v>883</v>
      </c>
      <c r="E1285" s="64">
        <v>42425</v>
      </c>
      <c r="F1285" s="512" t="s">
        <v>1006</v>
      </c>
      <c r="G1285" s="67" t="s">
        <v>1029</v>
      </c>
      <c r="H1285" s="72" t="s">
        <v>836</v>
      </c>
      <c r="I1285" s="437"/>
      <c r="J1285" s="437"/>
      <c r="K1285" s="428"/>
      <c r="L1285" s="437"/>
      <c r="M1285" s="65">
        <v>1500000</v>
      </c>
      <c r="N1285" s="66" t="s">
        <v>9</v>
      </c>
      <c r="O1285" s="66" t="s">
        <v>63</v>
      </c>
      <c r="P1285" s="82" t="str">
        <f>IF(AND('331-CT'!$E$7=TH!H1279,OR(N1285="331",O1285="331")),"x","")</f>
        <v/>
      </c>
      <c r="Q1285" s="82" t="str">
        <f>IF(AND(B1285='111'!$L$11,OR($N1285=$Q$7,$O1285=$Q$7)),"x","")</f>
        <v/>
      </c>
      <c r="R1285" s="82" t="str">
        <f>IF(AND($N1285=$Q$7,$B1285&lt;'111'!$L$11),"x","")</f>
        <v/>
      </c>
      <c r="S1285" s="82" t="str">
        <f>IF(AND($O1285=$Q$7,$B1285&lt;'111'!$L$11),"x","")</f>
        <v>x</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IF(OR(TH!N1279=TH!$X$7,O1285=TH!$X$7),"x","")</f>
        <v/>
      </c>
      <c r="Y1285" s="82" t="str">
        <f>IF(AND(OR(N1285="131",O1285="131"),H1285='131-CT'!$H$9),"x","")</f>
        <v/>
      </c>
      <c r="Z1285" s="82"/>
      <c r="AA1285" s="82" t="str">
        <f>IF(AND(MONTH(E1285)='IN-NX'!$J$5,'IN-NX'!$D$7=D1285),"x","")</f>
        <v/>
      </c>
      <c r="AB1285" s="82" t="str">
        <f>IF(AND(OR(LEFT(TH!N1279,2)="15",LEFT(TH!O1279,2)="15"),LEFT(TH!O1279,3)&lt;&gt;"111",'152-CT'!$J$8=TH!F1279),"x","")</f>
        <v/>
      </c>
      <c r="AC1285" s="82" t="str">
        <f>IF(AND(OR(LEFT(TH!N1279,2)="15",LEFT(TH!O1279,2)="15"),TK!$E$7=TH!F1279),"x","")</f>
        <v/>
      </c>
      <c r="AD1285" s="82" t="str">
        <f>IF(AND(N1285="1521",MONTH(C1285)='BK-NL'!$M$11),"x","")</f>
        <v/>
      </c>
    </row>
    <row r="1286" spans="1:32" ht="15.75" customHeight="1">
      <c r="A1286" s="334" t="str">
        <f>IF(B1286&lt;&gt;"",IF(AND(B1286='IN-TC'!$S$4,OR(TH!N1281="1111",TH!O1281="1111")),TH!D1281,""),"")</f>
        <v>C17</v>
      </c>
      <c r="B1286" s="63">
        <f t="shared" si="180"/>
        <v>2</v>
      </c>
      <c r="C1286" s="64">
        <v>42426</v>
      </c>
      <c r="D1286" s="64" t="s">
        <v>884</v>
      </c>
      <c r="E1286" s="64">
        <v>42426</v>
      </c>
      <c r="F1286" s="512" t="s">
        <v>1007</v>
      </c>
      <c r="G1286" s="67" t="s">
        <v>1030</v>
      </c>
      <c r="H1286" s="72" t="s">
        <v>1031</v>
      </c>
      <c r="I1286" s="437"/>
      <c r="J1286" s="437"/>
      <c r="K1286" s="428"/>
      <c r="L1286" s="437"/>
      <c r="M1286" s="65">
        <v>8227273</v>
      </c>
      <c r="N1286" s="66" t="s">
        <v>101</v>
      </c>
      <c r="O1286" s="66" t="s">
        <v>63</v>
      </c>
      <c r="P1286" s="82" t="str">
        <f>IF(AND('331-CT'!$E$7=TH!H1281,OR(N1286="331",O1286="331")),"x","")</f>
        <v/>
      </c>
      <c r="Q1286" s="82" t="str">
        <f>IF(AND(B1286='111'!$L$11,OR($N1286=$Q$7,$O1286=$Q$7)),"x","")</f>
        <v/>
      </c>
      <c r="R1286" s="82" t="str">
        <f>IF(AND($N1286=$Q$7,$B1286&lt;'111'!$L$11),"x","")</f>
        <v/>
      </c>
      <c r="S1286" s="82" t="str">
        <f>IF(AND($O1286=$Q$7,$B1286&lt;'111'!$L$11),"x","")</f>
        <v>x</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IF(OR(TH!N1281=TH!$X$7,O1286=TH!$X$7),"x","")</f>
        <v/>
      </c>
      <c r="Y1286" s="82" t="str">
        <f>IF(AND(OR(N1286="131",O1286="131"),H1286='131-CT'!$H$9),"x","")</f>
        <v/>
      </c>
      <c r="Z1286" s="82"/>
      <c r="AA1286" s="82" t="str">
        <f>IF(AND(MONTH(E1286)='IN-NX'!$J$5,'IN-NX'!$D$7=D1286),"x","")</f>
        <v/>
      </c>
      <c r="AB1286" s="82" t="str">
        <f>IF(AND(OR(LEFT(TH!N1281,2)="15",LEFT(TH!O1281,2)="15"),LEFT(TH!O1281,3)&lt;&gt;"111",'152-CT'!$J$8=TH!F1281),"x","")</f>
        <v/>
      </c>
      <c r="AC1286" s="82" t="str">
        <f>IF(AND(OR(LEFT(TH!N1281,2)="15",LEFT(TH!O1281,2)="15"),TK!$E$7=TH!F1281),"x","")</f>
        <v/>
      </c>
      <c r="AD1286" s="82" t="str">
        <f>IF(AND(N1286="1521",MONTH(C1286)='BK-NL'!$M$11),"x","")</f>
        <v/>
      </c>
    </row>
    <row r="1287" spans="1:32" ht="15.75" customHeight="1">
      <c r="A1287" s="334" t="str">
        <f>IF(B1287&lt;&gt;"",IF(AND(B1287='IN-TC'!$S$4,OR(TH!N1282="1111",TH!O1282="1111")),TH!D1282,""),"")</f>
        <v>C17</v>
      </c>
      <c r="B1287" s="63">
        <f t="shared" ref="B1287:B1350" si="183">IF(C1287&lt;&gt;"",MONTH(C1287),"")</f>
        <v>2</v>
      </c>
      <c r="C1287" s="64">
        <v>42426</v>
      </c>
      <c r="D1287" s="64" t="s">
        <v>884</v>
      </c>
      <c r="E1287" s="64">
        <v>42426</v>
      </c>
      <c r="F1287" s="512" t="s">
        <v>1008</v>
      </c>
      <c r="G1287" s="67" t="s">
        <v>1030</v>
      </c>
      <c r="H1287" s="72" t="s">
        <v>1031</v>
      </c>
      <c r="I1287" s="437"/>
      <c r="J1287" s="437"/>
      <c r="K1287" s="428"/>
      <c r="L1287" s="437"/>
      <c r="M1287" s="65">
        <v>822727</v>
      </c>
      <c r="N1287" s="66" t="s">
        <v>9</v>
      </c>
      <c r="O1287" s="66" t="s">
        <v>63</v>
      </c>
      <c r="P1287" s="82" t="str">
        <f>IF(AND('331-CT'!$E$7=TH!H1282,OR(N1287="331",O1287="331")),"x","")</f>
        <v/>
      </c>
      <c r="Q1287" s="82" t="str">
        <f>IF(AND(B1287='111'!$L$11,OR($N1287=$Q$7,$O1287=$Q$7)),"x","")</f>
        <v/>
      </c>
      <c r="R1287" s="82" t="str">
        <f>IF(AND($N1287=$Q$7,$B1287&lt;'111'!$L$11),"x","")</f>
        <v/>
      </c>
      <c r="S1287" s="82" t="str">
        <f>IF(AND($O1287=$Q$7,$B1287&lt;'111'!$L$11),"x","")</f>
        <v>x</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IF(OR(TH!N1282=TH!$X$7,O1287=TH!$X$7),"x","")</f>
        <v>x</v>
      </c>
      <c r="Y1287" s="82" t="str">
        <f>IF(AND(OR(N1287="131",O1287="131"),H1287='131-CT'!$H$9),"x","")</f>
        <v/>
      </c>
      <c r="Z1287" s="82"/>
      <c r="AA1287" s="82" t="str">
        <f>IF(AND(MONTH(E1287)='IN-NX'!$J$5,'IN-NX'!$D$7=D1287),"x","")</f>
        <v/>
      </c>
      <c r="AB1287" s="82" t="str">
        <f>IF(AND(OR(LEFT(TH!N1282,2)="15",LEFT(TH!O1282,2)="15"),LEFT(TH!O1282,3)&lt;&gt;"111",'152-CT'!$J$8=TH!F1282),"x","")</f>
        <v/>
      </c>
      <c r="AC1287" s="82" t="str">
        <f>IF(AND(OR(LEFT(TH!N1282,2)="15",LEFT(TH!O1282,2)="15"),TK!$E$7=TH!F1282),"x","")</f>
        <v/>
      </c>
      <c r="AD1287" s="82" t="str">
        <f>IF(AND(N1287="1521",MONTH(C1287)='BK-NL'!$M$11),"x","")</f>
        <v/>
      </c>
    </row>
    <row r="1288" spans="1:32" ht="15.75" customHeight="1">
      <c r="A1288" s="334" t="str">
        <f>IF(B1288&lt;&gt;"",IF(AND(B1288='IN-TC'!$S$4,OR(TH!N1283="1111",TH!O1283="1111")),TH!D1283,""),"")</f>
        <v>C18</v>
      </c>
      <c r="B1288" s="63">
        <f t="shared" si="183"/>
        <v>2</v>
      </c>
      <c r="C1288" s="64">
        <v>42427</v>
      </c>
      <c r="D1288" s="64" t="s">
        <v>885</v>
      </c>
      <c r="E1288" s="64">
        <v>42427</v>
      </c>
      <c r="F1288" s="512" t="s">
        <v>1009</v>
      </c>
      <c r="G1288" s="67" t="s">
        <v>1032</v>
      </c>
      <c r="H1288" s="72" t="s">
        <v>1033</v>
      </c>
      <c r="I1288" s="437"/>
      <c r="J1288" s="437"/>
      <c r="K1288" s="428"/>
      <c r="L1288" s="437"/>
      <c r="M1288" s="65">
        <v>2100000</v>
      </c>
      <c r="N1288" s="66" t="s">
        <v>101</v>
      </c>
      <c r="O1288" s="66" t="s">
        <v>63</v>
      </c>
      <c r="P1288" s="82" t="str">
        <f>IF(AND('331-CT'!$E$7=TH!H1283,OR(N1288="331",O1288="331")),"x","")</f>
        <v/>
      </c>
      <c r="Q1288" s="82" t="str">
        <f>IF(AND(B1288='111'!$L$11,OR($N1288=$Q$7,$O1288=$Q$7)),"x","")</f>
        <v/>
      </c>
      <c r="R1288" s="82" t="str">
        <f>IF(AND($N1288=$Q$7,$B1288&lt;'111'!$L$11),"x","")</f>
        <v/>
      </c>
      <c r="S1288" s="82" t="str">
        <f>IF(AND($O1288=$Q$7,$B1288&lt;'111'!$L$11),"x","")</f>
        <v>x</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IF(OR(TH!N1283=TH!$X$7,O1288=TH!$X$7),"x","")</f>
        <v/>
      </c>
      <c r="Y1288" s="82" t="str">
        <f>IF(AND(OR(N1288="131",O1288="131"),H1288='131-CT'!$H$9),"x","")</f>
        <v/>
      </c>
      <c r="Z1288" s="82"/>
      <c r="AA1288" s="82" t="str">
        <f>IF(AND(MONTH(E1288)='IN-NX'!$J$5,'IN-NX'!$D$7=D1288),"x","")</f>
        <v/>
      </c>
      <c r="AB1288" s="82" t="str">
        <f>IF(AND(OR(LEFT(TH!N1283,2)="15",LEFT(TH!O1283,2)="15"),LEFT(TH!O1283,3)&lt;&gt;"111",'152-CT'!$J$8=TH!F1283),"x","")</f>
        <v/>
      </c>
      <c r="AC1288" s="82" t="str">
        <f>IF(AND(OR(LEFT(TH!N1283,2)="15",LEFT(TH!O1283,2)="15"),TK!$E$7=TH!F1283),"x","")</f>
        <v/>
      </c>
      <c r="AD1288" s="82" t="str">
        <f>IF(AND(N1288="1521",MONTH(C1288)='BK-NL'!$M$11),"x","")</f>
        <v/>
      </c>
    </row>
    <row r="1289" spans="1:32" ht="15.75" customHeight="1">
      <c r="A1289" s="334" t="str">
        <f>IF(B1289&lt;&gt;"",IF(AND(B1289='IN-TC'!$S$4,OR(TH!N1284="1111",TH!O1284="1111")),TH!D1284,""),"")</f>
        <v>C19</v>
      </c>
      <c r="B1289" s="63">
        <f t="shared" si="183"/>
        <v>2</v>
      </c>
      <c r="C1289" s="64">
        <v>42427</v>
      </c>
      <c r="D1289" s="64" t="s">
        <v>885</v>
      </c>
      <c r="E1289" s="64">
        <v>42427</v>
      </c>
      <c r="F1289" s="512" t="s">
        <v>1000</v>
      </c>
      <c r="G1289" s="67" t="s">
        <v>1034</v>
      </c>
      <c r="H1289" s="72" t="s">
        <v>805</v>
      </c>
      <c r="I1289" s="437"/>
      <c r="J1289" s="437"/>
      <c r="K1289" s="428"/>
      <c r="L1289" s="437"/>
      <c r="M1289" s="65">
        <v>512318</v>
      </c>
      <c r="N1289" s="66" t="s">
        <v>101</v>
      </c>
      <c r="O1289" s="66" t="s">
        <v>63</v>
      </c>
      <c r="P1289" s="82" t="str">
        <f>IF(AND('331-CT'!$E$7=TH!H1284,OR(N1289="331",O1289="331")),"x","")</f>
        <v/>
      </c>
      <c r="Q1289" s="82" t="str">
        <f>IF(AND(B1289='111'!$L$11,OR($N1289=$Q$7,$O1289=$Q$7)),"x","")</f>
        <v/>
      </c>
      <c r="R1289" s="82" t="str">
        <f>IF(AND($N1289=$Q$7,$B1289&lt;'111'!$L$11),"x","")</f>
        <v/>
      </c>
      <c r="S1289" s="82" t="str">
        <f>IF(AND($O1289=$Q$7,$B1289&lt;'111'!$L$11),"x","")</f>
        <v>x</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IF(OR(TH!N1284=TH!$X$7,O1289=TH!$X$7),"x","")</f>
        <v/>
      </c>
      <c r="Y1289" s="82" t="str">
        <f>IF(AND(OR(N1289="131",O1289="131"),H1289='131-CT'!$H$9),"x","")</f>
        <v/>
      </c>
      <c r="Z1289" s="82"/>
      <c r="AA1289" s="82" t="str">
        <f>IF(AND(MONTH(E1289)='IN-NX'!$J$5,'IN-NX'!$D$7=D1289),"x","")</f>
        <v/>
      </c>
      <c r="AB1289" s="82" t="str">
        <f>IF(AND(OR(LEFT(TH!N1284,2)="15",LEFT(TH!O1284,2)="15"),LEFT(TH!O1284,3)&lt;&gt;"111",'152-CT'!$J$8=TH!F1284),"x","")</f>
        <v/>
      </c>
      <c r="AC1289" s="82" t="str">
        <f>IF(AND(OR(LEFT(TH!N1284,2)="15",LEFT(TH!O1284,2)="15"),TK!$E$7=TH!F1284),"x","")</f>
        <v/>
      </c>
      <c r="AD1289" s="82" t="str">
        <f>IF(AND(N1289="1521",MONTH(C1289)='BK-NL'!$M$11),"x","")</f>
        <v/>
      </c>
    </row>
    <row r="1290" spans="1:32" ht="15.75" customHeight="1">
      <c r="A1290" s="334" t="str">
        <f>IF(B1290&lt;&gt;"",IF(AND(B1290='IN-TC'!$S$4,OR(TH!N1285="1111",TH!O1285="1111")),TH!D1285,""),"")</f>
        <v>C19</v>
      </c>
      <c r="B1290" s="63">
        <f t="shared" si="183"/>
        <v>2</v>
      </c>
      <c r="C1290" s="64">
        <v>42427</v>
      </c>
      <c r="D1290" s="64" t="s">
        <v>886</v>
      </c>
      <c r="E1290" s="64">
        <v>42427</v>
      </c>
      <c r="F1290" s="512" t="s">
        <v>1001</v>
      </c>
      <c r="G1290" s="67" t="s">
        <v>1034</v>
      </c>
      <c r="H1290" s="72" t="s">
        <v>805</v>
      </c>
      <c r="I1290" s="437"/>
      <c r="J1290" s="437"/>
      <c r="K1290" s="428"/>
      <c r="L1290" s="437"/>
      <c r="M1290" s="65">
        <v>51232</v>
      </c>
      <c r="N1290" s="66" t="s">
        <v>9</v>
      </c>
      <c r="O1290" s="66" t="s">
        <v>63</v>
      </c>
      <c r="P1290" s="82" t="str">
        <f>IF(AND('331-CT'!$E$7=TH!H1285,OR(N1290="331",O1290="331")),"x","")</f>
        <v/>
      </c>
      <c r="Q1290" s="82" t="str">
        <f>IF(AND(B1290='111'!$L$11,OR($N1290=$Q$7,$O1290=$Q$7)),"x","")</f>
        <v/>
      </c>
      <c r="R1290" s="82" t="str">
        <f>IF(AND($N1290=$Q$7,$B1290&lt;'111'!$L$11),"x","")</f>
        <v/>
      </c>
      <c r="S1290" s="82" t="str">
        <f>IF(AND($O1290=$Q$7,$B1290&lt;'111'!$L$11),"x","")</f>
        <v>x</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IF(OR(TH!N1285=TH!$X$7,O1290=TH!$X$7),"x","")</f>
        <v>x</v>
      </c>
      <c r="Y1290" s="82" t="str">
        <f>IF(AND(OR(N1290="131",O1290="131"),H1290='131-CT'!$H$9),"x","")</f>
        <v/>
      </c>
      <c r="Z1290" s="82"/>
      <c r="AA1290" s="82" t="str">
        <f>IF(AND(MONTH(E1290)='IN-NX'!$J$5,'IN-NX'!$D$7=D1290),"x","")</f>
        <v/>
      </c>
      <c r="AB1290" s="82" t="str">
        <f>IF(AND(OR(LEFT(TH!N1285,2)="15",LEFT(TH!O1285,2)="15"),LEFT(TH!O1285,3)&lt;&gt;"111",'152-CT'!$J$8=TH!F1285),"x","")</f>
        <v/>
      </c>
      <c r="AC1290" s="82" t="str">
        <f>IF(AND(OR(LEFT(TH!N1285,2)="15",LEFT(TH!O1285,2)="15"),TK!$E$7=TH!F1285),"x","")</f>
        <v/>
      </c>
      <c r="AD1290" s="82" t="str">
        <f>IF(AND(N1290="1521",MONTH(C1290)='BK-NL'!$M$11),"x","")</f>
        <v/>
      </c>
    </row>
    <row r="1291" spans="1:32" ht="15.75" customHeight="1">
      <c r="A1291" s="334" t="str">
        <f>IF(B1291&lt;&gt;"",IF(AND(B1291='IN-TC'!$S$4,OR(TH!N1286="1111",TH!O1286="1111")),TH!D1286,""),"")</f>
        <v>C20</v>
      </c>
      <c r="B1291" s="63">
        <f t="shared" si="183"/>
        <v>2</v>
      </c>
      <c r="C1291" s="64">
        <v>42429</v>
      </c>
      <c r="D1291" s="64" t="s">
        <v>886</v>
      </c>
      <c r="E1291" s="64">
        <v>42429</v>
      </c>
      <c r="F1291" s="512" t="s">
        <v>1010</v>
      </c>
      <c r="G1291" s="67" t="s">
        <v>1035</v>
      </c>
      <c r="H1291" s="72" t="s">
        <v>811</v>
      </c>
      <c r="I1291" s="437"/>
      <c r="J1291" s="437"/>
      <c r="K1291" s="428"/>
      <c r="L1291" s="437"/>
      <c r="M1291" s="65">
        <v>945909</v>
      </c>
      <c r="N1291" s="66" t="s">
        <v>101</v>
      </c>
      <c r="O1291" s="66" t="s">
        <v>63</v>
      </c>
      <c r="P1291" s="82" t="str">
        <f>IF(AND('331-CT'!$E$7=TH!H1286,OR(N1291="331",O1291="331")),"x","")</f>
        <v/>
      </c>
      <c r="Q1291" s="82" t="str">
        <f>IF(AND(B1291='111'!$L$11,OR($N1291=$Q$7,$O1291=$Q$7)),"x","")</f>
        <v/>
      </c>
      <c r="R1291" s="82" t="str">
        <f>IF(AND($N1291=$Q$7,$B1291&lt;'111'!$L$11),"x","")</f>
        <v/>
      </c>
      <c r="S1291" s="82" t="str">
        <f>IF(AND($O1291=$Q$7,$B1291&lt;'111'!$L$11),"x","")</f>
        <v>x</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IF(OR(TH!N1286=TH!$X$7,O1291=TH!$X$7),"x","")</f>
        <v/>
      </c>
      <c r="Y1291" s="82" t="str">
        <f>IF(AND(OR(N1291="131",O1291="131"),H1291='131-CT'!$H$9),"x","")</f>
        <v/>
      </c>
      <c r="Z1291" s="82"/>
      <c r="AA1291" s="82" t="str">
        <f>IF(AND(MONTH(E1291)='IN-NX'!$J$5,'IN-NX'!$D$7=D1291),"x","")</f>
        <v/>
      </c>
      <c r="AB1291" s="82" t="str">
        <f>IF(AND(OR(LEFT(TH!N1286,2)="15",LEFT(TH!O1286,2)="15"),LEFT(TH!O1286,3)&lt;&gt;"111",'152-CT'!$J$8=TH!F1286),"x","")</f>
        <v/>
      </c>
      <c r="AC1291" s="82" t="str">
        <f>IF(AND(OR(LEFT(TH!N1286,2)="15",LEFT(TH!O1286,2)="15"),TK!$E$7=TH!F1286),"x","")</f>
        <v/>
      </c>
      <c r="AD1291" s="82" t="str">
        <f>IF(AND(N1291="1521",MONTH(C1291)='BK-NL'!$M$11),"x","")</f>
        <v/>
      </c>
    </row>
    <row r="1292" spans="1:32" s="345" customFormat="1" ht="15.75" customHeight="1">
      <c r="A1292" s="334" t="str">
        <f>IF(B1292&lt;&gt;"",IF(AND(B1292='IN-TC'!$S$4,OR(TH!N1287="1111",TH!O1287="1111")),TH!D1287,""),"")</f>
        <v>C20</v>
      </c>
      <c r="B1292" s="63">
        <f t="shared" si="183"/>
        <v>2</v>
      </c>
      <c r="C1292" s="64">
        <v>42429</v>
      </c>
      <c r="D1292" s="64" t="s">
        <v>886</v>
      </c>
      <c r="E1292" s="64">
        <v>42429</v>
      </c>
      <c r="F1292" s="512" t="s">
        <v>1011</v>
      </c>
      <c r="G1292" s="67" t="s">
        <v>1035</v>
      </c>
      <c r="H1292" s="72" t="s">
        <v>811</v>
      </c>
      <c r="I1292" s="437"/>
      <c r="J1292" s="437"/>
      <c r="K1292" s="428"/>
      <c r="L1292" s="437"/>
      <c r="M1292" s="65">
        <v>94591</v>
      </c>
      <c r="N1292" s="66" t="s">
        <v>9</v>
      </c>
      <c r="O1292" s="66" t="s">
        <v>63</v>
      </c>
      <c r="P1292" s="82" t="str">
        <f>IF(AND('331-CT'!$E$7=TH!H1287,OR(N1292="331",O1292="331")),"x","")</f>
        <v/>
      </c>
      <c r="Q1292" s="82" t="str">
        <f>IF(AND(B1292='111'!$L$11,OR($N1292=$Q$7,$O1292=$Q$7)),"x","")</f>
        <v/>
      </c>
      <c r="R1292" s="82" t="str">
        <f>IF(AND($N1292=$Q$7,$B1292&lt;'111'!$L$11),"x","")</f>
        <v/>
      </c>
      <c r="S1292" s="82" t="str">
        <f>IF(AND($O1292=$Q$7,$B1292&lt;'111'!$L$11),"x","")</f>
        <v>x</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IF(OR(TH!N1287=TH!$X$7,O1292=TH!$X$7),"x","")</f>
        <v>x</v>
      </c>
      <c r="Y1292" s="82" t="str">
        <f>IF(AND(OR(N1292="131",O1292="131"),H1292='131-CT'!$H$9),"x","")</f>
        <v/>
      </c>
      <c r="Z1292" s="82"/>
      <c r="AA1292" s="82" t="str">
        <f>IF(AND(MONTH(E1292)='IN-NX'!$J$5,'IN-NX'!$D$7=D1292),"x","")</f>
        <v/>
      </c>
      <c r="AB1292" s="82" t="str">
        <f>IF(AND(OR(LEFT(TH!N1287,2)="15",LEFT(TH!O1287,2)="15"),LEFT(TH!O1287,3)&lt;&gt;"111",'152-CT'!$J$8=TH!F1287),"x","")</f>
        <v/>
      </c>
      <c r="AC1292" s="82" t="str">
        <f>IF(AND(OR(LEFT(TH!N1287,2)="15",LEFT(TH!O1287,2)="15"),TK!$E$7=TH!F1287),"x","")</f>
        <v/>
      </c>
      <c r="AD1292" s="82" t="str">
        <f>IF(AND(N1292="1521",MONTH(C1292)='BK-NL'!$M$11),"x","")</f>
        <v/>
      </c>
      <c r="AE1292" s="328"/>
      <c r="AF1292" s="328"/>
    </row>
    <row r="1293" spans="1:32" ht="15.75" customHeight="1">
      <c r="A1293" s="334" t="str">
        <f>IF(B1293&lt;&gt;"",IF(AND(B1293='IN-TC'!$S$4,OR(TH!N1288="1111",TH!O1288="1111")),TH!D1288,""),"")</f>
        <v>C21</v>
      </c>
      <c r="B1293" s="63">
        <f t="shared" si="183"/>
        <v>2</v>
      </c>
      <c r="C1293" s="64">
        <v>42429</v>
      </c>
      <c r="D1293" s="64" t="s">
        <v>887</v>
      </c>
      <c r="E1293" s="64">
        <v>42429</v>
      </c>
      <c r="F1293" s="512" t="s">
        <v>996</v>
      </c>
      <c r="G1293" s="67" t="s">
        <v>1036</v>
      </c>
      <c r="H1293" s="72" t="s">
        <v>828</v>
      </c>
      <c r="I1293" s="437"/>
      <c r="J1293" s="437"/>
      <c r="K1293" s="428"/>
      <c r="L1293" s="437"/>
      <c r="M1293" s="65">
        <v>500000</v>
      </c>
      <c r="N1293" s="66" t="s">
        <v>101</v>
      </c>
      <c r="O1293" s="66" t="s">
        <v>63</v>
      </c>
      <c r="P1293" s="82" t="str">
        <f>IF(AND('331-CT'!$E$7=TH!H1288,OR(N1293="331",O1293="331")),"x","")</f>
        <v/>
      </c>
      <c r="Q1293" s="82" t="str">
        <f>IF(AND(B1293='111'!$L$11,OR($N1293=$Q$7,$O1293=$Q$7)),"x","")</f>
        <v/>
      </c>
      <c r="R1293" s="82" t="str">
        <f>IF(AND($N1293=$Q$7,$B1293&lt;'111'!$L$11),"x","")</f>
        <v/>
      </c>
      <c r="S1293" s="82" t="str">
        <f>IF(AND($O1293=$Q$7,$B1293&lt;'111'!$L$11),"x","")</f>
        <v>x</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IF(OR(TH!N1288=TH!$X$7,O1293=TH!$X$7),"x","")</f>
        <v/>
      </c>
      <c r="Y1293" s="82" t="str">
        <f>IF(AND(OR(N1293="131",O1293="131"),H1293='131-CT'!$H$9),"x","")</f>
        <v/>
      </c>
      <c r="Z1293" s="82"/>
      <c r="AA1293" s="82" t="str">
        <f>IF(AND(MONTH(E1293)='IN-NX'!$J$5,'IN-NX'!$D$7=D1293),"x","")</f>
        <v/>
      </c>
      <c r="AB1293" s="82" t="str">
        <f>IF(AND(OR(LEFT(TH!N1288,2)="15",LEFT(TH!O1288,2)="15"),LEFT(TH!O1288,3)&lt;&gt;"111",'152-CT'!$J$8=TH!F1288),"x","")</f>
        <v/>
      </c>
      <c r="AC1293" s="82" t="str">
        <f>IF(AND(OR(LEFT(TH!N1288,2)="15",LEFT(TH!O1288,2)="15"),TK!$E$7=TH!F1288),"x","")</f>
        <v/>
      </c>
      <c r="AD1293" s="82" t="str">
        <f>IF(AND(N1293="1521",MONTH(C1293)='BK-NL'!$M$11),"x","")</f>
        <v/>
      </c>
    </row>
    <row r="1294" spans="1:32" ht="15.75" customHeight="1">
      <c r="A1294" s="334" t="str">
        <f>IF(B1294&lt;&gt;"",IF(AND(B1294='IN-TC'!$S$4,OR(TH!N1289="1111",TH!O1289="1111")),TH!D1289,""),"")</f>
        <v>C21</v>
      </c>
      <c r="B1294" s="63">
        <f t="shared" si="183"/>
        <v>2</v>
      </c>
      <c r="C1294" s="64">
        <v>42429</v>
      </c>
      <c r="D1294" s="64" t="s">
        <v>888</v>
      </c>
      <c r="E1294" s="64">
        <v>42429</v>
      </c>
      <c r="F1294" s="512" t="s">
        <v>997</v>
      </c>
      <c r="G1294" s="67" t="s">
        <v>1036</v>
      </c>
      <c r="H1294" s="72" t="s">
        <v>828</v>
      </c>
      <c r="I1294" s="437"/>
      <c r="J1294" s="437"/>
      <c r="K1294" s="428"/>
      <c r="L1294" s="437"/>
      <c r="M1294" s="65">
        <v>25000</v>
      </c>
      <c r="N1294" s="66" t="s">
        <v>9</v>
      </c>
      <c r="O1294" s="66" t="s">
        <v>63</v>
      </c>
      <c r="P1294" s="82" t="str">
        <f>IF(AND('331-CT'!$E$7=TH!H1289,OR(N1294="331",O1294="331")),"x","")</f>
        <v/>
      </c>
      <c r="Q1294" s="82" t="str">
        <f>IF(AND(B1294='111'!$L$11,OR($N1294=$Q$7,$O1294=$Q$7)),"x","")</f>
        <v/>
      </c>
      <c r="R1294" s="82" t="str">
        <f>IF(AND($N1294=$Q$7,$B1294&lt;'111'!$L$11),"x","")</f>
        <v/>
      </c>
      <c r="S1294" s="82" t="str">
        <f>IF(AND($O1294=$Q$7,$B1294&lt;'111'!$L$11),"x","")</f>
        <v>x</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IF(OR(TH!N1289=TH!$X$7,O1294=TH!$X$7),"x","")</f>
        <v/>
      </c>
      <c r="Y1294" s="82" t="str">
        <f>IF(AND(OR(N1294="131",O1294="131"),H1294='131-CT'!$H$9),"x","")</f>
        <v/>
      </c>
      <c r="Z1294" s="82"/>
      <c r="AA1294" s="82" t="str">
        <f>IF(AND(MONTH(E1294)='IN-NX'!$J$5,'IN-NX'!$D$7=D1294),"x","")</f>
        <v/>
      </c>
      <c r="AB1294" s="82" t="str">
        <f>IF(AND(OR(LEFT(TH!N1289,2)="15",LEFT(TH!O1289,2)="15"),LEFT(TH!O1289,3)&lt;&gt;"111",'152-CT'!$J$8=TH!F1289),"x","")</f>
        <v/>
      </c>
      <c r="AC1294" s="82" t="str">
        <f>IF(AND(OR(LEFT(TH!N1289,2)="15",LEFT(TH!O1289,2)="15"),TK!$E$7=TH!F1289),"x","")</f>
        <v/>
      </c>
      <c r="AD1294" s="82" t="str">
        <f>IF(AND(N1294="1521",MONTH(C1294)='BK-NL'!$M$11),"x","")</f>
        <v/>
      </c>
    </row>
    <row r="1295" spans="1:32" ht="15.75" customHeight="1">
      <c r="A1295" s="334" t="str">
        <f>IF(B1295&lt;&gt;"",IF(AND(B1295='IN-TC'!$S$4,OR(TH!N1295="1111",TH!O1295="1111")),TH!D1295,""),"")</f>
        <v/>
      </c>
      <c r="B1295" s="63">
        <f t="shared" si="183"/>
        <v>3</v>
      </c>
      <c r="C1295" s="316">
        <v>42430</v>
      </c>
      <c r="D1295" s="316" t="s">
        <v>864</v>
      </c>
      <c r="E1295" s="316">
        <v>42400</v>
      </c>
      <c r="F1295" s="512" t="s">
        <v>1177</v>
      </c>
      <c r="G1295" s="972" t="s">
        <v>1179</v>
      </c>
      <c r="H1295" s="72" t="s">
        <v>799</v>
      </c>
      <c r="I1295" s="437"/>
      <c r="J1295" s="437"/>
      <c r="K1295" s="428"/>
      <c r="L1295" s="437"/>
      <c r="M1295" s="65">
        <v>80705</v>
      </c>
      <c r="N1295" s="66" t="s">
        <v>101</v>
      </c>
      <c r="O1295" s="66" t="s">
        <v>63</v>
      </c>
      <c r="P1295" s="82" t="str">
        <f>IF(AND('331-CT'!$E$7=TH!H1295,OR(N1295="331",O1295="331")),"x","")</f>
        <v/>
      </c>
      <c r="Q1295" s="82" t="str">
        <f>IF(AND(B1295='111'!$L$11,OR($N1295=$Q$7,$O1295=$Q$7)),"x","")</f>
        <v/>
      </c>
      <c r="R1295" s="82" t="str">
        <f>IF(AND($N1295=$Q$7,$B1295&lt;'111'!$L$11),"x","")</f>
        <v/>
      </c>
      <c r="S1295" s="82" t="str">
        <f>IF(AND($O1295=$Q$7,$B1295&lt;'111'!$L$11),"x","")</f>
        <v>x</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349"/>
    </row>
    <row r="1296" spans="1:32" ht="15.75" customHeight="1">
      <c r="A1296" s="334" t="str">
        <f>IF(B1296&lt;&gt;"",IF(AND(B1296='IN-TC'!$S$4,OR(TH!N1296="1111",TH!O1296="1111")),TH!D1296,""),"")</f>
        <v/>
      </c>
      <c r="B1296" s="63">
        <f t="shared" si="183"/>
        <v>3</v>
      </c>
      <c r="C1296" s="316">
        <v>42430</v>
      </c>
      <c r="D1296" s="316" t="s">
        <v>864</v>
      </c>
      <c r="E1296" s="316">
        <v>42400</v>
      </c>
      <c r="F1296" s="512" t="s">
        <v>1178</v>
      </c>
      <c r="G1296" s="972" t="s">
        <v>1179</v>
      </c>
      <c r="H1296" s="72" t="s">
        <v>799</v>
      </c>
      <c r="I1296" s="437"/>
      <c r="J1296" s="437"/>
      <c r="K1296" s="428"/>
      <c r="L1296" s="437"/>
      <c r="M1296" s="65">
        <v>8071</v>
      </c>
      <c r="N1296" s="66" t="s">
        <v>9</v>
      </c>
      <c r="O1296" s="66" t="s">
        <v>63</v>
      </c>
      <c r="P1296" s="82" t="str">
        <f>IF(AND('331-CT'!$E$7=TH!H1296,OR(N1296="331",O1296="331")),"x","")</f>
        <v/>
      </c>
      <c r="Q1296" s="82" t="str">
        <f>IF(AND(B1296='111'!$L$11,OR($N1296=$Q$7,$O1296=$Q$7)),"x","")</f>
        <v/>
      </c>
      <c r="R1296" s="82" t="str">
        <f>IF(AND($N1296=$Q$7,$B1296&lt;'111'!$L$11),"x","")</f>
        <v/>
      </c>
      <c r="S1296" s="82" t="str">
        <f>IF(AND($O1296=$Q$7,$B1296&lt;'111'!$L$11),"x","")</f>
        <v>x</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x</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c r="AE1296" s="349"/>
    </row>
    <row r="1297" spans="1:31" ht="15.75" customHeight="1">
      <c r="A1297" s="334" t="str">
        <f>IF(B1297&lt;&gt;"",IF(AND(B1297='IN-TC'!$S$4,OR(TH!N1297="1111",TH!O1297="1111")),TH!D1297,""),"")</f>
        <v/>
      </c>
      <c r="B1297" s="63">
        <f t="shared" si="183"/>
        <v>3</v>
      </c>
      <c r="C1297" s="316">
        <v>42430</v>
      </c>
      <c r="D1297" s="316" t="s">
        <v>865</v>
      </c>
      <c r="E1297" s="316">
        <v>42395</v>
      </c>
      <c r="F1297" s="512" t="s">
        <v>1365</v>
      </c>
      <c r="G1297" s="67" t="s">
        <v>1367</v>
      </c>
      <c r="H1297" s="72" t="s">
        <v>1368</v>
      </c>
      <c r="I1297" s="437"/>
      <c r="J1297" s="437"/>
      <c r="K1297" s="428"/>
      <c r="L1297" s="437"/>
      <c r="M1297" s="65">
        <v>731818</v>
      </c>
      <c r="N1297" s="66" t="s">
        <v>101</v>
      </c>
      <c r="O1297" s="66" t="s">
        <v>63</v>
      </c>
      <c r="P1297" s="82" t="str">
        <f>IF(AND('331-CT'!$E$7=TH!H1297,OR(N1297="331",O1297="331")),"x","")</f>
        <v/>
      </c>
      <c r="Q1297" s="82" t="str">
        <f>IF(AND(B1297='111'!$L$11,OR($N1297=$Q$7,$O1297=$Q$7)),"x","")</f>
        <v/>
      </c>
      <c r="R1297" s="82" t="str">
        <f>IF(AND($N1297=$Q$7,$B1297&lt;'111'!$L$11),"x","")</f>
        <v/>
      </c>
      <c r="S1297" s="82" t="str">
        <f>IF(AND($O1297=$Q$7,$B1297&lt;'111'!$L$11),"x","")</f>
        <v>x</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c r="AE1297" s="349"/>
    </row>
    <row r="1298" spans="1:31" ht="15.75" customHeight="1">
      <c r="A1298" s="334" t="str">
        <f>IF(B1298&lt;&gt;"",IF(AND(B1298='IN-TC'!$S$4,OR(TH!N1298="1111",TH!O1298="1111")),TH!D1298,""),"")</f>
        <v/>
      </c>
      <c r="B1298" s="63">
        <f t="shared" si="183"/>
        <v>3</v>
      </c>
      <c r="C1298" s="316">
        <v>42430</v>
      </c>
      <c r="D1298" s="316" t="s">
        <v>865</v>
      </c>
      <c r="E1298" s="316">
        <v>42395</v>
      </c>
      <c r="F1298" s="512" t="s">
        <v>1366</v>
      </c>
      <c r="G1298" s="67" t="s">
        <v>1367</v>
      </c>
      <c r="H1298" s="72" t="s">
        <v>1368</v>
      </c>
      <c r="I1298" s="437"/>
      <c r="J1298" s="437"/>
      <c r="K1298" s="428"/>
      <c r="L1298" s="437"/>
      <c r="M1298" s="65">
        <v>73182</v>
      </c>
      <c r="N1298" s="66" t="s">
        <v>9</v>
      </c>
      <c r="O1298" s="66" t="s">
        <v>63</v>
      </c>
      <c r="P1298" s="82" t="str">
        <f>IF(AND('331-CT'!$E$7=TH!H1298,OR(N1298="331",O1298="331")),"x","")</f>
        <v/>
      </c>
      <c r="Q1298" s="82" t="str">
        <f>IF(AND(B1298='111'!$L$11,OR($N1298=$Q$7,$O1298=$Q$7)),"x","")</f>
        <v/>
      </c>
      <c r="R1298" s="82" t="str">
        <f>IF(AND($N1298=$Q$7,$B1298&lt;'111'!$L$11),"x","")</f>
        <v/>
      </c>
      <c r="S1298" s="82" t="str">
        <f>IF(AND($O1298=$Q$7,$B1298&lt;'111'!$L$11),"x","")</f>
        <v>x</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x</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349"/>
    </row>
    <row r="1299" spans="1:31" ht="15.75" customHeight="1">
      <c r="A1299" s="334" t="str">
        <f>IF(B1299&lt;&gt;"",IF(AND(B1299='IN-TC'!$S$4,OR(TH!N1299="1111",TH!O1299="1111")),TH!D1299,""),"")</f>
        <v/>
      </c>
      <c r="B1299" s="63">
        <f t="shared" si="183"/>
        <v>3</v>
      </c>
      <c r="C1299" s="316">
        <v>42430</v>
      </c>
      <c r="D1299" s="316" t="s">
        <v>866</v>
      </c>
      <c r="E1299" s="316">
        <v>42397</v>
      </c>
      <c r="F1299" s="512" t="s">
        <v>1375</v>
      </c>
      <c r="G1299" s="972" t="s">
        <v>1377</v>
      </c>
      <c r="H1299" s="72" t="s">
        <v>1378</v>
      </c>
      <c r="I1299" s="437"/>
      <c r="J1299" s="437"/>
      <c r="K1299" s="428"/>
      <c r="L1299" s="437"/>
      <c r="M1299" s="65">
        <v>17766750</v>
      </c>
      <c r="N1299" s="66" t="s">
        <v>101</v>
      </c>
      <c r="O1299" s="66" t="s">
        <v>63</v>
      </c>
      <c r="P1299" s="82" t="str">
        <f>IF(AND('331-CT'!$E$7=TH!H1299,OR(N1299="331",O1299="331")),"x","")</f>
        <v/>
      </c>
      <c r="Q1299" s="82" t="str">
        <f>IF(AND(B1299='111'!$L$11,OR($N1299=$Q$7,$O1299=$Q$7)),"x","")</f>
        <v/>
      </c>
      <c r="R1299" s="82" t="str">
        <f>IF(AND($N1299=$Q$7,$B1299&lt;'111'!$L$11),"x","")</f>
        <v/>
      </c>
      <c r="S1299" s="82" t="str">
        <f>IF(AND($O1299=$Q$7,$B1299&lt;'111'!$L$11),"x","")</f>
        <v>x</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349"/>
    </row>
    <row r="1300" spans="1:31" ht="15.75" customHeight="1">
      <c r="A1300" s="334" t="str">
        <f>IF(B1300&lt;&gt;"",IF(AND(B1300='IN-TC'!$S$4,OR(TH!N1300="1111",TH!O1300="1111")),TH!D1300,""),"")</f>
        <v/>
      </c>
      <c r="B1300" s="63">
        <f t="shared" si="183"/>
        <v>3</v>
      </c>
      <c r="C1300" s="316">
        <v>42430</v>
      </c>
      <c r="D1300" s="316" t="s">
        <v>866</v>
      </c>
      <c r="E1300" s="316">
        <v>42397</v>
      </c>
      <c r="F1300" s="512" t="s">
        <v>1376</v>
      </c>
      <c r="G1300" s="972" t="s">
        <v>1377</v>
      </c>
      <c r="H1300" s="72" t="s">
        <v>1378</v>
      </c>
      <c r="I1300" s="437"/>
      <c r="J1300" s="437"/>
      <c r="K1300" s="428"/>
      <c r="L1300" s="437"/>
      <c r="M1300" s="65">
        <v>1078675</v>
      </c>
      <c r="N1300" s="66" t="s">
        <v>9</v>
      </c>
      <c r="O1300" s="66" t="s">
        <v>63</v>
      </c>
      <c r="P1300" s="82" t="str">
        <f>IF(AND('331-CT'!$E$7=TH!H1300,OR(N1300="331",O1300="331")),"x","")</f>
        <v/>
      </c>
      <c r="Q1300" s="82" t="str">
        <f>IF(AND(B1300='111'!$L$11,OR($N1300=$Q$7,$O1300=$Q$7)),"x","")</f>
        <v/>
      </c>
      <c r="R1300" s="82" t="str">
        <f>IF(AND($N1300=$Q$7,$B1300&lt;'111'!$L$11),"x","")</f>
        <v/>
      </c>
      <c r="S1300" s="82" t="str">
        <f>IF(AND($O1300=$Q$7,$B1300&lt;'111'!$L$11),"x","")</f>
        <v>x</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x</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c r="AE1300" s="349"/>
    </row>
    <row r="1301" spans="1:31" s="349" customFormat="1" ht="15.75" customHeight="1">
      <c r="A1301" s="334" t="str">
        <f>IF(B1301&lt;&gt;"",IF(AND(B1301='IN-TC'!$S$4,OR(TH!N1301="1111",TH!O1301="1111")),TH!D1301,""),"")</f>
        <v/>
      </c>
      <c r="B1301" s="63">
        <f t="shared" si="183"/>
        <v>3</v>
      </c>
      <c r="C1301" s="316">
        <v>42430</v>
      </c>
      <c r="D1301" s="316" t="s">
        <v>867</v>
      </c>
      <c r="E1301" s="316">
        <v>42372</v>
      </c>
      <c r="F1301" s="512" t="s">
        <v>1145</v>
      </c>
      <c r="G1301" s="972" t="s">
        <v>1147</v>
      </c>
      <c r="H1301" s="72" t="s">
        <v>1148</v>
      </c>
      <c r="I1301" s="437"/>
      <c r="J1301" s="437"/>
      <c r="K1301" s="428"/>
      <c r="L1301" s="437"/>
      <c r="M1301" s="65">
        <v>17272500</v>
      </c>
      <c r="N1301" s="66" t="s">
        <v>162</v>
      </c>
      <c r="O1301" s="66" t="s">
        <v>63</v>
      </c>
      <c r="P1301" s="82" t="str">
        <f>IF(AND('331-CT'!$E$7=TH!H1301,OR(N1301="331",O1301="331")),"x","")</f>
        <v/>
      </c>
      <c r="Q1301" s="82" t="str">
        <f>IF(AND(B1301='111'!$L$11,OR($N1301=$Q$7,$O1301=$Q$7)),"x","")</f>
        <v/>
      </c>
      <c r="R1301" s="82" t="str">
        <f>IF(AND($N1301=$Q$7,$B1301&lt;'111'!$L$11),"x","")</f>
        <v/>
      </c>
      <c r="S1301" s="82" t="str">
        <f>IF(AND($O1301=$Q$7,$B1301&lt;'111'!$L$11),"x","")</f>
        <v>x</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1" s="349" customFormat="1" ht="15.75" customHeight="1">
      <c r="A1302" s="334" t="str">
        <f>IF(B1302&lt;&gt;"",IF(AND(B1302='IN-TC'!$S$4,OR(TH!N1302="1111",TH!O1302="1111")),TH!D1302,""),"")</f>
        <v/>
      </c>
      <c r="B1302" s="63">
        <f t="shared" si="183"/>
        <v>3</v>
      </c>
      <c r="C1302" s="316">
        <v>42430</v>
      </c>
      <c r="D1302" s="316" t="s">
        <v>867</v>
      </c>
      <c r="E1302" s="316">
        <v>42372</v>
      </c>
      <c r="F1302" s="512" t="s">
        <v>1146</v>
      </c>
      <c r="G1302" s="972" t="s">
        <v>1147</v>
      </c>
      <c r="H1302" s="72" t="s">
        <v>1148</v>
      </c>
      <c r="I1302" s="437"/>
      <c r="J1302" s="437"/>
      <c r="K1302" s="428"/>
      <c r="L1302" s="437"/>
      <c r="M1302" s="65">
        <v>1727250</v>
      </c>
      <c r="N1302" s="66" t="s">
        <v>9</v>
      </c>
      <c r="O1302" s="66" t="s">
        <v>63</v>
      </c>
      <c r="P1302" s="82" t="str">
        <f>IF(AND('331-CT'!$E$7=TH!H1302,OR(N1302="331",O1302="331")),"x","")</f>
        <v/>
      </c>
      <c r="Q1302" s="82" t="str">
        <f>IF(AND(B1302='111'!$L$11,OR($N1302=$Q$7,$O1302=$Q$7)),"x","")</f>
        <v/>
      </c>
      <c r="R1302" s="82" t="str">
        <f>IF(AND($N1302=$Q$7,$B1302&lt;'111'!$L$11),"x","")</f>
        <v/>
      </c>
      <c r="S1302" s="82" t="str">
        <f>IF(AND($O1302=$Q$7,$B1302&lt;'111'!$L$11),"x","")</f>
        <v>x</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x</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1" s="349" customFormat="1" ht="15.75" customHeight="1">
      <c r="A1303" s="334" t="str">
        <f>IF(B1303&lt;&gt;"",IF(AND(B1303='IN-TC'!$S$4,OR(TH!N1303="1111",TH!O1303="1111")),TH!D1303,""),"")</f>
        <v/>
      </c>
      <c r="B1303" s="63">
        <f t="shared" si="183"/>
        <v>3</v>
      </c>
      <c r="C1303" s="316">
        <v>42430</v>
      </c>
      <c r="D1303" s="316" t="s">
        <v>868</v>
      </c>
      <c r="E1303" s="316">
        <v>42416</v>
      </c>
      <c r="F1303" s="512" t="s">
        <v>766</v>
      </c>
      <c r="G1303" s="972" t="s">
        <v>1364</v>
      </c>
      <c r="H1303" s="72" t="s">
        <v>803</v>
      </c>
      <c r="I1303" s="437"/>
      <c r="J1303" s="437"/>
      <c r="K1303" s="428"/>
      <c r="L1303" s="437"/>
      <c r="M1303" s="65">
        <v>12000000</v>
      </c>
      <c r="N1303" s="66" t="s">
        <v>101</v>
      </c>
      <c r="O1303" s="66" t="s">
        <v>63</v>
      </c>
      <c r="P1303" s="82" t="str">
        <f>IF(AND('331-CT'!$E$7=TH!H1303,OR(N1303="331",O1303="331")),"x","")</f>
        <v/>
      </c>
      <c r="Q1303" s="82" t="str">
        <f>IF(AND(B1303='111'!$L$11,OR($N1303=$Q$7,$O1303=$Q$7)),"x","")</f>
        <v/>
      </c>
      <c r="R1303" s="82" t="str">
        <f>IF(AND($N1303=$Q$7,$B1303&lt;'111'!$L$11),"x","")</f>
        <v/>
      </c>
      <c r="S1303" s="82" t="str">
        <f>IF(AND($O1303=$Q$7,$B1303&lt;'111'!$L$11),"x","")</f>
        <v>x</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1" s="349" customFormat="1" ht="15.75" customHeight="1">
      <c r="A1304" s="334" t="str">
        <f>IF(B1304&lt;&gt;"",IF(AND(B1304='IN-TC'!$S$4,OR(TH!N1304="1111",TH!O1304="1111")),TH!D1304,""),"")</f>
        <v/>
      </c>
      <c r="B1304" s="63">
        <f t="shared" si="183"/>
        <v>3</v>
      </c>
      <c r="C1304" s="316">
        <v>42430</v>
      </c>
      <c r="D1304" s="316" t="s">
        <v>868</v>
      </c>
      <c r="E1304" s="316">
        <v>42416</v>
      </c>
      <c r="F1304" s="512" t="s">
        <v>767</v>
      </c>
      <c r="G1304" s="972" t="s">
        <v>1364</v>
      </c>
      <c r="H1304" s="72" t="s">
        <v>803</v>
      </c>
      <c r="I1304" s="437"/>
      <c r="J1304" s="437"/>
      <c r="K1304" s="428"/>
      <c r="L1304" s="437"/>
      <c r="M1304" s="65">
        <v>1200000</v>
      </c>
      <c r="N1304" s="66" t="s">
        <v>9</v>
      </c>
      <c r="O1304" s="66" t="s">
        <v>63</v>
      </c>
      <c r="P1304" s="82" t="str">
        <f>IF(AND('331-CT'!$E$7=TH!H1304,OR(N1304="331",O1304="331")),"x","")</f>
        <v/>
      </c>
      <c r="Q1304" s="82" t="str">
        <f>IF(AND(B1304='111'!$L$11,OR($N1304=$Q$7,$O1304=$Q$7)),"x","")</f>
        <v/>
      </c>
      <c r="R1304" s="82" t="str">
        <f>IF(AND($N1304=$Q$7,$B1304&lt;'111'!$L$11),"x","")</f>
        <v/>
      </c>
      <c r="S1304" s="82" t="str">
        <f>IF(AND($O1304=$Q$7,$B1304&lt;'111'!$L$11),"x","")</f>
        <v>x</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x</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1" s="349" customFormat="1" ht="15.75" customHeight="1">
      <c r="A1305" s="334" t="str">
        <f>IF(B1305&lt;&gt;"",IF(AND(B1305='IN-TC'!$S$4,OR(TH!N1305="1111",TH!O1305="1111")),TH!D1305,""),"")</f>
        <v/>
      </c>
      <c r="B1305" s="63">
        <f t="shared" si="183"/>
        <v>3</v>
      </c>
      <c r="C1305" s="316">
        <v>42430</v>
      </c>
      <c r="D1305" s="316" t="s">
        <v>869</v>
      </c>
      <c r="E1305" s="316">
        <v>42430</v>
      </c>
      <c r="F1305" s="512" t="s">
        <v>1100</v>
      </c>
      <c r="G1305" s="317" t="s">
        <v>915</v>
      </c>
      <c r="H1305" s="318" t="s">
        <v>760</v>
      </c>
      <c r="I1305" s="437"/>
      <c r="J1305" s="437"/>
      <c r="K1305" s="428"/>
      <c r="L1305" s="437"/>
      <c r="M1305" s="65">
        <v>33000000</v>
      </c>
      <c r="N1305" s="66" t="s">
        <v>26</v>
      </c>
      <c r="O1305" s="66" t="s">
        <v>63</v>
      </c>
      <c r="P1305" s="82" t="str">
        <f>IF(AND('331-CT'!$E$7=TH!H1305,OR(N1305="331",O1305="331")),"x","")</f>
        <v/>
      </c>
      <c r="Q1305" s="82" t="str">
        <f>IF(AND(B1305='111'!$L$11,OR($N1305=$Q$7,$O1305=$Q$7)),"x","")</f>
        <v/>
      </c>
      <c r="R1305" s="82" t="str">
        <f>IF(AND($N1305=$Q$7,$B1305&lt;'111'!$L$11),"x","")</f>
        <v/>
      </c>
      <c r="S1305" s="82" t="str">
        <f>IF(AND($O1305=$Q$7,$B1305&lt;'111'!$L$11),"x","")</f>
        <v>x</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c r="AE1305" s="328"/>
    </row>
    <row r="1306" spans="1:31" s="349" customFormat="1" ht="15.75" customHeight="1">
      <c r="A1306" s="334" t="str">
        <f>IF(B1306&lt;&gt;"",IF(AND(B1306='IN-TC'!$S$4,OR(TH!N1306="1111",TH!O1306="1111")),TH!D1306,""),"")</f>
        <v/>
      </c>
      <c r="B1306" s="63">
        <f t="shared" si="183"/>
        <v>3</v>
      </c>
      <c r="C1306" s="316">
        <v>42430</v>
      </c>
      <c r="D1306" s="316" t="s">
        <v>871</v>
      </c>
      <c r="E1306" s="316">
        <v>42430</v>
      </c>
      <c r="F1306" s="512" t="s">
        <v>768</v>
      </c>
      <c r="G1306" s="976" t="s">
        <v>1101</v>
      </c>
      <c r="H1306" s="318" t="s">
        <v>1102</v>
      </c>
      <c r="I1306" s="437"/>
      <c r="J1306" s="437"/>
      <c r="K1306" s="428"/>
      <c r="L1306" s="437"/>
      <c r="M1306" s="65">
        <v>435455</v>
      </c>
      <c r="N1306" s="319" t="s">
        <v>101</v>
      </c>
      <c r="O1306" s="66" t="s">
        <v>63</v>
      </c>
      <c r="P1306" s="82" t="str">
        <f>IF(AND('331-CT'!$E$7=TH!H1306,OR(N1306="331",O1306="331")),"x","")</f>
        <v/>
      </c>
      <c r="Q1306" s="82" t="str">
        <f>IF(AND(B1306='111'!$L$11,OR($N1306=$Q$7,$O1306=$Q$7)),"x","")</f>
        <v/>
      </c>
      <c r="R1306" s="82" t="str">
        <f>IF(AND($N1306=$Q$7,$B1306&lt;'111'!$L$11),"x","")</f>
        <v/>
      </c>
      <c r="S1306" s="82" t="str">
        <f>IF(AND($O1306=$Q$7,$B1306&lt;'111'!$L$11),"x","")</f>
        <v>x</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c r="AE1306" s="328"/>
    </row>
    <row r="1307" spans="1:31" ht="15.75" customHeight="1">
      <c r="A1307" s="334" t="str">
        <f>IF(B1307&lt;&gt;"",IF(AND(B1307='IN-TC'!$S$4,OR(TH!N1307="1111",TH!O1307="1111")),TH!D1307,""),"")</f>
        <v/>
      </c>
      <c r="B1307" s="63">
        <f t="shared" si="183"/>
        <v>3</v>
      </c>
      <c r="C1307" s="316">
        <v>42430</v>
      </c>
      <c r="D1307" s="316" t="s">
        <v>871</v>
      </c>
      <c r="E1307" s="316">
        <v>42430</v>
      </c>
      <c r="F1307" s="512" t="s">
        <v>769</v>
      </c>
      <c r="G1307" s="976" t="s">
        <v>1101</v>
      </c>
      <c r="H1307" s="318" t="s">
        <v>1102</v>
      </c>
      <c r="I1307" s="437"/>
      <c r="J1307" s="437"/>
      <c r="K1307" s="428"/>
      <c r="L1307" s="437"/>
      <c r="M1307" s="65">
        <v>43545</v>
      </c>
      <c r="N1307" s="319" t="s">
        <v>9</v>
      </c>
      <c r="O1307" s="66" t="s">
        <v>63</v>
      </c>
      <c r="P1307" s="82" t="str">
        <f>IF(AND('331-CT'!$E$7=TH!H1307,OR(N1307="331",O1307="331")),"x","")</f>
        <v/>
      </c>
      <c r="Q1307" s="82" t="str">
        <f>IF(AND(B1307='111'!$L$11,OR($N1307=$Q$7,$O1307=$Q$7)),"x","")</f>
        <v/>
      </c>
      <c r="R1307" s="82" t="str">
        <f>IF(AND($N1307=$Q$7,$B1307&lt;'111'!$L$11),"x","")</f>
        <v/>
      </c>
      <c r="S1307" s="82" t="str">
        <f>IF(AND($O1307=$Q$7,$B1307&lt;'111'!$L$11),"x","")</f>
        <v>x</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x</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1" ht="15.75" customHeight="1">
      <c r="A1308" s="334" t="str">
        <f>IF(B1308&lt;&gt;"",IF(AND(B1308='IN-TC'!$S$4,OR(TH!N1308="1111",TH!O1308="1111")),TH!D1308,""),"")</f>
        <v/>
      </c>
      <c r="B1308" s="63">
        <f t="shared" si="183"/>
        <v>3</v>
      </c>
      <c r="C1308" s="316">
        <v>42430</v>
      </c>
      <c r="D1308" s="316" t="s">
        <v>872</v>
      </c>
      <c r="E1308" s="316">
        <v>42430</v>
      </c>
      <c r="F1308" s="512" t="s">
        <v>1103</v>
      </c>
      <c r="G1308" s="976" t="s">
        <v>1104</v>
      </c>
      <c r="H1308" s="318" t="s">
        <v>1106</v>
      </c>
      <c r="I1308" s="437"/>
      <c r="J1308" s="437"/>
      <c r="K1308" s="428"/>
      <c r="L1308" s="437"/>
      <c r="M1308" s="65">
        <v>1697500</v>
      </c>
      <c r="N1308" s="319" t="s">
        <v>101</v>
      </c>
      <c r="O1308" s="66" t="s">
        <v>63</v>
      </c>
      <c r="P1308" s="82" t="str">
        <f>IF(AND('331-CT'!$E$7=TH!H1308,OR(N1308="331",O1308="331")),"x","")</f>
        <v/>
      </c>
      <c r="Q1308" s="82" t="str">
        <f>IF(AND(B1308='111'!$L$11,OR($N1308=$Q$7,$O1308=$Q$7)),"x","")</f>
        <v/>
      </c>
      <c r="R1308" s="82" t="str">
        <f>IF(AND($N1308=$Q$7,$B1308&lt;'111'!$L$11),"x","")</f>
        <v/>
      </c>
      <c r="S1308" s="82" t="str">
        <f>IF(AND($O1308=$Q$7,$B1308&lt;'111'!$L$11),"x","")</f>
        <v>x</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1" ht="15.75" customHeight="1">
      <c r="A1309" s="334" t="str">
        <f>IF(B1309&lt;&gt;"",IF(AND(B1309='IN-TC'!$S$4,OR(TH!N1309="1111",TH!O1309="1111")),TH!D1309,""),"")</f>
        <v/>
      </c>
      <c r="B1309" s="63">
        <f t="shared" si="183"/>
        <v>3</v>
      </c>
      <c r="C1309" s="316">
        <v>42430</v>
      </c>
      <c r="D1309" s="316" t="s">
        <v>872</v>
      </c>
      <c r="E1309" s="316">
        <v>42430</v>
      </c>
      <c r="F1309" s="512" t="s">
        <v>1105</v>
      </c>
      <c r="G1309" s="976" t="s">
        <v>1104</v>
      </c>
      <c r="H1309" s="318" t="s">
        <v>1106</v>
      </c>
      <c r="I1309" s="437"/>
      <c r="J1309" s="437"/>
      <c r="K1309" s="428"/>
      <c r="L1309" s="437"/>
      <c r="M1309" s="65">
        <v>169750</v>
      </c>
      <c r="N1309" s="319" t="s">
        <v>9</v>
      </c>
      <c r="O1309" s="66" t="s">
        <v>63</v>
      </c>
      <c r="P1309" s="82" t="str">
        <f>IF(AND('331-CT'!$E$7=TH!H1309,OR(N1309="331",O1309="331")),"x","")</f>
        <v/>
      </c>
      <c r="Q1309" s="82" t="str">
        <f>IF(AND(B1309='111'!$L$11,OR($N1309=$Q$7,$O1309=$Q$7)),"x","")</f>
        <v/>
      </c>
      <c r="R1309" s="82" t="str">
        <f>IF(AND($N1309=$Q$7,$B1309&lt;'111'!$L$11),"x","")</f>
        <v/>
      </c>
      <c r="S1309" s="82" t="str">
        <f>IF(AND($O1309=$Q$7,$B1309&lt;'111'!$L$11),"x","")</f>
        <v>x</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x</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1" ht="15.75" customHeight="1">
      <c r="A1310" s="334" t="str">
        <f>IF(B1310&lt;&gt;"",IF(AND(B1310='IN-TC'!$S$4,OR(TH!N1310="1111",TH!O1310="1111")),TH!D1310,""),"")</f>
        <v/>
      </c>
      <c r="B1310" s="63">
        <f t="shared" si="183"/>
        <v>3</v>
      </c>
      <c r="C1310" s="64">
        <v>42430</v>
      </c>
      <c r="D1310" s="316" t="s">
        <v>702</v>
      </c>
      <c r="E1310" s="64">
        <v>42430</v>
      </c>
      <c r="F1310" s="512" t="s">
        <v>1198</v>
      </c>
      <c r="G1310" s="67" t="s">
        <v>915</v>
      </c>
      <c r="H1310" s="342" t="s">
        <v>629</v>
      </c>
      <c r="I1310" s="437"/>
      <c r="J1310" s="437"/>
      <c r="K1310" s="428"/>
      <c r="L1310" s="437"/>
      <c r="M1310" s="65">
        <v>32386200</v>
      </c>
      <c r="N1310" s="66" t="s">
        <v>8</v>
      </c>
      <c r="O1310" s="66" t="s">
        <v>26</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c r="AE1310" s="1136" t="str">
        <f>IF(H1310&lt;&gt;VLOOKUP(H1310,DSKH,1,0),"","x")</f>
        <v>x</v>
      </c>
    </row>
    <row r="1311" spans="1:31" ht="15.75" customHeight="1">
      <c r="A1311" s="334" t="str">
        <f>IF(B1311&lt;&gt;"",IF(AND(B1311='IN-TC'!$S$4,OR(TH!N1311="1111",TH!O1311="1111")),TH!D1311,""),"")</f>
        <v/>
      </c>
      <c r="B1311" s="63">
        <f t="shared" si="183"/>
        <v>3</v>
      </c>
      <c r="C1311" s="64">
        <v>42430</v>
      </c>
      <c r="D1311" s="316" t="s">
        <v>702</v>
      </c>
      <c r="E1311" s="64">
        <v>42430</v>
      </c>
      <c r="F1311" s="512" t="s">
        <v>1192</v>
      </c>
      <c r="G1311" s="67" t="s">
        <v>915</v>
      </c>
      <c r="H1311" s="72"/>
      <c r="I1311" s="437"/>
      <c r="J1311" s="437"/>
      <c r="K1311" s="428"/>
      <c r="L1311" s="437"/>
      <c r="M1311" s="65">
        <v>45000</v>
      </c>
      <c r="N1311" s="66" t="s">
        <v>101</v>
      </c>
      <c r="O1311" s="66" t="s">
        <v>26</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1" ht="15.75" customHeight="1">
      <c r="A1312" s="334" t="str">
        <f>IF(B1312&lt;&gt;"",IF(AND(B1312='IN-TC'!$S$4,OR(TH!N1312="1111",TH!O1312="1111")),TH!D1312,""),"")</f>
        <v/>
      </c>
      <c r="B1312" s="63">
        <f t="shared" si="183"/>
        <v>3</v>
      </c>
      <c r="C1312" s="64">
        <v>42430</v>
      </c>
      <c r="D1312" s="316" t="s">
        <v>702</v>
      </c>
      <c r="E1312" s="64">
        <v>42430</v>
      </c>
      <c r="F1312" s="512" t="s">
        <v>1193</v>
      </c>
      <c r="G1312" s="67" t="s">
        <v>915</v>
      </c>
      <c r="H1312" s="72"/>
      <c r="I1312" s="437"/>
      <c r="J1312" s="437"/>
      <c r="K1312" s="428"/>
      <c r="L1312" s="437"/>
      <c r="M1312" s="65">
        <v>4500</v>
      </c>
      <c r="N1312" s="66" t="s">
        <v>9</v>
      </c>
      <c r="O1312" s="66" t="s">
        <v>26</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x</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2" ht="15.75" customHeight="1">
      <c r="A1313" s="334" t="str">
        <f>IF(B1313&lt;&gt;"",IF(AND(B1313='IN-TC'!$S$4,OR(TH!N1547="1111",TH!O1547="1111")),TH!D1547,""),"")</f>
        <v/>
      </c>
      <c r="B1313" s="1148">
        <f t="shared" si="183"/>
        <v>3</v>
      </c>
      <c r="C1313" s="1149">
        <v>42430</v>
      </c>
      <c r="D1313" s="1149" t="s">
        <v>873</v>
      </c>
      <c r="E1313" s="1149">
        <f>C1313</f>
        <v>42430</v>
      </c>
      <c r="F1313" s="512" t="s">
        <v>960</v>
      </c>
      <c r="G1313" s="1151"/>
      <c r="H1313" s="1150" t="s">
        <v>2239</v>
      </c>
      <c r="I1313" s="1152"/>
      <c r="J1313" s="1152"/>
      <c r="K1313" s="1153"/>
      <c r="L1313" s="1152"/>
      <c r="M1313" s="1154">
        <v>400000000</v>
      </c>
      <c r="N1313" s="1155" t="s">
        <v>272</v>
      </c>
      <c r="O1313" s="1155" t="s">
        <v>63</v>
      </c>
      <c r="P1313" s="1155" t="str">
        <f>IF(AND('331-CT'!$E$7=TH!H1547,OR(N1313="331",O1313="331")),"x","")</f>
        <v/>
      </c>
      <c r="Q1313" s="1155" t="str">
        <f>IF(AND(B1313='111'!$L$11,OR($N1313=$Q$7,$O1313=$Q$7)),"x","")</f>
        <v/>
      </c>
      <c r="R1313" s="1155" t="str">
        <f>IF(AND($N1313=$Q$7,$B1313&lt;'111'!$L$11),"x","")</f>
        <v/>
      </c>
      <c r="S1313" s="1155" t="str">
        <f>IF(AND($O1313=$Q$7,$B1313&lt;'111'!$L$11),"x","")</f>
        <v>x</v>
      </c>
      <c r="T1313" s="1155" t="str">
        <f>IF(ISERROR(FIND('112'!$M$9,G1313,1)),"",IF((AND(FIND('112'!$M$9,G1313,1)&gt;=1,B1313='112'!$K$9,OR($N1313='112'!$I$6,$O1313='112'!$I$6))),"x",""))</f>
        <v/>
      </c>
      <c r="U1313" s="1155" t="str">
        <f>IF(ISERROR(FIND('112'!$M$9,G1313,1)),"",IF((AND(LEFT(G1313,2)=LEFT('112'!$M$9,2),B1313&lt;'112'!$K$9,$N1313='112'!$I$6)),"x",""))</f>
        <v/>
      </c>
      <c r="V1313" s="1155" t="str">
        <f>IF(ISERROR(FIND('112'!$M$9,G1313,1)),"",IF((AND(RIGHT(G1313,2)=RIGHT('112'!$M$9,2),B1313&lt;'112'!$K$9,$O1313='112'!$I$6)),"x",""))</f>
        <v/>
      </c>
      <c r="W1313" s="1155" t="str">
        <f>IF(AND('341-CT'!$H$9=H1313,OR(LEFT(N1313,3)=$W$7,LEFT(O1313,3)=$W$7)),"x","")</f>
        <v/>
      </c>
      <c r="X1313" s="1155" t="str">
        <f>IF(OR(TH!N1547=TH!$X$7,O1313=TH!$X$7),"x","")</f>
        <v/>
      </c>
      <c r="Y1313" s="1155" t="str">
        <f>IF(AND(OR(N1313="131",O1313="131"),H1313='131-CT'!$H$9),"x","")</f>
        <v/>
      </c>
      <c r="Z1313" s="1155"/>
      <c r="AA1313" s="1155" t="str">
        <f>IF(AND(MONTH(E1313)='IN-NX'!$J$5,'IN-NX'!$D$7=D1313),"x","")</f>
        <v/>
      </c>
      <c r="AB1313" s="1155" t="str">
        <f>IF(AND(OR(LEFT(TH!N1547,2)="15",LEFT(TH!O1547,2)="15"),LEFT(TH!O1547,3)&lt;&gt;"111",'152-CT'!$J$8=TH!F1547),"x","")</f>
        <v/>
      </c>
      <c r="AC1313" s="1155" t="str">
        <f>IF(AND(OR(LEFT(TH!N1547,2)="15",LEFT(TH!O1547,2)="15"),TK!$E$7=TH!F1547),"x","")</f>
        <v/>
      </c>
      <c r="AD1313" s="1155" t="str">
        <f>IF(AND(N1313="1521",MONTH(C1313)='BK-NL'!$M$11),"x","")</f>
        <v/>
      </c>
      <c r="AE1313" s="1156"/>
      <c r="AF1313" s="1156"/>
    </row>
    <row r="1314" spans="1:32" ht="15.75" customHeight="1">
      <c r="A1314" s="334" t="str">
        <f>IF(B1314&lt;&gt;"",IF(AND(B1314='IN-TC'!$S$4,OR(TH!N1313="1111",TH!O1313="1111")),TH!D1313,""),"")</f>
        <v/>
      </c>
      <c r="B1314" s="63">
        <f t="shared" si="183"/>
        <v>3</v>
      </c>
      <c r="C1314" s="316">
        <v>42431</v>
      </c>
      <c r="D1314" s="316" t="s">
        <v>874</v>
      </c>
      <c r="E1314" s="316">
        <v>42373</v>
      </c>
      <c r="F1314" s="512" t="s">
        <v>1145</v>
      </c>
      <c r="G1314" s="976" t="s">
        <v>1149</v>
      </c>
      <c r="H1314" s="72" t="s">
        <v>1148</v>
      </c>
      <c r="I1314" s="437"/>
      <c r="J1314" s="437"/>
      <c r="K1314" s="428"/>
      <c r="L1314" s="437"/>
      <c r="M1314" s="65">
        <v>16822500</v>
      </c>
      <c r="N1314" s="319" t="s">
        <v>162</v>
      </c>
      <c r="O1314" s="66" t="s">
        <v>63</v>
      </c>
      <c r="P1314" s="82" t="str">
        <f>IF(AND('331-CT'!$E$7=TH!H1313,OR(N1314="331",O1314="331")),"x","")</f>
        <v/>
      </c>
      <c r="Q1314" s="82" t="str">
        <f>IF(AND(B1314='111'!$L$11,OR($N1314=$Q$7,$O1314=$Q$7)),"x","")</f>
        <v/>
      </c>
      <c r="R1314" s="82" t="str">
        <f>IF(AND($N1314=$Q$7,$B1314&lt;'111'!$L$11),"x","")</f>
        <v/>
      </c>
      <c r="S1314" s="82" t="str">
        <f>IF(AND($O1314=$Q$7,$B1314&lt;'111'!$L$11),"x","")</f>
        <v>x</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IF(OR(TH!N1313=TH!$X$7,O1314=TH!$X$7),"x","")</f>
        <v/>
      </c>
      <c r="Y1314" s="82" t="str">
        <f>IF(AND(OR(N1314="131",O1314="131"),H1314='131-CT'!$H$9),"x","")</f>
        <v/>
      </c>
      <c r="Z1314" s="82"/>
      <c r="AA1314" s="82" t="str">
        <f>IF(AND(MONTH(E1314)='IN-NX'!$J$5,'IN-NX'!$D$7=D1314),"x","")</f>
        <v/>
      </c>
      <c r="AB1314" s="82" t="str">
        <f>IF(AND(OR(LEFT(TH!N1313,2)="15",LEFT(TH!O1313,2)="15"),LEFT(TH!O1313,3)&lt;&gt;"111",'152-CT'!$J$8=TH!F1313),"x","")</f>
        <v/>
      </c>
      <c r="AC1314" s="82" t="str">
        <f>IF(AND(OR(LEFT(TH!N1313,2)="15",LEFT(TH!O1313,2)="15"),TK!$E$7=TH!F1313),"x","")</f>
        <v/>
      </c>
      <c r="AD1314" s="82" t="str">
        <f>IF(AND(N1314="1521",MONTH(C1314)='BK-NL'!$M$11),"x","")</f>
        <v/>
      </c>
    </row>
    <row r="1315" spans="1:32" ht="15.75" customHeight="1">
      <c r="A1315" s="334" t="str">
        <f>IF(B1315&lt;&gt;"",IF(AND(B1315='IN-TC'!$S$4,OR(TH!N1314="1111",TH!O1314="1111")),TH!D1314,""),"")</f>
        <v/>
      </c>
      <c r="B1315" s="63">
        <f t="shared" si="183"/>
        <v>3</v>
      </c>
      <c r="C1315" s="316">
        <v>42431</v>
      </c>
      <c r="D1315" s="316" t="s">
        <v>874</v>
      </c>
      <c r="E1315" s="316">
        <v>42373</v>
      </c>
      <c r="F1315" s="512" t="s">
        <v>1146</v>
      </c>
      <c r="G1315" s="976" t="s">
        <v>1149</v>
      </c>
      <c r="H1315" s="72" t="s">
        <v>1148</v>
      </c>
      <c r="I1315" s="437"/>
      <c r="J1315" s="437"/>
      <c r="K1315" s="428"/>
      <c r="L1315" s="437"/>
      <c r="M1315" s="65">
        <v>1682250</v>
      </c>
      <c r="N1315" s="319" t="s">
        <v>9</v>
      </c>
      <c r="O1315" s="66" t="s">
        <v>63</v>
      </c>
      <c r="P1315" s="82" t="str">
        <f>IF(AND('331-CT'!$E$7=TH!H1314,OR(N1315="331",O1315="331")),"x","")</f>
        <v/>
      </c>
      <c r="Q1315" s="82" t="str">
        <f>IF(AND(B1315='111'!$L$11,OR($N1315=$Q$7,$O1315=$Q$7)),"x","")</f>
        <v/>
      </c>
      <c r="R1315" s="82" t="str">
        <f>IF(AND($N1315=$Q$7,$B1315&lt;'111'!$L$11),"x","")</f>
        <v/>
      </c>
      <c r="S1315" s="82" t="str">
        <f>IF(AND($O1315=$Q$7,$B1315&lt;'111'!$L$11),"x","")</f>
        <v>x</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IF(OR(TH!N1314=TH!$X$7,O1315=TH!$X$7),"x","")</f>
        <v/>
      </c>
      <c r="Y1315" s="82" t="str">
        <f>IF(AND(OR(N1315="131",O1315="131"),H1315='131-CT'!$H$9),"x","")</f>
        <v/>
      </c>
      <c r="Z1315" s="82"/>
      <c r="AA1315" s="82" t="str">
        <f>IF(AND(MONTH(E1315)='IN-NX'!$J$5,'IN-NX'!$D$7=D1315),"x","")</f>
        <v/>
      </c>
      <c r="AB1315" s="82" t="str">
        <f>IF(AND(OR(LEFT(TH!N1314,2)="15",LEFT(TH!O1314,2)="15"),LEFT(TH!O1314,3)&lt;&gt;"111",'152-CT'!$J$8=TH!F1314),"x","")</f>
        <v/>
      </c>
      <c r="AC1315" s="82" t="str">
        <f>IF(AND(OR(LEFT(TH!N1314,2)="15",LEFT(TH!O1314,2)="15"),TK!$E$7=TH!F1314),"x","")</f>
        <v/>
      </c>
      <c r="AD1315" s="82" t="str">
        <f>IF(AND(N1315="1521",MONTH(C1315)='BK-NL'!$M$11),"x","")</f>
        <v/>
      </c>
    </row>
    <row r="1316" spans="1:32" ht="15.75" customHeight="1">
      <c r="A1316" s="334" t="str">
        <f>IF(B1316&lt;&gt;"",IF(AND(B1316='IN-TC'!$S$4,OR(TH!N1315="1111",TH!O1315="1111")),TH!D1315,""),"")</f>
        <v/>
      </c>
      <c r="B1316" s="63">
        <f t="shared" si="183"/>
        <v>3</v>
      </c>
      <c r="C1316" s="316">
        <v>42431</v>
      </c>
      <c r="D1316" s="316" t="s">
        <v>875</v>
      </c>
      <c r="E1316" s="316">
        <v>42375</v>
      </c>
      <c r="F1316" s="512" t="s">
        <v>1150</v>
      </c>
      <c r="G1316" s="976" t="s">
        <v>1152</v>
      </c>
      <c r="H1316" s="72" t="s">
        <v>1153</v>
      </c>
      <c r="I1316" s="437"/>
      <c r="J1316" s="437"/>
      <c r="K1316" s="428"/>
      <c r="L1316" s="437"/>
      <c r="M1316" s="65">
        <v>18091920</v>
      </c>
      <c r="N1316" s="319" t="s">
        <v>162</v>
      </c>
      <c r="O1316" s="66" t="s">
        <v>63</v>
      </c>
      <c r="P1316" s="82" t="str">
        <f>IF(AND('331-CT'!$E$7=TH!H1315,OR(N1316="331",O1316="331")),"x","")</f>
        <v/>
      </c>
      <c r="Q1316" s="82" t="str">
        <f>IF(AND(B1316='111'!$L$11,OR($N1316=$Q$7,$O1316=$Q$7)),"x","")</f>
        <v/>
      </c>
      <c r="R1316" s="82" t="str">
        <f>IF(AND($N1316=$Q$7,$B1316&lt;'111'!$L$11),"x","")</f>
        <v/>
      </c>
      <c r="S1316" s="82" t="str">
        <f>IF(AND($O1316=$Q$7,$B1316&lt;'111'!$L$11),"x","")</f>
        <v>x</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IF(OR(TH!N1315=TH!$X$7,O1316=TH!$X$7),"x","")</f>
        <v>x</v>
      </c>
      <c r="Y1316" s="82" t="str">
        <f>IF(AND(OR(N1316="131",O1316="131"),H1316='131-CT'!$H$9),"x","")</f>
        <v/>
      </c>
      <c r="Z1316" s="82"/>
      <c r="AA1316" s="82" t="str">
        <f>IF(AND(MONTH(E1316)='IN-NX'!$J$5,'IN-NX'!$D$7=D1316),"x","")</f>
        <v/>
      </c>
      <c r="AB1316" s="82" t="str">
        <f>IF(AND(OR(LEFT(TH!N1315,2)="15",LEFT(TH!O1315,2)="15"),LEFT(TH!O1315,3)&lt;&gt;"111",'152-CT'!$J$8=TH!F1315),"x","")</f>
        <v/>
      </c>
      <c r="AC1316" s="82" t="str">
        <f>IF(AND(OR(LEFT(TH!N1315,2)="15",LEFT(TH!O1315,2)="15"),TK!$E$7=TH!F1315),"x","")</f>
        <v/>
      </c>
      <c r="AD1316" s="82" t="str">
        <f>IF(AND(N1316="1521",MONTH(C1316)='BK-NL'!$M$11),"x","")</f>
        <v/>
      </c>
    </row>
    <row r="1317" spans="1:32" ht="15.75" customHeight="1">
      <c r="A1317" s="334" t="str">
        <f>IF(B1317&lt;&gt;"",IF(AND(B1317='IN-TC'!$S$4,OR(TH!N1316="1111",TH!O1316="1111")),TH!D1316,""),"")</f>
        <v/>
      </c>
      <c r="B1317" s="63">
        <f t="shared" si="183"/>
        <v>3</v>
      </c>
      <c r="C1317" s="316">
        <v>42431</v>
      </c>
      <c r="D1317" s="316" t="s">
        <v>875</v>
      </c>
      <c r="E1317" s="316">
        <v>42375</v>
      </c>
      <c r="F1317" s="512" t="s">
        <v>1151</v>
      </c>
      <c r="G1317" s="976" t="s">
        <v>1152</v>
      </c>
      <c r="H1317" s="72" t="s">
        <v>1153</v>
      </c>
      <c r="I1317" s="437"/>
      <c r="J1317" s="437"/>
      <c r="K1317" s="428"/>
      <c r="L1317" s="437"/>
      <c r="M1317" s="65">
        <v>1809192</v>
      </c>
      <c r="N1317" s="319" t="s">
        <v>9</v>
      </c>
      <c r="O1317" s="66" t="s">
        <v>63</v>
      </c>
      <c r="P1317" s="82" t="str">
        <f>IF(AND('331-CT'!$E$7=TH!H1316,OR(N1317="331",O1317="331")),"x","")</f>
        <v/>
      </c>
      <c r="Q1317" s="82" t="str">
        <f>IF(AND(B1317='111'!$L$11,OR($N1317=$Q$7,$O1317=$Q$7)),"x","")</f>
        <v/>
      </c>
      <c r="R1317" s="82" t="str">
        <f>IF(AND($N1317=$Q$7,$B1317&lt;'111'!$L$11),"x","")</f>
        <v/>
      </c>
      <c r="S1317" s="82" t="str">
        <f>IF(AND($O1317=$Q$7,$B1317&lt;'111'!$L$11),"x","")</f>
        <v>x</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IF(OR(TH!N1316=TH!$X$7,O1317=TH!$X$7),"x","")</f>
        <v/>
      </c>
      <c r="Y1317" s="82" t="str">
        <f>IF(AND(OR(N1317="131",O1317="131"),H1317='131-CT'!$H$9),"x","")</f>
        <v/>
      </c>
      <c r="Z1317" s="82"/>
      <c r="AA1317" s="82" t="str">
        <f>IF(AND(MONTH(E1317)='IN-NX'!$J$5,'IN-NX'!$D$7=D1317),"x","")</f>
        <v/>
      </c>
      <c r="AB1317" s="82" t="str">
        <f>IF(AND(OR(LEFT(TH!N1316,2)="15",LEFT(TH!O1316,2)="15"),LEFT(TH!O1316,3)&lt;&gt;"111",'152-CT'!$J$8=TH!F1316),"x","")</f>
        <v/>
      </c>
      <c r="AC1317" s="82" t="str">
        <f>IF(AND(OR(LEFT(TH!N1316,2)="15",LEFT(TH!O1316,2)="15"),TK!$E$7=TH!F1316),"x","")</f>
        <v/>
      </c>
      <c r="AD1317" s="82" t="str">
        <f>IF(AND(N1317="1521",MONTH(C1317)='BK-NL'!$M$11),"x","")</f>
        <v/>
      </c>
    </row>
    <row r="1318" spans="1:32" ht="15.75" customHeight="1">
      <c r="A1318" s="334" t="str">
        <f>IF(B1318&lt;&gt;"",IF(AND(B1318='IN-TC'!$S$4,OR(TH!N1317="1111",TH!O1317="1111")),TH!D1317,""),"")</f>
        <v/>
      </c>
      <c r="B1318" s="63">
        <f t="shared" si="183"/>
        <v>3</v>
      </c>
      <c r="C1318" s="316">
        <v>42431</v>
      </c>
      <c r="D1318" s="316" t="s">
        <v>876</v>
      </c>
      <c r="E1318" s="316">
        <v>42375</v>
      </c>
      <c r="F1318" s="512" t="s">
        <v>1154</v>
      </c>
      <c r="G1318" s="976" t="s">
        <v>1156</v>
      </c>
      <c r="H1318" s="72" t="s">
        <v>1157</v>
      </c>
      <c r="I1318" s="437"/>
      <c r="J1318" s="437"/>
      <c r="K1318" s="428"/>
      <c r="L1318" s="437"/>
      <c r="M1318" s="65">
        <v>18091200</v>
      </c>
      <c r="N1318" s="319" t="s">
        <v>162</v>
      </c>
      <c r="O1318" s="66" t="s">
        <v>63</v>
      </c>
      <c r="P1318" s="82" t="str">
        <f>IF(AND('331-CT'!$E$7=TH!H1317,OR(N1318="331",O1318="331")),"x","")</f>
        <v/>
      </c>
      <c r="Q1318" s="82" t="str">
        <f>IF(AND(B1318='111'!$L$11,OR($N1318=$Q$7,$O1318=$Q$7)),"x","")</f>
        <v/>
      </c>
      <c r="R1318" s="82" t="str">
        <f>IF(AND($N1318=$Q$7,$B1318&lt;'111'!$L$11),"x","")</f>
        <v/>
      </c>
      <c r="S1318" s="82" t="str">
        <f>IF(AND($O1318=$Q$7,$B1318&lt;'111'!$L$11),"x","")</f>
        <v>x</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IF(OR(TH!N1317=TH!$X$7,O1318=TH!$X$7),"x","")</f>
        <v>x</v>
      </c>
      <c r="Y1318" s="82" t="str">
        <f>IF(AND(OR(N1318="131",O1318="131"),H1318='131-CT'!$H$9),"x","")</f>
        <v/>
      </c>
      <c r="Z1318" s="82"/>
      <c r="AA1318" s="82" t="str">
        <f>IF(AND(MONTH(E1318)='IN-NX'!$J$5,'IN-NX'!$D$7=D1318),"x","")</f>
        <v/>
      </c>
      <c r="AB1318" s="82" t="str">
        <f>IF(AND(OR(LEFT(TH!N1317,2)="15",LEFT(TH!O1317,2)="15"),LEFT(TH!O1317,3)&lt;&gt;"111",'152-CT'!$J$8=TH!F1317),"x","")</f>
        <v/>
      </c>
      <c r="AC1318" s="82" t="str">
        <f>IF(AND(OR(LEFT(TH!N1317,2)="15",LEFT(TH!O1317,2)="15"),TK!$E$7=TH!F1317),"x","")</f>
        <v/>
      </c>
      <c r="AD1318" s="82" t="str">
        <f>IF(AND(N1318="1521",MONTH(C1318)='BK-NL'!$M$11),"x","")</f>
        <v/>
      </c>
    </row>
    <row r="1319" spans="1:32" ht="15.75" customHeight="1">
      <c r="A1319" s="334" t="str">
        <f>IF(B1319&lt;&gt;"",IF(AND(B1319='IN-TC'!$S$4,OR(TH!N1318="1111",TH!O1318="1111")),TH!D1318,""),"")</f>
        <v/>
      </c>
      <c r="B1319" s="63">
        <f t="shared" si="183"/>
        <v>3</v>
      </c>
      <c r="C1319" s="316">
        <v>42431</v>
      </c>
      <c r="D1319" s="316" t="s">
        <v>876</v>
      </c>
      <c r="E1319" s="316">
        <v>42375</v>
      </c>
      <c r="F1319" s="512" t="s">
        <v>1155</v>
      </c>
      <c r="G1319" s="976" t="s">
        <v>1156</v>
      </c>
      <c r="H1319" s="72" t="s">
        <v>1157</v>
      </c>
      <c r="I1319" s="437"/>
      <c r="J1319" s="437"/>
      <c r="K1319" s="428"/>
      <c r="L1319" s="437"/>
      <c r="M1319" s="65">
        <v>1809120</v>
      </c>
      <c r="N1319" s="319" t="s">
        <v>9</v>
      </c>
      <c r="O1319" s="66" t="s">
        <v>63</v>
      </c>
      <c r="P1319" s="82" t="str">
        <f>IF(AND('331-CT'!$E$7=TH!H1318,OR(N1319="331",O1319="331")),"x","")</f>
        <v/>
      </c>
      <c r="Q1319" s="82" t="str">
        <f>IF(AND(B1319='111'!$L$11,OR($N1319=$Q$7,$O1319=$Q$7)),"x","")</f>
        <v/>
      </c>
      <c r="R1319" s="82" t="str">
        <f>IF(AND($N1319=$Q$7,$B1319&lt;'111'!$L$11),"x","")</f>
        <v/>
      </c>
      <c r="S1319" s="82" t="str">
        <f>IF(AND($O1319=$Q$7,$B1319&lt;'111'!$L$11),"x","")</f>
        <v>x</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IF(OR(TH!N1318=TH!$X$7,O1319=TH!$X$7),"x","")</f>
        <v/>
      </c>
      <c r="Y1319" s="82" t="str">
        <f>IF(AND(OR(N1319="131",O1319="131"),H1319='131-CT'!$H$9),"x","")</f>
        <v/>
      </c>
      <c r="Z1319" s="82"/>
      <c r="AA1319" s="82" t="str">
        <f>IF(AND(MONTH(E1319)='IN-NX'!$J$5,'IN-NX'!$D$7=D1319),"x","")</f>
        <v/>
      </c>
      <c r="AB1319" s="82" t="str">
        <f>IF(AND(OR(LEFT(TH!N1318,2)="15",LEFT(TH!O1318,2)="15"),LEFT(TH!O1318,3)&lt;&gt;"111",'152-CT'!$J$8=TH!F1318),"x","")</f>
        <v/>
      </c>
      <c r="AC1319" s="82" t="str">
        <f>IF(AND(OR(LEFT(TH!N1318,2)="15",LEFT(TH!O1318,2)="15"),TK!$E$7=TH!F1318),"x","")</f>
        <v/>
      </c>
      <c r="AD1319" s="82" t="str">
        <f>IF(AND(N1319="1521",MONTH(C1319)='BK-NL'!$M$11),"x","")</f>
        <v/>
      </c>
    </row>
    <row r="1320" spans="1:32" ht="15.75" customHeight="1">
      <c r="A1320" s="334" t="str">
        <f>IF(B1320&lt;&gt;"",IF(AND(B1320='IN-TC'!$S$4,OR(TH!N1319="1111",TH!O1319="1111")),TH!D1319,""),"")</f>
        <v/>
      </c>
      <c r="B1320" s="63">
        <f t="shared" si="183"/>
        <v>3</v>
      </c>
      <c r="C1320" s="316">
        <v>42431</v>
      </c>
      <c r="D1320" s="316" t="s">
        <v>877</v>
      </c>
      <c r="E1320" s="316">
        <v>42429</v>
      </c>
      <c r="F1320" s="512" t="s">
        <v>1375</v>
      </c>
      <c r="G1320" s="976" t="s">
        <v>1379</v>
      </c>
      <c r="H1320" s="72" t="s">
        <v>1378</v>
      </c>
      <c r="I1320" s="437"/>
      <c r="J1320" s="437"/>
      <c r="K1320" s="428"/>
      <c r="L1320" s="437"/>
      <c r="M1320" s="65">
        <v>16754250</v>
      </c>
      <c r="N1320" s="319" t="s">
        <v>101</v>
      </c>
      <c r="O1320" s="66" t="s">
        <v>63</v>
      </c>
      <c r="P1320" s="82" t="str">
        <f>IF(AND('331-CT'!$E$7=TH!H1319,OR(N1320="331",O1320="331")),"x","")</f>
        <v/>
      </c>
      <c r="Q1320" s="82" t="str">
        <f>IF(AND(B1320='111'!$L$11,OR($N1320=$Q$7,$O1320=$Q$7)),"x","")</f>
        <v/>
      </c>
      <c r="R1320" s="82" t="str">
        <f>IF(AND($N1320=$Q$7,$B1320&lt;'111'!$L$11),"x","")</f>
        <v/>
      </c>
      <c r="S1320" s="82" t="str">
        <f>IF(AND($O1320=$Q$7,$B1320&lt;'111'!$L$11),"x","")</f>
        <v>x</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IF(OR(TH!N1319=TH!$X$7,O1320=TH!$X$7),"x","")</f>
        <v>x</v>
      </c>
      <c r="Y1320" s="82" t="str">
        <f>IF(AND(OR(N1320="131",O1320="131"),H1320='131-CT'!$H$9),"x","")</f>
        <v/>
      </c>
      <c r="Z1320" s="82"/>
      <c r="AA1320" s="82" t="str">
        <f>IF(AND(MONTH(E1320)='IN-NX'!$J$5,'IN-NX'!$D$7=D1320),"x","")</f>
        <v/>
      </c>
      <c r="AB1320" s="82" t="str">
        <f>IF(AND(OR(LEFT(TH!N1319,2)="15",LEFT(TH!O1319,2)="15"),LEFT(TH!O1319,3)&lt;&gt;"111",'152-CT'!$J$8=TH!F1319),"x","")</f>
        <v/>
      </c>
      <c r="AC1320" s="82" t="str">
        <f>IF(AND(OR(LEFT(TH!N1319,2)="15",LEFT(TH!O1319,2)="15"),TK!$E$7=TH!F1319),"x","")</f>
        <v/>
      </c>
      <c r="AD1320" s="82" t="str">
        <f>IF(AND(N1320="1521",MONTH(C1320)='BK-NL'!$M$11),"x","")</f>
        <v/>
      </c>
    </row>
    <row r="1321" spans="1:32" ht="15.75" customHeight="1">
      <c r="A1321" s="334" t="str">
        <f>IF(B1321&lt;&gt;"",IF(AND(B1321='IN-TC'!$S$4,OR(TH!N1320="1111",TH!O1320="1111")),TH!D1320,""),"")</f>
        <v/>
      </c>
      <c r="B1321" s="63">
        <f t="shared" si="183"/>
        <v>3</v>
      </c>
      <c r="C1321" s="316">
        <v>42431</v>
      </c>
      <c r="D1321" s="316" t="s">
        <v>877</v>
      </c>
      <c r="E1321" s="316">
        <v>42429</v>
      </c>
      <c r="F1321" s="512" t="s">
        <v>1376</v>
      </c>
      <c r="G1321" s="976" t="s">
        <v>1379</v>
      </c>
      <c r="H1321" s="72" t="s">
        <v>1378</v>
      </c>
      <c r="I1321" s="437"/>
      <c r="J1321" s="437"/>
      <c r="K1321" s="428"/>
      <c r="L1321" s="437"/>
      <c r="M1321" s="65">
        <v>1017425</v>
      </c>
      <c r="N1321" s="319" t="s">
        <v>9</v>
      </c>
      <c r="O1321" s="66" t="s">
        <v>63</v>
      </c>
      <c r="P1321" s="82" t="str">
        <f>IF(AND('331-CT'!$E$7=TH!H1320,OR(N1321="331",O1321="331")),"x","")</f>
        <v/>
      </c>
      <c r="Q1321" s="82" t="str">
        <f>IF(AND(B1321='111'!$L$11,OR($N1321=$Q$7,$O1321=$Q$7)),"x","")</f>
        <v/>
      </c>
      <c r="R1321" s="82" t="str">
        <f>IF(AND($N1321=$Q$7,$B1321&lt;'111'!$L$11),"x","")</f>
        <v/>
      </c>
      <c r="S1321" s="82" t="str">
        <f>IF(AND($O1321=$Q$7,$B1321&lt;'111'!$L$11),"x","")</f>
        <v>x</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IF(OR(TH!N1320=TH!$X$7,O1321=TH!$X$7),"x","")</f>
        <v/>
      </c>
      <c r="Y1321" s="82" t="str">
        <f>IF(AND(OR(N1321="131",O1321="131"),H1321='131-CT'!$H$9),"x","")</f>
        <v/>
      </c>
      <c r="Z1321" s="82"/>
      <c r="AA1321" s="82" t="str">
        <f>IF(AND(MONTH(E1321)='IN-NX'!$J$5,'IN-NX'!$D$7=D1321),"x","")</f>
        <v/>
      </c>
      <c r="AB1321" s="82" t="str">
        <f>IF(AND(OR(LEFT(TH!N1320,2)="15",LEFT(TH!O1320,2)="15"),LEFT(TH!O1320,3)&lt;&gt;"111",'152-CT'!$J$8=TH!F1320),"x","")</f>
        <v/>
      </c>
      <c r="AC1321" s="82" t="str">
        <f>IF(AND(OR(LEFT(TH!N1320,2)="15",LEFT(TH!O1320,2)="15"),TK!$E$7=TH!F1320),"x","")</f>
        <v/>
      </c>
      <c r="AD1321" s="82" t="str">
        <f>IF(AND(N1321="1521",MONTH(C1321)='BK-NL'!$M$11),"x","")</f>
        <v/>
      </c>
    </row>
    <row r="1322" spans="1:32" ht="15.75" customHeight="1">
      <c r="A1322" s="334" t="str">
        <f>IF(B1322&lt;&gt;"",IF(AND(B1322='IN-TC'!$S$4,OR(TH!N1321="1111",TH!O1321="1111")),TH!D1321,""),"")</f>
        <v/>
      </c>
      <c r="B1322" s="63">
        <f t="shared" si="183"/>
        <v>3</v>
      </c>
      <c r="C1322" s="316">
        <v>42433</v>
      </c>
      <c r="D1322" s="316" t="s">
        <v>878</v>
      </c>
      <c r="E1322" s="316">
        <v>42433</v>
      </c>
      <c r="F1322" s="512" t="s">
        <v>788</v>
      </c>
      <c r="G1322" s="976" t="s">
        <v>1108</v>
      </c>
      <c r="H1322" s="318" t="s">
        <v>1102</v>
      </c>
      <c r="I1322" s="441"/>
      <c r="J1322" s="441"/>
      <c r="K1322" s="432"/>
      <c r="L1322" s="441"/>
      <c r="M1322" s="65">
        <f>444164+656818</f>
        <v>1100982</v>
      </c>
      <c r="N1322" s="319" t="s">
        <v>101</v>
      </c>
      <c r="O1322" s="66" t="s">
        <v>63</v>
      </c>
      <c r="P1322" s="82" t="str">
        <f>IF(AND('331-CT'!$E$7=TH!H1321,OR(N1322="331",O1322="331")),"x","")</f>
        <v/>
      </c>
      <c r="Q1322" s="82" t="str">
        <f>IF(AND(B1322='111'!$L$11,OR($N1322=$Q$7,$O1322=$Q$7)),"x","")</f>
        <v/>
      </c>
      <c r="R1322" s="82" t="str">
        <f>IF(AND($N1322=$Q$7,$B1322&lt;'111'!$L$11),"x","")</f>
        <v/>
      </c>
      <c r="S1322" s="82" t="str">
        <f>IF(AND($O1322=$Q$7,$B1322&lt;'111'!$L$11),"x","")</f>
        <v>x</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IF(OR(TH!N1321=TH!$X$7,O1322=TH!$X$7),"x","")</f>
        <v>x</v>
      </c>
      <c r="Y1322" s="82" t="str">
        <f>IF(AND(OR(N1322="131",O1322="131"),H1322='131-CT'!$H$9),"x","")</f>
        <v/>
      </c>
      <c r="Z1322" s="82"/>
      <c r="AA1322" s="82" t="str">
        <f>IF(AND(MONTH(E1322)='IN-NX'!$J$5,'IN-NX'!$D$7=D1322),"x","")</f>
        <v/>
      </c>
      <c r="AB1322" s="82" t="str">
        <f>IF(AND(OR(LEFT(TH!N1321,2)="15",LEFT(TH!O1321,2)="15"),LEFT(TH!O1321,3)&lt;&gt;"111",'152-CT'!$J$8=TH!F1321),"x","")</f>
        <v/>
      </c>
      <c r="AC1322" s="82" t="str">
        <f>IF(AND(OR(LEFT(TH!N1321,2)="15",LEFT(TH!O1321,2)="15"),TK!$E$7=TH!F1321),"x","")</f>
        <v/>
      </c>
      <c r="AD1322" s="82" t="str">
        <f>IF(AND(N1322="1521",MONTH(C1322)='BK-NL'!$M$11),"x","")</f>
        <v/>
      </c>
    </row>
    <row r="1323" spans="1:32" ht="15.75" customHeight="1">
      <c r="A1323" s="334" t="str">
        <f>IF(B1323&lt;&gt;"",IF(AND(B1323='IN-TC'!$S$4,OR(TH!N1322="1111",TH!O1322="1111")),TH!D1322,""),"")</f>
        <v/>
      </c>
      <c r="B1323" s="63">
        <f t="shared" si="183"/>
        <v>3</v>
      </c>
      <c r="C1323" s="316">
        <v>42433</v>
      </c>
      <c r="D1323" s="316" t="s">
        <v>878</v>
      </c>
      <c r="E1323" s="316">
        <v>42433</v>
      </c>
      <c r="F1323" s="512" t="s">
        <v>1011</v>
      </c>
      <c r="G1323" s="976" t="s">
        <v>1108</v>
      </c>
      <c r="H1323" s="318" t="s">
        <v>1102</v>
      </c>
      <c r="I1323" s="437"/>
      <c r="J1323" s="437"/>
      <c r="K1323" s="428"/>
      <c r="L1323" s="437"/>
      <c r="M1323" s="65">
        <v>110098</v>
      </c>
      <c r="N1323" s="319" t="s">
        <v>9</v>
      </c>
      <c r="O1323" s="66" t="s">
        <v>63</v>
      </c>
      <c r="P1323" s="82" t="str">
        <f>IF(AND('331-CT'!$E$7=TH!H1322,OR(N1323="331",O1323="331")),"x","")</f>
        <v/>
      </c>
      <c r="Q1323" s="82" t="str">
        <f>IF(AND(B1323='111'!$L$11,OR($N1323=$Q$7,$O1323=$Q$7)),"x","")</f>
        <v/>
      </c>
      <c r="R1323" s="82" t="str">
        <f>IF(AND($N1323=$Q$7,$B1323&lt;'111'!$L$11),"x","")</f>
        <v/>
      </c>
      <c r="S1323" s="82" t="str">
        <f>IF(AND($O1323=$Q$7,$B1323&lt;'111'!$L$11),"x","")</f>
        <v>x</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IF(OR(TH!N1322=TH!$X$7,O1323=TH!$X$7),"x","")</f>
        <v/>
      </c>
      <c r="Y1323" s="82" t="str">
        <f>IF(AND(OR(N1323="131",O1323="131"),H1323='131-CT'!$H$9),"x","")</f>
        <v/>
      </c>
      <c r="Z1323" s="82"/>
      <c r="AA1323" s="82" t="str">
        <f>IF(AND(MONTH(E1323)='IN-NX'!$J$5,'IN-NX'!$D$7=D1323),"x","")</f>
        <v/>
      </c>
      <c r="AB1323" s="82" t="str">
        <f>IF(AND(OR(LEFT(TH!N1322,2)="15",LEFT(TH!O1322,2)="15"),LEFT(TH!O1322,3)&lt;&gt;"111",'152-CT'!$J$8=TH!F1322),"x","")</f>
        <v/>
      </c>
      <c r="AC1323" s="82" t="str">
        <f>IF(AND(OR(LEFT(TH!N1322,2)="15",LEFT(TH!O1322,2)="15"),TK!$E$7=TH!F1322),"x","")</f>
        <v/>
      </c>
      <c r="AD1323" s="82" t="str">
        <f>IF(AND(N1323="1521",MONTH(C1323)='BK-NL'!$M$11),"x","")</f>
        <v/>
      </c>
    </row>
    <row r="1324" spans="1:32" ht="15.75" customHeight="1">
      <c r="A1324" s="334" t="str">
        <f>IF(B1324&lt;&gt;"",IF(AND(B1324='IN-TC'!$S$4,OR(TH!N1323="1111",TH!O1323="1111")),TH!D1323,""),"")</f>
        <v/>
      </c>
      <c r="B1324" s="63">
        <f t="shared" si="183"/>
        <v>3</v>
      </c>
      <c r="C1324" s="316">
        <v>42433</v>
      </c>
      <c r="D1324" s="316" t="s">
        <v>879</v>
      </c>
      <c r="E1324" s="316">
        <v>42377</v>
      </c>
      <c r="F1324" s="512" t="s">
        <v>1145</v>
      </c>
      <c r="G1324" s="976" t="s">
        <v>1158</v>
      </c>
      <c r="H1324" s="72" t="s">
        <v>1148</v>
      </c>
      <c r="I1324" s="437"/>
      <c r="J1324" s="437"/>
      <c r="K1324" s="428"/>
      <c r="L1324" s="437"/>
      <c r="M1324" s="65">
        <v>17272500</v>
      </c>
      <c r="N1324" s="319" t="s">
        <v>162</v>
      </c>
      <c r="O1324" s="66" t="s">
        <v>63</v>
      </c>
      <c r="P1324" s="82" t="str">
        <f>IF(AND('331-CT'!$E$7=TH!H1323,OR(N1324="331",O1324="331")),"x","")</f>
        <v/>
      </c>
      <c r="Q1324" s="82" t="str">
        <f>IF(AND(B1324='111'!$L$11,OR($N1324=$Q$7,$O1324=$Q$7)),"x","")</f>
        <v/>
      </c>
      <c r="R1324" s="82" t="str">
        <f>IF(AND($N1324=$Q$7,$B1324&lt;'111'!$L$11),"x","")</f>
        <v/>
      </c>
      <c r="S1324" s="82" t="str">
        <f>IF(AND($O1324=$Q$7,$B1324&lt;'111'!$L$11),"x","")</f>
        <v>x</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IF(OR(TH!N1323=TH!$X$7,O1324=TH!$X$7),"x","")</f>
        <v>x</v>
      </c>
      <c r="Y1324" s="82" t="str">
        <f>IF(AND(OR(N1324="131",O1324="131"),H1324='131-CT'!$H$9),"x","")</f>
        <v/>
      </c>
      <c r="Z1324" s="82"/>
      <c r="AA1324" s="82" t="str">
        <f>IF(AND(MONTH(E1324)='IN-NX'!$J$5,'IN-NX'!$D$7=D1324),"x","")</f>
        <v/>
      </c>
      <c r="AB1324" s="82" t="str">
        <f>IF(AND(OR(LEFT(TH!N1323,2)="15",LEFT(TH!O1323,2)="15"),LEFT(TH!O1323,3)&lt;&gt;"111",'152-CT'!$J$8=TH!F1323),"x","")</f>
        <v/>
      </c>
      <c r="AC1324" s="82" t="str">
        <f>IF(AND(OR(LEFT(TH!N1323,2)="15",LEFT(TH!O1323,2)="15"),TK!$E$7=TH!F1323),"x","")</f>
        <v/>
      </c>
      <c r="AD1324" s="82" t="str">
        <f>IF(AND(N1324="1521",MONTH(C1324)='BK-NL'!$M$11),"x","")</f>
        <v/>
      </c>
    </row>
    <row r="1325" spans="1:32" ht="15.75" customHeight="1">
      <c r="A1325" s="334" t="str">
        <f>IF(B1325&lt;&gt;"",IF(AND(B1325='IN-TC'!$S$4,OR(TH!N1324="1111",TH!O1324="1111")),TH!D1324,""),"")</f>
        <v/>
      </c>
      <c r="B1325" s="63">
        <f t="shared" si="183"/>
        <v>3</v>
      </c>
      <c r="C1325" s="316">
        <v>42433</v>
      </c>
      <c r="D1325" s="316" t="s">
        <v>879</v>
      </c>
      <c r="E1325" s="316">
        <v>42377</v>
      </c>
      <c r="F1325" s="512" t="s">
        <v>1146</v>
      </c>
      <c r="G1325" s="976" t="s">
        <v>1158</v>
      </c>
      <c r="H1325" s="72" t="s">
        <v>1148</v>
      </c>
      <c r="I1325" s="437"/>
      <c r="J1325" s="437"/>
      <c r="K1325" s="428"/>
      <c r="L1325" s="437"/>
      <c r="M1325" s="65">
        <v>1727250</v>
      </c>
      <c r="N1325" s="319" t="s">
        <v>9</v>
      </c>
      <c r="O1325" s="66" t="s">
        <v>63</v>
      </c>
      <c r="P1325" s="82" t="str">
        <f>IF(AND('331-CT'!$E$7=TH!H1324,OR(N1325="331",O1325="331")),"x","")</f>
        <v/>
      </c>
      <c r="Q1325" s="82" t="str">
        <f>IF(AND(B1325='111'!$L$11,OR($N1325=$Q$7,$O1325=$Q$7)),"x","")</f>
        <v/>
      </c>
      <c r="R1325" s="82" t="str">
        <f>IF(AND($N1325=$Q$7,$B1325&lt;'111'!$L$11),"x","")</f>
        <v/>
      </c>
      <c r="S1325" s="82" t="str">
        <f>IF(AND($O1325=$Q$7,$B1325&lt;'111'!$L$11),"x","")</f>
        <v>x</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IF(OR(TH!N1324=TH!$X$7,O1325=TH!$X$7),"x","")</f>
        <v/>
      </c>
      <c r="Y1325" s="82" t="str">
        <f>IF(AND(OR(N1325="131",O1325="131"),H1325='131-CT'!$H$9),"x","")</f>
        <v/>
      </c>
      <c r="Z1325" s="82"/>
      <c r="AA1325" s="82" t="str">
        <f>IF(AND(MONTH(E1325)='IN-NX'!$J$5,'IN-NX'!$D$7=D1325),"x","")</f>
        <v/>
      </c>
      <c r="AB1325" s="82" t="str">
        <f>IF(AND(OR(LEFT(TH!N1324,2)="15",LEFT(TH!O1324,2)="15"),LEFT(TH!O1324,3)&lt;&gt;"111",'152-CT'!$J$8=TH!F1324),"x","")</f>
        <v/>
      </c>
      <c r="AC1325" s="82" t="str">
        <f>IF(AND(OR(LEFT(TH!N1324,2)="15",LEFT(TH!O1324,2)="15"),TK!$E$7=TH!F1324),"x","")</f>
        <v/>
      </c>
      <c r="AD1325" s="82" t="str">
        <f>IF(AND(N1325="1521",MONTH(C1325)='BK-NL'!$M$11),"x","")</f>
        <v/>
      </c>
    </row>
    <row r="1326" spans="1:32" ht="15.75" customHeight="1">
      <c r="A1326" s="334" t="str">
        <f>IF(B1326&lt;&gt;"",IF(AND(B1326='IN-TC'!$S$4,OR(TH!N1325="1111",TH!O1325="1111")),TH!D1325,""),"")</f>
        <v/>
      </c>
      <c r="B1326" s="63">
        <f t="shared" si="183"/>
        <v>3</v>
      </c>
      <c r="C1326" s="316">
        <v>42434</v>
      </c>
      <c r="D1326" s="316" t="s">
        <v>880</v>
      </c>
      <c r="E1326" s="316">
        <v>42434</v>
      </c>
      <c r="F1326" s="512" t="s">
        <v>1143</v>
      </c>
      <c r="G1326" s="976" t="s">
        <v>1144</v>
      </c>
      <c r="H1326" s="318" t="s">
        <v>843</v>
      </c>
      <c r="I1326" s="437"/>
      <c r="J1326" s="437"/>
      <c r="K1326" s="428"/>
      <c r="L1326" s="437"/>
      <c r="M1326" s="65">
        <v>1911132</v>
      </c>
      <c r="N1326" s="319" t="s">
        <v>101</v>
      </c>
      <c r="O1326" s="66" t="s">
        <v>63</v>
      </c>
      <c r="P1326" s="82" t="str">
        <f>IF(AND('331-CT'!$E$7=TH!H1325,OR(N1326="331",O1326="331")),"x","")</f>
        <v/>
      </c>
      <c r="Q1326" s="82" t="str">
        <f>IF(AND(B1326='111'!$L$11,OR($N1326=$Q$7,$O1326=$Q$7)),"x","")</f>
        <v/>
      </c>
      <c r="R1326" s="82" t="str">
        <f>IF(AND($N1326=$Q$7,$B1326&lt;'111'!$L$11),"x","")</f>
        <v/>
      </c>
      <c r="S1326" s="82" t="str">
        <f>IF(AND($O1326=$Q$7,$B1326&lt;'111'!$L$11),"x","")</f>
        <v>x</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IF(OR(TH!N1325=TH!$X$7,O1326=TH!$X$7),"x","")</f>
        <v>x</v>
      </c>
      <c r="Y1326" s="82" t="str">
        <f>IF(AND(OR(N1326="131",O1326="131"),H1326='131-CT'!$H$9),"x","")</f>
        <v/>
      </c>
      <c r="Z1326" s="82"/>
      <c r="AA1326" s="82" t="str">
        <f>IF(AND(MONTH(E1326)='IN-NX'!$J$5,'IN-NX'!$D$7=D1326),"x","")</f>
        <v/>
      </c>
      <c r="AB1326" s="82" t="str">
        <f>IF(AND(OR(LEFT(TH!N1325,2)="15",LEFT(TH!O1325,2)="15"),LEFT(TH!O1325,3)&lt;&gt;"111",'152-CT'!$J$8=TH!F1325),"x","")</f>
        <v/>
      </c>
      <c r="AC1326" s="82" t="str">
        <f>IF(AND(OR(LEFT(TH!N1325,2)="15",LEFT(TH!O1325,2)="15"),TK!$E$7=TH!F1325),"x","")</f>
        <v/>
      </c>
      <c r="AD1326" s="82" t="str">
        <f>IF(AND(N1326="1521",MONTH(C1326)='BK-NL'!$M$11),"x","")</f>
        <v/>
      </c>
    </row>
    <row r="1327" spans="1:32" ht="15.75" customHeight="1">
      <c r="A1327" s="334" t="str">
        <f>IF(B1327&lt;&gt;"",IF(AND(B1327='IN-TC'!$S$4,OR(TH!N1326="1111",TH!O1326="1111")),TH!D1326,""),"")</f>
        <v/>
      </c>
      <c r="B1327" s="63">
        <f t="shared" si="183"/>
        <v>3</v>
      </c>
      <c r="C1327" s="316">
        <v>42434</v>
      </c>
      <c r="D1327" s="316" t="s">
        <v>880</v>
      </c>
      <c r="E1327" s="316">
        <v>42434</v>
      </c>
      <c r="F1327" s="512" t="s">
        <v>1176</v>
      </c>
      <c r="G1327" s="976" t="s">
        <v>1144</v>
      </c>
      <c r="H1327" s="318" t="s">
        <v>843</v>
      </c>
      <c r="I1327" s="437"/>
      <c r="J1327" s="437"/>
      <c r="K1327" s="428"/>
      <c r="L1327" s="437"/>
      <c r="M1327" s="65">
        <v>191113</v>
      </c>
      <c r="N1327" s="319" t="s">
        <v>9</v>
      </c>
      <c r="O1327" s="66" t="s">
        <v>63</v>
      </c>
      <c r="P1327" s="82" t="str">
        <f>IF(AND('331-CT'!$E$7=TH!H1326,OR(N1327="331",O1327="331")),"x","")</f>
        <v/>
      </c>
      <c r="Q1327" s="82" t="str">
        <f>IF(AND(B1327='111'!$L$11,OR($N1327=$Q$7,$O1327=$Q$7)),"x","")</f>
        <v/>
      </c>
      <c r="R1327" s="82" t="str">
        <f>IF(AND($N1327=$Q$7,$B1327&lt;'111'!$L$11),"x","")</f>
        <v/>
      </c>
      <c r="S1327" s="82" t="str">
        <f>IF(AND($O1327=$Q$7,$B1327&lt;'111'!$L$11),"x","")</f>
        <v>x</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IF(OR(TH!N1326=TH!$X$7,O1327=TH!$X$7),"x","")</f>
        <v/>
      </c>
      <c r="Y1327" s="82" t="str">
        <f>IF(AND(OR(N1327="131",O1327="131"),H1327='131-CT'!$H$9),"x","")</f>
        <v/>
      </c>
      <c r="Z1327" s="82"/>
      <c r="AA1327" s="82" t="str">
        <f>IF(AND(MONTH(E1327)='IN-NX'!$J$5,'IN-NX'!$D$7=D1327),"x","")</f>
        <v/>
      </c>
      <c r="AB1327" s="82" t="str">
        <f>IF(AND(OR(LEFT(TH!N1326,2)="15",LEFT(TH!O1326,2)="15"),LEFT(TH!O1326,3)&lt;&gt;"111",'152-CT'!$J$8=TH!F1326),"x","")</f>
        <v/>
      </c>
      <c r="AC1327" s="82" t="str">
        <f>IF(AND(OR(LEFT(TH!N1326,2)="15",LEFT(TH!O1326,2)="15"),TK!$E$7=TH!F1326),"x","")</f>
        <v/>
      </c>
      <c r="AD1327" s="82" t="str">
        <f>IF(AND(N1327="1521",MONTH(C1327)='BK-NL'!$M$11),"x","")</f>
        <v/>
      </c>
    </row>
    <row r="1328" spans="1:32" ht="15.75" customHeight="1">
      <c r="A1328" s="334" t="str">
        <f>IF(B1328&lt;&gt;"",IF(AND(B1328='IN-TC'!$S$4,OR(TH!N1327="1111",TH!O1327="1111")),TH!D1327,""),"")</f>
        <v/>
      </c>
      <c r="B1328" s="63">
        <f t="shared" si="183"/>
        <v>3</v>
      </c>
      <c r="C1328" s="316">
        <v>42435</v>
      </c>
      <c r="D1328" s="316" t="s">
        <v>881</v>
      </c>
      <c r="E1328" s="316">
        <v>42435</v>
      </c>
      <c r="F1328" s="512" t="s">
        <v>773</v>
      </c>
      <c r="G1328" s="976" t="s">
        <v>1109</v>
      </c>
      <c r="H1328" s="318" t="s">
        <v>1102</v>
      </c>
      <c r="I1328" s="441"/>
      <c r="J1328" s="441"/>
      <c r="K1328" s="432"/>
      <c r="L1328" s="441"/>
      <c r="M1328" s="65">
        <v>564864</v>
      </c>
      <c r="N1328" s="319" t="s">
        <v>101</v>
      </c>
      <c r="O1328" s="66" t="s">
        <v>63</v>
      </c>
      <c r="P1328" s="82" t="str">
        <f>IF(AND('331-CT'!$E$7=TH!H1327,OR(N1328="331",O1328="331")),"x","")</f>
        <v/>
      </c>
      <c r="Q1328" s="82" t="str">
        <f>IF(AND(B1328='111'!$L$11,OR($N1328=$Q$7,$O1328=$Q$7)),"x","")</f>
        <v/>
      </c>
      <c r="R1328" s="82" t="str">
        <f>IF(AND($N1328=$Q$7,$B1328&lt;'111'!$L$11),"x","")</f>
        <v/>
      </c>
      <c r="S1328" s="82" t="str">
        <f>IF(AND($O1328=$Q$7,$B1328&lt;'111'!$L$11),"x","")</f>
        <v>x</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IF(OR(TH!N1327=TH!$X$7,O1328=TH!$X$7),"x","")</f>
        <v>x</v>
      </c>
      <c r="Y1328" s="82" t="str">
        <f>IF(AND(OR(N1328="131",O1328="131"),H1328='131-CT'!$H$9),"x","")</f>
        <v/>
      </c>
      <c r="Z1328" s="82"/>
      <c r="AA1328" s="82" t="str">
        <f>IF(AND(MONTH(E1328)='IN-NX'!$J$5,'IN-NX'!$D$7=D1328),"x","")</f>
        <v/>
      </c>
      <c r="AB1328" s="82" t="str">
        <f>IF(AND(OR(LEFT(TH!N1327,2)="15",LEFT(TH!O1327,2)="15"),LEFT(TH!O1327,3)&lt;&gt;"111",'152-CT'!$J$8=TH!F1327),"x","")</f>
        <v/>
      </c>
      <c r="AC1328" s="82" t="str">
        <f>IF(AND(OR(LEFT(TH!N1327,2)="15",LEFT(TH!O1327,2)="15"),TK!$E$7=TH!F1327),"x","")</f>
        <v/>
      </c>
      <c r="AD1328" s="82" t="str">
        <f>IF(AND(N1328="1521",MONTH(C1328)='BK-NL'!$M$11),"x","")</f>
        <v/>
      </c>
    </row>
    <row r="1329" spans="1:32" ht="15.75" customHeight="1">
      <c r="A1329" s="334" t="str">
        <f>IF(B1329&lt;&gt;"",IF(AND(B1329='IN-TC'!$S$4,OR(TH!N1328="1111",TH!O1328="1111")),TH!D1328,""),"")</f>
        <v/>
      </c>
      <c r="B1329" s="63">
        <f t="shared" si="183"/>
        <v>3</v>
      </c>
      <c r="C1329" s="316">
        <v>42435</v>
      </c>
      <c r="D1329" s="316" t="s">
        <v>881</v>
      </c>
      <c r="E1329" s="316">
        <v>42435</v>
      </c>
      <c r="F1329" s="512" t="s">
        <v>774</v>
      </c>
      <c r="G1329" s="976" t="s">
        <v>1109</v>
      </c>
      <c r="H1329" s="318" t="s">
        <v>1102</v>
      </c>
      <c r="I1329" s="437"/>
      <c r="J1329" s="437"/>
      <c r="K1329" s="428"/>
      <c r="L1329" s="437"/>
      <c r="M1329" s="65">
        <v>56486</v>
      </c>
      <c r="N1329" s="319" t="s">
        <v>9</v>
      </c>
      <c r="O1329" s="66" t="s">
        <v>63</v>
      </c>
      <c r="P1329" s="82" t="str">
        <f>IF(AND('331-CT'!$E$7=TH!H1328,OR(N1329="331",O1329="331")),"x","")</f>
        <v/>
      </c>
      <c r="Q1329" s="82" t="str">
        <f>IF(AND(B1329='111'!$L$11,OR($N1329=$Q$7,$O1329=$Q$7)),"x","")</f>
        <v/>
      </c>
      <c r="R1329" s="82" t="str">
        <f>IF(AND($N1329=$Q$7,$B1329&lt;'111'!$L$11),"x","")</f>
        <v/>
      </c>
      <c r="S1329" s="82" t="str">
        <f>IF(AND($O1329=$Q$7,$B1329&lt;'111'!$L$11),"x","")</f>
        <v>x</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IF(OR(TH!N1328=TH!$X$7,O1329=TH!$X$7),"x","")</f>
        <v/>
      </c>
      <c r="Y1329" s="82" t="str">
        <f>IF(AND(OR(N1329="131",O1329="131"),H1329='131-CT'!$H$9),"x","")</f>
        <v/>
      </c>
      <c r="Z1329" s="82"/>
      <c r="AA1329" s="82" t="str">
        <f>IF(AND(MONTH(E1329)='IN-NX'!$J$5,'IN-NX'!$D$7=D1329),"x","")</f>
        <v/>
      </c>
      <c r="AB1329" s="82" t="str">
        <f>IF(AND(OR(LEFT(TH!N1328,2)="15",LEFT(TH!O1328,2)="15"),LEFT(TH!O1328,3)&lt;&gt;"111",'152-CT'!$J$8=TH!F1328),"x","")</f>
        <v/>
      </c>
      <c r="AC1329" s="82" t="str">
        <f>IF(AND(OR(LEFT(TH!N1328,2)="15",LEFT(TH!O1328,2)="15"),TK!$E$7=TH!F1328),"x","")</f>
        <v/>
      </c>
      <c r="AD1329" s="82" t="str">
        <f>IF(AND(N1329="1521",MONTH(C1329)='BK-NL'!$M$11),"x","")</f>
        <v/>
      </c>
    </row>
    <row r="1330" spans="1:32" ht="15.75" customHeight="1">
      <c r="A1330" s="334" t="str">
        <f>IF(B1330&lt;&gt;"",IF(AND(B1330='IN-TC'!$S$4,OR(TH!N1330="1111",TH!O1330="1111")),TH!D1330,""),"")</f>
        <v/>
      </c>
      <c r="B1330" s="63">
        <f t="shared" si="183"/>
        <v>3</v>
      </c>
      <c r="C1330" s="316">
        <v>42436</v>
      </c>
      <c r="D1330" s="64" t="s">
        <v>699</v>
      </c>
      <c r="E1330" s="316">
        <v>42436</v>
      </c>
      <c r="F1330" s="512" t="s">
        <v>1180</v>
      </c>
      <c r="G1330" s="317" t="s">
        <v>915</v>
      </c>
      <c r="H1330" s="342"/>
      <c r="I1330" s="437"/>
      <c r="J1330" s="437"/>
      <c r="K1330" s="428">
        <v>82000</v>
      </c>
      <c r="L1330" s="437">
        <v>22300</v>
      </c>
      <c r="M1330" s="65">
        <v>1828600000</v>
      </c>
      <c r="N1330" s="319" t="s">
        <v>266</v>
      </c>
      <c r="O1330" s="66" t="s">
        <v>26</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c r="AE1330" s="348"/>
    </row>
    <row r="1331" spans="1:32" ht="15.75" customHeight="1">
      <c r="A1331" s="334" t="str">
        <f>IF(B1331&lt;&gt;"",IF(AND(B1331='IN-TC'!$S$4,OR(TH!N1331="1111",TH!O1331="1111")),TH!D1331,""),"")</f>
        <v/>
      </c>
      <c r="B1331" s="63">
        <f t="shared" si="183"/>
        <v>3</v>
      </c>
      <c r="C1331" s="316">
        <v>42436</v>
      </c>
      <c r="D1331" s="64" t="s">
        <v>699</v>
      </c>
      <c r="E1331" s="316">
        <v>42436</v>
      </c>
      <c r="F1331" s="72" t="s">
        <v>1695</v>
      </c>
      <c r="G1331" s="317" t="s">
        <v>915</v>
      </c>
      <c r="H1331" s="72" t="s">
        <v>1181</v>
      </c>
      <c r="I1331" s="437"/>
      <c r="J1331" s="437"/>
      <c r="K1331" s="428">
        <v>82000</v>
      </c>
      <c r="L1331" s="437">
        <v>22300</v>
      </c>
      <c r="M1331" s="65">
        <v>1828600000</v>
      </c>
      <c r="N1331" s="319" t="s">
        <v>266</v>
      </c>
      <c r="O1331" s="66" t="s">
        <v>260</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2" ht="15.75" customHeight="1">
      <c r="A1332" s="334" t="str">
        <f>IF(B1332&lt;&gt;"",IF(AND(B1332='IN-TC'!$S$4,OR(TH!N1332="1111",TH!O1332="1111")),TH!D1332,""),"")</f>
        <v/>
      </c>
      <c r="B1332" s="63">
        <f t="shared" si="183"/>
        <v>3</v>
      </c>
      <c r="C1332" s="316">
        <v>42436</v>
      </c>
      <c r="D1332" s="64" t="s">
        <v>702</v>
      </c>
      <c r="E1332" s="316">
        <v>42436</v>
      </c>
      <c r="F1332" s="72" t="s">
        <v>1183</v>
      </c>
      <c r="G1332" s="317" t="s">
        <v>915</v>
      </c>
      <c r="H1332" s="342" t="s">
        <v>719</v>
      </c>
      <c r="I1332" s="437"/>
      <c r="J1332" s="437"/>
      <c r="K1332" s="428">
        <v>82000</v>
      </c>
      <c r="L1332" s="437">
        <v>22300</v>
      </c>
      <c r="M1332" s="65">
        <v>1828600000</v>
      </c>
      <c r="N1332" s="319" t="s">
        <v>260</v>
      </c>
      <c r="O1332" s="319" t="s">
        <v>266</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c r="AE1332" s="349"/>
    </row>
    <row r="1333" spans="1:32" ht="15.75" customHeight="1">
      <c r="A1333" s="334" t="str">
        <f>IF(B1333&lt;&gt;"",IF(AND(B1333='IN-TC'!$S$4,OR(TH!N1333="1111",TH!O1333="1111")),TH!D1333,""),"")</f>
        <v/>
      </c>
      <c r="B1333" s="63">
        <f t="shared" si="183"/>
        <v>3</v>
      </c>
      <c r="C1333" s="316">
        <v>42436</v>
      </c>
      <c r="D1333" s="316" t="s">
        <v>579</v>
      </c>
      <c r="E1333" s="316">
        <v>42436</v>
      </c>
      <c r="F1333" s="72" t="s">
        <v>731</v>
      </c>
      <c r="G1333" s="317" t="s">
        <v>915</v>
      </c>
      <c r="H1333" s="342" t="s">
        <v>719</v>
      </c>
      <c r="I1333" s="437"/>
      <c r="J1333" s="437"/>
      <c r="K1333" s="428"/>
      <c r="L1333" s="437"/>
      <c r="M1333" s="65">
        <v>14350000</v>
      </c>
      <c r="N1333" s="319" t="s">
        <v>260</v>
      </c>
      <c r="O1333" s="66" t="s">
        <v>43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c r="AE1333" s="349"/>
    </row>
    <row r="1334" spans="1:32" ht="15.75" customHeight="1">
      <c r="A1334" s="334" t="str">
        <f>IF(B1334&lt;&gt;"",IF(AND(B1334='IN-TC'!$S$4,OR(TH!N1334="1111",TH!O1334="1111")),TH!D1334,""),"")</f>
        <v/>
      </c>
      <c r="B1334" s="63">
        <f t="shared" si="183"/>
        <v>3</v>
      </c>
      <c r="C1334" s="316">
        <v>42436</v>
      </c>
      <c r="D1334" s="64" t="s">
        <v>702</v>
      </c>
      <c r="E1334" s="316">
        <v>42436</v>
      </c>
      <c r="F1334" s="72" t="s">
        <v>1438</v>
      </c>
      <c r="G1334" s="317" t="s">
        <v>915</v>
      </c>
      <c r="H1334" s="318"/>
      <c r="I1334" s="437"/>
      <c r="J1334" s="437"/>
      <c r="K1334" s="428">
        <v>82000</v>
      </c>
      <c r="L1334" s="437">
        <v>22300</v>
      </c>
      <c r="M1334" s="65">
        <v>1828600000</v>
      </c>
      <c r="N1334" s="66" t="s">
        <v>26</v>
      </c>
      <c r="O1334" s="319" t="s">
        <v>266</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c r="AE1334" s="349"/>
    </row>
    <row r="1335" spans="1:32" ht="15.75" customHeight="1">
      <c r="A1335" s="334" t="str">
        <f>IF(B1335&lt;&gt;"",IF(AND(B1335='IN-TC'!$S$4,OR(TH!N1335="1111",TH!O1335="1111")),TH!D1335,""),"")</f>
        <v/>
      </c>
      <c r="B1335" s="63">
        <f t="shared" si="183"/>
        <v>3</v>
      </c>
      <c r="C1335" s="64">
        <v>42436</v>
      </c>
      <c r="D1335" s="316" t="s">
        <v>702</v>
      </c>
      <c r="E1335" s="64">
        <v>42436</v>
      </c>
      <c r="F1335" s="72" t="s">
        <v>1049</v>
      </c>
      <c r="G1335" s="67" t="s">
        <v>915</v>
      </c>
      <c r="H1335" s="342" t="s">
        <v>719</v>
      </c>
      <c r="I1335" s="437"/>
      <c r="J1335" s="437"/>
      <c r="K1335" s="428">
        <v>191.33001792114695</v>
      </c>
      <c r="L1335" s="437">
        <v>22320</v>
      </c>
      <c r="M1335" s="65">
        <v>4270486</v>
      </c>
      <c r="N1335" s="66" t="s">
        <v>99</v>
      </c>
      <c r="O1335" s="66" t="s">
        <v>26</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2" ht="15.75" customHeight="1">
      <c r="A1336" s="334" t="str">
        <f>IF(B1336&lt;&gt;"",IF(AND(B1336='IN-TC'!$S$4,OR(TH!N1336="1111",TH!O1336="1111")),TH!D1336,""),"")</f>
        <v/>
      </c>
      <c r="B1336" s="63">
        <f t="shared" si="183"/>
        <v>3</v>
      </c>
      <c r="C1336" s="64">
        <v>42436</v>
      </c>
      <c r="D1336" s="316" t="s">
        <v>702</v>
      </c>
      <c r="E1336" s="64">
        <v>42436</v>
      </c>
      <c r="F1336" s="72" t="s">
        <v>1042</v>
      </c>
      <c r="G1336" s="67" t="s">
        <v>915</v>
      </c>
      <c r="H1336" s="342" t="s">
        <v>717</v>
      </c>
      <c r="I1336" s="437"/>
      <c r="J1336" s="437"/>
      <c r="K1336" s="428">
        <v>56.05</v>
      </c>
      <c r="L1336" s="437">
        <v>22320</v>
      </c>
      <c r="M1336" s="65">
        <v>1251036</v>
      </c>
      <c r="N1336" s="66" t="s">
        <v>19</v>
      </c>
      <c r="O1336" s="66" t="s">
        <v>26</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2" ht="15.75" customHeight="1">
      <c r="A1337" s="334" t="str">
        <f>IF(B1337&lt;&gt;"",IF(AND(B1337='IN-TC'!$S$4,OR(TH!N1337="1111",TH!O1337="1111")),TH!D1337,""),"")</f>
        <v/>
      </c>
      <c r="B1337" s="63">
        <f t="shared" si="183"/>
        <v>3</v>
      </c>
      <c r="C1337" s="64">
        <v>42436</v>
      </c>
      <c r="D1337" s="316" t="s">
        <v>702</v>
      </c>
      <c r="E1337" s="64">
        <v>42436</v>
      </c>
      <c r="F1337" s="72" t="s">
        <v>1043</v>
      </c>
      <c r="G1337" s="67" t="s">
        <v>915</v>
      </c>
      <c r="H1337" s="342" t="s">
        <v>710</v>
      </c>
      <c r="I1337" s="437"/>
      <c r="J1337" s="437"/>
      <c r="K1337" s="428">
        <v>120.78001792114695</v>
      </c>
      <c r="L1337" s="437">
        <v>22320</v>
      </c>
      <c r="M1337" s="65">
        <v>2695810</v>
      </c>
      <c r="N1337" s="66" t="s">
        <v>99</v>
      </c>
      <c r="O1337" s="66" t="s">
        <v>26</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2" ht="15.75" customHeight="1">
      <c r="A1338" s="334" t="str">
        <f>IF(B1338&lt;&gt;"",IF(AND(B1338='IN-TC'!$S$4,OR(TH!N1338="1111",TH!O1338="1111")),TH!D1338,""),"")</f>
        <v/>
      </c>
      <c r="B1338" s="63">
        <f t="shared" si="183"/>
        <v>3</v>
      </c>
      <c r="C1338" s="64">
        <v>42436</v>
      </c>
      <c r="D1338" s="316" t="s">
        <v>702</v>
      </c>
      <c r="E1338" s="64">
        <v>42436</v>
      </c>
      <c r="F1338" s="72" t="s">
        <v>1044</v>
      </c>
      <c r="G1338" s="67" t="s">
        <v>915</v>
      </c>
      <c r="H1338" s="342" t="s">
        <v>711</v>
      </c>
      <c r="I1338" s="437"/>
      <c r="J1338" s="437"/>
      <c r="K1338" s="428">
        <v>74.369982078853042</v>
      </c>
      <c r="L1338" s="437">
        <v>22320</v>
      </c>
      <c r="M1338" s="65">
        <v>1659938</v>
      </c>
      <c r="N1338" s="66" t="s">
        <v>99</v>
      </c>
      <c r="O1338" s="66" t="s">
        <v>26</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2" ht="15.75" customHeight="1">
      <c r="A1339" s="334" t="str">
        <f>IF(B1339&lt;&gt;"",IF(AND(B1339='IN-TC'!$S$4,OR(TH!N1339="1111",TH!O1339="1111")),TH!D1339,""),"")</f>
        <v/>
      </c>
      <c r="B1339" s="63">
        <f t="shared" si="183"/>
        <v>3</v>
      </c>
      <c r="C1339" s="64">
        <v>42436</v>
      </c>
      <c r="D1339" s="316" t="s">
        <v>702</v>
      </c>
      <c r="E1339" s="64">
        <v>42436</v>
      </c>
      <c r="F1339" s="72" t="s">
        <v>1045</v>
      </c>
      <c r="G1339" s="67" t="s">
        <v>915</v>
      </c>
      <c r="H1339" s="342" t="s">
        <v>718</v>
      </c>
      <c r="I1339" s="437"/>
      <c r="J1339" s="437"/>
      <c r="K1339" s="428">
        <v>104.10999103942652</v>
      </c>
      <c r="L1339" s="437">
        <v>22320</v>
      </c>
      <c r="M1339" s="65">
        <v>2323735</v>
      </c>
      <c r="N1339" s="66" t="s">
        <v>99</v>
      </c>
      <c r="O1339" s="66" t="s">
        <v>26</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2" ht="15.75" customHeight="1">
      <c r="A1340" s="334" t="str">
        <f>IF(B1340&lt;&gt;"",IF(AND(B1340='IN-TC'!$S$4,OR(TH!N1340="1111",TH!O1340="1111")),TH!D1340,""),"")</f>
        <v/>
      </c>
      <c r="B1340" s="63">
        <f t="shared" si="183"/>
        <v>3</v>
      </c>
      <c r="C1340" s="64">
        <v>42436</v>
      </c>
      <c r="D1340" s="316" t="s">
        <v>699</v>
      </c>
      <c r="E1340" s="64">
        <v>42436</v>
      </c>
      <c r="F1340" s="72" t="s">
        <v>1200</v>
      </c>
      <c r="G1340" s="67" t="s">
        <v>915</v>
      </c>
      <c r="H1340" s="342" t="s">
        <v>717</v>
      </c>
      <c r="I1340" s="437"/>
      <c r="J1340" s="437"/>
      <c r="K1340" s="428"/>
      <c r="L1340" s="437"/>
      <c r="M1340" s="65">
        <v>1251036</v>
      </c>
      <c r="N1340" s="66" t="s">
        <v>26</v>
      </c>
      <c r="O1340" s="66" t="s">
        <v>19</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2" ht="15.75" customHeight="1">
      <c r="A1341" s="334" t="str">
        <f>IF(B1341&lt;&gt;"",IF(AND(B1341='IN-TC'!$S$4,OR(TH!N1341="1111",TH!O1341="1111")),TH!D1341,""),"")</f>
        <v/>
      </c>
      <c r="B1341" s="63">
        <f t="shared" si="183"/>
        <v>3</v>
      </c>
      <c r="C1341" s="64">
        <v>42436</v>
      </c>
      <c r="D1341" s="316" t="s">
        <v>702</v>
      </c>
      <c r="E1341" s="64">
        <v>42436</v>
      </c>
      <c r="F1341" s="72" t="s">
        <v>1042</v>
      </c>
      <c r="G1341" s="67" t="s">
        <v>915</v>
      </c>
      <c r="H1341" s="342" t="s">
        <v>717</v>
      </c>
      <c r="I1341" s="437"/>
      <c r="J1341" s="437"/>
      <c r="K1341" s="428">
        <v>50.440008960573479</v>
      </c>
      <c r="L1341" s="437">
        <v>22320</v>
      </c>
      <c r="M1341" s="65">
        <v>1125821</v>
      </c>
      <c r="N1341" s="66" t="s">
        <v>99</v>
      </c>
      <c r="O1341" s="66" t="s">
        <v>26</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2" ht="15.75" customHeight="1">
      <c r="A1342" s="334" t="str">
        <f>IF(B1342&lt;&gt;"",IF(AND(B1342='IN-TC'!$S$4,OR(TH!N1342="1111",TH!O1342="1111")),TH!D1342,""),"")</f>
        <v/>
      </c>
      <c r="B1342" s="63">
        <f t="shared" si="183"/>
        <v>3</v>
      </c>
      <c r="C1342" s="64">
        <v>42436</v>
      </c>
      <c r="D1342" s="316" t="s">
        <v>870</v>
      </c>
      <c r="E1342" s="64">
        <v>42436</v>
      </c>
      <c r="F1342" s="72" t="s">
        <v>1139</v>
      </c>
      <c r="G1342" s="67" t="s">
        <v>915</v>
      </c>
      <c r="H1342" s="318" t="s">
        <v>760</v>
      </c>
      <c r="I1342" s="437"/>
      <c r="J1342" s="437"/>
      <c r="K1342" s="428"/>
      <c r="L1342" s="437"/>
      <c r="M1342" s="65">
        <v>1828600000</v>
      </c>
      <c r="N1342" s="319" t="s">
        <v>63</v>
      </c>
      <c r="O1342" s="66" t="s">
        <v>26</v>
      </c>
      <c r="P1342" s="82" t="str">
        <f>IF(AND('331-CT'!$E$7=TH!H1342,OR(N1342="331",O1342="331")),"x","")</f>
        <v/>
      </c>
      <c r="Q1342" s="82" t="str">
        <f>IF(AND(B1342='111'!$L$11,OR($N1342=$Q$7,$O1342=$Q$7)),"x","")</f>
        <v/>
      </c>
      <c r="R1342" s="82" t="str">
        <f>IF(AND($N1342=$Q$7,$B1342&lt;'111'!$L$11),"x","")</f>
        <v>x</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2" ht="15.75" customHeight="1">
      <c r="A1343" s="334" t="str">
        <f>IF(B1343&lt;&gt;"",IF(AND(B1343='IN-TC'!$S$4,OR(TH!N1329="1111",TH!O1329="1111")),TH!D1329,""),"")</f>
        <v/>
      </c>
      <c r="B1343" s="63">
        <f t="shared" si="183"/>
        <v>3</v>
      </c>
      <c r="C1343" s="64">
        <v>42436</v>
      </c>
      <c r="D1343" s="316" t="s">
        <v>882</v>
      </c>
      <c r="E1343" s="64">
        <v>42436</v>
      </c>
      <c r="F1343" s="512" t="s">
        <v>1100</v>
      </c>
      <c r="G1343" s="317" t="s">
        <v>915</v>
      </c>
      <c r="H1343" s="318" t="s">
        <v>1199</v>
      </c>
      <c r="I1343" s="437"/>
      <c r="J1343" s="437"/>
      <c r="K1343" s="428"/>
      <c r="L1343" s="437"/>
      <c r="M1343" s="65">
        <v>1900000000</v>
      </c>
      <c r="N1343" s="66" t="s">
        <v>26</v>
      </c>
      <c r="O1343" s="66" t="s">
        <v>63</v>
      </c>
      <c r="P1343" s="82" t="str">
        <f>IF(AND('331-CT'!$E$7=TH!H1329,OR(N1343="331",O1343="331")),"x","")</f>
        <v/>
      </c>
      <c r="Q1343" s="82" t="str">
        <f>IF(AND(B1343='111'!$L$11,OR($N1343=$Q$7,$O1343=$Q$7)),"x","")</f>
        <v/>
      </c>
      <c r="R1343" s="82" t="str">
        <f>IF(AND($N1343=$Q$7,$B1343&lt;'111'!$L$11),"x","")</f>
        <v/>
      </c>
      <c r="S1343" s="82" t="str">
        <f>IF(AND($O1343=$Q$7,$B1343&lt;'111'!$L$11),"x","")</f>
        <v>x</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IF(OR(TH!N1329=TH!$X$7,O1343=TH!$X$7),"x","")</f>
        <v>x</v>
      </c>
      <c r="Y1343" s="82" t="str">
        <f>IF(AND(OR(N1343="131",O1343="131"),H1343='131-CT'!$H$9),"x","")</f>
        <v/>
      </c>
      <c r="Z1343" s="82"/>
      <c r="AA1343" s="82" t="str">
        <f>IF(AND(MONTH(E1343)='IN-NX'!$J$5,'IN-NX'!$D$7=D1343),"x","")</f>
        <v/>
      </c>
      <c r="AB1343" s="82" t="str">
        <f>IF(AND(OR(LEFT(TH!N1329,2)="15",LEFT(TH!O1329,2)="15"),LEFT(TH!O1329,3)&lt;&gt;"111",'152-CT'!$J$8=TH!F1329),"x","")</f>
        <v/>
      </c>
      <c r="AC1343" s="82" t="str">
        <f>IF(AND(OR(LEFT(TH!N1329,2)="15",LEFT(TH!O1329,2)="15"),TK!$E$7=TH!F1329),"x","")</f>
        <v/>
      </c>
      <c r="AD1343" s="82" t="str">
        <f>IF(AND(N1343="1521",MONTH(C1343)='BK-NL'!$M$11),"x","")</f>
        <v/>
      </c>
    </row>
    <row r="1344" spans="1:32" ht="15.75" customHeight="1">
      <c r="A1344" s="334" t="str">
        <f>IF(B1344&lt;&gt;"",IF(AND(B1344='IN-TC'!$S$4,OR(TH!N1548="1111",TH!O1548="1111")),TH!D1548,""),"")</f>
        <v/>
      </c>
      <c r="B1344" s="1148">
        <f t="shared" si="183"/>
        <v>3</v>
      </c>
      <c r="C1344" s="1149">
        <v>42436</v>
      </c>
      <c r="D1344" s="1149" t="s">
        <v>883</v>
      </c>
      <c r="E1344" s="1149">
        <f>C1344</f>
        <v>42436</v>
      </c>
      <c r="F1344" s="512" t="s">
        <v>960</v>
      </c>
      <c r="G1344" s="1151"/>
      <c r="H1344" s="1150" t="s">
        <v>2239</v>
      </c>
      <c r="I1344" s="1152"/>
      <c r="J1344" s="1152"/>
      <c r="K1344" s="1153"/>
      <c r="L1344" s="1152"/>
      <c r="M1344" s="1154">
        <v>500000000</v>
      </c>
      <c r="N1344" s="1155" t="s">
        <v>272</v>
      </c>
      <c r="O1344" s="1155" t="s">
        <v>63</v>
      </c>
      <c r="P1344" s="1155" t="str">
        <f>IF(AND('331-CT'!$E$7=TH!H1548,OR(N1344="331",O1344="331")),"x","")</f>
        <v/>
      </c>
      <c r="Q1344" s="1155" t="str">
        <f>IF(AND(B1344='111'!$L$11,OR($N1344=$Q$7,$O1344=$Q$7)),"x","")</f>
        <v/>
      </c>
      <c r="R1344" s="1155" t="str">
        <f>IF(AND($N1344=$Q$7,$B1344&lt;'111'!$L$11),"x","")</f>
        <v/>
      </c>
      <c r="S1344" s="1155" t="str">
        <f>IF(AND($O1344=$Q$7,$B1344&lt;'111'!$L$11),"x","")</f>
        <v>x</v>
      </c>
      <c r="T1344" s="1155" t="str">
        <f>IF(ISERROR(FIND('112'!$M$9,G1344,1)),"",IF((AND(FIND('112'!$M$9,G1344,1)&gt;=1,B1344='112'!$K$9,OR($N1344='112'!$I$6,$O1344='112'!$I$6))),"x",""))</f>
        <v/>
      </c>
      <c r="U1344" s="1155" t="str">
        <f>IF(ISERROR(FIND('112'!$M$9,G1344,1)),"",IF((AND(LEFT(G1344,2)=LEFT('112'!$M$9,2),B1344&lt;'112'!$K$9,$N1344='112'!$I$6)),"x",""))</f>
        <v/>
      </c>
      <c r="V1344" s="1155" t="str">
        <f>IF(ISERROR(FIND('112'!$M$9,G1344,1)),"",IF((AND(RIGHT(G1344,2)=RIGHT('112'!$M$9,2),B1344&lt;'112'!$K$9,$O1344='112'!$I$6)),"x",""))</f>
        <v/>
      </c>
      <c r="W1344" s="1155" t="str">
        <f>IF(AND('341-CT'!$H$9=H1344,OR(LEFT(N1344,3)=$W$7,LEFT(O1344,3)=$W$7)),"x","")</f>
        <v/>
      </c>
      <c r="X1344" s="1155" t="str">
        <f>IF(OR(TH!N1548=TH!$X$7,O1344=TH!$X$7),"x","")</f>
        <v>x</v>
      </c>
      <c r="Y1344" s="1155" t="str">
        <f>IF(AND(OR(N1344="131",O1344="131"),H1344='131-CT'!$H$9),"x","")</f>
        <v/>
      </c>
      <c r="Z1344" s="1155"/>
      <c r="AA1344" s="1155" t="str">
        <f>IF(AND(MONTH(E1344)='IN-NX'!$J$5,'IN-NX'!$D$7=D1344),"x","")</f>
        <v/>
      </c>
      <c r="AB1344" s="1155" t="str">
        <f>IF(AND(OR(LEFT(TH!N1548,2)="15",LEFT(TH!O1548,2)="15"),LEFT(TH!O1548,3)&lt;&gt;"111",'152-CT'!$J$8=TH!F1548),"x","")</f>
        <v/>
      </c>
      <c r="AC1344" s="1155" t="str">
        <f>IF(AND(OR(LEFT(TH!N1548,2)="15",LEFT(TH!O1548,2)="15"),TK!$E$7=TH!F1548),"x","")</f>
        <v/>
      </c>
      <c r="AD1344" s="1155" t="str">
        <f>IF(AND(N1344="1521",MONTH(C1344)='BK-NL'!$M$11),"x","")</f>
        <v/>
      </c>
      <c r="AE1344" s="1156"/>
      <c r="AF1344" s="1156"/>
    </row>
    <row r="1345" spans="1:32" ht="15.75" customHeight="1">
      <c r="A1345" s="334" t="str">
        <f>IF(B1345&lt;&gt;"",IF(AND(B1345='IN-TC'!$S$4,OR(TH!N1343="1111",TH!O1343="1111")),TH!D1343,""),"")</f>
        <v/>
      </c>
      <c r="B1345" s="63">
        <f t="shared" si="183"/>
        <v>3</v>
      </c>
      <c r="C1345" s="316">
        <v>42437</v>
      </c>
      <c r="D1345" s="316" t="s">
        <v>884</v>
      </c>
      <c r="E1345" s="316">
        <v>42437</v>
      </c>
      <c r="F1345" s="72" t="s">
        <v>1100</v>
      </c>
      <c r="G1345" s="317" t="s">
        <v>915</v>
      </c>
      <c r="H1345" s="318" t="s">
        <v>760</v>
      </c>
      <c r="I1345" s="437"/>
      <c r="J1345" s="437"/>
      <c r="K1345" s="428"/>
      <c r="L1345" s="437"/>
      <c r="M1345" s="65">
        <v>64000000</v>
      </c>
      <c r="N1345" s="66" t="s">
        <v>26</v>
      </c>
      <c r="O1345" s="66" t="s">
        <v>63</v>
      </c>
      <c r="P1345" s="82" t="str">
        <f>IF(AND('331-CT'!$E$7=TH!H1343,OR(N1345="331",O1345="331")),"x","")</f>
        <v/>
      </c>
      <c r="Q1345" s="82" t="str">
        <f>IF(AND(B1345='111'!$L$11,OR($N1345=$Q$7,$O1345=$Q$7)),"x","")</f>
        <v/>
      </c>
      <c r="R1345" s="82" t="str">
        <f>IF(AND($N1345=$Q$7,$B1345&lt;'111'!$L$11),"x","")</f>
        <v/>
      </c>
      <c r="S1345" s="82" t="str">
        <f>IF(AND($O1345=$Q$7,$B1345&lt;'111'!$L$11),"x","")</f>
        <v>x</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IF(OR(TH!N1343=TH!$X$7,O1345=TH!$X$7),"x","")</f>
        <v/>
      </c>
      <c r="Y1345" s="82" t="str">
        <f>IF(AND(OR(N1345="131",O1345="131"),H1345='131-CT'!$H$9),"x","")</f>
        <v/>
      </c>
      <c r="Z1345" s="82"/>
      <c r="AA1345" s="82" t="str">
        <f>IF(AND(MONTH(E1345)='IN-NX'!$J$5,'IN-NX'!$D$7=D1345),"x","")</f>
        <v/>
      </c>
      <c r="AB1345" s="82" t="str">
        <f>IF(AND(OR(LEFT(TH!N1343,2)="15",LEFT(TH!O1343,2)="15"),LEFT(TH!O1343,3)&lt;&gt;"111",'152-CT'!$J$8=TH!F1343),"x","")</f>
        <v/>
      </c>
      <c r="AC1345" s="82" t="str">
        <f>IF(AND(OR(LEFT(TH!N1343,2)="15",LEFT(TH!O1343,2)="15"),TK!$E$7=TH!F1343),"x","")</f>
        <v/>
      </c>
      <c r="AD1345" s="82" t="str">
        <f>IF(AND(N1345="1521",MONTH(C1345)='BK-NL'!$M$11),"x","")</f>
        <v/>
      </c>
    </row>
    <row r="1346" spans="1:32" ht="15.75" customHeight="1">
      <c r="A1346" s="334" t="str">
        <f>IF(B1346&lt;&gt;"",IF(AND(B1346='IN-TC'!$S$4,OR(TH!N1344="1111",TH!O1344="1111")),TH!D1344,""),"")</f>
        <v/>
      </c>
      <c r="B1346" s="63">
        <f t="shared" si="183"/>
        <v>3</v>
      </c>
      <c r="C1346" s="316">
        <v>42437</v>
      </c>
      <c r="D1346" s="316" t="s">
        <v>885</v>
      </c>
      <c r="E1346" s="316">
        <v>42437</v>
      </c>
      <c r="F1346" s="72" t="s">
        <v>768</v>
      </c>
      <c r="G1346" s="976" t="s">
        <v>1110</v>
      </c>
      <c r="H1346" s="318" t="s">
        <v>1102</v>
      </c>
      <c r="I1346" s="437"/>
      <c r="J1346" s="437"/>
      <c r="K1346" s="428"/>
      <c r="L1346" s="437"/>
      <c r="M1346" s="65">
        <v>452873</v>
      </c>
      <c r="N1346" s="319" t="s">
        <v>101</v>
      </c>
      <c r="O1346" s="66" t="s">
        <v>63</v>
      </c>
      <c r="P1346" s="82" t="str">
        <f>IF(AND('331-CT'!$E$7=TH!H1344,OR(N1346="331",O1346="331")),"x","")</f>
        <v/>
      </c>
      <c r="Q1346" s="82" t="str">
        <f>IF(AND(B1346='111'!$L$11,OR($N1346=$Q$7,$O1346=$Q$7)),"x","")</f>
        <v/>
      </c>
      <c r="R1346" s="82" t="str">
        <f>IF(AND($N1346=$Q$7,$B1346&lt;'111'!$L$11),"x","")</f>
        <v/>
      </c>
      <c r="S1346" s="82" t="str">
        <f>IF(AND($O1346=$Q$7,$B1346&lt;'111'!$L$11),"x","")</f>
        <v>x</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IF(OR(TH!N1344=TH!$X$7,O1346=TH!$X$7),"x","")</f>
        <v/>
      </c>
      <c r="Y1346" s="82" t="str">
        <f>IF(AND(OR(N1346="131",O1346="131"),H1346='131-CT'!$H$9),"x","")</f>
        <v/>
      </c>
      <c r="Z1346" s="82"/>
      <c r="AA1346" s="82" t="str">
        <f>IF(AND(MONTH(E1346)='IN-NX'!$J$5,'IN-NX'!$D$7=D1346),"x","")</f>
        <v/>
      </c>
      <c r="AB1346" s="82" t="str">
        <f>IF(AND(OR(LEFT(TH!N1344,2)="15",LEFT(TH!O1344,2)="15"),LEFT(TH!O1344,3)&lt;&gt;"111",'152-CT'!$J$8=TH!F1344),"x","")</f>
        <v/>
      </c>
      <c r="AC1346" s="82" t="str">
        <f>IF(AND(OR(LEFT(TH!N1344,2)="15",LEFT(TH!O1344,2)="15"),TK!$E$7=TH!F1344),"x","")</f>
        <v/>
      </c>
      <c r="AD1346" s="82" t="str">
        <f>IF(AND(N1346="1521",MONTH(C1346)='BK-NL'!$M$11),"x","")</f>
        <v/>
      </c>
    </row>
    <row r="1347" spans="1:32" ht="15.75" customHeight="1">
      <c r="A1347" s="334" t="str">
        <f>IF(B1347&lt;&gt;"",IF(AND(B1347='IN-TC'!$S$4,OR(TH!N1347="1111",TH!O1347="1111")),TH!D1347,""),"")</f>
        <v/>
      </c>
      <c r="B1347" s="63">
        <f t="shared" si="183"/>
        <v>3</v>
      </c>
      <c r="C1347" s="64">
        <v>42437</v>
      </c>
      <c r="D1347" s="64" t="s">
        <v>699</v>
      </c>
      <c r="E1347" s="316">
        <v>42437</v>
      </c>
      <c r="F1347" s="72" t="s">
        <v>1180</v>
      </c>
      <c r="G1347" s="317" t="s">
        <v>915</v>
      </c>
      <c r="H1347" s="72"/>
      <c r="I1347" s="437"/>
      <c r="J1347" s="437"/>
      <c r="K1347" s="428">
        <v>90000</v>
      </c>
      <c r="L1347" s="437">
        <v>22300</v>
      </c>
      <c r="M1347" s="65">
        <v>2007000000</v>
      </c>
      <c r="N1347" s="319" t="s">
        <v>266</v>
      </c>
      <c r="O1347" s="66" t="s">
        <v>26</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c r="AE1347" s="345"/>
    </row>
    <row r="1348" spans="1:32" s="349" customFormat="1" ht="15.75" customHeight="1">
      <c r="A1348" s="334" t="str">
        <f>IF(B1348&lt;&gt;"",IF(AND(B1348='IN-TC'!$S$4,OR(TH!N1348="1111",TH!O1348="1111")),TH!D1348,""),"")</f>
        <v/>
      </c>
      <c r="B1348" s="63">
        <f t="shared" si="183"/>
        <v>3</v>
      </c>
      <c r="C1348" s="64">
        <v>42437</v>
      </c>
      <c r="D1348" s="64" t="s">
        <v>699</v>
      </c>
      <c r="E1348" s="316">
        <v>42437</v>
      </c>
      <c r="F1348" s="72" t="s">
        <v>1696</v>
      </c>
      <c r="G1348" s="317" t="s">
        <v>915</v>
      </c>
      <c r="H1348" s="72" t="s">
        <v>1182</v>
      </c>
      <c r="I1348" s="437"/>
      <c r="J1348" s="437"/>
      <c r="K1348" s="428">
        <v>90000</v>
      </c>
      <c r="L1348" s="437">
        <v>22300</v>
      </c>
      <c r="M1348" s="65">
        <v>2007000000</v>
      </c>
      <c r="N1348" s="319" t="s">
        <v>266</v>
      </c>
      <c r="O1348" s="66" t="s">
        <v>260</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2" s="348" customFormat="1" ht="15.75" customHeight="1">
      <c r="A1349" s="334" t="str">
        <f>IF(B1349&lt;&gt;"",IF(AND(B1349='IN-TC'!$S$4,OR(TH!N1349="1111",TH!O1349="1111")),TH!D1349,""),"")</f>
        <v/>
      </c>
      <c r="B1349" s="63">
        <f t="shared" si="183"/>
        <v>3</v>
      </c>
      <c r="C1349" s="316">
        <v>42437</v>
      </c>
      <c r="D1349" s="64" t="s">
        <v>702</v>
      </c>
      <c r="E1349" s="316">
        <v>42437</v>
      </c>
      <c r="F1349" s="72" t="s">
        <v>1183</v>
      </c>
      <c r="G1349" s="317" t="s">
        <v>915</v>
      </c>
      <c r="H1349" s="318" t="s">
        <v>720</v>
      </c>
      <c r="I1349" s="437"/>
      <c r="J1349" s="437"/>
      <c r="K1349" s="428">
        <v>40000</v>
      </c>
      <c r="L1349" s="437">
        <v>22300</v>
      </c>
      <c r="M1349" s="65">
        <v>892000000</v>
      </c>
      <c r="N1349" s="319" t="s">
        <v>260</v>
      </c>
      <c r="O1349" s="319" t="s">
        <v>266</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c r="AE1349" s="349"/>
    </row>
    <row r="1350" spans="1:32" ht="15.75" customHeight="1">
      <c r="A1350" s="334" t="str">
        <f>IF(B1350&lt;&gt;"",IF(AND(B1350='IN-TC'!$S$4,OR(TH!N1350="1111",TH!O1350="1111")),TH!D1350,""),"")</f>
        <v/>
      </c>
      <c r="B1350" s="63">
        <f t="shared" si="183"/>
        <v>3</v>
      </c>
      <c r="C1350" s="316">
        <v>42437</v>
      </c>
      <c r="D1350" s="316" t="s">
        <v>579</v>
      </c>
      <c r="E1350" s="316">
        <v>42437</v>
      </c>
      <c r="F1350" s="72" t="s">
        <v>731</v>
      </c>
      <c r="G1350" s="317" t="s">
        <v>915</v>
      </c>
      <c r="H1350" s="318" t="s">
        <v>720</v>
      </c>
      <c r="I1350" s="437"/>
      <c r="J1350" s="437"/>
      <c r="K1350" s="428"/>
      <c r="L1350" s="437">
        <v>22300</v>
      </c>
      <c r="M1350" s="439">
        <v>7520000</v>
      </c>
      <c r="N1350" s="319" t="s">
        <v>260</v>
      </c>
      <c r="O1350" s="66" t="s">
        <v>43</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c r="AE1350" s="349"/>
    </row>
    <row r="1351" spans="1:32" s="345" customFormat="1" ht="15.75" customHeight="1">
      <c r="A1351" s="334" t="str">
        <f>IF(B1351&lt;&gt;"",IF(AND(B1351='IN-TC'!$S$4,OR(TH!N1351="1111",TH!O1351="1111")),TH!D1351,""),"")</f>
        <v/>
      </c>
      <c r="B1351" s="63">
        <f t="shared" ref="B1351:B1414" si="184">IF(C1351&lt;&gt;"",MONTH(C1351),"")</f>
        <v>3</v>
      </c>
      <c r="C1351" s="316">
        <v>42437</v>
      </c>
      <c r="D1351" s="64" t="s">
        <v>702</v>
      </c>
      <c r="E1351" s="316">
        <v>42437</v>
      </c>
      <c r="F1351" s="72" t="s">
        <v>1183</v>
      </c>
      <c r="G1351" s="317" t="s">
        <v>915</v>
      </c>
      <c r="H1351" s="318" t="s">
        <v>721</v>
      </c>
      <c r="I1351" s="437"/>
      <c r="J1351" s="437"/>
      <c r="K1351" s="428">
        <v>50000</v>
      </c>
      <c r="L1351" s="437">
        <v>22300</v>
      </c>
      <c r="M1351" s="65">
        <v>1115000000</v>
      </c>
      <c r="N1351" s="319" t="s">
        <v>260</v>
      </c>
      <c r="O1351" s="319" t="s">
        <v>266</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c r="AE1351" s="349"/>
    </row>
    <row r="1352" spans="1:32" s="349" customFormat="1" ht="15.75" customHeight="1">
      <c r="A1352" s="334" t="str">
        <f>IF(B1352&lt;&gt;"",IF(AND(B1352='IN-TC'!$S$4,OR(TH!N1352="1111",TH!O1352="1111")),TH!D1352,""),"")</f>
        <v/>
      </c>
      <c r="B1352" s="63">
        <f t="shared" si="184"/>
        <v>3</v>
      </c>
      <c r="C1352" s="316">
        <v>42437</v>
      </c>
      <c r="D1352" s="316" t="s">
        <v>579</v>
      </c>
      <c r="E1352" s="316">
        <v>42437</v>
      </c>
      <c r="F1352" s="72" t="s">
        <v>731</v>
      </c>
      <c r="G1352" s="317" t="s">
        <v>915</v>
      </c>
      <c r="H1352" s="318" t="s">
        <v>721</v>
      </c>
      <c r="I1352" s="437"/>
      <c r="J1352" s="437"/>
      <c r="K1352" s="428"/>
      <c r="L1352" s="437">
        <v>22300</v>
      </c>
      <c r="M1352" s="65">
        <v>9250000</v>
      </c>
      <c r="N1352" s="319" t="s">
        <v>260</v>
      </c>
      <c r="O1352" s="66" t="s">
        <v>43</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2" s="349" customFormat="1" ht="15.75" customHeight="1">
      <c r="A1353" s="334" t="str">
        <f>IF(B1353&lt;&gt;"",IF(AND(B1353='IN-TC'!$S$4,OR(TH!N1353="1111",TH!O1353="1111")),TH!D1353,""),"")</f>
        <v/>
      </c>
      <c r="B1353" s="63">
        <f t="shared" si="184"/>
        <v>3</v>
      </c>
      <c r="C1353" s="316">
        <v>42437</v>
      </c>
      <c r="D1353" s="64" t="s">
        <v>702</v>
      </c>
      <c r="E1353" s="316">
        <v>42437</v>
      </c>
      <c r="F1353" s="72" t="s">
        <v>1438</v>
      </c>
      <c r="G1353" s="317" t="s">
        <v>915</v>
      </c>
      <c r="H1353" s="318"/>
      <c r="I1353" s="437"/>
      <c r="J1353" s="437"/>
      <c r="K1353" s="428">
        <v>90000</v>
      </c>
      <c r="L1353" s="437">
        <v>22300</v>
      </c>
      <c r="M1353" s="65">
        <v>2007000000</v>
      </c>
      <c r="N1353" s="66" t="s">
        <v>26</v>
      </c>
      <c r="O1353" s="319" t="s">
        <v>266</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2" s="349" customFormat="1" ht="15.75" customHeight="1">
      <c r="A1354" s="334" t="str">
        <f>IF(B1354&lt;&gt;"",IF(AND(B1354='IN-TC'!$S$4,OR(TH!N1354="1111",TH!O1354="1111")),TH!D1354,""),"")</f>
        <v/>
      </c>
      <c r="B1354" s="63">
        <f t="shared" si="184"/>
        <v>3</v>
      </c>
      <c r="C1354" s="64">
        <v>42437</v>
      </c>
      <c r="D1354" s="316" t="s">
        <v>702</v>
      </c>
      <c r="E1354" s="64">
        <v>42437</v>
      </c>
      <c r="F1354" s="72" t="s">
        <v>1050</v>
      </c>
      <c r="G1354" s="67" t="s">
        <v>915</v>
      </c>
      <c r="H1354" s="72" t="s">
        <v>720</v>
      </c>
      <c r="I1354" s="437"/>
      <c r="J1354" s="437"/>
      <c r="K1354" s="428">
        <v>93.371818996415769</v>
      </c>
      <c r="L1354" s="437">
        <v>22320</v>
      </c>
      <c r="M1354" s="65">
        <v>2084059</v>
      </c>
      <c r="N1354" s="66" t="s">
        <v>99</v>
      </c>
      <c r="O1354" s="66" t="s">
        <v>26</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2" s="349" customFormat="1" ht="15.75" customHeight="1">
      <c r="A1355" s="334" t="str">
        <f>IF(B1355&lt;&gt;"",IF(AND(B1355='IN-TC'!$S$4,OR(TH!N1355="1111",TH!O1355="1111")),TH!D1355,""),"")</f>
        <v/>
      </c>
      <c r="B1355" s="63">
        <f t="shared" si="184"/>
        <v>3</v>
      </c>
      <c r="C1355" s="64">
        <v>42437</v>
      </c>
      <c r="D1355" s="316" t="s">
        <v>702</v>
      </c>
      <c r="E1355" s="64">
        <v>42437</v>
      </c>
      <c r="F1355" s="72" t="s">
        <v>1051</v>
      </c>
      <c r="G1355" s="67" t="s">
        <v>915</v>
      </c>
      <c r="H1355" s="72" t="s">
        <v>721</v>
      </c>
      <c r="I1355" s="437"/>
      <c r="J1355" s="437"/>
      <c r="K1355" s="428">
        <v>113.9410394265233</v>
      </c>
      <c r="L1355" s="437">
        <v>22320</v>
      </c>
      <c r="M1355" s="65">
        <v>2543164</v>
      </c>
      <c r="N1355" s="66" t="s">
        <v>99</v>
      </c>
      <c r="O1355" s="66" t="s">
        <v>26</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c r="AE1355" s="328"/>
    </row>
    <row r="1356" spans="1:32" s="349" customFormat="1" ht="15.75" customHeight="1">
      <c r="A1356" s="334" t="str">
        <f>IF(B1356&lt;&gt;"",IF(AND(B1356='IN-TC'!$S$4,OR(TH!N1356="1111",TH!O1356="1111")),TH!D1356,""),"")</f>
        <v/>
      </c>
      <c r="B1356" s="63">
        <f t="shared" si="184"/>
        <v>3</v>
      </c>
      <c r="C1356" s="64">
        <v>42437</v>
      </c>
      <c r="D1356" s="316" t="s">
        <v>899</v>
      </c>
      <c r="E1356" s="64">
        <v>42437</v>
      </c>
      <c r="F1356" s="72" t="s">
        <v>1139</v>
      </c>
      <c r="G1356" s="67" t="s">
        <v>915</v>
      </c>
      <c r="H1356" s="318" t="s">
        <v>760</v>
      </c>
      <c r="I1356" s="437"/>
      <c r="J1356" s="437"/>
      <c r="K1356" s="428"/>
      <c r="L1356" s="437"/>
      <c r="M1356" s="65">
        <v>2025000000</v>
      </c>
      <c r="N1356" s="319" t="s">
        <v>63</v>
      </c>
      <c r="O1356" s="66" t="s">
        <v>26</v>
      </c>
      <c r="P1356" s="82" t="str">
        <f>IF(AND('331-CT'!$E$7=TH!H1356,OR(N1356="331",O1356="331")),"x","")</f>
        <v/>
      </c>
      <c r="Q1356" s="82" t="str">
        <f>IF(AND(B1356='111'!$L$11,OR($N1356=$Q$7,$O1356=$Q$7)),"x","")</f>
        <v/>
      </c>
      <c r="R1356" s="82" t="str">
        <f>IF(AND($N1356=$Q$7,$B1356&lt;'111'!$L$11),"x","")</f>
        <v>x</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c r="AE1356" s="328"/>
    </row>
    <row r="1357" spans="1:32" s="349" customFormat="1" ht="15.75" customHeight="1">
      <c r="A1357" s="334" t="str">
        <f>IF(B1357&lt;&gt;"",IF(AND(B1357='IN-TC'!$S$4,OR(TH!N1345="1111",TH!O1345="1111")),TH!D1345,""),"")</f>
        <v/>
      </c>
      <c r="B1357" s="63">
        <f t="shared" si="184"/>
        <v>3</v>
      </c>
      <c r="C1357" s="316">
        <v>42437</v>
      </c>
      <c r="D1357" s="316" t="s">
        <v>885</v>
      </c>
      <c r="E1357" s="316">
        <v>42437</v>
      </c>
      <c r="F1357" s="72" t="s">
        <v>769</v>
      </c>
      <c r="G1357" s="976" t="s">
        <v>1110</v>
      </c>
      <c r="H1357" s="318" t="s">
        <v>1102</v>
      </c>
      <c r="I1357" s="437"/>
      <c r="J1357" s="437"/>
      <c r="K1357" s="428"/>
      <c r="L1357" s="437"/>
      <c r="M1357" s="65">
        <v>45287</v>
      </c>
      <c r="N1357" s="319" t="s">
        <v>9</v>
      </c>
      <c r="O1357" s="66" t="s">
        <v>63</v>
      </c>
      <c r="P1357" s="82" t="str">
        <f>IF(AND('331-CT'!$E$7=TH!H1345,OR(N1357="331",O1357="331")),"x","")</f>
        <v/>
      </c>
      <c r="Q1357" s="82" t="str">
        <f>IF(AND(B1357='111'!$L$11,OR($N1357=$Q$7,$O1357=$Q$7)),"x","")</f>
        <v/>
      </c>
      <c r="R1357" s="82" t="str">
        <f>IF(AND($N1357=$Q$7,$B1357&lt;'111'!$L$11),"x","")</f>
        <v/>
      </c>
      <c r="S1357" s="82" t="str">
        <f>IF(AND($O1357=$Q$7,$B1357&lt;'111'!$L$11),"x","")</f>
        <v>x</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IF(OR(TH!N1345=TH!$X$7,O1357=TH!$X$7),"x","")</f>
        <v/>
      </c>
      <c r="Y1357" s="82" t="str">
        <f>IF(AND(OR(N1357="131",O1357="131"),H1357='131-CT'!$H$9),"x","")</f>
        <v/>
      </c>
      <c r="Z1357" s="82"/>
      <c r="AA1357" s="82" t="str">
        <f>IF(AND(MONTH(E1357)='IN-NX'!$J$5,'IN-NX'!$D$7=D1357),"x","")</f>
        <v/>
      </c>
      <c r="AB1357" s="82" t="str">
        <f>IF(AND(OR(LEFT(TH!N1345,2)="15",LEFT(TH!O1345,2)="15"),LEFT(TH!O1345,3)&lt;&gt;"111",'152-CT'!$J$8=TH!F1345),"x","")</f>
        <v/>
      </c>
      <c r="AC1357" s="82" t="str">
        <f>IF(AND(OR(LEFT(TH!N1345,2)="15",LEFT(TH!O1345,2)="15"),TK!$E$7=TH!F1345),"x","")</f>
        <v/>
      </c>
      <c r="AD1357" s="82" t="str">
        <f>IF(AND(N1357="1521",MONTH(C1357)='BK-NL'!$M$11),"x","")</f>
        <v/>
      </c>
      <c r="AE1357" s="328"/>
      <c r="AF1357" s="328"/>
    </row>
    <row r="1358" spans="1:32" s="349" customFormat="1" ht="15.75" customHeight="1">
      <c r="A1358" s="334" t="str">
        <f>IF(B1358&lt;&gt;"",IF(AND(B1358='IN-TC'!$S$4,OR(TH!N1358="1111",TH!O1358="1111")),TH!D1358,""),"")</f>
        <v/>
      </c>
      <c r="B1358" s="63">
        <f t="shared" si="184"/>
        <v>3</v>
      </c>
      <c r="C1358" s="316">
        <v>42437</v>
      </c>
      <c r="D1358" s="316" t="s">
        <v>702</v>
      </c>
      <c r="E1358" s="316">
        <v>42437</v>
      </c>
      <c r="F1358" s="72" t="s">
        <v>1202</v>
      </c>
      <c r="G1358" s="976" t="s">
        <v>915</v>
      </c>
      <c r="H1358" s="318" t="s">
        <v>629</v>
      </c>
      <c r="I1358" s="437"/>
      <c r="J1358" s="437"/>
      <c r="K1358" s="428"/>
      <c r="L1358" s="437"/>
      <c r="M1358" s="65">
        <v>23473066</v>
      </c>
      <c r="N1358" s="319" t="s">
        <v>8</v>
      </c>
      <c r="O1358" s="66" t="s">
        <v>26</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c r="AE1358" s="1136" t="str">
        <f>IF(H1358&lt;&gt;VLOOKUP(H1358,DSKH,1,0),"","x")</f>
        <v>x</v>
      </c>
    </row>
    <row r="1359" spans="1:32" s="349" customFormat="1" ht="15.75" customHeight="1">
      <c r="A1359" s="334" t="str">
        <f>IF(B1359&lt;&gt;"",IF(AND(B1359='IN-TC'!$S$4,OR(TH!N1346="1111",TH!O1346="1111")),TH!D1346,""),"")</f>
        <v/>
      </c>
      <c r="B1359" s="63">
        <f t="shared" si="184"/>
        <v>3</v>
      </c>
      <c r="C1359" s="64">
        <v>42437</v>
      </c>
      <c r="D1359" s="316" t="s">
        <v>886</v>
      </c>
      <c r="E1359" s="64">
        <v>42437</v>
      </c>
      <c r="F1359" s="72" t="s">
        <v>1100</v>
      </c>
      <c r="G1359" s="317" t="s">
        <v>915</v>
      </c>
      <c r="H1359" s="318" t="s">
        <v>1201</v>
      </c>
      <c r="I1359" s="437"/>
      <c r="J1359" s="437"/>
      <c r="K1359" s="428"/>
      <c r="L1359" s="437"/>
      <c r="M1359" s="65">
        <v>1928600000</v>
      </c>
      <c r="N1359" s="66" t="s">
        <v>26</v>
      </c>
      <c r="O1359" s="66" t="s">
        <v>63</v>
      </c>
      <c r="P1359" s="82" t="str">
        <f>IF(AND('331-CT'!$E$7=TH!H1346,OR(N1359="331",O1359="331")),"x","")</f>
        <v/>
      </c>
      <c r="Q1359" s="82" t="str">
        <f>IF(AND(B1359='111'!$L$11,OR($N1359=$Q$7,$O1359=$Q$7)),"x","")</f>
        <v/>
      </c>
      <c r="R1359" s="82" t="str">
        <f>IF(AND($N1359=$Q$7,$B1359&lt;'111'!$L$11),"x","")</f>
        <v/>
      </c>
      <c r="S1359" s="82" t="str">
        <f>IF(AND($O1359=$Q$7,$B1359&lt;'111'!$L$11),"x","")</f>
        <v>x</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IF(OR(TH!N1346=TH!$X$7,O1359=TH!$X$7),"x","")</f>
        <v/>
      </c>
      <c r="Y1359" s="82" t="str">
        <f>IF(AND(OR(N1359="131",O1359="131"),H1359='131-CT'!$H$9),"x","")</f>
        <v/>
      </c>
      <c r="Z1359" s="82"/>
      <c r="AA1359" s="82" t="str">
        <f>IF(AND(MONTH(E1359)='IN-NX'!$J$5,'IN-NX'!$D$7=D1359),"x","")</f>
        <v/>
      </c>
      <c r="AB1359" s="82" t="str">
        <f>IF(AND(OR(LEFT(TH!N1346,2)="15",LEFT(TH!O1346,2)="15"),LEFT(TH!O1346,3)&lt;&gt;"111",'152-CT'!$J$8=TH!F1346),"x","")</f>
        <v/>
      </c>
      <c r="AC1359" s="82" t="str">
        <f>IF(AND(OR(LEFT(TH!N1346,2)="15",LEFT(TH!O1346,2)="15"),TK!$E$7=TH!F1346),"x","")</f>
        <v/>
      </c>
      <c r="AD1359" s="82" t="str">
        <f>IF(AND(N1359="1521",MONTH(C1359)='BK-NL'!$M$11),"x","")</f>
        <v/>
      </c>
      <c r="AE1359" s="328"/>
      <c r="AF1359" s="328"/>
    </row>
    <row r="1360" spans="1:32" s="349" customFormat="1" ht="15.75" customHeight="1">
      <c r="A1360" s="334" t="str">
        <f>IF(B1360&lt;&gt;"",IF(AND(B1360='IN-TC'!$S$4,OR(TH!N1357="1111",TH!O1357="1111")),TH!D1357,""),"")</f>
        <v/>
      </c>
      <c r="B1360" s="63">
        <f t="shared" si="184"/>
        <v>3</v>
      </c>
      <c r="C1360" s="64">
        <v>42437</v>
      </c>
      <c r="D1360" s="316" t="s">
        <v>887</v>
      </c>
      <c r="E1360" s="64">
        <v>42437</v>
      </c>
      <c r="F1360" s="72" t="s">
        <v>777</v>
      </c>
      <c r="G1360" s="972" t="s">
        <v>655</v>
      </c>
      <c r="H1360" s="342" t="s">
        <v>672</v>
      </c>
      <c r="I1360" s="437"/>
      <c r="J1360" s="437"/>
      <c r="K1360" s="428"/>
      <c r="L1360" s="437"/>
      <c r="M1360" s="65">
        <v>14800000</v>
      </c>
      <c r="N1360" s="66" t="s">
        <v>8</v>
      </c>
      <c r="O1360" s="66" t="s">
        <v>63</v>
      </c>
      <c r="P1360" s="82" t="str">
        <f>IF(AND('331-CT'!$E$7=TH!H1357,OR(N1360="331",O1360="331")),"x","")</f>
        <v/>
      </c>
      <c r="Q1360" s="82" t="str">
        <f>IF(AND(B1360='111'!$L$11,OR($N1360=$Q$7,$O1360=$Q$7)),"x","")</f>
        <v/>
      </c>
      <c r="R1360" s="82" t="str">
        <f>IF(AND($N1360=$Q$7,$B1360&lt;'111'!$L$11),"x","")</f>
        <v/>
      </c>
      <c r="S1360" s="82" t="str">
        <f>IF(AND($O1360=$Q$7,$B1360&lt;'111'!$L$11),"x","")</f>
        <v>x</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IF(OR(TH!N1357=TH!$X$7,O1360=TH!$X$7),"x","")</f>
        <v>x</v>
      </c>
      <c r="Y1360" s="82" t="str">
        <f>IF(AND(OR(N1360="131",O1360="131"),H1360='131-CT'!$H$9),"x","")</f>
        <v/>
      </c>
      <c r="Z1360" s="82"/>
      <c r="AA1360" s="82" t="str">
        <f>IF(AND(MONTH(E1360)='IN-NX'!$J$5,'IN-NX'!$D$7=D1360),"x","")</f>
        <v/>
      </c>
      <c r="AB1360" s="82" t="str">
        <f>IF(AND(OR(LEFT(TH!N1357,2)="15",LEFT(TH!O1357,2)="15"),LEFT(TH!O1357,3)&lt;&gt;"111",'152-CT'!$J$8=TH!F1357),"x","")</f>
        <v/>
      </c>
      <c r="AC1360" s="82" t="str">
        <f>IF(AND(OR(LEFT(TH!N1357,2)="15",LEFT(TH!O1357,2)="15"),TK!$E$7=TH!F1357),"x","")</f>
        <v/>
      </c>
      <c r="AD1360" s="82" t="str">
        <f>IF(AND(N1360="1521",MONTH(C1360)='BK-NL'!$M$11),"x","")</f>
        <v/>
      </c>
      <c r="AE1360" s="1136" t="str">
        <f>IF(H1360&lt;&gt;VLOOKUP(H1360,DSKH,1,0),"","x")</f>
        <v>x</v>
      </c>
    </row>
    <row r="1361" spans="1:32" s="349" customFormat="1" ht="15.75" customHeight="1">
      <c r="A1361" s="334" t="str">
        <f>IF(B1361&lt;&gt;"",IF(AND(B1361='IN-TC'!$S$4,OR(TH!N1359="1111",TH!O1359="1111")),TH!D1359,""),"")</f>
        <v/>
      </c>
      <c r="B1361" s="63">
        <f t="shared" si="184"/>
        <v>3</v>
      </c>
      <c r="C1361" s="316">
        <v>42438</v>
      </c>
      <c r="D1361" s="316" t="s">
        <v>888</v>
      </c>
      <c r="E1361" s="316">
        <v>42438</v>
      </c>
      <c r="F1361" s="72" t="s">
        <v>1111</v>
      </c>
      <c r="G1361" s="976" t="s">
        <v>1112</v>
      </c>
      <c r="H1361" s="318" t="s">
        <v>624</v>
      </c>
      <c r="I1361" s="437"/>
      <c r="J1361" s="437"/>
      <c r="K1361" s="428"/>
      <c r="L1361" s="437"/>
      <c r="M1361" s="65">
        <v>7500000</v>
      </c>
      <c r="N1361" s="319" t="s">
        <v>101</v>
      </c>
      <c r="O1361" s="66" t="s">
        <v>63</v>
      </c>
      <c r="P1361" s="82" t="str">
        <f>IF(AND('331-CT'!$E$7=TH!H1359,OR(N1361="331",O1361="331")),"x","")</f>
        <v/>
      </c>
      <c r="Q1361" s="82" t="str">
        <f>IF(AND(B1361='111'!$L$11,OR($N1361=$Q$7,$O1361=$Q$7)),"x","")</f>
        <v/>
      </c>
      <c r="R1361" s="82" t="str">
        <f>IF(AND($N1361=$Q$7,$B1361&lt;'111'!$L$11),"x","")</f>
        <v/>
      </c>
      <c r="S1361" s="82" t="str">
        <f>IF(AND($O1361=$Q$7,$B1361&lt;'111'!$L$11),"x","")</f>
        <v>x</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IF(OR(TH!N1359=TH!$X$7,O1361=TH!$X$7),"x","")</f>
        <v/>
      </c>
      <c r="Y1361" s="82" t="str">
        <f>IF(AND(OR(N1361="131",O1361="131"),H1361='131-CT'!$H$9),"x","")</f>
        <v/>
      </c>
      <c r="Z1361" s="82"/>
      <c r="AA1361" s="82" t="str">
        <f>IF(AND(MONTH(E1361)='IN-NX'!$J$5,'IN-NX'!$D$7=D1361),"x","")</f>
        <v/>
      </c>
      <c r="AB1361" s="82" t="str">
        <f>IF(AND(OR(LEFT(TH!N1359,2)="15",LEFT(TH!O1359,2)="15"),LEFT(TH!O1359,3)&lt;&gt;"111",'152-CT'!$J$8=TH!F1359),"x","")</f>
        <v/>
      </c>
      <c r="AC1361" s="82" t="str">
        <f>IF(AND(OR(LEFT(TH!N1359,2)="15",LEFT(TH!O1359,2)="15"),TK!$E$7=TH!F1359),"x","")</f>
        <v/>
      </c>
      <c r="AD1361" s="82" t="str">
        <f>IF(AND(N1361="1521",MONTH(C1361)='BK-NL'!$M$11),"x","")</f>
        <v/>
      </c>
      <c r="AE1361" s="328"/>
    </row>
    <row r="1362" spans="1:32" s="349" customFormat="1" ht="15.75" customHeight="1">
      <c r="A1362" s="334" t="str">
        <f>IF(B1362&lt;&gt;"",IF(AND(B1362='IN-TC'!$S$4,OR(TH!N1360="1111",TH!O1360="1111")),TH!D1360,""),"")</f>
        <v/>
      </c>
      <c r="B1362" s="63">
        <f t="shared" si="184"/>
        <v>3</v>
      </c>
      <c r="C1362" s="316">
        <v>42439</v>
      </c>
      <c r="D1362" s="316" t="s">
        <v>889</v>
      </c>
      <c r="E1362" s="316">
        <v>42439</v>
      </c>
      <c r="F1362" s="72" t="s">
        <v>1172</v>
      </c>
      <c r="G1362" s="976" t="s">
        <v>1120</v>
      </c>
      <c r="H1362" s="318" t="s">
        <v>1121</v>
      </c>
      <c r="I1362" s="437"/>
      <c r="J1362" s="437"/>
      <c r="K1362" s="428"/>
      <c r="L1362" s="437"/>
      <c r="M1362" s="65">
        <v>17737273</v>
      </c>
      <c r="N1362" s="319" t="s">
        <v>101</v>
      </c>
      <c r="O1362" s="66" t="s">
        <v>63</v>
      </c>
      <c r="P1362" s="82" t="str">
        <f>IF(AND('331-CT'!$E$7=TH!H1360,OR(N1362="331",O1362="331")),"x","")</f>
        <v/>
      </c>
      <c r="Q1362" s="82" t="str">
        <f>IF(AND(B1362='111'!$L$11,OR($N1362=$Q$7,$O1362=$Q$7)),"x","")</f>
        <v/>
      </c>
      <c r="R1362" s="82" t="str">
        <f>IF(AND($N1362=$Q$7,$B1362&lt;'111'!$L$11),"x","")</f>
        <v/>
      </c>
      <c r="S1362" s="82" t="str">
        <f>IF(AND($O1362=$Q$7,$B1362&lt;'111'!$L$11),"x","")</f>
        <v>x</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IF(OR(TH!N1360=TH!$X$7,O1362=TH!$X$7),"x","")</f>
        <v/>
      </c>
      <c r="Y1362" s="82" t="str">
        <f>IF(AND(OR(N1362="131",O1362="131"),H1362='131-CT'!$H$9),"x","")</f>
        <v/>
      </c>
      <c r="Z1362" s="82"/>
      <c r="AA1362" s="82" t="str">
        <f>IF(AND(MONTH(E1362)='IN-NX'!$J$5,'IN-NX'!$D$7=D1362),"x","")</f>
        <v/>
      </c>
      <c r="AB1362" s="82" t="str">
        <f>IF(AND(OR(LEFT(TH!N1360,2)="15",LEFT(TH!O1360,2)="15"),LEFT(TH!O1360,3)&lt;&gt;"111",'152-CT'!$J$8=TH!F1360),"x","")</f>
        <v/>
      </c>
      <c r="AC1362" s="82" t="str">
        <f>IF(AND(OR(LEFT(TH!N1360,2)="15",LEFT(TH!O1360,2)="15"),TK!$E$7=TH!F1360),"x","")</f>
        <v/>
      </c>
      <c r="AD1362" s="82" t="str">
        <f>IF(AND(N1362="1521",MONTH(C1362)='BK-NL'!$M$11),"x","")</f>
        <v/>
      </c>
      <c r="AE1362" s="328"/>
    </row>
    <row r="1363" spans="1:32" s="349" customFormat="1" ht="15.75" customHeight="1">
      <c r="A1363" s="334" t="str">
        <f>IF(B1363&lt;&gt;"",IF(AND(B1363='IN-TC'!$S$4,OR(TH!N1361="1111",TH!O1361="1111")),TH!D1361,""),"")</f>
        <v/>
      </c>
      <c r="B1363" s="63">
        <f t="shared" si="184"/>
        <v>3</v>
      </c>
      <c r="C1363" s="316">
        <v>42439</v>
      </c>
      <c r="D1363" s="316" t="s">
        <v>889</v>
      </c>
      <c r="E1363" s="316">
        <v>42439</v>
      </c>
      <c r="F1363" s="72" t="s">
        <v>1119</v>
      </c>
      <c r="G1363" s="976" t="s">
        <v>1120</v>
      </c>
      <c r="H1363" s="318" t="s">
        <v>1121</v>
      </c>
      <c r="I1363" s="437"/>
      <c r="J1363" s="437"/>
      <c r="K1363" s="428"/>
      <c r="L1363" s="437"/>
      <c r="M1363" s="65">
        <v>1773727</v>
      </c>
      <c r="N1363" s="319" t="s">
        <v>9</v>
      </c>
      <c r="O1363" s="66" t="s">
        <v>63</v>
      </c>
      <c r="P1363" s="82" t="str">
        <f>IF(AND('331-CT'!$E$7=TH!H1361,OR(N1363="331",O1363="331")),"x","")</f>
        <v/>
      </c>
      <c r="Q1363" s="82" t="str">
        <f>IF(AND(B1363='111'!$L$11,OR($N1363=$Q$7,$O1363=$Q$7)),"x","")</f>
        <v/>
      </c>
      <c r="R1363" s="82" t="str">
        <f>IF(AND($N1363=$Q$7,$B1363&lt;'111'!$L$11),"x","")</f>
        <v/>
      </c>
      <c r="S1363" s="82" t="str">
        <f>IF(AND($O1363=$Q$7,$B1363&lt;'111'!$L$11),"x","")</f>
        <v>x</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IF(OR(TH!N1361=TH!$X$7,O1363=TH!$X$7),"x","")</f>
        <v/>
      </c>
      <c r="Y1363" s="82" t="str">
        <f>IF(AND(OR(N1363="131",O1363="131"),H1363='131-CT'!$H$9),"x","")</f>
        <v/>
      </c>
      <c r="Z1363" s="82"/>
      <c r="AA1363" s="82" t="str">
        <f>IF(AND(MONTH(E1363)='IN-NX'!$J$5,'IN-NX'!$D$7=D1363),"x","")</f>
        <v/>
      </c>
      <c r="AB1363" s="82" t="str">
        <f>IF(AND(OR(LEFT(TH!N1361,2)="15",LEFT(TH!O1361,2)="15"),LEFT(TH!O1361,3)&lt;&gt;"111",'152-CT'!$J$8=TH!F1361),"x","")</f>
        <v/>
      </c>
      <c r="AC1363" s="82" t="str">
        <f>IF(AND(OR(LEFT(TH!N1361,2)="15",LEFT(TH!O1361,2)="15"),TK!$E$7=TH!F1361),"x","")</f>
        <v/>
      </c>
      <c r="AD1363" s="82" t="str">
        <f>IF(AND(N1363="1521",MONTH(C1363)='BK-NL'!$M$11),"x","")</f>
        <v/>
      </c>
      <c r="AE1363" s="328"/>
    </row>
    <row r="1364" spans="1:32" s="349" customFormat="1" ht="15.75" customHeight="1">
      <c r="A1364" s="334" t="str">
        <f>IF(B1364&lt;&gt;"",IF(AND(B1364='IN-TC'!$S$4,OR(TH!N1362="1111",TH!O1362="1111")),TH!D1362,""),"")</f>
        <v/>
      </c>
      <c r="B1364" s="63">
        <f t="shared" si="184"/>
        <v>3</v>
      </c>
      <c r="C1364" s="316">
        <v>42439</v>
      </c>
      <c r="D1364" s="316" t="s">
        <v>890</v>
      </c>
      <c r="E1364" s="316">
        <v>42439</v>
      </c>
      <c r="F1364" s="72" t="s">
        <v>1122</v>
      </c>
      <c r="G1364" s="976" t="s">
        <v>1123</v>
      </c>
      <c r="H1364" s="318" t="s">
        <v>1124</v>
      </c>
      <c r="I1364" s="437"/>
      <c r="J1364" s="437"/>
      <c r="K1364" s="428"/>
      <c r="L1364" s="437"/>
      <c r="M1364" s="65">
        <v>2650000</v>
      </c>
      <c r="N1364" s="319" t="s">
        <v>101</v>
      </c>
      <c r="O1364" s="66" t="s">
        <v>63</v>
      </c>
      <c r="P1364" s="82" t="str">
        <f>IF(AND('331-CT'!$E$7=TH!H1362,OR(N1364="331",O1364="331")),"x","")</f>
        <v/>
      </c>
      <c r="Q1364" s="82" t="str">
        <f>IF(AND(B1364='111'!$L$11,OR($N1364=$Q$7,$O1364=$Q$7)),"x","")</f>
        <v/>
      </c>
      <c r="R1364" s="82" t="str">
        <f>IF(AND($N1364=$Q$7,$B1364&lt;'111'!$L$11),"x","")</f>
        <v/>
      </c>
      <c r="S1364" s="82" t="str">
        <f>IF(AND($O1364=$Q$7,$B1364&lt;'111'!$L$11),"x","")</f>
        <v>x</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IF(OR(TH!N1362=TH!$X$7,O1364=TH!$X$7),"x","")</f>
        <v/>
      </c>
      <c r="Y1364" s="82" t="str">
        <f>IF(AND(OR(N1364="131",O1364="131"),H1364='131-CT'!$H$9),"x","")</f>
        <v/>
      </c>
      <c r="Z1364" s="82"/>
      <c r="AA1364" s="82" t="str">
        <f>IF(AND(MONTH(E1364)='IN-NX'!$J$5,'IN-NX'!$D$7=D1364),"x","")</f>
        <v/>
      </c>
      <c r="AB1364" s="82" t="str">
        <f>IF(AND(OR(LEFT(TH!N1362,2)="15",LEFT(TH!O1362,2)="15"),LEFT(TH!O1362,3)&lt;&gt;"111",'152-CT'!$J$8=TH!F1362),"x","")</f>
        <v/>
      </c>
      <c r="AC1364" s="82" t="str">
        <f>IF(AND(OR(LEFT(TH!N1362,2)="15",LEFT(TH!O1362,2)="15"),TK!$E$7=TH!F1362),"x","")</f>
        <v/>
      </c>
      <c r="AD1364" s="82" t="str">
        <f>IF(AND(N1364="1521",MONTH(C1364)='BK-NL'!$M$11),"x","")</f>
        <v/>
      </c>
      <c r="AE1364" s="328"/>
    </row>
    <row r="1365" spans="1:32" s="349" customFormat="1" ht="15.75" customHeight="1">
      <c r="A1365" s="334" t="str">
        <f>IF(B1365&lt;&gt;"",IF(AND(B1365='IN-TC'!$S$4,OR(TH!N1363="1111",TH!O1363="1111")),TH!D1363,""),"")</f>
        <v/>
      </c>
      <c r="B1365" s="63">
        <f t="shared" si="184"/>
        <v>3</v>
      </c>
      <c r="C1365" s="316">
        <v>42440</v>
      </c>
      <c r="D1365" s="316" t="s">
        <v>891</v>
      </c>
      <c r="E1365" s="316">
        <v>42440</v>
      </c>
      <c r="F1365" s="72" t="s">
        <v>768</v>
      </c>
      <c r="G1365" s="976" t="s">
        <v>1113</v>
      </c>
      <c r="H1365" s="318" t="s">
        <v>1102</v>
      </c>
      <c r="I1365" s="437"/>
      <c r="J1365" s="437"/>
      <c r="K1365" s="428"/>
      <c r="L1365" s="437"/>
      <c r="M1365" s="65">
        <v>513836</v>
      </c>
      <c r="N1365" s="319" t="s">
        <v>101</v>
      </c>
      <c r="O1365" s="66" t="s">
        <v>63</v>
      </c>
      <c r="P1365" s="82" t="str">
        <f>IF(AND('331-CT'!$E$7=TH!H1363,OR(N1365="331",O1365="331")),"x","")</f>
        <v/>
      </c>
      <c r="Q1365" s="82" t="str">
        <f>IF(AND(B1365='111'!$L$11,OR($N1365=$Q$7,$O1365=$Q$7)),"x","")</f>
        <v/>
      </c>
      <c r="R1365" s="82" t="str">
        <f>IF(AND($N1365=$Q$7,$B1365&lt;'111'!$L$11),"x","")</f>
        <v/>
      </c>
      <c r="S1365" s="82" t="str">
        <f>IF(AND($O1365=$Q$7,$B1365&lt;'111'!$L$11),"x","")</f>
        <v>x</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IF(OR(TH!N1363=TH!$X$7,O1365=TH!$X$7),"x","")</f>
        <v>x</v>
      </c>
      <c r="Y1365" s="82" t="str">
        <f>IF(AND(OR(N1365="131",O1365="131"),H1365='131-CT'!$H$9),"x","")</f>
        <v/>
      </c>
      <c r="Z1365" s="82"/>
      <c r="AA1365" s="82" t="str">
        <f>IF(AND(MONTH(E1365)='IN-NX'!$J$5,'IN-NX'!$D$7=D1365),"x","")</f>
        <v/>
      </c>
      <c r="AB1365" s="82" t="str">
        <f>IF(AND(OR(LEFT(TH!N1363,2)="15",LEFT(TH!O1363,2)="15"),LEFT(TH!O1363,3)&lt;&gt;"111",'152-CT'!$J$8=TH!F1363),"x","")</f>
        <v/>
      </c>
      <c r="AC1365" s="82" t="str">
        <f>IF(AND(OR(LEFT(TH!N1363,2)="15",LEFT(TH!O1363,2)="15"),TK!$E$7=TH!F1363),"x","")</f>
        <v/>
      </c>
      <c r="AD1365" s="82" t="str">
        <f>IF(AND(N1365="1521",MONTH(C1365)='BK-NL'!$M$11),"x","")</f>
        <v/>
      </c>
      <c r="AE1365" s="328"/>
    </row>
    <row r="1366" spans="1:32" s="349" customFormat="1" ht="15.75" customHeight="1">
      <c r="A1366" s="334" t="str">
        <f>IF(B1366&lt;&gt;"",IF(AND(B1366='IN-TC'!$S$4,OR(TH!N1364="1111",TH!O1364="1111")),TH!D1364,""),"")</f>
        <v/>
      </c>
      <c r="B1366" s="63">
        <f t="shared" si="184"/>
        <v>3</v>
      </c>
      <c r="C1366" s="316">
        <v>42440</v>
      </c>
      <c r="D1366" s="316" t="s">
        <v>891</v>
      </c>
      <c r="E1366" s="316">
        <v>42440</v>
      </c>
      <c r="F1366" s="72" t="s">
        <v>769</v>
      </c>
      <c r="G1366" s="976" t="s">
        <v>1113</v>
      </c>
      <c r="H1366" s="318" t="s">
        <v>1102</v>
      </c>
      <c r="I1366" s="437"/>
      <c r="J1366" s="437"/>
      <c r="K1366" s="428"/>
      <c r="L1366" s="437"/>
      <c r="M1366" s="65">
        <v>51384</v>
      </c>
      <c r="N1366" s="319" t="s">
        <v>9</v>
      </c>
      <c r="O1366" s="66" t="s">
        <v>63</v>
      </c>
      <c r="P1366" s="82" t="str">
        <f>IF(AND('331-CT'!$E$7=TH!H1364,OR(N1366="331",O1366="331")),"x","")</f>
        <v/>
      </c>
      <c r="Q1366" s="82" t="str">
        <f>IF(AND(B1366='111'!$L$11,OR($N1366=$Q$7,$O1366=$Q$7)),"x","")</f>
        <v/>
      </c>
      <c r="R1366" s="82" t="str">
        <f>IF(AND($N1366=$Q$7,$B1366&lt;'111'!$L$11),"x","")</f>
        <v/>
      </c>
      <c r="S1366" s="82" t="str">
        <f>IF(AND($O1366=$Q$7,$B1366&lt;'111'!$L$11),"x","")</f>
        <v>x</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IF(OR(TH!N1364=TH!$X$7,O1366=TH!$X$7),"x","")</f>
        <v/>
      </c>
      <c r="Y1366" s="82" t="str">
        <f>IF(AND(OR(N1366="131",O1366="131"),H1366='131-CT'!$H$9),"x","")</f>
        <v/>
      </c>
      <c r="Z1366" s="82"/>
      <c r="AA1366" s="82" t="str">
        <f>IF(AND(MONTH(E1366)='IN-NX'!$J$5,'IN-NX'!$D$7=D1366),"x","")</f>
        <v/>
      </c>
      <c r="AB1366" s="82" t="str">
        <f>IF(AND(OR(LEFT(TH!N1364,2)="15",LEFT(TH!O1364,2)="15"),LEFT(TH!O1364,3)&lt;&gt;"111",'152-CT'!$J$8=TH!F1364),"x","")</f>
        <v/>
      </c>
      <c r="AC1366" s="82" t="str">
        <f>IF(AND(OR(LEFT(TH!N1364,2)="15",LEFT(TH!O1364,2)="15"),TK!$E$7=TH!F1364),"x","")</f>
        <v/>
      </c>
      <c r="AD1366" s="82" t="str">
        <f>IF(AND(N1366="1521",MONTH(C1366)='BK-NL'!$M$11),"x","")</f>
        <v/>
      </c>
      <c r="AE1366" s="328"/>
    </row>
    <row r="1367" spans="1:32" s="349" customFormat="1" ht="15.75" customHeight="1">
      <c r="A1367" s="334" t="str">
        <f>IF(B1367&lt;&gt;"",IF(AND(B1367='IN-TC'!$S$4,OR(TH!N1365="1111",TH!O1365="1111")),TH!D1365,""),"")</f>
        <v/>
      </c>
      <c r="B1367" s="63">
        <f t="shared" si="184"/>
        <v>3</v>
      </c>
      <c r="C1367" s="316">
        <v>42441</v>
      </c>
      <c r="D1367" s="316" t="s">
        <v>892</v>
      </c>
      <c r="E1367" s="316">
        <v>42441</v>
      </c>
      <c r="F1367" s="72" t="s">
        <v>1114</v>
      </c>
      <c r="G1367" s="976" t="s">
        <v>1116</v>
      </c>
      <c r="H1367" s="318" t="s">
        <v>1117</v>
      </c>
      <c r="I1367" s="437"/>
      <c r="J1367" s="437"/>
      <c r="K1367" s="428"/>
      <c r="L1367" s="437"/>
      <c r="M1367" s="65">
        <v>2000000</v>
      </c>
      <c r="N1367" s="319" t="s">
        <v>101</v>
      </c>
      <c r="O1367" s="66" t="s">
        <v>63</v>
      </c>
      <c r="P1367" s="82" t="str">
        <f>IF(AND('331-CT'!$E$7=TH!H1365,OR(N1367="331",O1367="331")),"x","")</f>
        <v/>
      </c>
      <c r="Q1367" s="82" t="str">
        <f>IF(AND(B1367='111'!$L$11,OR($N1367=$Q$7,$O1367=$Q$7)),"x","")</f>
        <v/>
      </c>
      <c r="R1367" s="82" t="str">
        <f>IF(AND($N1367=$Q$7,$B1367&lt;'111'!$L$11),"x","")</f>
        <v/>
      </c>
      <c r="S1367" s="82" t="str">
        <f>IF(AND($O1367=$Q$7,$B1367&lt;'111'!$L$11),"x","")</f>
        <v>x</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IF(OR(TH!N1365=TH!$X$7,O1367=TH!$X$7),"x","")</f>
        <v/>
      </c>
      <c r="Y1367" s="82" t="str">
        <f>IF(AND(OR(N1367="131",O1367="131"),H1367='131-CT'!$H$9),"x","")</f>
        <v/>
      </c>
      <c r="Z1367" s="82"/>
      <c r="AA1367" s="82" t="str">
        <f>IF(AND(MONTH(E1367)='IN-NX'!$J$5,'IN-NX'!$D$7=D1367),"x","")</f>
        <v/>
      </c>
      <c r="AB1367" s="82" t="str">
        <f>IF(AND(OR(LEFT(TH!N1365,2)="15",LEFT(TH!O1365,2)="15"),LEFT(TH!O1365,3)&lt;&gt;"111",'152-CT'!$J$8=TH!F1365),"x","")</f>
        <v/>
      </c>
      <c r="AC1367" s="82" t="str">
        <f>IF(AND(OR(LEFT(TH!N1365,2)="15",LEFT(TH!O1365,2)="15"),TK!$E$7=TH!F1365),"x","")</f>
        <v/>
      </c>
      <c r="AD1367" s="82" t="str">
        <f>IF(AND(N1367="1521",MONTH(C1367)='BK-NL'!$M$11),"x","")</f>
        <v/>
      </c>
      <c r="AE1367" s="328"/>
    </row>
    <row r="1368" spans="1:32" s="349" customFormat="1" ht="15.75" customHeight="1">
      <c r="A1368" s="334" t="str">
        <f>IF(B1368&lt;&gt;"",IF(AND(B1368='IN-TC'!$S$4,OR(TH!N1366="1111",TH!O1366="1111")),TH!D1366,""),"")</f>
        <v/>
      </c>
      <c r="B1368" s="63">
        <f t="shared" si="184"/>
        <v>3</v>
      </c>
      <c r="C1368" s="316">
        <v>42441</v>
      </c>
      <c r="D1368" s="316" t="s">
        <v>892</v>
      </c>
      <c r="E1368" s="316">
        <v>42441</v>
      </c>
      <c r="F1368" s="72" t="s">
        <v>1115</v>
      </c>
      <c r="G1368" s="976" t="s">
        <v>1116</v>
      </c>
      <c r="H1368" s="318" t="s">
        <v>1117</v>
      </c>
      <c r="I1368" s="437"/>
      <c r="J1368" s="437"/>
      <c r="K1368" s="428"/>
      <c r="L1368" s="437"/>
      <c r="M1368" s="65">
        <v>200000</v>
      </c>
      <c r="N1368" s="319" t="s">
        <v>9</v>
      </c>
      <c r="O1368" s="66" t="s">
        <v>63</v>
      </c>
      <c r="P1368" s="82" t="str">
        <f>IF(AND('331-CT'!$E$7=TH!H1366,OR(N1368="331",O1368="331")),"x","")</f>
        <v/>
      </c>
      <c r="Q1368" s="82" t="str">
        <f>IF(AND(B1368='111'!$L$11,OR($N1368=$Q$7,$O1368=$Q$7)),"x","")</f>
        <v/>
      </c>
      <c r="R1368" s="82" t="str">
        <f>IF(AND($N1368=$Q$7,$B1368&lt;'111'!$L$11),"x","")</f>
        <v/>
      </c>
      <c r="S1368" s="82" t="str">
        <f>IF(AND($O1368=$Q$7,$B1368&lt;'111'!$L$11),"x","")</f>
        <v>x</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IF(OR(TH!N1366=TH!$X$7,O1368=TH!$X$7),"x","")</f>
        <v>x</v>
      </c>
      <c r="Y1368" s="82" t="str">
        <f>IF(AND(OR(N1368="131",O1368="131"),H1368='131-CT'!$H$9),"x","")</f>
        <v/>
      </c>
      <c r="Z1368" s="82"/>
      <c r="AA1368" s="82" t="str">
        <f>IF(AND(MONTH(E1368)='IN-NX'!$J$5,'IN-NX'!$D$7=D1368),"x","")</f>
        <v/>
      </c>
      <c r="AB1368" s="82" t="str">
        <f>IF(AND(OR(LEFT(TH!N1366,2)="15",LEFT(TH!O1366,2)="15"),LEFT(TH!O1366,3)&lt;&gt;"111",'152-CT'!$J$8=TH!F1366),"x","")</f>
        <v/>
      </c>
      <c r="AC1368" s="82" t="str">
        <f>IF(AND(OR(LEFT(TH!N1366,2)="15",LEFT(TH!O1366,2)="15"),TK!$E$7=TH!F1366),"x","")</f>
        <v/>
      </c>
      <c r="AD1368" s="82" t="str">
        <f>IF(AND(N1368="1521",MONTH(C1368)='BK-NL'!$M$11),"x","")</f>
        <v/>
      </c>
      <c r="AE1368" s="328"/>
    </row>
    <row r="1369" spans="1:32" s="349" customFormat="1" ht="15.75" customHeight="1">
      <c r="A1369" s="334" t="str">
        <f>IF(B1369&lt;&gt;"",IF(AND(B1369='IN-TC'!$S$4,OR(TH!N1367="1111",TH!O1367="1111")),TH!D1367,""),"")</f>
        <v/>
      </c>
      <c r="B1369" s="63">
        <f t="shared" si="184"/>
        <v>3</v>
      </c>
      <c r="C1369" s="316">
        <v>42441</v>
      </c>
      <c r="D1369" s="316" t="s">
        <v>893</v>
      </c>
      <c r="E1369" s="316">
        <v>42441</v>
      </c>
      <c r="F1369" s="72" t="s">
        <v>773</v>
      </c>
      <c r="G1369" s="976" t="s">
        <v>1118</v>
      </c>
      <c r="H1369" s="318" t="s">
        <v>1102</v>
      </c>
      <c r="I1369" s="437"/>
      <c r="J1369" s="437"/>
      <c r="K1369" s="428"/>
      <c r="L1369" s="437"/>
      <c r="M1369" s="65">
        <v>643682</v>
      </c>
      <c r="N1369" s="319" t="s">
        <v>101</v>
      </c>
      <c r="O1369" s="66" t="s">
        <v>63</v>
      </c>
      <c r="P1369" s="82" t="str">
        <f>IF(AND('331-CT'!$E$7=TH!H1367,OR(N1369="331",O1369="331")),"x","")</f>
        <v/>
      </c>
      <c r="Q1369" s="82" t="str">
        <f>IF(AND(B1369='111'!$L$11,OR($N1369=$Q$7,$O1369=$Q$7)),"x","")</f>
        <v/>
      </c>
      <c r="R1369" s="82" t="str">
        <f>IF(AND($N1369=$Q$7,$B1369&lt;'111'!$L$11),"x","")</f>
        <v/>
      </c>
      <c r="S1369" s="82" t="str">
        <f>IF(AND($O1369=$Q$7,$B1369&lt;'111'!$L$11),"x","")</f>
        <v>x</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IF(OR(TH!N1367=TH!$X$7,O1369=TH!$X$7),"x","")</f>
        <v/>
      </c>
      <c r="Y1369" s="82" t="str">
        <f>IF(AND(OR(N1369="131",O1369="131"),H1369='131-CT'!$H$9),"x","")</f>
        <v/>
      </c>
      <c r="Z1369" s="82"/>
      <c r="AA1369" s="82" t="str">
        <f>IF(AND(MONTH(E1369)='IN-NX'!$J$5,'IN-NX'!$D$7=D1369),"x","")</f>
        <v/>
      </c>
      <c r="AB1369" s="82" t="str">
        <f>IF(AND(OR(LEFT(TH!N1367,2)="15",LEFT(TH!O1367,2)="15"),LEFT(TH!O1367,3)&lt;&gt;"111",'152-CT'!$J$8=TH!F1367),"x","")</f>
        <v/>
      </c>
      <c r="AC1369" s="82" t="str">
        <f>IF(AND(OR(LEFT(TH!N1367,2)="15",LEFT(TH!O1367,2)="15"),TK!$E$7=TH!F1367),"x","")</f>
        <v/>
      </c>
      <c r="AD1369" s="82" t="str">
        <f>IF(AND(N1369="1521",MONTH(C1369)='BK-NL'!$M$11),"x","")</f>
        <v/>
      </c>
      <c r="AE1369" s="328"/>
    </row>
    <row r="1370" spans="1:32" s="345" customFormat="1" ht="15.75" customHeight="1">
      <c r="A1370" s="334" t="str">
        <f>IF(B1370&lt;&gt;"",IF(AND(B1370='IN-TC'!$S$4,OR(TH!N1368="1111",TH!O1368="1111")),TH!D1368,""),"")</f>
        <v/>
      </c>
      <c r="B1370" s="63">
        <f t="shared" si="184"/>
        <v>3</v>
      </c>
      <c r="C1370" s="316">
        <v>42441</v>
      </c>
      <c r="D1370" s="316" t="s">
        <v>893</v>
      </c>
      <c r="E1370" s="316">
        <v>42441</v>
      </c>
      <c r="F1370" s="72" t="s">
        <v>774</v>
      </c>
      <c r="G1370" s="976" t="s">
        <v>1118</v>
      </c>
      <c r="H1370" s="318" t="s">
        <v>1102</v>
      </c>
      <c r="I1370" s="437"/>
      <c r="J1370" s="437"/>
      <c r="K1370" s="428"/>
      <c r="L1370" s="437"/>
      <c r="M1370" s="65">
        <v>64368</v>
      </c>
      <c r="N1370" s="319" t="s">
        <v>9</v>
      </c>
      <c r="O1370" s="66" t="s">
        <v>63</v>
      </c>
      <c r="P1370" s="82" t="str">
        <f>IF(AND('331-CT'!$E$7=TH!H1368,OR(N1370="331",O1370="331")),"x","")</f>
        <v/>
      </c>
      <c r="Q1370" s="82" t="str">
        <f>IF(AND(B1370='111'!$L$11,OR($N1370=$Q$7,$O1370=$Q$7)),"x","")</f>
        <v/>
      </c>
      <c r="R1370" s="82" t="str">
        <f>IF(AND($N1370=$Q$7,$B1370&lt;'111'!$L$11),"x","")</f>
        <v/>
      </c>
      <c r="S1370" s="82" t="str">
        <f>IF(AND($O1370=$Q$7,$B1370&lt;'111'!$L$11),"x","")</f>
        <v>x</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IF(OR(TH!N1368=TH!$X$7,O1370=TH!$X$7),"x","")</f>
        <v>x</v>
      </c>
      <c r="Y1370" s="82" t="str">
        <f>IF(AND(OR(N1370="131",O1370="131"),H1370='131-CT'!$H$9),"x","")</f>
        <v/>
      </c>
      <c r="Z1370" s="82"/>
      <c r="AA1370" s="82" t="str">
        <f>IF(AND(MONTH(E1370)='IN-NX'!$J$5,'IN-NX'!$D$7=D1370),"x","")</f>
        <v/>
      </c>
      <c r="AB1370" s="82" t="str">
        <f>IF(AND(OR(LEFT(TH!N1368,2)="15",LEFT(TH!O1368,2)="15"),LEFT(TH!O1368,3)&lt;&gt;"111",'152-CT'!$J$8=TH!F1368),"x","")</f>
        <v/>
      </c>
      <c r="AC1370" s="82" t="str">
        <f>IF(AND(OR(LEFT(TH!N1368,2)="15",LEFT(TH!O1368,2)="15"),TK!$E$7=TH!F1368),"x","")</f>
        <v/>
      </c>
      <c r="AD1370" s="82" t="str">
        <f>IF(AND(N1370="1521",MONTH(C1370)='BK-NL'!$M$11),"x","")</f>
        <v/>
      </c>
      <c r="AE1370" s="328"/>
      <c r="AF1370" s="349"/>
    </row>
    <row r="1371" spans="1:32" s="345" customFormat="1" ht="15.75" customHeight="1">
      <c r="A1371" s="334" t="str">
        <f>IF(B1371&lt;&gt;"",IF(AND(B1371='IN-TC'!$S$4,OR(TH!N1369="1111",TH!O1369="1111")),TH!D1369,""),"")</f>
        <v/>
      </c>
      <c r="B1371" s="63">
        <f t="shared" si="184"/>
        <v>3</v>
      </c>
      <c r="C1371" s="316">
        <v>42443</v>
      </c>
      <c r="D1371" s="316" t="s">
        <v>894</v>
      </c>
      <c r="E1371" s="316">
        <v>42443</v>
      </c>
      <c r="F1371" s="72" t="s">
        <v>1125</v>
      </c>
      <c r="G1371" s="976" t="s">
        <v>1127</v>
      </c>
      <c r="H1371" s="318" t="s">
        <v>1128</v>
      </c>
      <c r="I1371" s="437"/>
      <c r="J1371" s="437"/>
      <c r="K1371" s="428"/>
      <c r="L1371" s="437"/>
      <c r="M1371" s="65">
        <v>1413000</v>
      </c>
      <c r="N1371" s="319" t="s">
        <v>101</v>
      </c>
      <c r="O1371" s="66" t="s">
        <v>63</v>
      </c>
      <c r="P1371" s="82" t="str">
        <f>IF(AND('331-CT'!$E$7=TH!H1369,OR(N1371="331",O1371="331")),"x","")</f>
        <v/>
      </c>
      <c r="Q1371" s="82" t="str">
        <f>IF(AND(B1371='111'!$L$11,OR($N1371=$Q$7,$O1371=$Q$7)),"x","")</f>
        <v/>
      </c>
      <c r="R1371" s="82" t="str">
        <f>IF(AND($N1371=$Q$7,$B1371&lt;'111'!$L$11),"x","")</f>
        <v/>
      </c>
      <c r="S1371" s="82" t="str">
        <f>IF(AND($O1371=$Q$7,$B1371&lt;'111'!$L$11),"x","")</f>
        <v>x</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IF(OR(TH!N1369=TH!$X$7,O1371=TH!$X$7),"x","")</f>
        <v/>
      </c>
      <c r="Y1371" s="82" t="str">
        <f>IF(AND(OR(N1371="131",O1371="131"),H1371='131-CT'!$H$9),"x","")</f>
        <v/>
      </c>
      <c r="Z1371" s="82"/>
      <c r="AA1371" s="82" t="str">
        <f>IF(AND(MONTH(E1371)='IN-NX'!$J$5,'IN-NX'!$D$7=D1371),"x","")</f>
        <v/>
      </c>
      <c r="AB1371" s="82" t="str">
        <f>IF(AND(OR(LEFT(TH!N1369,2)="15",LEFT(TH!O1369,2)="15"),LEFT(TH!O1369,3)&lt;&gt;"111",'152-CT'!$J$8=TH!F1369),"x","")</f>
        <v/>
      </c>
      <c r="AC1371" s="82" t="str">
        <f>IF(AND(OR(LEFT(TH!N1369,2)="15",LEFT(TH!O1369,2)="15"),TK!$E$7=TH!F1369),"x","")</f>
        <v/>
      </c>
      <c r="AD1371" s="82" t="str">
        <f>IF(AND(N1371="1521",MONTH(C1371)='BK-NL'!$M$11),"x","")</f>
        <v/>
      </c>
      <c r="AE1371" s="328"/>
      <c r="AF1371" s="349"/>
    </row>
    <row r="1372" spans="1:32" s="345" customFormat="1" ht="15.75" customHeight="1">
      <c r="A1372" s="334" t="str">
        <f>IF(B1372&lt;&gt;"",IF(AND(B1372='IN-TC'!$S$4,OR(TH!N1370="1111",TH!O1370="1111")),TH!D1370,""),"")</f>
        <v/>
      </c>
      <c r="B1372" s="63">
        <f t="shared" si="184"/>
        <v>3</v>
      </c>
      <c r="C1372" s="64">
        <v>42443</v>
      </c>
      <c r="D1372" s="316" t="s">
        <v>894</v>
      </c>
      <c r="E1372" s="64">
        <v>42443</v>
      </c>
      <c r="F1372" s="72" t="s">
        <v>1126</v>
      </c>
      <c r="G1372" s="976" t="s">
        <v>1127</v>
      </c>
      <c r="H1372" s="72" t="s">
        <v>1128</v>
      </c>
      <c r="I1372" s="437"/>
      <c r="J1372" s="437"/>
      <c r="K1372" s="428"/>
      <c r="L1372" s="437"/>
      <c r="M1372" s="65">
        <v>141300</v>
      </c>
      <c r="N1372" s="66" t="s">
        <v>9</v>
      </c>
      <c r="O1372" s="66" t="s">
        <v>63</v>
      </c>
      <c r="P1372" s="82" t="str">
        <f>IF(AND('331-CT'!$E$7=TH!H1370,OR(N1372="331",O1372="331")),"x","")</f>
        <v/>
      </c>
      <c r="Q1372" s="82" t="str">
        <f>IF(AND(B1372='111'!$L$11,OR($N1372=$Q$7,$O1372=$Q$7)),"x","")</f>
        <v/>
      </c>
      <c r="R1372" s="82" t="str">
        <f>IF(AND($N1372=$Q$7,$B1372&lt;'111'!$L$11),"x","")</f>
        <v/>
      </c>
      <c r="S1372" s="82" t="str">
        <f>IF(AND($O1372=$Q$7,$B1372&lt;'111'!$L$11),"x","")</f>
        <v>x</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IF(OR(TH!N1370=TH!$X$7,O1372=TH!$X$7),"x","")</f>
        <v>x</v>
      </c>
      <c r="Y1372" s="82" t="str">
        <f>IF(AND(OR(N1372="131",O1372="131"),H1372='131-CT'!$H$9),"x","")</f>
        <v/>
      </c>
      <c r="Z1372" s="82"/>
      <c r="AA1372" s="82" t="str">
        <f>IF(AND(MONTH(E1372)='IN-NX'!$J$5,'IN-NX'!$D$7=D1372),"x","")</f>
        <v/>
      </c>
      <c r="AB1372" s="82" t="str">
        <f>IF(AND(OR(LEFT(TH!N1370,2)="15",LEFT(TH!O1370,2)="15"),LEFT(TH!O1370,3)&lt;&gt;"111",'152-CT'!$J$8=TH!F1370),"x","")</f>
        <v/>
      </c>
      <c r="AC1372" s="82" t="str">
        <f>IF(AND(OR(LEFT(TH!N1370,2)="15",LEFT(TH!O1370,2)="15"),TK!$E$7=TH!F1370),"x","")</f>
        <v/>
      </c>
      <c r="AD1372" s="82" t="str">
        <f>IF(AND(N1372="1521",MONTH(C1372)='BK-NL'!$M$11),"x","")</f>
        <v/>
      </c>
      <c r="AE1372" s="349"/>
    </row>
    <row r="1373" spans="1:32" s="345" customFormat="1" ht="15.75" customHeight="1">
      <c r="A1373" s="334" t="str">
        <f>IF(B1373&lt;&gt;"",IF(AND(B1373='IN-TC'!$S$4,OR(TH!N1371="1111",TH!O1371="1111")),TH!D1371,""),"")</f>
        <v/>
      </c>
      <c r="B1373" s="63">
        <f t="shared" si="184"/>
        <v>3</v>
      </c>
      <c r="C1373" s="64">
        <v>42443</v>
      </c>
      <c r="D1373" s="316" t="s">
        <v>895</v>
      </c>
      <c r="E1373" s="64">
        <v>42443</v>
      </c>
      <c r="F1373" s="72" t="s">
        <v>1369</v>
      </c>
      <c r="G1373" s="976" t="s">
        <v>1371</v>
      </c>
      <c r="H1373" s="72" t="s">
        <v>1372</v>
      </c>
      <c r="I1373" s="437"/>
      <c r="J1373" s="437"/>
      <c r="K1373" s="428"/>
      <c r="L1373" s="437"/>
      <c r="M1373" s="65">
        <v>800000</v>
      </c>
      <c r="N1373" s="66" t="s">
        <v>101</v>
      </c>
      <c r="O1373" s="66" t="s">
        <v>63</v>
      </c>
      <c r="P1373" s="82" t="str">
        <f>IF(AND('331-CT'!$E$7=TH!H1371,OR(N1373="331",O1373="331")),"x","")</f>
        <v/>
      </c>
      <c r="Q1373" s="82" t="str">
        <f>IF(AND(B1373='111'!$L$11,OR($N1373=$Q$7,$O1373=$Q$7)),"x","")</f>
        <v/>
      </c>
      <c r="R1373" s="82" t="str">
        <f>IF(AND($N1373=$Q$7,$B1373&lt;'111'!$L$11),"x","")</f>
        <v/>
      </c>
      <c r="S1373" s="82" t="str">
        <f>IF(AND($O1373=$Q$7,$B1373&lt;'111'!$L$11),"x","")</f>
        <v>x</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IF(OR(TH!N1371=TH!$X$7,O1373=TH!$X$7),"x","")</f>
        <v/>
      </c>
      <c r="Y1373" s="82" t="str">
        <f>IF(AND(OR(N1373="131",O1373="131"),H1373='131-CT'!$H$9),"x","")</f>
        <v/>
      </c>
      <c r="Z1373" s="82"/>
      <c r="AA1373" s="82" t="str">
        <f>IF(AND(MONTH(E1373)='IN-NX'!$J$5,'IN-NX'!$D$7=D1373),"x","")</f>
        <v/>
      </c>
      <c r="AB1373" s="82" t="str">
        <f>IF(AND(OR(LEFT(TH!N1371,2)="15",LEFT(TH!O1371,2)="15"),LEFT(TH!O1371,3)&lt;&gt;"111",'152-CT'!$J$8=TH!F1371),"x","")</f>
        <v/>
      </c>
      <c r="AC1373" s="82" t="str">
        <f>IF(AND(OR(LEFT(TH!N1371,2)="15",LEFT(TH!O1371,2)="15"),TK!$E$7=TH!F1371),"x","")</f>
        <v/>
      </c>
      <c r="AD1373" s="82" t="str">
        <f>IF(AND(N1373="1521",MONTH(C1373)='BK-NL'!$M$11),"x","")</f>
        <v/>
      </c>
      <c r="AE1373" s="349"/>
    </row>
    <row r="1374" spans="1:32" s="345" customFormat="1" ht="15.75" customHeight="1">
      <c r="A1374" s="334" t="str">
        <f>IF(B1374&lt;&gt;"",IF(AND(B1374='IN-TC'!$S$4,OR(TH!N1372="1111",TH!O1372="1111")),TH!D1372,""),"")</f>
        <v/>
      </c>
      <c r="B1374" s="63">
        <f t="shared" si="184"/>
        <v>3</v>
      </c>
      <c r="C1374" s="64">
        <v>42443</v>
      </c>
      <c r="D1374" s="316" t="s">
        <v>895</v>
      </c>
      <c r="E1374" s="64">
        <v>42443</v>
      </c>
      <c r="F1374" s="72" t="s">
        <v>1370</v>
      </c>
      <c r="G1374" s="976" t="s">
        <v>1371</v>
      </c>
      <c r="H1374" s="72" t="s">
        <v>1372</v>
      </c>
      <c r="I1374" s="437"/>
      <c r="J1374" s="437"/>
      <c r="K1374" s="428"/>
      <c r="L1374" s="437"/>
      <c r="M1374" s="65">
        <v>80000</v>
      </c>
      <c r="N1374" s="66" t="s">
        <v>9</v>
      </c>
      <c r="O1374" s="66" t="s">
        <v>63</v>
      </c>
      <c r="P1374" s="82" t="str">
        <f>IF(AND('331-CT'!$E$7=TH!H1372,OR(N1374="331",O1374="331")),"x","")</f>
        <v/>
      </c>
      <c r="Q1374" s="82" t="str">
        <f>IF(AND(B1374='111'!$L$11,OR($N1374=$Q$7,$O1374=$Q$7)),"x","")</f>
        <v/>
      </c>
      <c r="R1374" s="82" t="str">
        <f>IF(AND($N1374=$Q$7,$B1374&lt;'111'!$L$11),"x","")</f>
        <v/>
      </c>
      <c r="S1374" s="82" t="str">
        <f>IF(AND($O1374=$Q$7,$B1374&lt;'111'!$L$11),"x","")</f>
        <v>x</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IF(OR(TH!N1372=TH!$X$7,O1374=TH!$X$7),"x","")</f>
        <v>x</v>
      </c>
      <c r="Y1374" s="82" t="str">
        <f>IF(AND(OR(N1374="131",O1374="131"),H1374='131-CT'!$H$9),"x","")</f>
        <v/>
      </c>
      <c r="Z1374" s="82"/>
      <c r="AA1374" s="82" t="str">
        <f>IF(AND(MONTH(E1374)='IN-NX'!$J$5,'IN-NX'!$D$7=D1374),"x","")</f>
        <v/>
      </c>
      <c r="AB1374" s="82" t="str">
        <f>IF(AND(OR(LEFT(TH!N1372,2)="15",LEFT(TH!O1372,2)="15"),LEFT(TH!O1372,3)&lt;&gt;"111",'152-CT'!$J$8=TH!F1372),"x","")</f>
        <v/>
      </c>
      <c r="AC1374" s="82" t="str">
        <f>IF(AND(OR(LEFT(TH!N1372,2)="15",LEFT(TH!O1372,2)="15"),TK!$E$7=TH!F1372),"x","")</f>
        <v/>
      </c>
      <c r="AD1374" s="82" t="str">
        <f>IF(AND(N1374="1521",MONTH(C1374)='BK-NL'!$M$11),"x","")</f>
        <v/>
      </c>
      <c r="AE1374" s="349"/>
    </row>
    <row r="1375" spans="1:32" s="345" customFormat="1" ht="15.75" customHeight="1">
      <c r="A1375" s="334" t="str">
        <f>IF(B1375&lt;&gt;"",IF(AND(B1375='IN-TC'!$S$4,OR(TH!N1373="1111",TH!O1373="1111")),TH!D1373,""),"")</f>
        <v/>
      </c>
      <c r="B1375" s="63">
        <f t="shared" si="184"/>
        <v>3</v>
      </c>
      <c r="C1375" s="64">
        <v>42443</v>
      </c>
      <c r="D1375" s="316" t="s">
        <v>896</v>
      </c>
      <c r="E1375" s="64">
        <v>42443</v>
      </c>
      <c r="F1375" s="72" t="s">
        <v>766</v>
      </c>
      <c r="G1375" s="976" t="s">
        <v>1373</v>
      </c>
      <c r="H1375" s="72" t="s">
        <v>803</v>
      </c>
      <c r="I1375" s="437"/>
      <c r="J1375" s="437"/>
      <c r="K1375" s="428"/>
      <c r="L1375" s="437"/>
      <c r="M1375" s="65">
        <v>7900000</v>
      </c>
      <c r="N1375" s="66" t="s">
        <v>101</v>
      </c>
      <c r="O1375" s="66" t="s">
        <v>63</v>
      </c>
      <c r="P1375" s="82" t="str">
        <f>IF(AND('331-CT'!$E$7=TH!H1373,OR(N1375="331",O1375="331")),"x","")</f>
        <v/>
      </c>
      <c r="Q1375" s="82" t="str">
        <f>IF(AND(B1375='111'!$L$11,OR($N1375=$Q$7,$O1375=$Q$7)),"x","")</f>
        <v/>
      </c>
      <c r="R1375" s="82" t="str">
        <f>IF(AND($N1375=$Q$7,$B1375&lt;'111'!$L$11),"x","")</f>
        <v/>
      </c>
      <c r="S1375" s="82" t="str">
        <f>IF(AND($O1375=$Q$7,$B1375&lt;'111'!$L$11),"x","")</f>
        <v>x</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IF(OR(TH!N1373=TH!$X$7,O1375=TH!$X$7),"x","")</f>
        <v/>
      </c>
      <c r="Y1375" s="82" t="str">
        <f>IF(AND(OR(N1375="131",O1375="131"),H1375='131-CT'!$H$9),"x","")</f>
        <v/>
      </c>
      <c r="Z1375" s="82"/>
      <c r="AA1375" s="82" t="str">
        <f>IF(AND(MONTH(E1375)='IN-NX'!$J$5,'IN-NX'!$D$7=D1375),"x","")</f>
        <v/>
      </c>
      <c r="AB1375" s="82" t="str">
        <f>IF(AND(OR(LEFT(TH!N1373,2)="15",LEFT(TH!O1373,2)="15"),LEFT(TH!O1373,3)&lt;&gt;"111",'152-CT'!$J$8=TH!F1373),"x","")</f>
        <v/>
      </c>
      <c r="AC1375" s="82" t="str">
        <f>IF(AND(OR(LEFT(TH!N1373,2)="15",LEFT(TH!O1373,2)="15"),TK!$E$7=TH!F1373),"x","")</f>
        <v/>
      </c>
      <c r="AD1375" s="82" t="str">
        <f>IF(AND(N1375="1521",MONTH(C1375)='BK-NL'!$M$11),"x","")</f>
        <v/>
      </c>
      <c r="AE1375" s="349"/>
    </row>
    <row r="1376" spans="1:32" s="345" customFormat="1" ht="15.75" customHeight="1">
      <c r="A1376" s="334" t="str">
        <f>IF(B1376&lt;&gt;"",IF(AND(B1376='IN-TC'!$S$4,OR(TH!N1374="1111",TH!O1374="1111")),TH!D1374,""),"")</f>
        <v/>
      </c>
      <c r="B1376" s="63">
        <f t="shared" si="184"/>
        <v>3</v>
      </c>
      <c r="C1376" s="64">
        <v>42443</v>
      </c>
      <c r="D1376" s="316" t="s">
        <v>896</v>
      </c>
      <c r="E1376" s="64">
        <v>42443</v>
      </c>
      <c r="F1376" s="72" t="s">
        <v>767</v>
      </c>
      <c r="G1376" s="976" t="s">
        <v>1373</v>
      </c>
      <c r="H1376" s="72" t="s">
        <v>803</v>
      </c>
      <c r="I1376" s="437"/>
      <c r="J1376" s="437"/>
      <c r="K1376" s="428"/>
      <c r="L1376" s="437"/>
      <c r="M1376" s="65">
        <v>790000</v>
      </c>
      <c r="N1376" s="66" t="s">
        <v>9</v>
      </c>
      <c r="O1376" s="66" t="s">
        <v>63</v>
      </c>
      <c r="P1376" s="82" t="str">
        <f>IF(AND('331-CT'!$E$7=TH!H1374,OR(N1376="331",O1376="331")),"x","")</f>
        <v/>
      </c>
      <c r="Q1376" s="82" t="str">
        <f>IF(AND(B1376='111'!$L$11,OR($N1376=$Q$7,$O1376=$Q$7)),"x","")</f>
        <v/>
      </c>
      <c r="R1376" s="82" t="str">
        <f>IF(AND($N1376=$Q$7,$B1376&lt;'111'!$L$11),"x","")</f>
        <v/>
      </c>
      <c r="S1376" s="82" t="str">
        <f>IF(AND($O1376=$Q$7,$B1376&lt;'111'!$L$11),"x","")</f>
        <v>x</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IF(OR(TH!N1374=TH!$X$7,O1376=TH!$X$7),"x","")</f>
        <v>x</v>
      </c>
      <c r="Y1376" s="82" t="str">
        <f>IF(AND(OR(N1376="131",O1376="131"),H1376='131-CT'!$H$9),"x","")</f>
        <v/>
      </c>
      <c r="Z1376" s="82"/>
      <c r="AA1376" s="82" t="str">
        <f>IF(AND(MONTH(E1376)='IN-NX'!$J$5,'IN-NX'!$D$7=D1376),"x","")</f>
        <v/>
      </c>
      <c r="AB1376" s="82" t="str">
        <f>IF(AND(OR(LEFT(TH!N1374,2)="15",LEFT(TH!O1374,2)="15"),LEFT(TH!O1374,3)&lt;&gt;"111",'152-CT'!$J$8=TH!F1374),"x","")</f>
        <v/>
      </c>
      <c r="AC1376" s="82" t="str">
        <f>IF(AND(OR(LEFT(TH!N1374,2)="15",LEFT(TH!O1374,2)="15"),TK!$E$7=TH!F1374),"x","")</f>
        <v/>
      </c>
      <c r="AD1376" s="82" t="str">
        <f>IF(AND(N1376="1521",MONTH(C1376)='BK-NL'!$M$11),"x","")</f>
        <v/>
      </c>
      <c r="AE1376" s="349"/>
    </row>
    <row r="1377" spans="1:31" s="345" customFormat="1" ht="15.75" customHeight="1">
      <c r="A1377" s="334" t="str">
        <f>IF(B1377&lt;&gt;"",IF(AND(B1377='IN-TC'!$S$4,OR(TH!N1377="1111",TH!O1377="1111")),TH!D1377,""),"")</f>
        <v/>
      </c>
      <c r="B1377" s="63">
        <f t="shared" si="184"/>
        <v>3</v>
      </c>
      <c r="C1377" s="64">
        <v>42443</v>
      </c>
      <c r="D1377" s="316" t="s">
        <v>702</v>
      </c>
      <c r="E1377" s="64">
        <v>42443</v>
      </c>
      <c r="F1377" s="72" t="s">
        <v>1192</v>
      </c>
      <c r="G1377" s="976" t="s">
        <v>914</v>
      </c>
      <c r="H1377" s="72"/>
      <c r="I1377" s="437"/>
      <c r="J1377" s="437"/>
      <c r="K1377" s="428"/>
      <c r="L1377" s="437"/>
      <c r="M1377" s="65">
        <v>25000</v>
      </c>
      <c r="N1377" s="66" t="s">
        <v>101</v>
      </c>
      <c r="O1377" s="66" t="s">
        <v>26</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c r="AE1377" s="349"/>
    </row>
    <row r="1378" spans="1:31" s="345" customFormat="1" ht="15.75" customHeight="1">
      <c r="A1378" s="334" t="str">
        <f>IF(B1378&lt;&gt;"",IF(AND(B1378='IN-TC'!$S$4,OR(TH!N1378="1111",TH!O1378="1111")),TH!D1378,""),"")</f>
        <v/>
      </c>
      <c r="B1378" s="63">
        <f t="shared" si="184"/>
        <v>3</v>
      </c>
      <c r="C1378" s="316">
        <v>42443</v>
      </c>
      <c r="D1378" s="316" t="s">
        <v>702</v>
      </c>
      <c r="E1378" s="316">
        <v>42443</v>
      </c>
      <c r="F1378" s="72" t="s">
        <v>1193</v>
      </c>
      <c r="G1378" s="317" t="s">
        <v>914</v>
      </c>
      <c r="H1378" s="318"/>
      <c r="I1378" s="437"/>
      <c r="J1378" s="437"/>
      <c r="K1378" s="428"/>
      <c r="L1378" s="437"/>
      <c r="M1378" s="65">
        <v>2500</v>
      </c>
      <c r="N1378" s="319" t="s">
        <v>9</v>
      </c>
      <c r="O1378" s="66" t="s">
        <v>26</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x</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c r="AE1378" s="328"/>
    </row>
    <row r="1379" spans="1:31" s="345" customFormat="1" ht="15.75" customHeight="1">
      <c r="A1379" s="334" t="str">
        <f>IF(B1379&lt;&gt;"",IF(AND(B1379='IN-TC'!$S$4,OR(TH!N1375="1111",TH!O1375="1111")),TH!D1375,""),"")</f>
        <v/>
      </c>
      <c r="B1379" s="63">
        <f t="shared" si="184"/>
        <v>3</v>
      </c>
      <c r="C1379" s="64">
        <v>42443</v>
      </c>
      <c r="D1379" s="316" t="s">
        <v>897</v>
      </c>
      <c r="E1379" s="64">
        <v>42443</v>
      </c>
      <c r="F1379" s="72" t="s">
        <v>762</v>
      </c>
      <c r="G1379" s="976" t="s">
        <v>1374</v>
      </c>
      <c r="H1379" s="72" t="s">
        <v>1031</v>
      </c>
      <c r="I1379" s="437"/>
      <c r="J1379" s="437"/>
      <c r="K1379" s="428"/>
      <c r="L1379" s="437"/>
      <c r="M1379" s="65">
        <v>1318180</v>
      </c>
      <c r="N1379" s="66" t="s">
        <v>101</v>
      </c>
      <c r="O1379" s="66" t="s">
        <v>63</v>
      </c>
      <c r="P1379" s="82" t="str">
        <f>IF(AND('331-CT'!$E$7=TH!H1375,OR(N1379="331",O1379="331")),"x","")</f>
        <v/>
      </c>
      <c r="Q1379" s="82" t="str">
        <f>IF(AND(B1379='111'!$L$11,OR($N1379=$Q$7,$O1379=$Q$7)),"x","")</f>
        <v/>
      </c>
      <c r="R1379" s="82" t="str">
        <f>IF(AND($N1379=$Q$7,$B1379&lt;'111'!$L$11),"x","")</f>
        <v/>
      </c>
      <c r="S1379" s="82" t="str">
        <f>IF(AND($O1379=$Q$7,$B1379&lt;'111'!$L$11),"x","")</f>
        <v>x</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IF(OR(TH!N1375=TH!$X$7,O1379=TH!$X$7),"x","")</f>
        <v/>
      </c>
      <c r="Y1379" s="82" t="str">
        <f>IF(AND(OR(N1379="131",O1379="131"),H1379='131-CT'!$H$9),"x","")</f>
        <v/>
      </c>
      <c r="Z1379" s="82"/>
      <c r="AA1379" s="82" t="str">
        <f>IF(AND(MONTH(E1379)='IN-NX'!$J$5,'IN-NX'!$D$7=D1379),"x","")</f>
        <v/>
      </c>
      <c r="AB1379" s="82" t="str">
        <f>IF(AND(OR(LEFT(TH!N1375,2)="15",LEFT(TH!O1375,2)="15"),LEFT(TH!O1375,3)&lt;&gt;"111",'152-CT'!$J$8=TH!F1375),"x","")</f>
        <v/>
      </c>
      <c r="AC1379" s="82" t="str">
        <f>IF(AND(OR(LEFT(TH!N1375,2)="15",LEFT(TH!O1375,2)="15"),TK!$E$7=TH!F1375),"x","")</f>
        <v/>
      </c>
      <c r="AD1379" s="82" t="str">
        <f>IF(AND(N1379="1521",MONTH(C1379)='BK-NL'!$M$11),"x","")</f>
        <v/>
      </c>
      <c r="AE1379" s="349"/>
    </row>
    <row r="1380" spans="1:31" s="349" customFormat="1" ht="15.75" customHeight="1">
      <c r="A1380" s="334" t="str">
        <f>IF(B1380&lt;&gt;"",IF(AND(B1380='IN-TC'!$S$4,OR(TH!N1380="1111",TH!O1380="1111")),TH!D1380,""),"")</f>
        <v/>
      </c>
      <c r="B1380" s="63">
        <f t="shared" si="184"/>
        <v>3</v>
      </c>
      <c r="C1380" s="316">
        <v>42444</v>
      </c>
      <c r="D1380" s="64" t="s">
        <v>699</v>
      </c>
      <c r="E1380" s="316">
        <v>42444</v>
      </c>
      <c r="F1380" s="72" t="s">
        <v>1184</v>
      </c>
      <c r="G1380" s="976" t="s">
        <v>914</v>
      </c>
      <c r="H1380" s="318" t="s">
        <v>596</v>
      </c>
      <c r="I1380" s="437"/>
      <c r="J1380" s="437"/>
      <c r="K1380" s="428">
        <v>100100</v>
      </c>
      <c r="L1380" s="437">
        <v>22295</v>
      </c>
      <c r="M1380" s="65">
        <v>2231729500</v>
      </c>
      <c r="N1380" s="319" t="s">
        <v>266</v>
      </c>
      <c r="O1380" s="66" t="s">
        <v>585</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1" s="349" customFormat="1" ht="15.75" customHeight="1">
      <c r="A1381" s="334" t="str">
        <f>IF(B1381&lt;&gt;"",IF(AND(B1381='IN-TC'!$S$4,OR(TH!N1381="1111",TH!O1381="1111")),TH!D1381,""),"")</f>
        <v/>
      </c>
      <c r="B1381" s="63">
        <f t="shared" si="184"/>
        <v>3</v>
      </c>
      <c r="C1381" s="316">
        <v>42444</v>
      </c>
      <c r="D1381" s="64" t="s">
        <v>702</v>
      </c>
      <c r="E1381" s="316">
        <v>42444</v>
      </c>
      <c r="F1381" s="72" t="s">
        <v>1438</v>
      </c>
      <c r="G1381" s="976" t="s">
        <v>914</v>
      </c>
      <c r="H1381" s="318"/>
      <c r="I1381" s="437"/>
      <c r="J1381" s="437"/>
      <c r="K1381" s="428">
        <v>100000</v>
      </c>
      <c r="L1381" s="437">
        <v>22295</v>
      </c>
      <c r="M1381" s="65">
        <v>2229500000</v>
      </c>
      <c r="N1381" s="66" t="s">
        <v>26</v>
      </c>
      <c r="O1381" s="66" t="s">
        <v>266</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1" s="349" customFormat="1" ht="15.75" customHeight="1">
      <c r="A1382" s="334" t="str">
        <f>IF(B1382&lt;&gt;"",IF(AND(B1382='IN-TC'!$S$4,OR(TH!N1382="1111",TH!O1382="1111")),TH!D1382,""),"")</f>
        <v/>
      </c>
      <c r="B1382" s="63">
        <f t="shared" si="184"/>
        <v>3</v>
      </c>
      <c r="C1382" s="316">
        <v>42444</v>
      </c>
      <c r="D1382" s="64" t="s">
        <v>702</v>
      </c>
      <c r="E1382" s="316">
        <v>42444</v>
      </c>
      <c r="F1382" s="72" t="s">
        <v>1185</v>
      </c>
      <c r="G1382" s="976" t="s">
        <v>914</v>
      </c>
      <c r="H1382" s="318"/>
      <c r="I1382" s="437"/>
      <c r="J1382" s="437"/>
      <c r="K1382" s="428">
        <v>15</v>
      </c>
      <c r="L1382" s="437">
        <v>22295</v>
      </c>
      <c r="M1382" s="65">
        <v>334425</v>
      </c>
      <c r="N1382" s="319" t="s">
        <v>101</v>
      </c>
      <c r="O1382" s="66" t="s">
        <v>266</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1" s="349" customFormat="1" ht="15.75" customHeight="1">
      <c r="A1383" s="334" t="str">
        <f>IF(B1383&lt;&gt;"",IF(AND(B1383='IN-TC'!$S$4,OR(TH!N1383="1111",TH!O1383="1111")),TH!D1383,""),"")</f>
        <v/>
      </c>
      <c r="B1383" s="63">
        <f t="shared" si="184"/>
        <v>3</v>
      </c>
      <c r="C1383" s="316">
        <v>42444</v>
      </c>
      <c r="D1383" s="64" t="s">
        <v>702</v>
      </c>
      <c r="E1383" s="316">
        <v>42444</v>
      </c>
      <c r="F1383" s="72" t="s">
        <v>1186</v>
      </c>
      <c r="G1383" s="976" t="s">
        <v>914</v>
      </c>
      <c r="H1383" s="318"/>
      <c r="I1383" s="437"/>
      <c r="J1383" s="437"/>
      <c r="K1383" s="428">
        <v>1.5</v>
      </c>
      <c r="L1383" s="437">
        <v>22295</v>
      </c>
      <c r="M1383" s="65">
        <v>33443</v>
      </c>
      <c r="N1383" s="319" t="s">
        <v>9</v>
      </c>
      <c r="O1383" s="66" t="s">
        <v>266</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x</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1" ht="15.75" customHeight="1">
      <c r="A1384" s="334" t="str">
        <f>IF(B1384&lt;&gt;"",IF(AND(B1384='IN-TC'!$S$4,OR(TH!N1384="1111",TH!O1384="1111")),TH!D1384,""),"")</f>
        <v/>
      </c>
      <c r="B1384" s="63">
        <f t="shared" si="184"/>
        <v>3</v>
      </c>
      <c r="C1384" s="316">
        <v>42444</v>
      </c>
      <c r="D1384" s="64" t="s">
        <v>702</v>
      </c>
      <c r="E1384" s="316">
        <v>42444</v>
      </c>
      <c r="F1384" s="72" t="s">
        <v>611</v>
      </c>
      <c r="G1384" s="976" t="s">
        <v>914</v>
      </c>
      <c r="H1384" s="72"/>
      <c r="I1384" s="437"/>
      <c r="J1384" s="437"/>
      <c r="K1384" s="428">
        <v>10</v>
      </c>
      <c r="L1384" s="437">
        <v>22295</v>
      </c>
      <c r="M1384" s="65">
        <v>222950</v>
      </c>
      <c r="N1384" s="319" t="s">
        <v>101</v>
      </c>
      <c r="O1384" s="66" t="s">
        <v>266</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c r="AE1384" s="349"/>
    </row>
    <row r="1385" spans="1:31" ht="15.75" customHeight="1">
      <c r="A1385" s="334" t="str">
        <f>IF(B1385&lt;&gt;"",IF(AND(B1385='IN-TC'!$S$4,OR(TH!N1385="1111",TH!O1385="1111")),TH!D1385,""),"")</f>
        <v/>
      </c>
      <c r="B1385" s="63">
        <f t="shared" si="184"/>
        <v>3</v>
      </c>
      <c r="C1385" s="316">
        <v>42444</v>
      </c>
      <c r="D1385" s="64" t="s">
        <v>702</v>
      </c>
      <c r="E1385" s="316">
        <v>42444</v>
      </c>
      <c r="F1385" s="72" t="s">
        <v>1187</v>
      </c>
      <c r="G1385" s="976" t="s">
        <v>914</v>
      </c>
      <c r="H1385" s="72"/>
      <c r="I1385" s="437"/>
      <c r="J1385" s="437"/>
      <c r="K1385" s="428">
        <v>1</v>
      </c>
      <c r="L1385" s="437">
        <v>22295</v>
      </c>
      <c r="M1385" s="65">
        <v>22295</v>
      </c>
      <c r="N1385" s="319" t="s">
        <v>9</v>
      </c>
      <c r="O1385" s="66" t="s">
        <v>266</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x</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c r="AE1385" s="349"/>
    </row>
    <row r="1386" spans="1:31" ht="15.75" customHeight="1">
      <c r="A1386" s="334" t="str">
        <f>IF(B1386&lt;&gt;"",IF(AND(B1386='IN-TC'!$S$4,OR(TH!N1386="1111",TH!O1386="1111")),TH!D1386,""),"")</f>
        <v/>
      </c>
      <c r="B1386" s="63">
        <f t="shared" si="184"/>
        <v>3</v>
      </c>
      <c r="C1386" s="316">
        <v>42444</v>
      </c>
      <c r="D1386" s="64" t="s">
        <v>702</v>
      </c>
      <c r="E1386" s="316">
        <v>42444</v>
      </c>
      <c r="F1386" s="72" t="s">
        <v>1188</v>
      </c>
      <c r="G1386" s="976" t="s">
        <v>914</v>
      </c>
      <c r="H1386" s="318"/>
      <c r="I1386" s="437"/>
      <c r="J1386" s="437"/>
      <c r="K1386" s="428">
        <v>31.64</v>
      </c>
      <c r="L1386" s="437">
        <v>22295</v>
      </c>
      <c r="M1386" s="65">
        <v>705414</v>
      </c>
      <c r="N1386" s="319" t="s">
        <v>101</v>
      </c>
      <c r="O1386" s="66" t="s">
        <v>266</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c r="AE1386" s="349"/>
    </row>
    <row r="1387" spans="1:31" ht="15.75" customHeight="1">
      <c r="A1387" s="334" t="str">
        <f>IF(B1387&lt;&gt;"",IF(AND(B1387='IN-TC'!$S$4,OR(TH!N1387="1111",TH!O1387="1111")),TH!D1387,""),"")</f>
        <v/>
      </c>
      <c r="B1387" s="63">
        <f t="shared" si="184"/>
        <v>3</v>
      </c>
      <c r="C1387" s="64">
        <v>42444</v>
      </c>
      <c r="D1387" s="64" t="s">
        <v>702</v>
      </c>
      <c r="E1387" s="64">
        <v>42444</v>
      </c>
      <c r="F1387" s="72" t="s">
        <v>1189</v>
      </c>
      <c r="G1387" s="976" t="s">
        <v>914</v>
      </c>
      <c r="H1387" s="72"/>
      <c r="I1387" s="437"/>
      <c r="J1387" s="437"/>
      <c r="K1387" s="428">
        <v>3.16</v>
      </c>
      <c r="L1387" s="437">
        <v>22295</v>
      </c>
      <c r="M1387" s="65">
        <v>70452</v>
      </c>
      <c r="N1387" s="66" t="s">
        <v>9</v>
      </c>
      <c r="O1387" s="66" t="s">
        <v>266</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x</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1" ht="15.75" customHeight="1">
      <c r="A1388" s="334" t="str">
        <f>IF(B1388&lt;&gt;"",IF(AND(B1388='IN-TC'!$S$4,OR(TH!N1388="1111",TH!O1388="1111")),TH!D1388,""),"")</f>
        <v/>
      </c>
      <c r="B1388" s="63">
        <f t="shared" si="184"/>
        <v>3</v>
      </c>
      <c r="C1388" s="64">
        <v>42444</v>
      </c>
      <c r="D1388" s="316" t="s">
        <v>702</v>
      </c>
      <c r="E1388" s="64">
        <v>42444</v>
      </c>
      <c r="F1388" s="72" t="s">
        <v>1194</v>
      </c>
      <c r="G1388" s="976" t="s">
        <v>916</v>
      </c>
      <c r="H1388" s="72"/>
      <c r="I1388" s="437"/>
      <c r="J1388" s="437"/>
      <c r="K1388" s="428"/>
      <c r="L1388" s="437"/>
      <c r="M1388" s="65">
        <v>310000000</v>
      </c>
      <c r="N1388" s="66" t="s">
        <v>26</v>
      </c>
      <c r="O1388" s="66" t="s">
        <v>26</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1" ht="15.75" customHeight="1">
      <c r="A1389" s="334" t="str">
        <f>IF(B1389&lt;&gt;"",IF(AND(B1389='IN-TC'!$S$4,OR(TH!N1389="1111",TH!O1389="1111")),TH!D1389,""),"")</f>
        <v/>
      </c>
      <c r="B1389" s="63">
        <f t="shared" si="184"/>
        <v>3</v>
      </c>
      <c r="C1389" s="64">
        <v>42444</v>
      </c>
      <c r="D1389" s="316" t="s">
        <v>702</v>
      </c>
      <c r="E1389" s="64">
        <v>42444</v>
      </c>
      <c r="F1389" s="512" t="s">
        <v>756</v>
      </c>
      <c r="G1389" s="67" t="s">
        <v>914</v>
      </c>
      <c r="H1389" s="342" t="s">
        <v>728</v>
      </c>
      <c r="I1389" s="437"/>
      <c r="J1389" s="437"/>
      <c r="K1389" s="428">
        <v>106.36998207885304</v>
      </c>
      <c r="L1389" s="437">
        <v>22320</v>
      </c>
      <c r="M1389" s="65">
        <v>2374178</v>
      </c>
      <c r="N1389" s="66" t="s">
        <v>99</v>
      </c>
      <c r="O1389" s="66" t="s">
        <v>26</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1" ht="15.75" customHeight="1">
      <c r="A1390" s="334" t="str">
        <f>IF(B1390&lt;&gt;"",IF(AND(B1390='IN-TC'!$S$4,OR(TH!N1390="1111",TH!O1390="1111")),TH!D1390,""),"")</f>
        <v/>
      </c>
      <c r="B1390" s="63">
        <f t="shared" si="184"/>
        <v>3</v>
      </c>
      <c r="C1390" s="64">
        <v>42444</v>
      </c>
      <c r="D1390" s="316" t="s">
        <v>702</v>
      </c>
      <c r="E1390" s="64">
        <v>42444</v>
      </c>
      <c r="F1390" s="72" t="s">
        <v>1203</v>
      </c>
      <c r="G1390" s="67" t="s">
        <v>915</v>
      </c>
      <c r="H1390" s="72" t="s">
        <v>626</v>
      </c>
      <c r="I1390" s="437"/>
      <c r="J1390" s="437"/>
      <c r="K1390" s="428"/>
      <c r="L1390" s="437"/>
      <c r="M1390" s="65">
        <v>5737000</v>
      </c>
      <c r="N1390" s="66" t="s">
        <v>8</v>
      </c>
      <c r="O1390" s="66" t="s">
        <v>26</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c r="AE1390" s="1136" t="str">
        <f>IF(H1390&lt;&gt;VLOOKUP(H1390,DSKH,1,0),"","x")</f>
        <v>x</v>
      </c>
    </row>
    <row r="1391" spans="1:31" ht="15.75" customHeight="1">
      <c r="A1391" s="334" t="str">
        <f>IF(B1391&lt;&gt;"",IF(AND(B1391='IN-TC'!$S$4,OR(TH!N1391="1111",TH!O1391="1111")),TH!D1391,""),"")</f>
        <v/>
      </c>
      <c r="B1391" s="63">
        <f t="shared" si="184"/>
        <v>3</v>
      </c>
      <c r="C1391" s="64">
        <v>42444</v>
      </c>
      <c r="D1391" s="316" t="s">
        <v>702</v>
      </c>
      <c r="E1391" s="64">
        <v>42444</v>
      </c>
      <c r="F1391" s="72" t="s">
        <v>1192</v>
      </c>
      <c r="G1391" s="67" t="s">
        <v>915</v>
      </c>
      <c r="H1391" s="72"/>
      <c r="I1391" s="437"/>
      <c r="J1391" s="437"/>
      <c r="K1391" s="428"/>
      <c r="L1391" s="437"/>
      <c r="M1391" s="65">
        <v>20000</v>
      </c>
      <c r="N1391" s="66" t="s">
        <v>101</v>
      </c>
      <c r="O1391" s="66" t="s">
        <v>26</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1" ht="15.75" customHeight="1">
      <c r="A1392" s="334" t="str">
        <f>IF(B1392&lt;&gt;"",IF(AND(B1392='IN-TC'!$S$4,OR(TH!N1392="1111",TH!O1392="1111")),TH!D1392,""),"")</f>
        <v/>
      </c>
      <c r="B1392" s="63">
        <f t="shared" si="184"/>
        <v>3</v>
      </c>
      <c r="C1392" s="64">
        <v>42444</v>
      </c>
      <c r="D1392" s="316" t="s">
        <v>702</v>
      </c>
      <c r="E1392" s="64">
        <v>42444</v>
      </c>
      <c r="F1392" s="72" t="s">
        <v>1193</v>
      </c>
      <c r="G1392" s="67" t="s">
        <v>915</v>
      </c>
      <c r="H1392" s="342"/>
      <c r="I1392" s="437"/>
      <c r="J1392" s="437"/>
      <c r="K1392" s="428"/>
      <c r="L1392" s="437"/>
      <c r="M1392" s="65">
        <v>2000</v>
      </c>
      <c r="N1392" s="66" t="s">
        <v>9</v>
      </c>
      <c r="O1392" s="66" t="s">
        <v>26</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x</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1" ht="15.75" customHeight="1">
      <c r="A1393" s="334" t="str">
        <f>IF(B1393&lt;&gt;"",IF(AND(B1393='IN-TC'!$S$4,OR(TH!N1393="1111",TH!O1393="1111")),TH!D1393,""),"")</f>
        <v/>
      </c>
      <c r="B1393" s="63">
        <f t="shared" si="184"/>
        <v>3</v>
      </c>
      <c r="C1393" s="64">
        <v>42444</v>
      </c>
      <c r="D1393" s="316" t="s">
        <v>702</v>
      </c>
      <c r="E1393" s="64">
        <v>42444</v>
      </c>
      <c r="F1393" s="72" t="s">
        <v>1203</v>
      </c>
      <c r="G1393" s="67" t="s">
        <v>915</v>
      </c>
      <c r="H1393" s="72" t="s">
        <v>626</v>
      </c>
      <c r="I1393" s="437"/>
      <c r="J1393" s="437"/>
      <c r="K1393" s="428"/>
      <c r="L1393" s="437"/>
      <c r="M1393" s="65">
        <v>480000</v>
      </c>
      <c r="N1393" s="66" t="s">
        <v>8</v>
      </c>
      <c r="O1393" s="66" t="s">
        <v>26</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c r="AE1393" s="1136" t="str">
        <f>IF(H1393&lt;&gt;VLOOKUP(H1393,DSKH,1,0),"","x")</f>
        <v>x</v>
      </c>
    </row>
    <row r="1394" spans="1:31" ht="15.75" customHeight="1">
      <c r="A1394" s="334" t="str">
        <f>IF(B1394&lt;&gt;"",IF(AND(B1394='IN-TC'!$S$4,OR(TH!N1394="1111",TH!O1394="1111")),TH!D1394,""),"")</f>
        <v/>
      </c>
      <c r="B1394" s="63">
        <f t="shared" si="184"/>
        <v>3</v>
      </c>
      <c r="C1394" s="64">
        <v>42444</v>
      </c>
      <c r="D1394" s="316" t="s">
        <v>702</v>
      </c>
      <c r="E1394" s="64">
        <v>42444</v>
      </c>
      <c r="F1394" s="72" t="s">
        <v>1192</v>
      </c>
      <c r="G1394" s="67" t="s">
        <v>915</v>
      </c>
      <c r="H1394" s="72"/>
      <c r="I1394" s="437"/>
      <c r="J1394" s="437"/>
      <c r="K1394" s="428"/>
      <c r="L1394" s="437"/>
      <c r="M1394" s="65">
        <v>20000</v>
      </c>
      <c r="N1394" s="66" t="s">
        <v>101</v>
      </c>
      <c r="O1394" s="66" t="s">
        <v>26</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1" ht="15.75" customHeight="1">
      <c r="A1395" s="334" t="str">
        <f>IF(B1395&lt;&gt;"",IF(AND(B1395='IN-TC'!$S$4,OR(TH!N1395="1111",TH!O1395="1111")),TH!D1395,""),"")</f>
        <v/>
      </c>
      <c r="B1395" s="63">
        <f t="shared" si="184"/>
        <v>3</v>
      </c>
      <c r="C1395" s="64">
        <v>42444</v>
      </c>
      <c r="D1395" s="316" t="s">
        <v>702</v>
      </c>
      <c r="E1395" s="64">
        <v>42444</v>
      </c>
      <c r="F1395" s="72" t="s">
        <v>1193</v>
      </c>
      <c r="G1395" s="67" t="s">
        <v>915</v>
      </c>
      <c r="H1395" s="342"/>
      <c r="I1395" s="437"/>
      <c r="J1395" s="437"/>
      <c r="K1395" s="428"/>
      <c r="L1395" s="437"/>
      <c r="M1395" s="65">
        <v>2000</v>
      </c>
      <c r="N1395" s="66" t="s">
        <v>9</v>
      </c>
      <c r="O1395" s="66" t="s">
        <v>26</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x</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1" ht="15.75" customHeight="1">
      <c r="A1396" s="334" t="str">
        <f>IF(B1396&lt;&gt;"",IF(AND(B1396='IN-TC'!$S$4,OR(TH!N1396="1111",TH!O1396="1111")),TH!D1396,""),"")</f>
        <v/>
      </c>
      <c r="B1396" s="63">
        <f t="shared" si="184"/>
        <v>3</v>
      </c>
      <c r="C1396" s="64">
        <v>42444</v>
      </c>
      <c r="D1396" s="316" t="s">
        <v>702</v>
      </c>
      <c r="E1396" s="64">
        <v>42444</v>
      </c>
      <c r="F1396" s="72" t="s">
        <v>1204</v>
      </c>
      <c r="G1396" s="67" t="s">
        <v>915</v>
      </c>
      <c r="H1396" s="72" t="s">
        <v>629</v>
      </c>
      <c r="I1396" s="437"/>
      <c r="J1396" s="437"/>
      <c r="K1396" s="428"/>
      <c r="L1396" s="437"/>
      <c r="M1396" s="65">
        <v>22749430</v>
      </c>
      <c r="N1396" s="66" t="s">
        <v>8</v>
      </c>
      <c r="O1396" s="66" t="s">
        <v>26</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c r="AE1396" s="1136" t="str">
        <f>IF(H1396&lt;&gt;VLOOKUP(H1396,DSKH,1,0),"","x")</f>
        <v>x</v>
      </c>
    </row>
    <row r="1397" spans="1:31" ht="15.75" customHeight="1">
      <c r="A1397" s="334" t="str">
        <f>IF(B1397&lt;&gt;"",IF(AND(B1397='IN-TC'!$S$4,OR(TH!N1397="1111",TH!O1397="1111")),TH!D1397,""),"")</f>
        <v/>
      </c>
      <c r="B1397" s="63">
        <f t="shared" si="184"/>
        <v>3</v>
      </c>
      <c r="C1397" s="64">
        <v>42444</v>
      </c>
      <c r="D1397" s="316" t="s">
        <v>702</v>
      </c>
      <c r="E1397" s="64">
        <v>42444</v>
      </c>
      <c r="F1397" s="72" t="s">
        <v>1192</v>
      </c>
      <c r="G1397" s="67" t="s">
        <v>915</v>
      </c>
      <c r="H1397" s="72"/>
      <c r="I1397" s="437"/>
      <c r="J1397" s="437"/>
      <c r="K1397" s="428"/>
      <c r="L1397" s="437"/>
      <c r="M1397" s="65">
        <v>25000</v>
      </c>
      <c r="N1397" s="66" t="s">
        <v>101</v>
      </c>
      <c r="O1397" s="66" t="s">
        <v>26</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1" ht="15.75" customHeight="1">
      <c r="A1398" s="334" t="str">
        <f>IF(B1398&lt;&gt;"",IF(AND(B1398='IN-TC'!$S$4,OR(TH!N1398="1111",TH!O1398="1111")),TH!D1398,""),"")</f>
        <v/>
      </c>
      <c r="B1398" s="63">
        <f t="shared" si="184"/>
        <v>3</v>
      </c>
      <c r="C1398" s="64">
        <v>42444</v>
      </c>
      <c r="D1398" s="316" t="s">
        <v>702</v>
      </c>
      <c r="E1398" s="64">
        <v>42444</v>
      </c>
      <c r="F1398" s="72" t="s">
        <v>1193</v>
      </c>
      <c r="G1398" s="67" t="s">
        <v>915</v>
      </c>
      <c r="H1398" s="342"/>
      <c r="I1398" s="437"/>
      <c r="J1398" s="437"/>
      <c r="K1398" s="428"/>
      <c r="L1398" s="437"/>
      <c r="M1398" s="65">
        <v>2500</v>
      </c>
      <c r="N1398" s="66" t="s">
        <v>9</v>
      </c>
      <c r="O1398" s="66" t="s">
        <v>26</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x</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1" ht="15.75" customHeight="1">
      <c r="A1399" s="334" t="str">
        <f>IF(B1399&lt;&gt;"",IF(AND(B1399='IN-TC'!$S$4,OR(TH!N1399="1111",TH!O1399="1111")),TH!D1399,""),"")</f>
        <v/>
      </c>
      <c r="B1399" s="63">
        <f t="shared" si="184"/>
        <v>3</v>
      </c>
      <c r="C1399" s="64">
        <v>42444</v>
      </c>
      <c r="D1399" s="316" t="s">
        <v>702</v>
      </c>
      <c r="E1399" s="64">
        <v>42444</v>
      </c>
      <c r="F1399" s="72" t="s">
        <v>1205</v>
      </c>
      <c r="G1399" s="67" t="s">
        <v>915</v>
      </c>
      <c r="H1399" s="72" t="s">
        <v>673</v>
      </c>
      <c r="I1399" s="437"/>
      <c r="J1399" s="437"/>
      <c r="K1399" s="428"/>
      <c r="L1399" s="437"/>
      <c r="M1399" s="65">
        <v>36300000</v>
      </c>
      <c r="N1399" s="66" t="s">
        <v>8</v>
      </c>
      <c r="O1399" s="66" t="s">
        <v>26</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c r="AE1399" s="1136" t="str">
        <f>IF(H1399&lt;&gt;VLOOKUP(H1399,DSKH,1,0),"","x")</f>
        <v>x</v>
      </c>
    </row>
    <row r="1400" spans="1:31" ht="15.75" customHeight="1">
      <c r="A1400" s="334" t="str">
        <f>IF(B1400&lt;&gt;"",IF(AND(B1400='IN-TC'!$S$4,OR(TH!N1400="1111",TH!O1400="1111")),TH!D1400,""),"")</f>
        <v/>
      </c>
      <c r="B1400" s="63">
        <f t="shared" si="184"/>
        <v>3</v>
      </c>
      <c r="C1400" s="64">
        <v>42444</v>
      </c>
      <c r="D1400" s="316" t="s">
        <v>702</v>
      </c>
      <c r="E1400" s="64">
        <v>42444</v>
      </c>
      <c r="F1400" s="72" t="s">
        <v>1192</v>
      </c>
      <c r="G1400" s="67" t="s">
        <v>915</v>
      </c>
      <c r="H1400" s="72"/>
      <c r="I1400" s="437"/>
      <c r="J1400" s="437"/>
      <c r="K1400" s="428"/>
      <c r="L1400" s="437"/>
      <c r="M1400" s="65">
        <v>25000</v>
      </c>
      <c r="N1400" s="66" t="s">
        <v>101</v>
      </c>
      <c r="O1400" s="66" t="s">
        <v>26</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1" ht="15.75" customHeight="1">
      <c r="A1401" s="334" t="str">
        <f>IF(B1401&lt;&gt;"",IF(AND(B1401='IN-TC'!$S$4,OR(TH!N1401="1111",TH!O1401="1111")),TH!D1401,""),"")</f>
        <v/>
      </c>
      <c r="B1401" s="63">
        <f t="shared" si="184"/>
        <v>3</v>
      </c>
      <c r="C1401" s="64">
        <v>42444</v>
      </c>
      <c r="D1401" s="316" t="s">
        <v>702</v>
      </c>
      <c r="E1401" s="64">
        <v>42444</v>
      </c>
      <c r="F1401" s="72" t="s">
        <v>1193</v>
      </c>
      <c r="G1401" s="67" t="s">
        <v>915</v>
      </c>
      <c r="H1401" s="342"/>
      <c r="I1401" s="437"/>
      <c r="J1401" s="437"/>
      <c r="K1401" s="428"/>
      <c r="L1401" s="437"/>
      <c r="M1401" s="65">
        <v>2500</v>
      </c>
      <c r="N1401" s="66" t="s">
        <v>9</v>
      </c>
      <c r="O1401" s="66" t="s">
        <v>26</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x</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1" ht="15.75" customHeight="1">
      <c r="A1402" s="334" t="str">
        <f>IF(B1402&lt;&gt;"",IF(AND(B1402='IN-TC'!$S$4,OR(TH!N1402="1111",TH!O1402="1111")),TH!D1402,""),"")</f>
        <v/>
      </c>
      <c r="B1402" s="993">
        <f t="shared" si="184"/>
        <v>3</v>
      </c>
      <c r="C1402" s="78">
        <v>42444</v>
      </c>
      <c r="D1402" s="1124" t="s">
        <v>702</v>
      </c>
      <c r="E1402" s="78">
        <v>42444</v>
      </c>
      <c r="F1402" s="72" t="s">
        <v>1206</v>
      </c>
      <c r="G1402" s="79" t="s">
        <v>915</v>
      </c>
      <c r="H1402" s="959"/>
      <c r="I1402" s="435"/>
      <c r="J1402" s="435"/>
      <c r="K1402" s="426"/>
      <c r="L1402" s="435"/>
      <c r="M1402" s="81">
        <v>72666115</v>
      </c>
      <c r="N1402" s="82" t="s">
        <v>590</v>
      </c>
      <c r="O1402" s="66" t="s">
        <v>26</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c r="AE1402" s="345"/>
    </row>
    <row r="1403" spans="1:31" s="345" customFormat="1" ht="15.75" customHeight="1">
      <c r="A1403" s="334" t="str">
        <f>IF(B1403&lt;&gt;"",IF(AND(B1403='IN-TC'!$S$4,OR(TH!N1403="1111",TH!O1403="1111")),TH!D1403,""),"")</f>
        <v/>
      </c>
      <c r="B1403" s="993">
        <f t="shared" si="184"/>
        <v>3</v>
      </c>
      <c r="C1403" s="78">
        <v>42444</v>
      </c>
      <c r="D1403" s="1124" t="s">
        <v>702</v>
      </c>
      <c r="E1403" s="78">
        <v>42444</v>
      </c>
      <c r="F1403" s="72" t="s">
        <v>1207</v>
      </c>
      <c r="G1403" s="79" t="s">
        <v>915</v>
      </c>
      <c r="H1403" s="959"/>
      <c r="I1403" s="435"/>
      <c r="J1403" s="435"/>
      <c r="K1403" s="426"/>
      <c r="L1403" s="435"/>
      <c r="M1403" s="81">
        <v>19101465</v>
      </c>
      <c r="N1403" s="82" t="s">
        <v>591</v>
      </c>
      <c r="O1403" s="66" t="s">
        <v>26</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1" s="345" customFormat="1" ht="15.75" customHeight="1">
      <c r="A1404" s="334" t="str">
        <f>IF(B1404&lt;&gt;"",IF(AND(B1404='IN-TC'!$S$4,OR(TH!N1404="1111",TH!O1404="1111")),TH!D1404,""),"")</f>
        <v/>
      </c>
      <c r="B1404" s="993">
        <f t="shared" si="184"/>
        <v>3</v>
      </c>
      <c r="C1404" s="78">
        <v>42444</v>
      </c>
      <c r="D1404" s="1124" t="s">
        <v>702</v>
      </c>
      <c r="E1404" s="78">
        <v>42444</v>
      </c>
      <c r="F1404" s="72" t="s">
        <v>1208</v>
      </c>
      <c r="G1404" s="79" t="s">
        <v>915</v>
      </c>
      <c r="H1404" s="80"/>
      <c r="I1404" s="435"/>
      <c r="J1404" s="435"/>
      <c r="K1404" s="426"/>
      <c r="L1404" s="435"/>
      <c r="M1404" s="81">
        <v>8232420</v>
      </c>
      <c r="N1404" s="82" t="s">
        <v>592</v>
      </c>
      <c r="O1404" s="66" t="s">
        <v>26</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1" s="345" customFormat="1" ht="15.75" customHeight="1">
      <c r="A1405" s="334" t="str">
        <f>IF(B1405&lt;&gt;"",IF(AND(B1405='IN-TC'!$S$4,OR(TH!N1405="1111",TH!O1405="1111")),TH!D1405,""),"")</f>
        <v/>
      </c>
      <c r="B1405" s="63">
        <f t="shared" si="184"/>
        <v>3</v>
      </c>
      <c r="C1405" s="64">
        <v>42444</v>
      </c>
      <c r="D1405" s="316" t="s">
        <v>702</v>
      </c>
      <c r="E1405" s="64">
        <v>42444</v>
      </c>
      <c r="F1405" s="72" t="s">
        <v>1192</v>
      </c>
      <c r="G1405" s="67" t="s">
        <v>915</v>
      </c>
      <c r="H1405" s="72"/>
      <c r="I1405" s="437"/>
      <c r="J1405" s="437"/>
      <c r="K1405" s="428"/>
      <c r="L1405" s="437"/>
      <c r="M1405" s="65">
        <v>50000</v>
      </c>
      <c r="N1405" s="66" t="s">
        <v>101</v>
      </c>
      <c r="O1405" s="66" t="s">
        <v>26</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c r="AE1405" s="328"/>
    </row>
    <row r="1406" spans="1:31" s="349" customFormat="1" ht="15.75" customHeight="1">
      <c r="A1406" s="334" t="str">
        <f>IF(B1406&lt;&gt;"",IF(AND(B1406='IN-TC'!$S$4,OR(TH!N1406="1111",TH!O1406="1111")),TH!D1406,""),"")</f>
        <v/>
      </c>
      <c r="B1406" s="63">
        <f t="shared" si="184"/>
        <v>3</v>
      </c>
      <c r="C1406" s="64">
        <v>42444</v>
      </c>
      <c r="D1406" s="316" t="s">
        <v>702</v>
      </c>
      <c r="E1406" s="64">
        <v>42444</v>
      </c>
      <c r="F1406" s="72" t="s">
        <v>1193</v>
      </c>
      <c r="G1406" s="67" t="s">
        <v>915</v>
      </c>
      <c r="H1406" s="342"/>
      <c r="I1406" s="437"/>
      <c r="J1406" s="437"/>
      <c r="K1406" s="428"/>
      <c r="L1406" s="437"/>
      <c r="M1406" s="65">
        <v>5000</v>
      </c>
      <c r="N1406" s="66" t="s">
        <v>9</v>
      </c>
      <c r="O1406" s="66" t="s">
        <v>26</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x</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c r="AE1406" s="328"/>
    </row>
    <row r="1407" spans="1:31" ht="15.75" customHeight="1">
      <c r="A1407" s="334" t="str">
        <f>IF(B1407&lt;&gt;"",IF(AND(B1407='IN-TC'!$S$4,OR(TH!N1407="1111",TH!O1407="1111")),TH!D1407,""),"")</f>
        <v/>
      </c>
      <c r="B1407" s="63">
        <f t="shared" si="184"/>
        <v>3</v>
      </c>
      <c r="C1407" s="64">
        <v>42444</v>
      </c>
      <c r="D1407" s="316" t="s">
        <v>702</v>
      </c>
      <c r="E1407" s="64">
        <v>42444</v>
      </c>
      <c r="F1407" s="72" t="s">
        <v>1205</v>
      </c>
      <c r="G1407" s="67" t="s">
        <v>915</v>
      </c>
      <c r="H1407" s="72" t="s">
        <v>1416</v>
      </c>
      <c r="I1407" s="437"/>
      <c r="J1407" s="437"/>
      <c r="K1407" s="428"/>
      <c r="L1407" s="437"/>
      <c r="M1407" s="65">
        <v>38500000</v>
      </c>
      <c r="N1407" s="66" t="s">
        <v>8</v>
      </c>
      <c r="O1407" s="66" t="s">
        <v>26</v>
      </c>
      <c r="P1407" s="82" t="str">
        <f>IF(AND('331-CT'!$E$7=TH!H1407,OR(N1407="331",O1407="331")),"x","")</f>
        <v>x</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c r="AE1407" s="1136" t="str">
        <f>IF(H1407&lt;&gt;VLOOKUP(H1407,DSKH,1,0),"","x")</f>
        <v>x</v>
      </c>
    </row>
    <row r="1408" spans="1:31" ht="15.75" customHeight="1">
      <c r="A1408" s="334" t="str">
        <f>IF(B1408&lt;&gt;"",IF(AND(B1408='IN-TC'!$S$4,OR(TH!N1408="1111",TH!O1408="1111")),TH!D1408,""),"")</f>
        <v/>
      </c>
      <c r="B1408" s="63">
        <f t="shared" si="184"/>
        <v>3</v>
      </c>
      <c r="C1408" s="64">
        <v>42444</v>
      </c>
      <c r="D1408" s="316" t="s">
        <v>702</v>
      </c>
      <c r="E1408" s="64">
        <v>42444</v>
      </c>
      <c r="F1408" s="72" t="s">
        <v>1192</v>
      </c>
      <c r="G1408" s="67" t="s">
        <v>915</v>
      </c>
      <c r="H1408" s="72"/>
      <c r="I1408" s="437"/>
      <c r="J1408" s="437"/>
      <c r="K1408" s="428"/>
      <c r="L1408" s="437"/>
      <c r="M1408" s="65">
        <v>20000</v>
      </c>
      <c r="N1408" s="66" t="s">
        <v>101</v>
      </c>
      <c r="O1408" s="66" t="s">
        <v>26</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2" ht="15.75" customHeight="1">
      <c r="A1409" s="334" t="str">
        <f>IF(B1409&lt;&gt;"",IF(AND(B1409='IN-TC'!$S$4,OR(TH!N1409="1111",TH!O1409="1111")),TH!D1409,""),"")</f>
        <v/>
      </c>
      <c r="B1409" s="63">
        <f t="shared" si="184"/>
        <v>3</v>
      </c>
      <c r="C1409" s="64">
        <v>42444</v>
      </c>
      <c r="D1409" s="316" t="s">
        <v>702</v>
      </c>
      <c r="E1409" s="64">
        <v>42444</v>
      </c>
      <c r="F1409" s="72" t="s">
        <v>1193</v>
      </c>
      <c r="G1409" s="67" t="s">
        <v>915</v>
      </c>
      <c r="H1409" s="75"/>
      <c r="I1409" s="437"/>
      <c r="J1409" s="437"/>
      <c r="K1409" s="428"/>
      <c r="L1409" s="437"/>
      <c r="M1409" s="65">
        <v>2000</v>
      </c>
      <c r="N1409" s="66" t="s">
        <v>9</v>
      </c>
      <c r="O1409" s="66" t="s">
        <v>26</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x</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2" ht="15.75" customHeight="1">
      <c r="A1410" s="334" t="str">
        <f>IF(B1410&lt;&gt;"",IF(AND(B1410='IN-TC'!$S$4,OR(TH!N1410="1111",TH!O1410="1111")),TH!D1410,""),"")</f>
        <v/>
      </c>
      <c r="B1410" s="63">
        <f t="shared" si="184"/>
        <v>3</v>
      </c>
      <c r="C1410" s="64">
        <v>42444</v>
      </c>
      <c r="D1410" s="316" t="s">
        <v>702</v>
      </c>
      <c r="E1410" s="64">
        <v>42444</v>
      </c>
      <c r="F1410" s="72" t="s">
        <v>1209</v>
      </c>
      <c r="G1410" s="67" t="s">
        <v>915</v>
      </c>
      <c r="H1410" s="72" t="s">
        <v>623</v>
      </c>
      <c r="I1410" s="437"/>
      <c r="J1410" s="437"/>
      <c r="K1410" s="428"/>
      <c r="L1410" s="437"/>
      <c r="M1410" s="65">
        <v>50000000</v>
      </c>
      <c r="N1410" s="66" t="s">
        <v>8</v>
      </c>
      <c r="O1410" s="66" t="s">
        <v>26</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c r="AE1410" s="1136" t="str">
        <f>IF(H1410&lt;&gt;VLOOKUP(H1410,DSKH,1,0),"","x")</f>
        <v>x</v>
      </c>
    </row>
    <row r="1411" spans="1:32" ht="15.75" customHeight="1">
      <c r="A1411" s="334" t="str">
        <f>IF(B1411&lt;&gt;"",IF(AND(B1411='IN-TC'!$S$4,OR(TH!N1411="1111",TH!O1411="1111")),TH!D1411,""),"")</f>
        <v/>
      </c>
      <c r="B1411" s="63">
        <f t="shared" si="184"/>
        <v>3</v>
      </c>
      <c r="C1411" s="64">
        <v>42444</v>
      </c>
      <c r="D1411" s="316" t="s">
        <v>702</v>
      </c>
      <c r="E1411" s="64">
        <v>42444</v>
      </c>
      <c r="F1411" s="72" t="s">
        <v>1192</v>
      </c>
      <c r="G1411" s="67" t="s">
        <v>915</v>
      </c>
      <c r="H1411" s="72"/>
      <c r="I1411" s="437"/>
      <c r="J1411" s="437"/>
      <c r="K1411" s="428"/>
      <c r="L1411" s="437"/>
      <c r="M1411" s="65">
        <v>20000</v>
      </c>
      <c r="N1411" s="66" t="s">
        <v>101</v>
      </c>
      <c r="O1411" s="66" t="s">
        <v>26</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2" ht="15.75" customHeight="1">
      <c r="A1412" s="334" t="str">
        <f>IF(B1412&lt;&gt;"",IF(AND(B1412='IN-TC'!$S$4,OR(TH!N1412="1111",TH!O1412="1111")),TH!D1412,""),"")</f>
        <v/>
      </c>
      <c r="B1412" s="63">
        <f t="shared" si="184"/>
        <v>3</v>
      </c>
      <c r="C1412" s="64">
        <v>42444</v>
      </c>
      <c r="D1412" s="316" t="s">
        <v>702</v>
      </c>
      <c r="E1412" s="64">
        <v>42444</v>
      </c>
      <c r="F1412" s="72" t="s">
        <v>1193</v>
      </c>
      <c r="G1412" s="67" t="s">
        <v>915</v>
      </c>
      <c r="H1412" s="342"/>
      <c r="I1412" s="437"/>
      <c r="J1412" s="437"/>
      <c r="K1412" s="428"/>
      <c r="L1412" s="437"/>
      <c r="M1412" s="65">
        <v>2000</v>
      </c>
      <c r="N1412" s="66" t="s">
        <v>9</v>
      </c>
      <c r="O1412" s="66" t="s">
        <v>26</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x</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2" ht="15.75" customHeight="1">
      <c r="A1413" s="334" t="str">
        <f>IF(B1413&lt;&gt;"",IF(AND(B1413='IN-TC'!$S$4,OR(TH!N1413="1111",TH!O1413="1111")),TH!D1413,""),"")</f>
        <v/>
      </c>
      <c r="B1413" s="63">
        <f t="shared" si="184"/>
        <v>3</v>
      </c>
      <c r="C1413" s="64">
        <v>42444</v>
      </c>
      <c r="D1413" s="316" t="s">
        <v>702</v>
      </c>
      <c r="E1413" s="64">
        <v>42444</v>
      </c>
      <c r="F1413" s="72" t="s">
        <v>1413</v>
      </c>
      <c r="G1413" s="67" t="s">
        <v>915</v>
      </c>
      <c r="H1413" s="72" t="s">
        <v>628</v>
      </c>
      <c r="I1413" s="437"/>
      <c r="J1413" s="437"/>
      <c r="K1413" s="428"/>
      <c r="L1413" s="437"/>
      <c r="M1413" s="65">
        <v>50000000</v>
      </c>
      <c r="N1413" s="66" t="s">
        <v>8</v>
      </c>
      <c r="O1413" s="66" t="s">
        <v>26</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c r="AE1413" s="1136" t="str">
        <f>IF(H1413&lt;&gt;VLOOKUP(H1413,DSKH,1,0),"","x")</f>
        <v>x</v>
      </c>
    </row>
    <row r="1414" spans="1:32" ht="15.75" customHeight="1">
      <c r="A1414" s="334" t="str">
        <f>IF(B1414&lt;&gt;"",IF(AND(B1414='IN-TC'!$S$4,OR(TH!N1414="1111",TH!O1414="1111")),TH!D1414,""),"")</f>
        <v/>
      </c>
      <c r="B1414" s="63">
        <f t="shared" si="184"/>
        <v>3</v>
      </c>
      <c r="C1414" s="64">
        <v>42444</v>
      </c>
      <c r="D1414" s="316" t="s">
        <v>702</v>
      </c>
      <c r="E1414" s="64">
        <v>42444</v>
      </c>
      <c r="F1414" s="72" t="s">
        <v>1192</v>
      </c>
      <c r="G1414" s="67" t="s">
        <v>915</v>
      </c>
      <c r="H1414" s="72"/>
      <c r="I1414" s="437"/>
      <c r="J1414" s="437"/>
      <c r="K1414" s="428"/>
      <c r="L1414" s="437"/>
      <c r="M1414" s="65">
        <v>20000</v>
      </c>
      <c r="N1414" s="66" t="s">
        <v>101</v>
      </c>
      <c r="O1414" s="66" t="s">
        <v>26</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2" ht="15.75" customHeight="1">
      <c r="A1415" s="334" t="str">
        <f>IF(B1415&lt;&gt;"",IF(AND(B1415='IN-TC'!$S$4,OR(TH!N1415="1111",TH!O1415="1111")),TH!D1415,""),"")</f>
        <v/>
      </c>
      <c r="B1415" s="63">
        <f t="shared" ref="B1415:B1478" si="185">IF(C1415&lt;&gt;"",MONTH(C1415),"")</f>
        <v>3</v>
      </c>
      <c r="C1415" s="316">
        <v>42444</v>
      </c>
      <c r="D1415" s="316" t="s">
        <v>702</v>
      </c>
      <c r="E1415" s="316">
        <v>42444</v>
      </c>
      <c r="F1415" s="72" t="s">
        <v>1193</v>
      </c>
      <c r="G1415" s="972" t="s">
        <v>915</v>
      </c>
      <c r="H1415" s="72"/>
      <c r="I1415" s="437"/>
      <c r="J1415" s="437"/>
      <c r="K1415" s="428"/>
      <c r="L1415" s="437"/>
      <c r="M1415" s="65">
        <v>2000</v>
      </c>
      <c r="N1415" s="66" t="s">
        <v>9</v>
      </c>
      <c r="O1415" s="66" t="s">
        <v>26</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x</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2" s="349" customFormat="1" ht="15.75" customHeight="1">
      <c r="A1416" s="334" t="str">
        <f>IF(B1416&lt;&gt;"",IF(AND(B1416='IN-TC'!$S$4,OR(TH!N1416="1111",TH!O1416="1111")),TH!D1416,""),"")</f>
        <v/>
      </c>
      <c r="B1416" s="63">
        <f t="shared" si="185"/>
        <v>3</v>
      </c>
      <c r="C1416" s="316">
        <v>42444</v>
      </c>
      <c r="D1416" s="316" t="s">
        <v>902</v>
      </c>
      <c r="E1416" s="316">
        <v>42444</v>
      </c>
      <c r="F1416" s="72" t="s">
        <v>1139</v>
      </c>
      <c r="G1416" s="976" t="s">
        <v>914</v>
      </c>
      <c r="H1416" s="342" t="s">
        <v>760</v>
      </c>
      <c r="I1416" s="437"/>
      <c r="J1416" s="437"/>
      <c r="K1416" s="428"/>
      <c r="L1416" s="437"/>
      <c r="M1416" s="65">
        <v>1900000000</v>
      </c>
      <c r="N1416" s="319" t="s">
        <v>63</v>
      </c>
      <c r="O1416" s="66" t="s">
        <v>26</v>
      </c>
      <c r="P1416" s="82" t="str">
        <f>IF(AND('331-CT'!$E$7=TH!H1416,OR(N1416="331",O1416="331")),"x","")</f>
        <v/>
      </c>
      <c r="Q1416" s="82" t="str">
        <f>IF(AND(B1416='111'!$L$11,OR($N1416=$Q$7,$O1416=$Q$7)),"x","")</f>
        <v/>
      </c>
      <c r="R1416" s="82" t="str">
        <f>IF(AND($N1416=$Q$7,$B1416&lt;'111'!$L$11),"x","")</f>
        <v>x</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2" ht="15.75" customHeight="1">
      <c r="A1417" s="334" t="str">
        <f>IF(B1417&lt;&gt;"",IF(AND(B1417='IN-TC'!$S$4,OR(TH!N1376="1111",TH!O1376="1111")),TH!D1376,""),"")</f>
        <v/>
      </c>
      <c r="B1417" s="63">
        <f t="shared" si="185"/>
        <v>3</v>
      </c>
      <c r="C1417" s="64">
        <v>42443</v>
      </c>
      <c r="D1417" s="316" t="s">
        <v>897</v>
      </c>
      <c r="E1417" s="64">
        <v>42443</v>
      </c>
      <c r="F1417" s="72" t="s">
        <v>763</v>
      </c>
      <c r="G1417" s="976" t="s">
        <v>1374</v>
      </c>
      <c r="H1417" s="72" t="s">
        <v>1031</v>
      </c>
      <c r="I1417" s="437"/>
      <c r="J1417" s="437"/>
      <c r="K1417" s="428"/>
      <c r="L1417" s="437"/>
      <c r="M1417" s="65">
        <v>131820</v>
      </c>
      <c r="N1417" s="66" t="s">
        <v>9</v>
      </c>
      <c r="O1417" s="66" t="s">
        <v>63</v>
      </c>
      <c r="P1417" s="82" t="str">
        <f>IF(AND('331-CT'!$E$7=TH!H1376,OR(N1417="331",O1417="331")),"x","")</f>
        <v/>
      </c>
      <c r="Q1417" s="82" t="str">
        <f>IF(AND(B1417='111'!$L$11,OR($N1417=$Q$7,$O1417=$Q$7)),"x","")</f>
        <v/>
      </c>
      <c r="R1417" s="82" t="str">
        <f>IF(AND($N1417=$Q$7,$B1417&lt;'111'!$L$11),"x","")</f>
        <v/>
      </c>
      <c r="S1417" s="82" t="str">
        <f>IF(AND($O1417=$Q$7,$B1417&lt;'111'!$L$11),"x","")</f>
        <v>x</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IF(OR(TH!N1376=TH!$X$7,O1417=TH!$X$7),"x","")</f>
        <v>x</v>
      </c>
      <c r="Y1417" s="82" t="str">
        <f>IF(AND(OR(N1417="131",O1417="131"),H1417='131-CT'!$H$9),"x","")</f>
        <v/>
      </c>
      <c r="Z1417" s="82"/>
      <c r="AA1417" s="82" t="str">
        <f>IF(AND(MONTH(E1417)='IN-NX'!$J$5,'IN-NX'!$D$7=D1417),"x","")</f>
        <v/>
      </c>
      <c r="AB1417" s="82" t="str">
        <f>IF(AND(OR(LEFT(TH!N1376,2)="15",LEFT(TH!O1376,2)="15"),LEFT(TH!O1376,3)&lt;&gt;"111",'152-CT'!$J$8=TH!F1376),"x","")</f>
        <v/>
      </c>
      <c r="AC1417" s="82" t="str">
        <f>IF(AND(OR(LEFT(TH!N1376,2)="15",LEFT(TH!O1376,2)="15"),TK!$E$7=TH!F1376),"x","")</f>
        <v/>
      </c>
      <c r="AD1417" s="82" t="str">
        <f>IF(AND(N1417="1521",MONTH(C1417)='BK-NL'!$M$11),"x","")</f>
        <v/>
      </c>
      <c r="AE1417" s="349"/>
      <c r="AF1417" s="345"/>
    </row>
    <row r="1418" spans="1:32" ht="15.75" customHeight="1">
      <c r="A1418" s="334" t="str">
        <f>IF(B1418&lt;&gt;"",IF(AND(B1418='IN-TC'!$S$4,OR(TH!N1549="1111",TH!O1549="1111")),TH!D1549,""),"")</f>
        <v/>
      </c>
      <c r="B1418" s="1148">
        <f t="shared" si="185"/>
        <v>3</v>
      </c>
      <c r="C1418" s="1149">
        <v>42443</v>
      </c>
      <c r="D1418" s="1149" t="s">
        <v>898</v>
      </c>
      <c r="E1418" s="1149">
        <f>C1418</f>
        <v>42443</v>
      </c>
      <c r="F1418" s="512" t="s">
        <v>960</v>
      </c>
      <c r="G1418" s="1151"/>
      <c r="H1418" s="1150" t="s">
        <v>2239</v>
      </c>
      <c r="I1418" s="1152"/>
      <c r="J1418" s="1152"/>
      <c r="K1418" s="1153"/>
      <c r="L1418" s="1152"/>
      <c r="M1418" s="1154">
        <v>490000000</v>
      </c>
      <c r="N1418" s="1155" t="s">
        <v>272</v>
      </c>
      <c r="O1418" s="1155" t="s">
        <v>63</v>
      </c>
      <c r="P1418" s="1155" t="str">
        <f>IF(AND('331-CT'!$E$7=TH!H1549,OR(N1418="331",O1418="331")),"x","")</f>
        <v/>
      </c>
      <c r="Q1418" s="1155" t="str">
        <f>IF(AND(B1418='111'!$L$11,OR($N1418=$Q$7,$O1418=$Q$7)),"x","")</f>
        <v/>
      </c>
      <c r="R1418" s="1155" t="str">
        <f>IF(AND($N1418=$Q$7,$B1418&lt;'111'!$L$11),"x","")</f>
        <v/>
      </c>
      <c r="S1418" s="1155" t="str">
        <f>IF(AND($O1418=$Q$7,$B1418&lt;'111'!$L$11),"x","")</f>
        <v>x</v>
      </c>
      <c r="T1418" s="1155" t="str">
        <f>IF(ISERROR(FIND('112'!$M$9,G1418,1)),"",IF((AND(FIND('112'!$M$9,G1418,1)&gt;=1,B1418='112'!$K$9,OR($N1418='112'!$I$6,$O1418='112'!$I$6))),"x",""))</f>
        <v/>
      </c>
      <c r="U1418" s="1155" t="str">
        <f>IF(ISERROR(FIND('112'!$M$9,G1418,1)),"",IF((AND(LEFT(G1418,2)=LEFT('112'!$M$9,2),B1418&lt;'112'!$K$9,$N1418='112'!$I$6)),"x",""))</f>
        <v/>
      </c>
      <c r="V1418" s="1155" t="str">
        <f>IF(ISERROR(FIND('112'!$M$9,G1418,1)),"",IF((AND(RIGHT(G1418,2)=RIGHT('112'!$M$9,2),B1418&lt;'112'!$K$9,$O1418='112'!$I$6)),"x",""))</f>
        <v/>
      </c>
      <c r="W1418" s="1155" t="str">
        <f>IF(AND('341-CT'!$H$9=H1418,OR(LEFT(N1418,3)=$W$7,LEFT(O1418,3)=$W$7)),"x","")</f>
        <v/>
      </c>
      <c r="X1418" s="1155" t="str">
        <f>IF(OR(TH!N1549=TH!$X$7,O1418=TH!$X$7),"x","")</f>
        <v/>
      </c>
      <c r="Y1418" s="1155" t="str">
        <f>IF(AND(OR(N1418="131",O1418="131"),H1418='131-CT'!$H$9),"x","")</f>
        <v/>
      </c>
      <c r="Z1418" s="1155"/>
      <c r="AA1418" s="1155" t="str">
        <f>IF(AND(MONTH(E1418)='IN-NX'!$J$5,'IN-NX'!$D$7=D1418),"x","")</f>
        <v/>
      </c>
      <c r="AB1418" s="1155" t="str">
        <f>IF(AND(OR(LEFT(TH!N1549,2)="15",LEFT(TH!O1549,2)="15"),LEFT(TH!O1549,3)&lt;&gt;"111",'152-CT'!$J$8=TH!F1549),"x","")</f>
        <v/>
      </c>
      <c r="AC1418" s="1155" t="str">
        <f>IF(AND(OR(LEFT(TH!N1549,2)="15",LEFT(TH!O1549,2)="15"),TK!$E$7=TH!F1549),"x","")</f>
        <v/>
      </c>
      <c r="AD1418" s="1155" t="str">
        <f>IF(AND(N1418="1521",MONTH(C1418)='BK-NL'!$M$11),"x","")</f>
        <v/>
      </c>
      <c r="AE1418" s="1156"/>
      <c r="AF1418" s="1156"/>
    </row>
    <row r="1419" spans="1:32" ht="15.75" customHeight="1">
      <c r="A1419" s="334" t="str">
        <f>IF(B1419&lt;&gt;"",IF(AND(B1419='IN-TC'!$S$4,OR(TH!N1379="1111",TH!O1379="1111")),TH!D1379,""),"")</f>
        <v/>
      </c>
      <c r="B1419" s="63">
        <f t="shared" si="185"/>
        <v>3</v>
      </c>
      <c r="C1419" s="316">
        <f>E1419</f>
        <v>42444</v>
      </c>
      <c r="D1419" s="316" t="s">
        <v>900</v>
      </c>
      <c r="E1419" s="316">
        <v>42444</v>
      </c>
      <c r="F1419" s="72" t="s">
        <v>960</v>
      </c>
      <c r="G1419" s="79"/>
      <c r="H1419" s="80" t="s">
        <v>959</v>
      </c>
      <c r="I1419" s="435"/>
      <c r="J1419" s="435"/>
      <c r="K1419" s="426"/>
      <c r="L1419" s="435"/>
      <c r="M1419" s="81">
        <v>300000000</v>
      </c>
      <c r="N1419" s="82" t="s">
        <v>272</v>
      </c>
      <c r="O1419" s="66" t="s">
        <v>63</v>
      </c>
      <c r="P1419" s="82" t="str">
        <f>IF(AND('331-CT'!$E$7=TH!H1379,OR(N1419="331",O1419="331")),"x","")</f>
        <v/>
      </c>
      <c r="Q1419" s="82" t="str">
        <f>IF(AND(B1419='111'!$L$11,OR($N1419=$Q$7,$O1419=$Q$7)),"x","")</f>
        <v/>
      </c>
      <c r="R1419" s="82" t="str">
        <f>IF(AND($N1419=$Q$7,$B1419&lt;'111'!$L$11),"x","")</f>
        <v/>
      </c>
      <c r="S1419" s="82" t="str">
        <f>IF(AND($O1419=$Q$7,$B1419&lt;'111'!$L$11),"x","")</f>
        <v>x</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IF(OR(TH!N1379=TH!$X$7,O1419=TH!$X$7),"x","")</f>
        <v/>
      </c>
      <c r="Y1419" s="82" t="str">
        <f>IF(AND(OR(N1419="131",O1419="131"),H1419='131-CT'!$H$9),"x","")</f>
        <v/>
      </c>
      <c r="Z1419" s="82"/>
      <c r="AA1419" s="82" t="str">
        <f>IF(AND(MONTH(E1419)='IN-NX'!$J$5,'IN-NX'!$D$7=D1419),"x","")</f>
        <v/>
      </c>
      <c r="AB1419" s="82" t="str">
        <f>IF(AND(OR(LEFT(TH!N1379,2)="15",LEFT(TH!O1379,2)="15"),LEFT(TH!O1379,3)&lt;&gt;"111",'152-CT'!$J$8=TH!F1379),"x","")</f>
        <v/>
      </c>
      <c r="AC1419" s="82" t="str">
        <f>IF(AND(OR(LEFT(TH!N1379,2)="15",LEFT(TH!O1379,2)="15"),TK!$E$7=TH!F1379),"x","")</f>
        <v/>
      </c>
      <c r="AD1419" s="82" t="str">
        <f>IF(AND(N1419="1521",MONTH(C1419)='BK-NL'!$M$11),"x","")</f>
        <v/>
      </c>
      <c r="AF1419" s="345"/>
    </row>
    <row r="1420" spans="1:32" ht="15.75" customHeight="1">
      <c r="A1420" s="334" t="str">
        <f>IF(B1420&lt;&gt;"",IF(AND(B1420='IN-TC'!$S$4,OR(TH!N1417="1111",TH!O1417="1111")),TH!D1417,""),"")</f>
        <v/>
      </c>
      <c r="B1420" s="63">
        <f t="shared" si="185"/>
        <v>3</v>
      </c>
      <c r="C1420" s="316">
        <v>42446</v>
      </c>
      <c r="D1420" s="316" t="s">
        <v>901</v>
      </c>
      <c r="E1420" s="316">
        <v>42446</v>
      </c>
      <c r="F1420" s="72" t="s">
        <v>1175</v>
      </c>
      <c r="G1420" s="976" t="s">
        <v>1134</v>
      </c>
      <c r="H1420" s="318" t="s">
        <v>616</v>
      </c>
      <c r="I1420" s="437"/>
      <c r="J1420" s="437"/>
      <c r="K1420" s="428"/>
      <c r="L1420" s="437"/>
      <c r="M1420" s="65">
        <v>5610000</v>
      </c>
      <c r="N1420" s="319" t="s">
        <v>8</v>
      </c>
      <c r="O1420" s="66" t="s">
        <v>63</v>
      </c>
      <c r="P1420" s="82" t="str">
        <f>IF(AND('331-CT'!$E$7=TH!H1417,OR(N1420="331",O1420="331")),"x","")</f>
        <v/>
      </c>
      <c r="Q1420" s="82" t="str">
        <f>IF(AND(B1420='111'!$L$11,OR($N1420=$Q$7,$O1420=$Q$7)),"x","")</f>
        <v/>
      </c>
      <c r="R1420" s="82" t="str">
        <f>IF(AND($N1420=$Q$7,$B1420&lt;'111'!$L$11),"x","")</f>
        <v/>
      </c>
      <c r="S1420" s="82" t="str">
        <f>IF(AND($O1420=$Q$7,$B1420&lt;'111'!$L$11),"x","")</f>
        <v>x</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IF(OR(TH!N1417=TH!$X$7,O1420=TH!$X$7),"x","")</f>
        <v>x</v>
      </c>
      <c r="Y1420" s="82" t="str">
        <f>IF(AND(OR(N1420="131",O1420="131"),H1420='131-CT'!$H$9),"x","")</f>
        <v/>
      </c>
      <c r="Z1420" s="82"/>
      <c r="AA1420" s="82" t="str">
        <f>IF(AND(MONTH(E1420)='IN-NX'!$J$5,'IN-NX'!$D$7=D1420),"x","")</f>
        <v/>
      </c>
      <c r="AB1420" s="82" t="str">
        <f>IF(AND(OR(LEFT(TH!N1417,2)="15",LEFT(TH!O1417,2)="15"),LEFT(TH!O1417,3)&lt;&gt;"111",'152-CT'!$J$8=TH!F1417),"x","")</f>
        <v/>
      </c>
      <c r="AC1420" s="82" t="str">
        <f>IF(AND(OR(LEFT(TH!N1417,2)="15",LEFT(TH!O1417,2)="15"),TK!$E$7=TH!F1417),"x","")</f>
        <v/>
      </c>
      <c r="AD1420" s="82" t="str">
        <f>IF(AND(N1420="1521",MONTH(C1420)='BK-NL'!$M$11),"x","")</f>
        <v/>
      </c>
      <c r="AE1420" s="1136" t="str">
        <f>IF(H1420&lt;&gt;VLOOKUP(H1420,DSKH,1,0),"","x")</f>
        <v>x</v>
      </c>
    </row>
    <row r="1421" spans="1:32" ht="15.75" customHeight="1">
      <c r="A1421" s="334" t="str">
        <f>IF(B1421&lt;&gt;"",IF(AND(B1421='IN-TC'!$S$4,OR(TH!N1418="1111",TH!O1418="1111")),TH!D1418,""),"")</f>
        <v/>
      </c>
      <c r="B1421" s="63">
        <f t="shared" si="185"/>
        <v>3</v>
      </c>
      <c r="C1421" s="316">
        <v>42446</v>
      </c>
      <c r="D1421" s="316" t="s">
        <v>903</v>
      </c>
      <c r="E1421" s="316">
        <v>42446</v>
      </c>
      <c r="F1421" s="72" t="s">
        <v>1135</v>
      </c>
      <c r="G1421" s="976" t="s">
        <v>1137</v>
      </c>
      <c r="H1421" s="318" t="s">
        <v>1138</v>
      </c>
      <c r="I1421" s="437"/>
      <c r="J1421" s="437"/>
      <c r="K1421" s="428"/>
      <c r="L1421" s="437"/>
      <c r="M1421" s="65">
        <v>1033880</v>
      </c>
      <c r="N1421" s="319" t="s">
        <v>101</v>
      </c>
      <c r="O1421" s="66" t="s">
        <v>63</v>
      </c>
      <c r="P1421" s="82" t="str">
        <f>IF(AND('331-CT'!$E$7=TH!H1418,OR(N1421="331",O1421="331")),"x","")</f>
        <v/>
      </c>
      <c r="Q1421" s="82" t="str">
        <f>IF(AND(B1421='111'!$L$11,OR($N1421=$Q$7,$O1421=$Q$7)),"x","")</f>
        <v/>
      </c>
      <c r="R1421" s="82" t="str">
        <f>IF(AND($N1421=$Q$7,$B1421&lt;'111'!$L$11),"x","")</f>
        <v/>
      </c>
      <c r="S1421" s="82" t="str">
        <f>IF(AND($O1421=$Q$7,$B1421&lt;'111'!$L$11),"x","")</f>
        <v>x</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IF(OR(TH!N1418=TH!$X$7,O1421=TH!$X$7),"x","")</f>
        <v/>
      </c>
      <c r="Y1421" s="82" t="str">
        <f>IF(AND(OR(N1421="131",O1421="131"),H1421='131-CT'!$H$9),"x","")</f>
        <v/>
      </c>
      <c r="Z1421" s="82"/>
      <c r="AA1421" s="82" t="str">
        <f>IF(AND(MONTH(E1421)='IN-NX'!$J$5,'IN-NX'!$D$7=D1421),"x","")</f>
        <v/>
      </c>
      <c r="AB1421" s="82" t="str">
        <f>IF(AND(OR(LEFT(TH!N1418,2)="15",LEFT(TH!O1418,2)="15"),LEFT(TH!O1418,3)&lt;&gt;"111",'152-CT'!$J$8=TH!F1418),"x","")</f>
        <v/>
      </c>
      <c r="AC1421" s="82" t="str">
        <f>IF(AND(OR(LEFT(TH!N1418,2)="15",LEFT(TH!O1418,2)="15"),TK!$E$7=TH!F1418),"x","")</f>
        <v/>
      </c>
      <c r="AD1421" s="82" t="str">
        <f>IF(AND(N1421="1521",MONTH(C1421)='BK-NL'!$M$11),"x","")</f>
        <v/>
      </c>
    </row>
    <row r="1422" spans="1:32" ht="15.75" customHeight="1">
      <c r="A1422" s="334" t="str">
        <f>IF(B1422&lt;&gt;"",IF(AND(B1422='IN-TC'!$S$4,OR(TH!N1422="1111",TH!O1422="1111")),TH!D1422,""),"")</f>
        <v/>
      </c>
      <c r="B1422" s="63">
        <f t="shared" si="185"/>
        <v>3</v>
      </c>
      <c r="C1422" s="64">
        <v>42446</v>
      </c>
      <c r="D1422" s="64" t="s">
        <v>702</v>
      </c>
      <c r="E1422" s="64">
        <v>42446</v>
      </c>
      <c r="F1422" s="343" t="s">
        <v>754</v>
      </c>
      <c r="G1422" s="976" t="s">
        <v>914</v>
      </c>
      <c r="H1422" s="72" t="s">
        <v>726</v>
      </c>
      <c r="I1422" s="437"/>
      <c r="J1422" s="437"/>
      <c r="K1422" s="428">
        <v>228.54</v>
      </c>
      <c r="L1422" s="437">
        <v>22320</v>
      </c>
      <c r="M1422" s="65">
        <v>5101013</v>
      </c>
      <c r="N1422" s="66" t="s">
        <v>99</v>
      </c>
      <c r="O1422" s="66" t="s">
        <v>266</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2" ht="15.75" customHeight="1">
      <c r="A1423" s="334" t="str">
        <f>IF(B1423&lt;&gt;"",IF(AND(B1423='IN-TC'!$S$4,OR(TH!N1423="1111",TH!O1423="1111")),TH!D1423,""),"")</f>
        <v/>
      </c>
      <c r="B1423" s="63">
        <f t="shared" si="185"/>
        <v>3</v>
      </c>
      <c r="C1423" s="64">
        <v>42446</v>
      </c>
      <c r="D1423" s="316" t="s">
        <v>702</v>
      </c>
      <c r="E1423" s="64">
        <v>42446</v>
      </c>
      <c r="F1423" s="512" t="s">
        <v>1057</v>
      </c>
      <c r="G1423" s="976" t="s">
        <v>914</v>
      </c>
      <c r="H1423" s="72" t="s">
        <v>729</v>
      </c>
      <c r="I1423" s="437"/>
      <c r="J1423" s="437"/>
      <c r="K1423" s="428">
        <v>138.60999103942652</v>
      </c>
      <c r="L1423" s="437">
        <v>22320</v>
      </c>
      <c r="M1423" s="65">
        <v>3093775</v>
      </c>
      <c r="N1423" s="66" t="s">
        <v>99</v>
      </c>
      <c r="O1423" s="66" t="s">
        <v>26</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2" ht="15.75" customHeight="1">
      <c r="A1424" s="334" t="str">
        <f>IF(B1424&lt;&gt;"",IF(AND(B1424='IN-TC'!$S$4,OR(TH!N1424="1111",TH!O1424="1111")),TH!D1424,""),"")</f>
        <v/>
      </c>
      <c r="B1424" s="63">
        <f t="shared" si="185"/>
        <v>3</v>
      </c>
      <c r="C1424" s="64">
        <v>42446</v>
      </c>
      <c r="D1424" s="316" t="s">
        <v>702</v>
      </c>
      <c r="E1424" s="64">
        <v>42446</v>
      </c>
      <c r="F1424" s="512" t="s">
        <v>1697</v>
      </c>
      <c r="G1424" s="976" t="s">
        <v>914</v>
      </c>
      <c r="H1424" s="320" t="s">
        <v>739</v>
      </c>
      <c r="I1424" s="435"/>
      <c r="J1424" s="435"/>
      <c r="K1424" s="426">
        <v>267.39999999999998</v>
      </c>
      <c r="L1424" s="435">
        <v>22320</v>
      </c>
      <c r="M1424" s="65">
        <v>5968368</v>
      </c>
      <c r="N1424" s="66" t="s">
        <v>99</v>
      </c>
      <c r="O1424" s="66" t="s">
        <v>26</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1" ht="15.75" customHeight="1">
      <c r="A1425" s="334" t="str">
        <f>IF(B1425&lt;&gt;"",IF(AND(B1425='IN-TC'!$S$4,OR(TH!N1425="1111",TH!O1425="1111")),TH!D1425,""),"")</f>
        <v/>
      </c>
      <c r="B1425" s="63">
        <f t="shared" si="185"/>
        <v>3</v>
      </c>
      <c r="C1425" s="64">
        <v>42446</v>
      </c>
      <c r="D1425" s="316" t="s">
        <v>702</v>
      </c>
      <c r="E1425" s="64">
        <v>42446</v>
      </c>
      <c r="F1425" s="512" t="s">
        <v>755</v>
      </c>
      <c r="G1425" s="976" t="s">
        <v>914</v>
      </c>
      <c r="H1425" s="320" t="s">
        <v>727</v>
      </c>
      <c r="I1425" s="435"/>
      <c r="J1425" s="435"/>
      <c r="K1425" s="426">
        <v>199.85</v>
      </c>
      <c r="L1425" s="435">
        <v>22320</v>
      </c>
      <c r="M1425" s="65">
        <v>4460652</v>
      </c>
      <c r="N1425" s="66" t="s">
        <v>99</v>
      </c>
      <c r="O1425" s="66" t="s">
        <v>26</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1" ht="15.75" customHeight="1">
      <c r="A1426" s="334" t="str">
        <f>IF(B1426&lt;&gt;"",IF(AND(B1426='IN-TC'!$S$4,OR(TH!N1426="1111",TH!O1426="1111")),TH!D1426,""),"")</f>
        <v/>
      </c>
      <c r="B1426" s="63">
        <f t="shared" si="185"/>
        <v>3</v>
      </c>
      <c r="C1426" s="64">
        <v>42446</v>
      </c>
      <c r="D1426" s="316" t="s">
        <v>702</v>
      </c>
      <c r="E1426" s="64">
        <v>42446</v>
      </c>
      <c r="F1426" s="72" t="s">
        <v>1195</v>
      </c>
      <c r="G1426" s="976" t="s">
        <v>914</v>
      </c>
      <c r="H1426" s="72"/>
      <c r="I1426" s="437"/>
      <c r="J1426" s="437"/>
      <c r="K1426" s="428"/>
      <c r="L1426" s="437"/>
      <c r="M1426" s="65">
        <v>50000</v>
      </c>
      <c r="N1426" s="66" t="s">
        <v>101</v>
      </c>
      <c r="O1426" s="66" t="s">
        <v>26</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1" ht="15.75" customHeight="1">
      <c r="A1427" s="334" t="str">
        <f>IF(B1427&lt;&gt;"",IF(AND(B1427='IN-TC'!$S$4,OR(TH!N1427="1111",TH!O1427="1111")),TH!D1427,""),"")</f>
        <v/>
      </c>
      <c r="B1427" s="63">
        <f t="shared" si="185"/>
        <v>3</v>
      </c>
      <c r="C1427" s="64">
        <v>42446</v>
      </c>
      <c r="D1427" s="316" t="s">
        <v>702</v>
      </c>
      <c r="E1427" s="64">
        <v>42446</v>
      </c>
      <c r="F1427" s="72" t="s">
        <v>1197</v>
      </c>
      <c r="G1427" s="67" t="s">
        <v>914</v>
      </c>
      <c r="H1427" s="72"/>
      <c r="I1427" s="437"/>
      <c r="J1427" s="437"/>
      <c r="K1427" s="428"/>
      <c r="L1427" s="437"/>
      <c r="M1427" s="65">
        <v>5000</v>
      </c>
      <c r="N1427" s="66" t="s">
        <v>9</v>
      </c>
      <c r="O1427" s="66" t="s">
        <v>26</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x</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1" ht="15.75" customHeight="1">
      <c r="A1428" s="334" t="str">
        <f>IF(B1428&lt;&gt;"",IF(AND(B1428='IN-TC'!$S$4,OR(TH!N1428="1111",TH!O1428="1111")),TH!D1428,""),"")</f>
        <v/>
      </c>
      <c r="B1428" s="63">
        <f t="shared" si="185"/>
        <v>3</v>
      </c>
      <c r="C1428" s="64">
        <v>42446</v>
      </c>
      <c r="D1428" s="316" t="s">
        <v>702</v>
      </c>
      <c r="E1428" s="64">
        <v>42446</v>
      </c>
      <c r="F1428" s="72" t="s">
        <v>1196</v>
      </c>
      <c r="G1428" s="67" t="s">
        <v>914</v>
      </c>
      <c r="H1428" s="72"/>
      <c r="I1428" s="437"/>
      <c r="J1428" s="437"/>
      <c r="K1428" s="428"/>
      <c r="L1428" s="437"/>
      <c r="M1428" s="65">
        <v>50000</v>
      </c>
      <c r="N1428" s="66" t="s">
        <v>101</v>
      </c>
      <c r="O1428" s="66" t="s">
        <v>26</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1" ht="15.75" customHeight="1">
      <c r="A1429" s="334" t="str">
        <f>IF(B1429&lt;&gt;"",IF(AND(B1429='IN-TC'!$S$4,OR(TH!N1429="1111",TH!O1429="1111")),TH!D1429,""),"")</f>
        <v/>
      </c>
      <c r="B1429" s="63">
        <f t="shared" si="185"/>
        <v>3</v>
      </c>
      <c r="C1429" s="64">
        <v>42446</v>
      </c>
      <c r="D1429" s="316" t="s">
        <v>702</v>
      </c>
      <c r="E1429" s="64">
        <v>42446</v>
      </c>
      <c r="F1429" s="72" t="s">
        <v>1197</v>
      </c>
      <c r="G1429" s="67" t="s">
        <v>914</v>
      </c>
      <c r="H1429" s="72"/>
      <c r="I1429" s="437"/>
      <c r="J1429" s="437"/>
      <c r="K1429" s="428"/>
      <c r="L1429" s="437"/>
      <c r="M1429" s="65">
        <v>5000</v>
      </c>
      <c r="N1429" s="66" t="s">
        <v>9</v>
      </c>
      <c r="O1429" s="66" t="s">
        <v>26</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x</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1" ht="15.75" customHeight="1">
      <c r="A1430" s="334" t="str">
        <f>IF(B1430&lt;&gt;"",IF(AND(B1430='IN-TC'!$S$4,OR(TH!N1419="1111",TH!O1419="1111")),TH!D1419,""),"")</f>
        <v/>
      </c>
      <c r="B1430" s="63">
        <f t="shared" si="185"/>
        <v>3</v>
      </c>
      <c r="C1430" s="316">
        <v>42446</v>
      </c>
      <c r="D1430" s="316" t="s">
        <v>903</v>
      </c>
      <c r="E1430" s="316">
        <v>42446</v>
      </c>
      <c r="F1430" s="72" t="s">
        <v>1136</v>
      </c>
      <c r="G1430" s="976" t="s">
        <v>1137</v>
      </c>
      <c r="H1430" s="342" t="s">
        <v>1138</v>
      </c>
      <c r="I1430" s="437"/>
      <c r="J1430" s="437"/>
      <c r="K1430" s="428"/>
      <c r="L1430" s="437"/>
      <c r="M1430" s="65">
        <v>103388</v>
      </c>
      <c r="N1430" s="319" t="s">
        <v>9</v>
      </c>
      <c r="O1430" s="66" t="s">
        <v>63</v>
      </c>
      <c r="P1430" s="82" t="str">
        <f>IF(AND('331-CT'!$E$7=TH!H1419,OR(N1430="331",O1430="331")),"x","")</f>
        <v/>
      </c>
      <c r="Q1430" s="82" t="str">
        <f>IF(AND(B1430='111'!$L$11,OR($N1430=$Q$7,$O1430=$Q$7)),"x","")</f>
        <v/>
      </c>
      <c r="R1430" s="82" t="str">
        <f>IF(AND($N1430=$Q$7,$B1430&lt;'111'!$L$11),"x","")</f>
        <v/>
      </c>
      <c r="S1430" s="82" t="str">
        <f>IF(AND($O1430=$Q$7,$B1430&lt;'111'!$L$11),"x","")</f>
        <v>x</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IF(OR(TH!N1419=TH!$X$7,O1430=TH!$X$7),"x","")</f>
        <v/>
      </c>
      <c r="Y1430" s="82" t="str">
        <f>IF(AND(OR(N1430="131",O1430="131"),H1430='131-CT'!$H$9),"x","")</f>
        <v/>
      </c>
      <c r="Z1430" s="82"/>
      <c r="AA1430" s="82" t="str">
        <f>IF(AND(MONTH(E1430)='IN-NX'!$J$5,'IN-NX'!$D$7=D1430),"x","")</f>
        <v/>
      </c>
      <c r="AB1430" s="82" t="str">
        <f>IF(AND(OR(LEFT(TH!N1419,2)="15",LEFT(TH!O1419,2)="15"),LEFT(TH!O1419,3)&lt;&gt;"111",'152-CT'!$J$8=TH!F1419),"x","")</f>
        <v/>
      </c>
      <c r="AC1430" s="82" t="str">
        <f>IF(AND(OR(LEFT(TH!N1419,2)="15",LEFT(TH!O1419,2)="15"),TK!$E$7=TH!F1419),"x","")</f>
        <v/>
      </c>
      <c r="AD1430" s="82" t="str">
        <f>IF(AND(N1430="1521",MONTH(C1430)='BK-NL'!$M$11),"x","")</f>
        <v/>
      </c>
      <c r="AE1430" s="349"/>
    </row>
    <row r="1431" spans="1:31" ht="15.75" customHeight="1">
      <c r="A1431" s="334" t="str">
        <f>IF(B1431&lt;&gt;"",IF(AND(B1431='IN-TC'!$S$4,OR(TH!N1420="1111",TH!O1420="1111")),TH!D1420,""),"")</f>
        <v/>
      </c>
      <c r="B1431" s="63">
        <f t="shared" si="185"/>
        <v>3</v>
      </c>
      <c r="C1431" s="64">
        <v>42446</v>
      </c>
      <c r="D1431" s="316" t="s">
        <v>904</v>
      </c>
      <c r="E1431" s="64">
        <v>42446</v>
      </c>
      <c r="F1431" s="72" t="s">
        <v>768</v>
      </c>
      <c r="G1431" s="976" t="s">
        <v>1335</v>
      </c>
      <c r="H1431" s="72" t="s">
        <v>805</v>
      </c>
      <c r="I1431" s="437"/>
      <c r="J1431" s="437"/>
      <c r="K1431" s="428"/>
      <c r="L1431" s="437"/>
      <c r="M1431" s="65">
        <v>513836</v>
      </c>
      <c r="N1431" s="66" t="s">
        <v>101</v>
      </c>
      <c r="O1431" s="66" t="s">
        <v>63</v>
      </c>
      <c r="P1431" s="82" t="str">
        <f>IF(AND('331-CT'!$E$7=TH!H1420,OR(N1431="331",O1431="331")),"x","")</f>
        <v/>
      </c>
      <c r="Q1431" s="82" t="str">
        <f>IF(AND(B1431='111'!$L$11,OR($N1431=$Q$7,$O1431=$Q$7)),"x","")</f>
        <v/>
      </c>
      <c r="R1431" s="82" t="str">
        <f>IF(AND($N1431=$Q$7,$B1431&lt;'111'!$L$11),"x","")</f>
        <v/>
      </c>
      <c r="S1431" s="82" t="str">
        <f>IF(AND($O1431=$Q$7,$B1431&lt;'111'!$L$11),"x","")</f>
        <v>x</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IF(OR(TH!N1420=TH!$X$7,O1431=TH!$X$7),"x","")</f>
        <v/>
      </c>
      <c r="Y1431" s="82" t="str">
        <f>IF(AND(OR(N1431="131",O1431="131"),H1431='131-CT'!$H$9),"x","")</f>
        <v/>
      </c>
      <c r="Z1431" s="82"/>
      <c r="AA1431" s="82" t="str">
        <f>IF(AND(MONTH(E1431)='IN-NX'!$J$5,'IN-NX'!$D$7=D1431),"x","")</f>
        <v/>
      </c>
      <c r="AB1431" s="82" t="str">
        <f>IF(AND(OR(LEFT(TH!N1420,2)="15",LEFT(TH!O1420,2)="15"),LEFT(TH!O1420,3)&lt;&gt;"111",'152-CT'!$J$8=TH!F1420),"x","")</f>
        <v/>
      </c>
      <c r="AC1431" s="82" t="str">
        <f>IF(AND(OR(LEFT(TH!N1420,2)="15",LEFT(TH!O1420,2)="15"),TK!$E$7=TH!F1420),"x","")</f>
        <v/>
      </c>
      <c r="AD1431" s="82" t="str">
        <f>IF(AND(N1431="1521",MONTH(C1431)='BK-NL'!$M$11),"x","")</f>
        <v/>
      </c>
    </row>
    <row r="1432" spans="1:31" ht="15.75" customHeight="1">
      <c r="A1432" s="334" t="str">
        <f>IF(B1432&lt;&gt;"",IF(AND(B1432='IN-TC'!$S$4,OR(TH!N1421="1111",TH!O1421="1111")),TH!D1421,""),"")</f>
        <v/>
      </c>
      <c r="B1432" s="63">
        <f t="shared" si="185"/>
        <v>3</v>
      </c>
      <c r="C1432" s="64">
        <v>42446</v>
      </c>
      <c r="D1432" s="316" t="s">
        <v>904</v>
      </c>
      <c r="E1432" s="64">
        <v>42446</v>
      </c>
      <c r="F1432" s="72" t="s">
        <v>769</v>
      </c>
      <c r="G1432" s="976" t="s">
        <v>1335</v>
      </c>
      <c r="H1432" s="72" t="s">
        <v>805</v>
      </c>
      <c r="I1432" s="437"/>
      <c r="J1432" s="437"/>
      <c r="K1432" s="428"/>
      <c r="L1432" s="437"/>
      <c r="M1432" s="65">
        <v>51384</v>
      </c>
      <c r="N1432" s="66" t="s">
        <v>9</v>
      </c>
      <c r="O1432" s="66" t="s">
        <v>63</v>
      </c>
      <c r="P1432" s="82" t="str">
        <f>IF(AND('331-CT'!$E$7=TH!H1421,OR(N1432="331",O1432="331")),"x","")</f>
        <v/>
      </c>
      <c r="Q1432" s="82" t="str">
        <f>IF(AND(B1432='111'!$L$11,OR($N1432=$Q$7,$O1432=$Q$7)),"x","")</f>
        <v/>
      </c>
      <c r="R1432" s="82" t="str">
        <f>IF(AND($N1432=$Q$7,$B1432&lt;'111'!$L$11),"x","")</f>
        <v/>
      </c>
      <c r="S1432" s="82" t="str">
        <f>IF(AND($O1432=$Q$7,$B1432&lt;'111'!$L$11),"x","")</f>
        <v>x</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IF(OR(TH!N1421=TH!$X$7,O1432=TH!$X$7),"x","")</f>
        <v/>
      </c>
      <c r="Y1432" s="82" t="str">
        <f>IF(AND(OR(N1432="131",O1432="131"),H1432='131-CT'!$H$9),"x","")</f>
        <v/>
      </c>
      <c r="Z1432" s="82"/>
      <c r="AA1432" s="82" t="str">
        <f>IF(AND(MONTH(E1432)='IN-NX'!$J$5,'IN-NX'!$D$7=D1432),"x","")</f>
        <v/>
      </c>
      <c r="AB1432" s="82" t="str">
        <f>IF(AND(OR(LEFT(TH!N1421,2)="15",LEFT(TH!O1421,2)="15"),LEFT(TH!O1421,3)&lt;&gt;"111",'152-CT'!$J$8=TH!F1421),"x","")</f>
        <v/>
      </c>
      <c r="AC1432" s="82" t="str">
        <f>IF(AND(OR(LEFT(TH!N1421,2)="15",LEFT(TH!O1421,2)="15"),TK!$E$7=TH!F1421),"x","")</f>
        <v/>
      </c>
      <c r="AD1432" s="82" t="str">
        <f>IF(AND(N1432="1521",MONTH(C1432)='BK-NL'!$M$11),"x","")</f>
        <v/>
      </c>
    </row>
    <row r="1433" spans="1:31" ht="15.75" customHeight="1">
      <c r="A1433" s="334" t="str">
        <f>IF(B1433&lt;&gt;"",IF(AND(B1433='IN-TC'!$S$4,OR(TH!N1430="1111",TH!O1430="1111")),TH!D1430,""),"")</f>
        <v/>
      </c>
      <c r="B1433" s="63">
        <f t="shared" si="185"/>
        <v>3</v>
      </c>
      <c r="C1433" s="64">
        <v>42447</v>
      </c>
      <c r="D1433" s="316" t="s">
        <v>907</v>
      </c>
      <c r="E1433" s="64">
        <v>42447</v>
      </c>
      <c r="F1433" s="72" t="s">
        <v>1107</v>
      </c>
      <c r="G1433" s="67" t="s">
        <v>1336</v>
      </c>
      <c r="H1433" s="342" t="s">
        <v>805</v>
      </c>
      <c r="I1433" s="437"/>
      <c r="J1433" s="437"/>
      <c r="K1433" s="428"/>
      <c r="L1433" s="437"/>
      <c r="M1433" s="65">
        <v>551727</v>
      </c>
      <c r="N1433" s="66" t="s">
        <v>101</v>
      </c>
      <c r="O1433" s="66" t="s">
        <v>63</v>
      </c>
      <c r="P1433" s="82" t="str">
        <f>IF(AND('331-CT'!$E$7=TH!H1430,OR(N1433="331",O1433="331")),"x","")</f>
        <v/>
      </c>
      <c r="Q1433" s="82" t="str">
        <f>IF(AND(B1433='111'!$L$11,OR($N1433=$Q$7,$O1433=$Q$7)),"x","")</f>
        <v/>
      </c>
      <c r="R1433" s="82" t="str">
        <f>IF(AND($N1433=$Q$7,$B1433&lt;'111'!$L$11),"x","")</f>
        <v/>
      </c>
      <c r="S1433" s="82" t="str">
        <f>IF(AND($O1433=$Q$7,$B1433&lt;'111'!$L$11),"x","")</f>
        <v>x</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IF(OR(TH!N1430=TH!$X$7,O1433=TH!$X$7),"x","")</f>
        <v>x</v>
      </c>
      <c r="Y1433" s="82" t="str">
        <f>IF(AND(OR(N1433="131",O1433="131"),H1433='131-CT'!$H$9),"x","")</f>
        <v/>
      </c>
      <c r="Z1433" s="82"/>
      <c r="AA1433" s="82" t="str">
        <f>IF(AND(MONTH(E1433)='IN-NX'!$J$5,'IN-NX'!$D$7=D1433),"x","")</f>
        <v/>
      </c>
      <c r="AB1433" s="82" t="str">
        <f>IF(AND(OR(LEFT(TH!N1430,2)="15",LEFT(TH!O1430,2)="15"),LEFT(TH!O1430,3)&lt;&gt;"111",'152-CT'!$J$8=TH!F1430),"x","")</f>
        <v/>
      </c>
      <c r="AC1433" s="82" t="str">
        <f>IF(AND(OR(LEFT(TH!N1430,2)="15",LEFT(TH!O1430,2)="15"),TK!$E$7=TH!F1430),"x","")</f>
        <v/>
      </c>
      <c r="AD1433" s="82" t="str">
        <f>IF(AND(N1433="1521",MONTH(C1433)='BK-NL'!$M$11),"x","")</f>
        <v/>
      </c>
    </row>
    <row r="1434" spans="1:31" ht="15.75" customHeight="1">
      <c r="A1434" s="334" t="str">
        <f>IF(B1434&lt;&gt;"",IF(AND(B1434='IN-TC'!$S$4,OR(TH!N1434="1111",TH!O1434="1111")),TH!D1434,""),"")</f>
        <v/>
      </c>
      <c r="B1434" s="63">
        <f t="shared" si="185"/>
        <v>3</v>
      </c>
      <c r="C1434" s="64">
        <v>42450</v>
      </c>
      <c r="D1434" s="316" t="s">
        <v>702</v>
      </c>
      <c r="E1434" s="64">
        <v>42450</v>
      </c>
      <c r="F1434" s="72" t="s">
        <v>1185</v>
      </c>
      <c r="G1434" s="67" t="s">
        <v>915</v>
      </c>
      <c r="H1434" s="342"/>
      <c r="I1434" s="437"/>
      <c r="J1434" s="437"/>
      <c r="K1434" s="428"/>
      <c r="L1434" s="437"/>
      <c r="M1434" s="65">
        <v>333900</v>
      </c>
      <c r="N1434" s="66" t="s">
        <v>101</v>
      </c>
      <c r="O1434" s="66" t="s">
        <v>26</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1" ht="15.75" customHeight="1">
      <c r="A1435" s="334" t="str">
        <f>IF(B1435&lt;&gt;"",IF(AND(B1435='IN-TC'!$S$4,OR(TH!N1435="1111",TH!O1435="1111")),TH!D1435,""),"")</f>
        <v/>
      </c>
      <c r="B1435" s="63">
        <f t="shared" si="185"/>
        <v>3</v>
      </c>
      <c r="C1435" s="64">
        <v>42450</v>
      </c>
      <c r="D1435" s="316" t="s">
        <v>702</v>
      </c>
      <c r="E1435" s="64">
        <v>42450</v>
      </c>
      <c r="F1435" s="72" t="s">
        <v>1186</v>
      </c>
      <c r="G1435" s="67" t="s">
        <v>915</v>
      </c>
      <c r="H1435" s="342"/>
      <c r="I1435" s="437"/>
      <c r="J1435" s="437"/>
      <c r="K1435" s="428"/>
      <c r="L1435" s="437"/>
      <c r="M1435" s="65">
        <v>33390</v>
      </c>
      <c r="N1435" s="66" t="s">
        <v>9</v>
      </c>
      <c r="O1435" s="66" t="s">
        <v>26</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x</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1" ht="15.75" customHeight="1">
      <c r="A1436" s="334" t="str">
        <f>IF(B1436&lt;&gt;"",IF(AND(B1436='IN-TC'!$S$4,OR(TH!N1436="1111",TH!O1436="1111")),TH!D1436,""),"")</f>
        <v/>
      </c>
      <c r="B1436" s="63">
        <f t="shared" si="185"/>
        <v>3</v>
      </c>
      <c r="C1436" s="316">
        <v>42450</v>
      </c>
      <c r="D1436" s="316" t="s">
        <v>699</v>
      </c>
      <c r="E1436" s="316">
        <v>42450</v>
      </c>
      <c r="F1436" s="72" t="s">
        <v>1891</v>
      </c>
      <c r="G1436" s="976" t="s">
        <v>915</v>
      </c>
      <c r="H1436" s="318" t="s">
        <v>1211</v>
      </c>
      <c r="I1436" s="437"/>
      <c r="J1436" s="437"/>
      <c r="K1436" s="428"/>
      <c r="L1436" s="437"/>
      <c r="M1436" s="65">
        <v>50000000</v>
      </c>
      <c r="N1436" s="66" t="s">
        <v>26</v>
      </c>
      <c r="O1436" s="66" t="s">
        <v>72</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1" ht="15.75" customHeight="1">
      <c r="A1437" s="334" t="str">
        <f>IF(B1437&lt;&gt;"",IF(AND(B1437='IN-TC'!$S$4,OR(TH!N1437="1111",TH!O1437="1111")),TH!D1437,""),"")</f>
        <v/>
      </c>
      <c r="B1437" s="63">
        <f t="shared" si="185"/>
        <v>3</v>
      </c>
      <c r="C1437" s="316">
        <v>42450</v>
      </c>
      <c r="D1437" s="316" t="s">
        <v>702</v>
      </c>
      <c r="E1437" s="316">
        <v>42450</v>
      </c>
      <c r="F1437" s="72" t="s">
        <v>1051</v>
      </c>
      <c r="G1437" s="976" t="s">
        <v>915</v>
      </c>
      <c r="H1437" s="318" t="s">
        <v>722</v>
      </c>
      <c r="I1437" s="437"/>
      <c r="J1437" s="437"/>
      <c r="K1437" s="428">
        <v>288.53001792114696</v>
      </c>
      <c r="L1437" s="437">
        <v>22320</v>
      </c>
      <c r="M1437" s="65">
        <v>6439990</v>
      </c>
      <c r="N1437" s="66" t="s">
        <v>99</v>
      </c>
      <c r="O1437" s="66" t="s">
        <v>26</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1" ht="15.75" customHeight="1">
      <c r="A1438" s="334" t="str">
        <f>IF(B1438&lt;&gt;"",IF(AND(B1438='IN-TC'!$S$4,OR(TH!N1438="1111",TH!O1438="1111")),TH!D1438,""),"")</f>
        <v/>
      </c>
      <c r="B1438" s="63">
        <f t="shared" si="185"/>
        <v>3</v>
      </c>
      <c r="C1438" s="64">
        <v>42450</v>
      </c>
      <c r="D1438" s="316" t="s">
        <v>702</v>
      </c>
      <c r="E1438" s="64">
        <v>42450</v>
      </c>
      <c r="F1438" s="72" t="s">
        <v>749</v>
      </c>
      <c r="G1438" s="67" t="s">
        <v>915</v>
      </c>
      <c r="H1438" s="72" t="s">
        <v>723</v>
      </c>
      <c r="I1438" s="437"/>
      <c r="J1438" s="437"/>
      <c r="K1438" s="428">
        <v>286.91998207885302</v>
      </c>
      <c r="L1438" s="437">
        <v>22320</v>
      </c>
      <c r="M1438" s="65">
        <v>6404054</v>
      </c>
      <c r="N1438" s="66" t="s">
        <v>99</v>
      </c>
      <c r="O1438" s="66" t="s">
        <v>26</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1" ht="15.75" customHeight="1">
      <c r="A1439" s="334" t="str">
        <f>IF(B1439&lt;&gt;"",IF(AND(B1439='IN-TC'!$S$4,OR(TH!N1439="1111",TH!O1439="1111")),TH!D1439,""),"")</f>
        <v/>
      </c>
      <c r="B1439" s="63">
        <f t="shared" si="185"/>
        <v>3</v>
      </c>
      <c r="C1439" s="64">
        <v>42450</v>
      </c>
      <c r="D1439" s="316" t="s">
        <v>702</v>
      </c>
      <c r="E1439" s="64">
        <v>42450</v>
      </c>
      <c r="F1439" s="72" t="s">
        <v>1054</v>
      </c>
      <c r="G1439" s="67" t="s">
        <v>915</v>
      </c>
      <c r="H1439" s="72" t="s">
        <v>730</v>
      </c>
      <c r="I1439" s="437"/>
      <c r="J1439" s="437"/>
      <c r="K1439" s="428">
        <v>196.65999103942653</v>
      </c>
      <c r="L1439" s="437">
        <v>22320</v>
      </c>
      <c r="M1439" s="65">
        <v>4389451</v>
      </c>
      <c r="N1439" s="66" t="s">
        <v>99</v>
      </c>
      <c r="O1439" s="66" t="s">
        <v>26</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1" ht="15.75" customHeight="1">
      <c r="A1440" s="334" t="str">
        <f>IF(B1440&lt;&gt;"",IF(AND(B1440='IN-TC'!$S$4,OR(TH!N1440="1111",TH!O1440="1111")),TH!D1440,""),"")</f>
        <v/>
      </c>
      <c r="B1440" s="63">
        <f t="shared" si="185"/>
        <v>3</v>
      </c>
      <c r="C1440" s="64">
        <v>42450</v>
      </c>
      <c r="D1440" s="316" t="s">
        <v>702</v>
      </c>
      <c r="E1440" s="64">
        <v>42450</v>
      </c>
      <c r="F1440" s="72" t="s">
        <v>751</v>
      </c>
      <c r="G1440" s="67" t="s">
        <v>915</v>
      </c>
      <c r="H1440" s="72" t="s">
        <v>724</v>
      </c>
      <c r="I1440" s="437"/>
      <c r="J1440" s="437"/>
      <c r="K1440" s="428">
        <v>286.91998207885302</v>
      </c>
      <c r="L1440" s="437">
        <v>22320</v>
      </c>
      <c r="M1440" s="65">
        <v>6404054</v>
      </c>
      <c r="N1440" s="66" t="s">
        <v>99</v>
      </c>
      <c r="O1440" s="66" t="s">
        <v>26</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2" ht="15.75" customHeight="1">
      <c r="A1441" s="334" t="str">
        <f>IF(B1441&lt;&gt;"",IF(AND(B1441='IN-TC'!$S$4,OR(TH!N1441="1111",TH!O1441="1111")),TH!D1441,""),"")</f>
        <v/>
      </c>
      <c r="B1441" s="63">
        <f t="shared" si="185"/>
        <v>3</v>
      </c>
      <c r="C1441" s="64">
        <v>42450</v>
      </c>
      <c r="D1441" s="316" t="s">
        <v>702</v>
      </c>
      <c r="E1441" s="64">
        <v>42450</v>
      </c>
      <c r="F1441" s="72" t="s">
        <v>1055</v>
      </c>
      <c r="G1441" s="67" t="s">
        <v>915</v>
      </c>
      <c r="H1441" s="72" t="s">
        <v>725</v>
      </c>
      <c r="I1441" s="437"/>
      <c r="J1441" s="437"/>
      <c r="K1441" s="428">
        <v>283.7</v>
      </c>
      <c r="L1441" s="437">
        <v>22320</v>
      </c>
      <c r="M1441" s="65">
        <v>6332184</v>
      </c>
      <c r="N1441" s="66" t="s">
        <v>99</v>
      </c>
      <c r="O1441" s="66" t="s">
        <v>26</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2" ht="15.75" customHeight="1">
      <c r="A1442" s="334" t="str">
        <f>IF(B1442&lt;&gt;"",IF(AND(B1442='IN-TC'!$S$4,OR(TH!N1442="1111",TH!O1442="1111")),TH!D1442,""),"")</f>
        <v/>
      </c>
      <c r="B1442" s="63">
        <f t="shared" si="185"/>
        <v>3</v>
      </c>
      <c r="C1442" s="64">
        <v>42450</v>
      </c>
      <c r="D1442" s="316" t="s">
        <v>702</v>
      </c>
      <c r="E1442" s="64">
        <v>42450</v>
      </c>
      <c r="F1442" s="72" t="s">
        <v>1644</v>
      </c>
      <c r="G1442" s="67" t="s">
        <v>915</v>
      </c>
      <c r="H1442" s="72" t="s">
        <v>733</v>
      </c>
      <c r="I1442" s="437"/>
      <c r="J1442" s="437"/>
      <c r="K1442" s="428">
        <v>571.5099910394265</v>
      </c>
      <c r="L1442" s="437">
        <v>22320</v>
      </c>
      <c r="M1442" s="65">
        <v>12756103</v>
      </c>
      <c r="N1442" s="66" t="s">
        <v>99</v>
      </c>
      <c r="O1442" s="66" t="s">
        <v>26</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2" ht="15.75" customHeight="1">
      <c r="A1443" s="334" t="str">
        <f>IF(B1443&lt;&gt;"",IF(AND(B1443='IN-TC'!$S$4,OR(TH!N1431="1111",TH!O1431="1111")),TH!D1431,""),"")</f>
        <v/>
      </c>
      <c r="B1443" s="63">
        <f t="shared" si="185"/>
        <v>3</v>
      </c>
      <c r="C1443" s="64">
        <v>42447</v>
      </c>
      <c r="D1443" s="316" t="s">
        <v>907</v>
      </c>
      <c r="E1443" s="64">
        <v>42447</v>
      </c>
      <c r="F1443" s="72" t="s">
        <v>1337</v>
      </c>
      <c r="G1443" s="67" t="s">
        <v>1336</v>
      </c>
      <c r="H1443" s="72" t="s">
        <v>805</v>
      </c>
      <c r="I1443" s="437"/>
      <c r="J1443" s="437"/>
      <c r="K1443" s="428"/>
      <c r="L1443" s="437"/>
      <c r="M1443" s="65">
        <v>55173</v>
      </c>
      <c r="N1443" s="66" t="s">
        <v>9</v>
      </c>
      <c r="O1443" s="66" t="s">
        <v>63</v>
      </c>
      <c r="P1443" s="82" t="str">
        <f>IF(AND('331-CT'!$E$7=TH!H1431,OR(N1443="331",O1443="331")),"x","")</f>
        <v/>
      </c>
      <c r="Q1443" s="82" t="str">
        <f>IF(AND(B1443='111'!$L$11,OR($N1443=$Q$7,$O1443=$Q$7)),"x","")</f>
        <v/>
      </c>
      <c r="R1443" s="82" t="str">
        <f>IF(AND($N1443=$Q$7,$B1443&lt;'111'!$L$11),"x","")</f>
        <v/>
      </c>
      <c r="S1443" s="82" t="str">
        <f>IF(AND($O1443=$Q$7,$B1443&lt;'111'!$L$11),"x","")</f>
        <v>x</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IF(OR(TH!N1431=TH!$X$7,O1443=TH!$X$7),"x","")</f>
        <v/>
      </c>
      <c r="Y1443" s="82" t="str">
        <f>IF(AND(OR(N1443="131",O1443="131"),H1443='131-CT'!$H$9),"x","")</f>
        <v/>
      </c>
      <c r="Z1443" s="82"/>
      <c r="AA1443" s="82" t="str">
        <f>IF(AND(MONTH(E1443)='IN-NX'!$J$5,'IN-NX'!$D$7=D1443),"x","")</f>
        <v/>
      </c>
      <c r="AB1443" s="82" t="str">
        <f>IF(AND(OR(LEFT(TH!N1431,2)="15",LEFT(TH!O1431,2)="15"),LEFT(TH!O1431,3)&lt;&gt;"111",'152-CT'!$J$8=TH!F1431),"x","")</f>
        <v/>
      </c>
      <c r="AC1443" s="82" t="str">
        <f>IF(AND(OR(LEFT(TH!N1431,2)="15",LEFT(TH!O1431,2)="15"),TK!$E$7=TH!F1431),"x","")</f>
        <v/>
      </c>
      <c r="AD1443" s="82" t="str">
        <f>IF(AND(N1443="1521",MONTH(C1443)='BK-NL'!$M$11),"x","")</f>
        <v/>
      </c>
    </row>
    <row r="1444" spans="1:32" ht="15.75" customHeight="1">
      <c r="A1444" s="334" t="str">
        <f>IF(B1444&lt;&gt;"",IF(AND(B1444='IN-TC'!$S$4,OR(TH!N1432="1111",TH!O1432="1111")),TH!D1432,""),"")</f>
        <v/>
      </c>
      <c r="B1444" s="63">
        <f t="shared" si="185"/>
        <v>3</v>
      </c>
      <c r="C1444" s="64">
        <v>42449</v>
      </c>
      <c r="D1444" s="316" t="s">
        <v>908</v>
      </c>
      <c r="E1444" s="64">
        <v>42449</v>
      </c>
      <c r="F1444" s="72" t="s">
        <v>1107</v>
      </c>
      <c r="G1444" s="67" t="s">
        <v>1338</v>
      </c>
      <c r="H1444" s="72" t="s">
        <v>805</v>
      </c>
      <c r="I1444" s="437"/>
      <c r="J1444" s="437"/>
      <c r="K1444" s="428"/>
      <c r="L1444" s="437"/>
      <c r="M1444" s="65">
        <v>446636</v>
      </c>
      <c r="N1444" s="66" t="s">
        <v>101</v>
      </c>
      <c r="O1444" s="66" t="s">
        <v>63</v>
      </c>
      <c r="P1444" s="82" t="str">
        <f>IF(AND('331-CT'!$E$7=TH!H1432,OR(N1444="331",O1444="331")),"x","")</f>
        <v/>
      </c>
      <c r="Q1444" s="82" t="str">
        <f>IF(AND(B1444='111'!$L$11,OR($N1444=$Q$7,$O1444=$Q$7)),"x","")</f>
        <v/>
      </c>
      <c r="R1444" s="82" t="str">
        <f>IF(AND($N1444=$Q$7,$B1444&lt;'111'!$L$11),"x","")</f>
        <v/>
      </c>
      <c r="S1444" s="82" t="str">
        <f>IF(AND($O1444=$Q$7,$B1444&lt;'111'!$L$11),"x","")</f>
        <v>x</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IF(OR(TH!N1432=TH!$X$7,O1444=TH!$X$7),"x","")</f>
        <v>x</v>
      </c>
      <c r="Y1444" s="82" t="str">
        <f>IF(AND(OR(N1444="131",O1444="131"),H1444='131-CT'!$H$9),"x","")</f>
        <v/>
      </c>
      <c r="Z1444" s="82"/>
      <c r="AA1444" s="82" t="str">
        <f>IF(AND(MONTH(E1444)='IN-NX'!$J$5,'IN-NX'!$D$7=D1444),"x","")</f>
        <v/>
      </c>
      <c r="AB1444" s="82" t="str">
        <f>IF(AND(OR(LEFT(TH!N1432,2)="15",LEFT(TH!O1432,2)="15"),LEFT(TH!O1432,3)&lt;&gt;"111",'152-CT'!$J$8=TH!F1432),"x","")</f>
        <v/>
      </c>
      <c r="AC1444" s="82" t="str">
        <f>IF(AND(OR(LEFT(TH!N1432,2)="15",LEFT(TH!O1432,2)="15"),TK!$E$7=TH!F1432),"x","")</f>
        <v/>
      </c>
      <c r="AD1444" s="82" t="str">
        <f>IF(AND(N1444="1521",MONTH(C1444)='BK-NL'!$M$11),"x","")</f>
        <v/>
      </c>
    </row>
    <row r="1445" spans="1:32" ht="15.75" customHeight="1">
      <c r="A1445" s="334" t="str">
        <f>IF(B1445&lt;&gt;"",IF(AND(B1445='IN-TC'!$S$4,OR(TH!N1433="1111",TH!O1433="1111")),TH!D1433,""),"")</f>
        <v/>
      </c>
      <c r="B1445" s="63">
        <f t="shared" si="185"/>
        <v>3</v>
      </c>
      <c r="C1445" s="64">
        <v>42449</v>
      </c>
      <c r="D1445" s="316" t="s">
        <v>908</v>
      </c>
      <c r="E1445" s="64">
        <v>42449</v>
      </c>
      <c r="F1445" s="72" t="s">
        <v>1337</v>
      </c>
      <c r="G1445" s="67" t="s">
        <v>1338</v>
      </c>
      <c r="H1445" s="342" t="s">
        <v>805</v>
      </c>
      <c r="I1445" s="437"/>
      <c r="J1445" s="437"/>
      <c r="K1445" s="428"/>
      <c r="L1445" s="437"/>
      <c r="M1445" s="65">
        <v>44664</v>
      </c>
      <c r="N1445" s="66" t="s">
        <v>9</v>
      </c>
      <c r="O1445" s="66" t="s">
        <v>63</v>
      </c>
      <c r="P1445" s="82" t="str">
        <f>IF(AND('331-CT'!$E$7=TH!H1433,OR(N1445="331",O1445="331")),"x","")</f>
        <v/>
      </c>
      <c r="Q1445" s="82" t="str">
        <f>IF(AND(B1445='111'!$L$11,OR($N1445=$Q$7,$O1445=$Q$7)),"x","")</f>
        <v/>
      </c>
      <c r="R1445" s="82" t="str">
        <f>IF(AND($N1445=$Q$7,$B1445&lt;'111'!$L$11),"x","")</f>
        <v/>
      </c>
      <c r="S1445" s="82" t="str">
        <f>IF(AND($O1445=$Q$7,$B1445&lt;'111'!$L$11),"x","")</f>
        <v>x</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IF(OR(TH!N1433=TH!$X$7,O1445=TH!$X$7),"x","")</f>
        <v/>
      </c>
      <c r="Y1445" s="82" t="str">
        <f>IF(AND(OR(N1445="131",O1445="131"),H1445='131-CT'!$H$9),"x","")</f>
        <v/>
      </c>
      <c r="Z1445" s="82"/>
      <c r="AA1445" s="82" t="str">
        <f>IF(AND(MONTH(E1445)='IN-NX'!$J$5,'IN-NX'!$D$7=D1445),"x","")</f>
        <v/>
      </c>
      <c r="AB1445" s="82" t="str">
        <f>IF(AND(OR(LEFT(TH!N1433,2)="15",LEFT(TH!O1433,2)="15"),LEFT(TH!O1433,3)&lt;&gt;"111",'152-CT'!$J$8=TH!F1433),"x","")</f>
        <v/>
      </c>
      <c r="AC1445" s="82" t="str">
        <f>IF(AND(OR(LEFT(TH!N1433,2)="15",LEFT(TH!O1433,2)="15"),TK!$E$7=TH!F1433),"x","")</f>
        <v/>
      </c>
      <c r="AD1445" s="82" t="str">
        <f>IF(AND(N1445="1521",MONTH(C1445)='BK-NL'!$M$11),"x","")</f>
        <v/>
      </c>
    </row>
    <row r="1446" spans="1:32" ht="15.75" customHeight="1">
      <c r="A1446" s="334" t="str">
        <f>IF(B1446&lt;&gt;"",IF(AND(B1446='IN-TC'!$S$4,OR(TH!N1443="1111",TH!O1443="1111")),TH!D1443,""),"")</f>
        <v/>
      </c>
      <c r="B1446" s="63">
        <f t="shared" si="185"/>
        <v>3</v>
      </c>
      <c r="C1446" s="64">
        <v>42452</v>
      </c>
      <c r="D1446" s="316" t="s">
        <v>909</v>
      </c>
      <c r="E1446" s="64">
        <v>42452</v>
      </c>
      <c r="F1446" s="72" t="s">
        <v>612</v>
      </c>
      <c r="G1446" s="67" t="s">
        <v>1312</v>
      </c>
      <c r="H1446" s="72" t="s">
        <v>1313</v>
      </c>
      <c r="I1446" s="437"/>
      <c r="J1446" s="437"/>
      <c r="K1446" s="428"/>
      <c r="L1446" s="437"/>
      <c r="M1446" s="65">
        <v>1025134</v>
      </c>
      <c r="N1446" s="66" t="s">
        <v>101</v>
      </c>
      <c r="O1446" s="66" t="s">
        <v>63</v>
      </c>
      <c r="P1446" s="82" t="str">
        <f>IF(AND('331-CT'!$E$7=TH!H1443,OR(N1446="331",O1446="331")),"x","")</f>
        <v/>
      </c>
      <c r="Q1446" s="82" t="str">
        <f>IF(AND(B1446='111'!$L$11,OR($N1446=$Q$7,$O1446=$Q$7)),"x","")</f>
        <v/>
      </c>
      <c r="R1446" s="82" t="str">
        <f>IF(AND($N1446=$Q$7,$B1446&lt;'111'!$L$11),"x","")</f>
        <v/>
      </c>
      <c r="S1446" s="82" t="str">
        <f>IF(AND($O1446=$Q$7,$B1446&lt;'111'!$L$11),"x","")</f>
        <v>x</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IF(OR(TH!N1443=TH!$X$7,O1446=TH!$X$7),"x","")</f>
        <v>x</v>
      </c>
      <c r="Y1446" s="82" t="str">
        <f>IF(AND(OR(N1446="131",O1446="131"),H1446='131-CT'!$H$9),"x","")</f>
        <v/>
      </c>
      <c r="Z1446" s="82"/>
      <c r="AA1446" s="82" t="str">
        <f>IF(AND(MONTH(E1446)='IN-NX'!$J$5,'IN-NX'!$D$7=D1446),"x","")</f>
        <v/>
      </c>
      <c r="AB1446" s="82" t="str">
        <f>IF(AND(OR(LEFT(TH!N1443,2)="15",LEFT(TH!O1443,2)="15"),LEFT(TH!O1443,3)&lt;&gt;"111",'152-CT'!$J$8=TH!F1443),"x","")</f>
        <v/>
      </c>
      <c r="AC1446" s="82" t="str">
        <f>IF(AND(OR(LEFT(TH!N1443,2)="15",LEFT(TH!O1443,2)="15"),TK!$E$7=TH!F1443),"x","")</f>
        <v/>
      </c>
      <c r="AD1446" s="82" t="str">
        <f>IF(AND(N1446="1521",MONTH(C1446)='BK-NL'!$M$11),"x","")</f>
        <v/>
      </c>
    </row>
    <row r="1447" spans="1:32" ht="15.75" customHeight="1">
      <c r="A1447" s="334" t="str">
        <f>IF(B1447&lt;&gt;"",IF(AND(B1447='IN-TC'!$S$4,OR(TH!N1447="1111",TH!O1447="1111")),TH!D1447,""),"")</f>
        <v/>
      </c>
      <c r="B1447" s="1134">
        <f t="shared" si="185"/>
        <v>3</v>
      </c>
      <c r="C1447" s="92">
        <v>42452</v>
      </c>
      <c r="D1447" s="1135" t="s">
        <v>702</v>
      </c>
      <c r="E1447" s="92">
        <v>42452</v>
      </c>
      <c r="F1447" s="72" t="s">
        <v>1212</v>
      </c>
      <c r="G1447" s="1138" t="s">
        <v>915</v>
      </c>
      <c r="H1447" s="94" t="s">
        <v>1213</v>
      </c>
      <c r="I1447" s="443"/>
      <c r="J1447" s="443"/>
      <c r="K1447" s="434"/>
      <c r="L1447" s="443"/>
      <c r="M1447" s="95">
        <v>2520000</v>
      </c>
      <c r="N1447" s="83" t="s">
        <v>92</v>
      </c>
      <c r="O1447" s="66" t="s">
        <v>26</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c r="AE1447" s="348"/>
    </row>
    <row r="1448" spans="1:32" s="348" customFormat="1" ht="15.75" customHeight="1">
      <c r="A1448" s="334" t="str">
        <f>IF(B1448&lt;&gt;"",IF(AND(B1448='IN-TC'!$S$4,OR(TH!N1444="1111",TH!O1444="1111")),TH!D1444,""),"")</f>
        <v/>
      </c>
      <c r="B1448" s="63">
        <f t="shared" si="185"/>
        <v>3</v>
      </c>
      <c r="C1448" s="64">
        <v>42452</v>
      </c>
      <c r="D1448" s="316" t="s">
        <v>909</v>
      </c>
      <c r="E1448" s="64">
        <v>42452</v>
      </c>
      <c r="F1448" s="72" t="s">
        <v>1311</v>
      </c>
      <c r="G1448" s="67" t="s">
        <v>1312</v>
      </c>
      <c r="H1448" s="342" t="s">
        <v>1313</v>
      </c>
      <c r="I1448" s="439"/>
      <c r="J1448" s="439"/>
      <c r="K1448" s="430"/>
      <c r="L1448" s="439"/>
      <c r="M1448" s="65">
        <v>102513</v>
      </c>
      <c r="N1448" s="66" t="s">
        <v>9</v>
      </c>
      <c r="O1448" s="66" t="s">
        <v>63</v>
      </c>
      <c r="P1448" s="82" t="str">
        <f>IF(AND('331-CT'!$E$7=TH!H1444,OR(N1448="331",O1448="331")),"x","")</f>
        <v/>
      </c>
      <c r="Q1448" s="82" t="str">
        <f>IF(AND(B1448='111'!$L$11,OR($N1448=$Q$7,$O1448=$Q$7)),"x","")</f>
        <v/>
      </c>
      <c r="R1448" s="82" t="str">
        <f>IF(AND($N1448=$Q$7,$B1448&lt;'111'!$L$11),"x","")</f>
        <v/>
      </c>
      <c r="S1448" s="82" t="str">
        <f>IF(AND($O1448=$Q$7,$B1448&lt;'111'!$L$11),"x","")</f>
        <v>x</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IF(OR(TH!N1444=TH!$X$7,O1448=TH!$X$7),"x","")</f>
        <v/>
      </c>
      <c r="Y1448" s="82" t="str">
        <f>IF(AND(OR(N1448="131",O1448="131"),H1448='131-CT'!$H$9),"x","")</f>
        <v/>
      </c>
      <c r="Z1448" s="82"/>
      <c r="AA1448" s="82" t="str">
        <f>IF(AND(MONTH(E1448)='IN-NX'!$J$5,'IN-NX'!$D$7=D1448),"x","")</f>
        <v/>
      </c>
      <c r="AB1448" s="82" t="str">
        <f>IF(AND(OR(LEFT(TH!N1444,2)="15",LEFT(TH!O1444,2)="15"),LEFT(TH!O1444,3)&lt;&gt;"111",'152-CT'!$J$8=TH!F1444),"x","")</f>
        <v/>
      </c>
      <c r="AC1448" s="82" t="str">
        <f>IF(AND(OR(LEFT(TH!N1444,2)="15",LEFT(TH!O1444,2)="15"),TK!$E$7=TH!F1444),"x","")</f>
        <v/>
      </c>
      <c r="AD1448" s="82" t="str">
        <f>IF(AND(N1448="1521",MONTH(C1448)='BK-NL'!$M$11),"x","")</f>
        <v/>
      </c>
      <c r="AE1448" s="328"/>
      <c r="AF1448" s="328"/>
    </row>
    <row r="1449" spans="1:32" ht="15.75" customHeight="1">
      <c r="A1449" s="334" t="str">
        <f>IF(B1449&lt;&gt;"",IF(AND(B1449='IN-TC'!$S$4,OR(TH!N1445="1111",TH!O1445="1111")),TH!D1445,""),"")</f>
        <v/>
      </c>
      <c r="B1449" s="63">
        <f t="shared" si="185"/>
        <v>3</v>
      </c>
      <c r="C1449" s="64">
        <v>42452</v>
      </c>
      <c r="D1449" s="316" t="s">
        <v>910</v>
      </c>
      <c r="E1449" s="64">
        <v>42452</v>
      </c>
      <c r="F1449" s="72" t="s">
        <v>768</v>
      </c>
      <c r="G1449" s="67" t="s">
        <v>1339</v>
      </c>
      <c r="H1449" s="72" t="s">
        <v>805</v>
      </c>
      <c r="I1449" s="437"/>
      <c r="J1449" s="437"/>
      <c r="K1449" s="428"/>
      <c r="L1449" s="437"/>
      <c r="M1449" s="65">
        <v>520418</v>
      </c>
      <c r="N1449" s="66" t="s">
        <v>101</v>
      </c>
      <c r="O1449" s="66" t="s">
        <v>63</v>
      </c>
      <c r="P1449" s="82" t="str">
        <f>IF(AND('331-CT'!$E$7=TH!H1445,OR(N1449="331",O1449="331")),"x","")</f>
        <v/>
      </c>
      <c r="Q1449" s="82" t="str">
        <f>IF(AND(B1449='111'!$L$11,OR($N1449=$Q$7,$O1449=$Q$7)),"x","")</f>
        <v/>
      </c>
      <c r="R1449" s="82" t="str">
        <f>IF(AND($N1449=$Q$7,$B1449&lt;'111'!$L$11),"x","")</f>
        <v/>
      </c>
      <c r="S1449" s="82" t="str">
        <f>IF(AND($O1449=$Q$7,$B1449&lt;'111'!$L$11),"x","")</f>
        <v>x</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IF(OR(TH!N1445=TH!$X$7,O1449=TH!$X$7),"x","")</f>
        <v>x</v>
      </c>
      <c r="Y1449" s="82" t="str">
        <f>IF(AND(OR(N1449="131",O1449="131"),H1449='131-CT'!$H$9),"x","")</f>
        <v/>
      </c>
      <c r="Z1449" s="82"/>
      <c r="AA1449" s="82" t="str">
        <f>IF(AND(MONTH(E1449)='IN-NX'!$J$5,'IN-NX'!$D$7=D1449),"x","")</f>
        <v/>
      </c>
      <c r="AB1449" s="82" t="str">
        <f>IF(AND(OR(LEFT(TH!N1445,2)="15",LEFT(TH!O1445,2)="15"),LEFT(TH!O1445,3)&lt;&gt;"111",'152-CT'!$J$8=TH!F1445),"x","")</f>
        <v/>
      </c>
      <c r="AC1449" s="82" t="str">
        <f>IF(AND(OR(LEFT(TH!N1445,2)="15",LEFT(TH!O1445,2)="15"),TK!$E$7=TH!F1445),"x","")</f>
        <v/>
      </c>
      <c r="AD1449" s="82" t="str">
        <f>IF(AND(N1449="1521",MONTH(C1449)='BK-NL'!$M$11),"x","")</f>
        <v/>
      </c>
    </row>
    <row r="1450" spans="1:32" ht="15.75" customHeight="1">
      <c r="A1450" s="334" t="str">
        <f>IF(B1450&lt;&gt;"",IF(AND(B1450='IN-TC'!$S$4,OR(TH!N1446="1111",TH!O1446="1111")),TH!D1446,""),"")</f>
        <v/>
      </c>
      <c r="B1450" s="63">
        <f t="shared" si="185"/>
        <v>3</v>
      </c>
      <c r="C1450" s="64">
        <v>42452</v>
      </c>
      <c r="D1450" s="316" t="s">
        <v>910</v>
      </c>
      <c r="E1450" s="64">
        <v>42452</v>
      </c>
      <c r="F1450" s="72" t="s">
        <v>769</v>
      </c>
      <c r="G1450" s="67" t="s">
        <v>1339</v>
      </c>
      <c r="H1450" s="72" t="s">
        <v>805</v>
      </c>
      <c r="I1450" s="437"/>
      <c r="J1450" s="437"/>
      <c r="K1450" s="428"/>
      <c r="L1450" s="437"/>
      <c r="M1450" s="65">
        <v>52042</v>
      </c>
      <c r="N1450" s="66" t="s">
        <v>9</v>
      </c>
      <c r="O1450" s="66" t="s">
        <v>63</v>
      </c>
      <c r="P1450" s="82" t="str">
        <f>IF(AND('331-CT'!$E$7=TH!H1446,OR(N1450="331",O1450="331")),"x","")</f>
        <v/>
      </c>
      <c r="Q1450" s="82" t="str">
        <f>IF(AND(B1450='111'!$L$11,OR($N1450=$Q$7,$O1450=$Q$7)),"x","")</f>
        <v/>
      </c>
      <c r="R1450" s="82" t="str">
        <f>IF(AND($N1450=$Q$7,$B1450&lt;'111'!$L$11),"x","")</f>
        <v/>
      </c>
      <c r="S1450" s="82" t="str">
        <f>IF(AND($O1450=$Q$7,$B1450&lt;'111'!$L$11),"x","")</f>
        <v>x</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IF(OR(TH!N1446=TH!$X$7,O1450=TH!$X$7),"x","")</f>
        <v/>
      </c>
      <c r="Y1450" s="82" t="str">
        <f>IF(AND(OR(N1450="131",O1450="131"),H1450='131-CT'!$H$9),"x","")</f>
        <v/>
      </c>
      <c r="Z1450" s="82"/>
      <c r="AA1450" s="82" t="str">
        <f>IF(AND(MONTH(E1450)='IN-NX'!$J$5,'IN-NX'!$D$7=D1450),"x","")</f>
        <v/>
      </c>
      <c r="AB1450" s="82" t="str">
        <f>IF(AND(OR(LEFT(TH!N1446,2)="15",LEFT(TH!O1446,2)="15"),LEFT(TH!O1446,3)&lt;&gt;"111",'152-CT'!$J$8=TH!F1446),"x","")</f>
        <v/>
      </c>
      <c r="AC1450" s="82" t="str">
        <f>IF(AND(OR(LEFT(TH!N1446,2)="15",LEFT(TH!O1446,2)="15"),TK!$E$7=TH!F1446),"x","")</f>
        <v/>
      </c>
      <c r="AD1450" s="82" t="str">
        <f>IF(AND(N1450="1521",MONTH(C1450)='BK-NL'!$M$11),"x","")</f>
        <v/>
      </c>
    </row>
    <row r="1451" spans="1:32" ht="15.75" customHeight="1">
      <c r="A1451" s="334" t="str">
        <f>IF(B1451&lt;&gt;"",IF(AND(B1451='IN-TC'!$S$4,OR(TH!N1448="1111",TH!O1448="1111")),TH!D1448,""),"")</f>
        <v/>
      </c>
      <c r="B1451" s="63">
        <f t="shared" si="185"/>
        <v>3</v>
      </c>
      <c r="C1451" s="316">
        <f>E1451</f>
        <v>42453</v>
      </c>
      <c r="D1451" s="64" t="s">
        <v>911</v>
      </c>
      <c r="E1451" s="64">
        <v>42453</v>
      </c>
      <c r="F1451" s="72" t="s">
        <v>960</v>
      </c>
      <c r="G1451" s="79"/>
      <c r="H1451" s="80" t="s">
        <v>959</v>
      </c>
      <c r="I1451" s="435"/>
      <c r="J1451" s="435"/>
      <c r="K1451" s="426"/>
      <c r="L1451" s="435"/>
      <c r="M1451" s="81">
        <v>300000000</v>
      </c>
      <c r="N1451" s="82" t="s">
        <v>272</v>
      </c>
      <c r="O1451" s="66" t="s">
        <v>63</v>
      </c>
      <c r="P1451" s="82" t="str">
        <f>IF(AND('331-CT'!$E$7=TH!H1448,OR(N1451="331",O1451="331")),"x","")</f>
        <v/>
      </c>
      <c r="Q1451" s="82" t="str">
        <f>IF(AND(B1451='111'!$L$11,OR($N1451=$Q$7,$O1451=$Q$7)),"x","")</f>
        <v/>
      </c>
      <c r="R1451" s="82" t="str">
        <f>IF(AND($N1451=$Q$7,$B1451&lt;'111'!$L$11),"x","")</f>
        <v/>
      </c>
      <c r="S1451" s="82" t="str">
        <f>IF(AND($O1451=$Q$7,$B1451&lt;'111'!$L$11),"x","")</f>
        <v>x</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IF(OR(TH!N1448=TH!$X$7,O1451=TH!$X$7),"x","")</f>
        <v>x</v>
      </c>
      <c r="Y1451" s="82" t="str">
        <f>IF(AND(OR(N1451="131",O1451="131"),H1451='131-CT'!$H$9),"x","")</f>
        <v/>
      </c>
      <c r="Z1451" s="82"/>
      <c r="AA1451" s="82" t="str">
        <f>IF(AND(MONTH(E1451)='IN-NX'!$J$5,'IN-NX'!$D$7=D1451),"x","")</f>
        <v/>
      </c>
      <c r="AB1451" s="82" t="str">
        <f>IF(AND(OR(LEFT(TH!N1448,2)="15",LEFT(TH!O1448,2)="15"),LEFT(TH!O1448,3)&lt;&gt;"111",'152-CT'!$J$8=TH!F1448),"x","")</f>
        <v/>
      </c>
      <c r="AC1451" s="82" t="str">
        <f>IF(AND(OR(LEFT(TH!N1448,2)="15",LEFT(TH!O1448,2)="15"),TK!$E$7=TH!F1448),"x","")</f>
        <v/>
      </c>
      <c r="AD1451" s="82" t="str">
        <f>IF(AND(N1451="1521",MONTH(C1451)='BK-NL'!$M$11),"x","")</f>
        <v/>
      </c>
      <c r="AF1451" s="348"/>
    </row>
    <row r="1452" spans="1:32" ht="15.75" customHeight="1">
      <c r="A1452" s="334" t="str">
        <f>IF(B1452&lt;&gt;"",IF(AND(B1452='IN-TC'!$S$4,OR(TH!N1449="1111",TH!O1449="1111")),TH!D1449,""),"")</f>
        <v/>
      </c>
      <c r="B1452" s="63">
        <f t="shared" si="185"/>
        <v>3</v>
      </c>
      <c r="C1452" s="64">
        <v>42453</v>
      </c>
      <c r="D1452" s="64" t="s">
        <v>912</v>
      </c>
      <c r="E1452" s="64">
        <v>42453</v>
      </c>
      <c r="F1452" s="72" t="s">
        <v>1107</v>
      </c>
      <c r="G1452" s="972" t="s">
        <v>1340</v>
      </c>
      <c r="H1452" s="72" t="s">
        <v>805</v>
      </c>
      <c r="I1452" s="437"/>
      <c r="J1452" s="437"/>
      <c r="K1452" s="428"/>
      <c r="L1452" s="437"/>
      <c r="M1452" s="65">
        <v>673527</v>
      </c>
      <c r="N1452" s="66" t="s">
        <v>101</v>
      </c>
      <c r="O1452" s="66" t="s">
        <v>63</v>
      </c>
      <c r="P1452" s="82" t="str">
        <f>IF(AND('331-CT'!$E$7=TH!H1449,OR(N1452="331",O1452="331")),"x","")</f>
        <v/>
      </c>
      <c r="Q1452" s="82" t="str">
        <f>IF(AND(B1452='111'!$L$11,OR($N1452=$Q$7,$O1452=$Q$7)),"x","")</f>
        <v/>
      </c>
      <c r="R1452" s="82" t="str">
        <f>IF(AND($N1452=$Q$7,$B1452&lt;'111'!$L$11),"x","")</f>
        <v/>
      </c>
      <c r="S1452" s="82" t="str">
        <f>IF(AND($O1452=$Q$7,$B1452&lt;'111'!$L$11),"x","")</f>
        <v>x</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IF(OR(TH!N1449=TH!$X$7,O1452=TH!$X$7),"x","")</f>
        <v/>
      </c>
      <c r="Y1452" s="82" t="str">
        <f>IF(AND(OR(N1452="131",O1452="131"),H1452='131-CT'!$H$9),"x","")</f>
        <v/>
      </c>
      <c r="Z1452" s="82"/>
      <c r="AA1452" s="82" t="str">
        <f>IF(AND(MONTH(E1452)='IN-NX'!$J$5,'IN-NX'!$D$7=D1452),"x","")</f>
        <v/>
      </c>
      <c r="AB1452" s="82" t="str">
        <f>IF(AND(OR(LEFT(TH!N1449,2)="15",LEFT(TH!O1449,2)="15"),LEFT(TH!O1449,3)&lt;&gt;"111",'152-CT'!$J$8=TH!F1449),"x","")</f>
        <v/>
      </c>
      <c r="AC1452" s="82" t="str">
        <f>IF(AND(OR(LEFT(TH!N1449,2)="15",LEFT(TH!O1449,2)="15"),TK!$E$7=TH!F1449),"x","")</f>
        <v/>
      </c>
      <c r="AD1452" s="82" t="str">
        <f>IF(AND(N1452="1521",MONTH(C1452)='BK-NL'!$M$11),"x","")</f>
        <v/>
      </c>
    </row>
    <row r="1453" spans="1:32" ht="15.75" customHeight="1">
      <c r="A1453" s="334" t="str">
        <f>IF(B1453&lt;&gt;"",IF(AND(B1453='IN-TC'!$S$4,OR(TH!N1453="1111",TH!O1453="1111")),TH!D1453,""),"")</f>
        <v/>
      </c>
      <c r="B1453" s="63">
        <f t="shared" si="185"/>
        <v>3</v>
      </c>
      <c r="C1453" s="78">
        <v>42454</v>
      </c>
      <c r="D1453" s="78" t="s">
        <v>702</v>
      </c>
      <c r="E1453" s="78">
        <v>42454</v>
      </c>
      <c r="F1453" s="72" t="s">
        <v>1214</v>
      </c>
      <c r="G1453" s="994" t="s">
        <v>915</v>
      </c>
      <c r="H1453" s="80"/>
      <c r="I1453" s="435"/>
      <c r="J1453" s="435"/>
      <c r="K1453" s="426"/>
      <c r="L1453" s="435"/>
      <c r="M1453" s="81">
        <v>50000</v>
      </c>
      <c r="N1453" s="82" t="s">
        <v>101</v>
      </c>
      <c r="O1453" s="66" t="s">
        <v>26</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c r="AE1453" s="345"/>
    </row>
    <row r="1454" spans="1:32" ht="15.75" customHeight="1">
      <c r="A1454" s="334" t="str">
        <f>IF(B1454&lt;&gt;"",IF(AND(B1454='IN-TC'!$S$4,OR(TH!N1454="1111",TH!O1454="1111")),TH!D1454,""),"")</f>
        <v/>
      </c>
      <c r="B1454" s="63">
        <f t="shared" si="185"/>
        <v>3</v>
      </c>
      <c r="C1454" s="78">
        <v>42454</v>
      </c>
      <c r="D1454" s="78" t="s">
        <v>702</v>
      </c>
      <c r="E1454" s="78">
        <v>42454</v>
      </c>
      <c r="F1454" s="72" t="s">
        <v>1197</v>
      </c>
      <c r="G1454" s="994" t="s">
        <v>915</v>
      </c>
      <c r="H1454" s="80"/>
      <c r="I1454" s="435"/>
      <c r="J1454" s="435"/>
      <c r="K1454" s="426"/>
      <c r="L1454" s="435"/>
      <c r="M1454" s="81">
        <v>5000</v>
      </c>
      <c r="N1454" s="82" t="s">
        <v>9</v>
      </c>
      <c r="O1454" s="66" t="s">
        <v>26</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x</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c r="AE1454" s="345"/>
    </row>
    <row r="1455" spans="1:32" ht="15.75" customHeight="1">
      <c r="A1455" s="334" t="str">
        <f>IF(B1455&lt;&gt;"",IF(AND(B1455='IN-TC'!$S$4,OR(TH!N1455="1111",TH!O1455="1111")),TH!D1455,""),"")</f>
        <v/>
      </c>
      <c r="B1455" s="63">
        <f t="shared" si="185"/>
        <v>3</v>
      </c>
      <c r="C1455" s="64">
        <v>42454</v>
      </c>
      <c r="D1455" s="316" t="s">
        <v>702</v>
      </c>
      <c r="E1455" s="64">
        <v>42454</v>
      </c>
      <c r="F1455" s="72" t="s">
        <v>1195</v>
      </c>
      <c r="G1455" s="976" t="s">
        <v>915</v>
      </c>
      <c r="H1455" s="72"/>
      <c r="I1455" s="437"/>
      <c r="J1455" s="437"/>
      <c r="K1455" s="428"/>
      <c r="L1455" s="437"/>
      <c r="M1455" s="65">
        <v>50000</v>
      </c>
      <c r="N1455" s="66" t="s">
        <v>101</v>
      </c>
      <c r="O1455" s="66" t="s">
        <v>26</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c r="AE1455" s="349"/>
    </row>
    <row r="1456" spans="1:32" ht="15.75" customHeight="1">
      <c r="A1456" s="334" t="str">
        <f>IF(B1456&lt;&gt;"",IF(AND(B1456='IN-TC'!$S$4,OR(TH!N1456="1111",TH!O1456="1111")),TH!D1456,""),"")</f>
        <v/>
      </c>
      <c r="B1456" s="63">
        <f t="shared" si="185"/>
        <v>3</v>
      </c>
      <c r="C1456" s="64">
        <v>42454</v>
      </c>
      <c r="D1456" s="316" t="s">
        <v>702</v>
      </c>
      <c r="E1456" s="64">
        <v>42454</v>
      </c>
      <c r="F1456" s="72" t="s">
        <v>1197</v>
      </c>
      <c r="G1456" s="976" t="s">
        <v>915</v>
      </c>
      <c r="H1456" s="72"/>
      <c r="I1456" s="437"/>
      <c r="J1456" s="437"/>
      <c r="K1456" s="428"/>
      <c r="L1456" s="437"/>
      <c r="M1456" s="65">
        <v>5000</v>
      </c>
      <c r="N1456" s="66" t="s">
        <v>9</v>
      </c>
      <c r="O1456" s="66" t="s">
        <v>26</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x</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c r="AE1456" s="349"/>
    </row>
    <row r="1457" spans="1:31" ht="15.75" customHeight="1">
      <c r="A1457" s="334" t="str">
        <f>IF(B1457&lt;&gt;"",IF(AND(B1457='IN-TC'!$S$4,OR(TH!N1457="1111",TH!O1457="1111")),TH!D1457,""),"")</f>
        <v/>
      </c>
      <c r="B1457" s="63">
        <f t="shared" si="185"/>
        <v>3</v>
      </c>
      <c r="C1457" s="64">
        <v>42454</v>
      </c>
      <c r="D1457" s="316" t="s">
        <v>702</v>
      </c>
      <c r="E1457" s="64">
        <v>42454</v>
      </c>
      <c r="F1457" s="72" t="s">
        <v>1196</v>
      </c>
      <c r="G1457" s="976" t="s">
        <v>915</v>
      </c>
      <c r="H1457" s="72"/>
      <c r="I1457" s="437"/>
      <c r="J1457" s="437"/>
      <c r="K1457" s="428"/>
      <c r="L1457" s="437"/>
      <c r="M1457" s="65">
        <v>50000</v>
      </c>
      <c r="N1457" s="66" t="s">
        <v>101</v>
      </c>
      <c r="O1457" s="66" t="s">
        <v>26</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c r="AE1457" s="349"/>
    </row>
    <row r="1458" spans="1:31" ht="15.75" customHeight="1">
      <c r="A1458" s="334" t="str">
        <f>IF(B1458&lt;&gt;"",IF(AND(B1458='IN-TC'!$S$4,OR(TH!N1458="1111",TH!O1458="1111")),TH!D1458,""),"")</f>
        <v/>
      </c>
      <c r="B1458" s="63">
        <f t="shared" si="185"/>
        <v>3</v>
      </c>
      <c r="C1458" s="316">
        <v>42454</v>
      </c>
      <c r="D1458" s="316" t="s">
        <v>702</v>
      </c>
      <c r="E1458" s="316">
        <v>42454</v>
      </c>
      <c r="F1458" s="72" t="s">
        <v>1197</v>
      </c>
      <c r="G1458" s="317" t="s">
        <v>915</v>
      </c>
      <c r="H1458" s="318"/>
      <c r="I1458" s="437"/>
      <c r="J1458" s="437"/>
      <c r="K1458" s="428"/>
      <c r="L1458" s="437"/>
      <c r="M1458" s="65">
        <v>5000</v>
      </c>
      <c r="N1458" s="319" t="s">
        <v>9</v>
      </c>
      <c r="O1458" s="66" t="s">
        <v>26</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x</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1" ht="15.75" customHeight="1">
      <c r="A1459" s="334" t="str">
        <f>IF(B1459&lt;&gt;"",IF(AND(B1459='IN-TC'!$S$4,OR(TH!N1459="1111",TH!O1459="1111")),TH!D1459,""),"")</f>
        <v/>
      </c>
      <c r="B1459" s="63">
        <f t="shared" si="185"/>
        <v>3</v>
      </c>
      <c r="C1459" s="316">
        <v>42454</v>
      </c>
      <c r="D1459" s="316" t="s">
        <v>702</v>
      </c>
      <c r="E1459" s="316">
        <v>42454</v>
      </c>
      <c r="F1459" s="72" t="s">
        <v>1215</v>
      </c>
      <c r="G1459" s="976" t="s">
        <v>915</v>
      </c>
      <c r="H1459" s="318"/>
      <c r="I1459" s="437"/>
      <c r="J1459" s="437"/>
      <c r="K1459" s="428"/>
      <c r="L1459" s="437"/>
      <c r="M1459" s="65">
        <v>50000</v>
      </c>
      <c r="N1459" s="319" t="s">
        <v>101</v>
      </c>
      <c r="O1459" s="66" t="s">
        <v>26</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1" ht="15.75" customHeight="1">
      <c r="A1460" s="334" t="str">
        <f>IF(B1460&lt;&gt;"",IF(AND(B1460='IN-TC'!$S$4,OR(TH!N1460="1111",TH!O1460="1111")),TH!D1460,""),"")</f>
        <v/>
      </c>
      <c r="B1460" s="63">
        <f t="shared" si="185"/>
        <v>3</v>
      </c>
      <c r="C1460" s="316">
        <v>42454</v>
      </c>
      <c r="D1460" s="316" t="s">
        <v>702</v>
      </c>
      <c r="E1460" s="316">
        <v>42454</v>
      </c>
      <c r="F1460" s="72" t="s">
        <v>1197</v>
      </c>
      <c r="G1460" s="976" t="s">
        <v>915</v>
      </c>
      <c r="H1460" s="318"/>
      <c r="I1460" s="437"/>
      <c r="J1460" s="437"/>
      <c r="K1460" s="428"/>
      <c r="L1460" s="437"/>
      <c r="M1460" s="65">
        <v>5000</v>
      </c>
      <c r="N1460" s="319" t="s">
        <v>9</v>
      </c>
      <c r="O1460" s="66" t="s">
        <v>26</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x</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1" ht="15.75" customHeight="1">
      <c r="A1461" s="334" t="str">
        <f>IF(B1461&lt;&gt;"",IF(AND(B1461='IN-TC'!$S$4,OR(TH!N1450="1111",TH!O1450="1111")),TH!D1450,""),"")</f>
        <v/>
      </c>
      <c r="B1461" s="63">
        <f t="shared" si="185"/>
        <v>3</v>
      </c>
      <c r="C1461" s="64">
        <v>42453</v>
      </c>
      <c r="D1461" s="64" t="s">
        <v>961</v>
      </c>
      <c r="E1461" s="64">
        <v>42453</v>
      </c>
      <c r="F1461" s="72" t="s">
        <v>1337</v>
      </c>
      <c r="G1461" s="976" t="s">
        <v>1340</v>
      </c>
      <c r="H1461" s="342" t="s">
        <v>805</v>
      </c>
      <c r="I1461" s="437"/>
      <c r="J1461" s="437"/>
      <c r="K1461" s="428"/>
      <c r="L1461" s="437"/>
      <c r="M1461" s="65">
        <v>67353</v>
      </c>
      <c r="N1461" s="66" t="s">
        <v>9</v>
      </c>
      <c r="O1461" s="66" t="s">
        <v>63</v>
      </c>
      <c r="P1461" s="82" t="str">
        <f>IF(AND('331-CT'!$E$7=TH!H1450,OR(N1461="331",O1461="331")),"x","")</f>
        <v/>
      </c>
      <c r="Q1461" s="82" t="str">
        <f>IF(AND(B1461='111'!$L$11,OR($N1461=$Q$7,$O1461=$Q$7)),"x","")</f>
        <v/>
      </c>
      <c r="R1461" s="82" t="str">
        <f>IF(AND($N1461=$Q$7,$B1461&lt;'111'!$L$11),"x","")</f>
        <v/>
      </c>
      <c r="S1461" s="82" t="str">
        <f>IF(AND($O1461=$Q$7,$B1461&lt;'111'!$L$11),"x","")</f>
        <v>x</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IF(OR(TH!N1450=TH!$X$7,O1461=TH!$X$7),"x","")</f>
        <v>x</v>
      </c>
      <c r="Y1461" s="82" t="str">
        <f>IF(AND(OR(N1461="131",O1461="131"),H1461='131-CT'!$H$9),"x","")</f>
        <v/>
      </c>
      <c r="Z1461" s="82"/>
      <c r="AA1461" s="82" t="str">
        <f>IF(AND(MONTH(E1461)='IN-NX'!$J$5,'IN-NX'!$D$7=D1461),"x","")</f>
        <v/>
      </c>
      <c r="AB1461" s="82" t="str">
        <f>IF(AND(OR(LEFT(TH!N1450,2)="15",LEFT(TH!O1450,2)="15"),LEFT(TH!O1450,3)&lt;&gt;"111",'152-CT'!$J$8=TH!F1450),"x","")</f>
        <v/>
      </c>
      <c r="AC1461" s="82" t="str">
        <f>IF(AND(OR(LEFT(TH!N1450,2)="15",LEFT(TH!O1450,2)="15"),TK!$E$7=TH!F1450),"x","")</f>
        <v/>
      </c>
      <c r="AD1461" s="82" t="str">
        <f>IF(AND(N1461="1521",MONTH(C1461)='BK-NL'!$M$11),"x","")</f>
        <v/>
      </c>
      <c r="AE1461" s="349"/>
    </row>
    <row r="1462" spans="1:31" ht="15.75" customHeight="1">
      <c r="A1462" s="334" t="str">
        <f>IF(B1462&lt;&gt;"",IF(AND(B1462='IN-TC'!$S$4,OR(TH!N1451="1111",TH!O1451="1111")),TH!D1451,""),"")</f>
        <v/>
      </c>
      <c r="B1462" s="63">
        <f t="shared" si="185"/>
        <v>3</v>
      </c>
      <c r="C1462" s="78">
        <v>42454</v>
      </c>
      <c r="D1462" s="64" t="s">
        <v>962</v>
      </c>
      <c r="E1462" s="78">
        <v>42454</v>
      </c>
      <c r="F1462" s="72" t="s">
        <v>768</v>
      </c>
      <c r="G1462" s="994" t="s">
        <v>1341</v>
      </c>
      <c r="H1462" s="80" t="s">
        <v>805</v>
      </c>
      <c r="I1462" s="435"/>
      <c r="J1462" s="435"/>
      <c r="K1462" s="426"/>
      <c r="L1462" s="435"/>
      <c r="M1462" s="81">
        <v>376855</v>
      </c>
      <c r="N1462" s="82" t="s">
        <v>101</v>
      </c>
      <c r="O1462" s="66" t="s">
        <v>63</v>
      </c>
      <c r="P1462" s="82" t="str">
        <f>IF(AND('331-CT'!$E$7=TH!H1451,OR(N1462="331",O1462="331")),"x","")</f>
        <v/>
      </c>
      <c r="Q1462" s="82" t="str">
        <f>IF(AND(B1462='111'!$L$11,OR($N1462=$Q$7,$O1462=$Q$7)),"x","")</f>
        <v/>
      </c>
      <c r="R1462" s="82" t="str">
        <f>IF(AND($N1462=$Q$7,$B1462&lt;'111'!$L$11),"x","")</f>
        <v/>
      </c>
      <c r="S1462" s="82" t="str">
        <f>IF(AND($O1462=$Q$7,$B1462&lt;'111'!$L$11),"x","")</f>
        <v>x</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IF(OR(TH!N1451=TH!$X$7,O1462=TH!$X$7),"x","")</f>
        <v/>
      </c>
      <c r="Y1462" s="82" t="str">
        <f>IF(AND(OR(N1462="131",O1462="131"),H1462='131-CT'!$H$9),"x","")</f>
        <v/>
      </c>
      <c r="Z1462" s="82"/>
      <c r="AA1462" s="82" t="str">
        <f>IF(AND(MONTH(E1462)='IN-NX'!$J$5,'IN-NX'!$D$7=D1462),"x","")</f>
        <v/>
      </c>
      <c r="AB1462" s="82" t="str">
        <f>IF(AND(OR(LEFT(TH!N1451,2)="15",LEFT(TH!O1451,2)="15"),LEFT(TH!O1451,3)&lt;&gt;"111",'152-CT'!$J$8=TH!F1451),"x","")</f>
        <v/>
      </c>
      <c r="AC1462" s="82" t="str">
        <f>IF(AND(OR(LEFT(TH!N1451,2)="15",LEFT(TH!O1451,2)="15"),TK!$E$7=TH!F1451),"x","")</f>
        <v/>
      </c>
      <c r="AD1462" s="82" t="str">
        <f>IF(AND(N1462="1521",MONTH(C1462)='BK-NL'!$M$11),"x","")</f>
        <v/>
      </c>
      <c r="AE1462" s="345"/>
    </row>
    <row r="1463" spans="1:31" ht="15.75" customHeight="1">
      <c r="A1463" s="334" t="str">
        <f>IF(B1463&lt;&gt;"",IF(AND(B1463='IN-TC'!$S$4,OR(TH!N1452="1111",TH!O1452="1111")),TH!D1452,""),"")</f>
        <v/>
      </c>
      <c r="B1463" s="63">
        <f t="shared" si="185"/>
        <v>3</v>
      </c>
      <c r="C1463" s="78">
        <v>42454</v>
      </c>
      <c r="D1463" s="64" t="s">
        <v>962</v>
      </c>
      <c r="E1463" s="78">
        <v>42454</v>
      </c>
      <c r="F1463" s="72" t="s">
        <v>769</v>
      </c>
      <c r="G1463" s="994" t="s">
        <v>1341</v>
      </c>
      <c r="H1463" s="80" t="s">
        <v>805</v>
      </c>
      <c r="I1463" s="435"/>
      <c r="J1463" s="435"/>
      <c r="K1463" s="426"/>
      <c r="L1463" s="435"/>
      <c r="M1463" s="81">
        <v>37685</v>
      </c>
      <c r="N1463" s="82" t="s">
        <v>9</v>
      </c>
      <c r="O1463" s="66" t="s">
        <v>63</v>
      </c>
      <c r="P1463" s="82" t="str">
        <f>IF(AND('331-CT'!$E$7=TH!H1452,OR(N1463="331",O1463="331")),"x","")</f>
        <v/>
      </c>
      <c r="Q1463" s="82" t="str">
        <f>IF(AND(B1463='111'!$L$11,OR($N1463=$Q$7,$O1463=$Q$7)),"x","")</f>
        <v/>
      </c>
      <c r="R1463" s="82" t="str">
        <f>IF(AND($N1463=$Q$7,$B1463&lt;'111'!$L$11),"x","")</f>
        <v/>
      </c>
      <c r="S1463" s="82" t="str">
        <f>IF(AND($O1463=$Q$7,$B1463&lt;'111'!$L$11),"x","")</f>
        <v>x</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IF(OR(TH!N1452=TH!$X$7,O1463=TH!$X$7),"x","")</f>
        <v/>
      </c>
      <c r="Y1463" s="82" t="str">
        <f>IF(AND(OR(N1463="131",O1463="131"),H1463='131-CT'!$H$9),"x","")</f>
        <v/>
      </c>
      <c r="Z1463" s="82"/>
      <c r="AA1463" s="82" t="str">
        <f>IF(AND(MONTH(E1463)='IN-NX'!$J$5,'IN-NX'!$D$7=D1463),"x","")</f>
        <v/>
      </c>
      <c r="AB1463" s="82" t="str">
        <f>IF(AND(OR(LEFT(TH!N1452,2)="15",LEFT(TH!O1452,2)="15"),LEFT(TH!O1452,3)&lt;&gt;"111",'152-CT'!$J$8=TH!F1452),"x","")</f>
        <v/>
      </c>
      <c r="AC1463" s="82" t="str">
        <f>IF(AND(OR(LEFT(TH!N1452,2)="15",LEFT(TH!O1452,2)="15"),TK!$E$7=TH!F1452),"x","")</f>
        <v/>
      </c>
      <c r="AD1463" s="82" t="str">
        <f>IF(AND(N1463="1521",MONTH(C1463)='BK-NL'!$M$11),"x","")</f>
        <v/>
      </c>
      <c r="AE1463" s="345"/>
    </row>
    <row r="1464" spans="1:31" ht="15.75" customHeight="1">
      <c r="A1464" s="334" t="str">
        <f>IF(B1464&lt;&gt;"",IF(AND(B1464='IN-TC'!$S$4,OR(TH!N1461="1111",TH!O1461="1111")),TH!D1461,""),"")</f>
        <v/>
      </c>
      <c r="B1464" s="63">
        <f t="shared" si="185"/>
        <v>3</v>
      </c>
      <c r="C1464" s="64">
        <v>42456</v>
      </c>
      <c r="D1464" s="316" t="s">
        <v>963</v>
      </c>
      <c r="E1464" s="64">
        <v>42456</v>
      </c>
      <c r="F1464" s="72" t="s">
        <v>768</v>
      </c>
      <c r="G1464" s="67" t="s">
        <v>1342</v>
      </c>
      <c r="H1464" s="342" t="s">
        <v>805</v>
      </c>
      <c r="I1464" s="437"/>
      <c r="J1464" s="437"/>
      <c r="K1464" s="428"/>
      <c r="L1464" s="437"/>
      <c r="M1464" s="65">
        <v>385827</v>
      </c>
      <c r="N1464" s="66" t="s">
        <v>101</v>
      </c>
      <c r="O1464" s="66" t="s">
        <v>63</v>
      </c>
      <c r="P1464" s="82" t="str">
        <f>IF(AND('331-CT'!$E$7=TH!H1461,OR(N1464="331",O1464="331")),"x","")</f>
        <v/>
      </c>
      <c r="Q1464" s="82" t="str">
        <f>IF(AND(B1464='111'!$L$11,OR($N1464=$Q$7,$O1464=$Q$7)),"x","")</f>
        <v/>
      </c>
      <c r="R1464" s="82" t="str">
        <f>IF(AND($N1464=$Q$7,$B1464&lt;'111'!$L$11),"x","")</f>
        <v/>
      </c>
      <c r="S1464" s="82" t="str">
        <f>IF(AND($O1464=$Q$7,$B1464&lt;'111'!$L$11),"x","")</f>
        <v>x</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IF(OR(TH!N1461=TH!$X$7,O1464=TH!$X$7),"x","")</f>
        <v>x</v>
      </c>
      <c r="Y1464" s="82" t="str">
        <f>IF(AND(OR(N1464="131",O1464="131"),H1464='131-CT'!$H$9),"x","")</f>
        <v/>
      </c>
      <c r="Z1464" s="82"/>
      <c r="AA1464" s="82" t="str">
        <f>IF(AND(MONTH(E1464)='IN-NX'!$J$5,'IN-NX'!$D$7=D1464),"x","")</f>
        <v/>
      </c>
      <c r="AB1464" s="82" t="str">
        <f>IF(AND(OR(LEFT(TH!N1461,2)="15",LEFT(TH!O1461,2)="15"),LEFT(TH!O1461,3)&lt;&gt;"111",'152-CT'!$J$8=TH!F1461),"x","")</f>
        <v/>
      </c>
      <c r="AC1464" s="82" t="str">
        <f>IF(AND(OR(LEFT(TH!N1461,2)="15",LEFT(TH!O1461,2)="15"),TK!$E$7=TH!F1461),"x","")</f>
        <v/>
      </c>
      <c r="AD1464" s="82" t="str">
        <f>IF(AND(N1464="1521",MONTH(C1464)='BK-NL'!$M$11),"x","")</f>
        <v/>
      </c>
    </row>
    <row r="1465" spans="1:31" ht="15.75" customHeight="1">
      <c r="A1465" s="334" t="str">
        <f>IF(B1465&lt;&gt;"",IF(AND(B1465='IN-TC'!$S$4,OR(TH!N1462="1111",TH!O1462="1111")),TH!D1462,""),"")</f>
        <v/>
      </c>
      <c r="B1465" s="63">
        <f t="shared" si="185"/>
        <v>3</v>
      </c>
      <c r="C1465" s="64">
        <v>42456</v>
      </c>
      <c r="D1465" s="316" t="s">
        <v>963</v>
      </c>
      <c r="E1465" s="64">
        <v>42456</v>
      </c>
      <c r="F1465" s="72" t="s">
        <v>769</v>
      </c>
      <c r="G1465" s="67" t="s">
        <v>1342</v>
      </c>
      <c r="H1465" s="72" t="s">
        <v>805</v>
      </c>
      <c r="I1465" s="437"/>
      <c r="J1465" s="437"/>
      <c r="K1465" s="428"/>
      <c r="L1465" s="437"/>
      <c r="M1465" s="65">
        <v>38583</v>
      </c>
      <c r="N1465" s="66" t="s">
        <v>9</v>
      </c>
      <c r="O1465" s="66" t="s">
        <v>63</v>
      </c>
      <c r="P1465" s="82" t="str">
        <f>IF(AND('331-CT'!$E$7=TH!H1462,OR(N1465="331",O1465="331")),"x","")</f>
        <v/>
      </c>
      <c r="Q1465" s="82" t="str">
        <f>IF(AND(B1465='111'!$L$11,OR($N1465=$Q$7,$O1465=$Q$7)),"x","")</f>
        <v/>
      </c>
      <c r="R1465" s="82" t="str">
        <f>IF(AND($N1465=$Q$7,$B1465&lt;'111'!$L$11),"x","")</f>
        <v/>
      </c>
      <c r="S1465" s="82" t="str">
        <f>IF(AND($O1465=$Q$7,$B1465&lt;'111'!$L$11),"x","")</f>
        <v>x</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IF(OR(TH!N1462=TH!$X$7,O1465=TH!$X$7),"x","")</f>
        <v/>
      </c>
      <c r="Y1465" s="82" t="str">
        <f>IF(AND(OR(N1465="131",O1465="131"),H1465='131-CT'!$H$9),"x","")</f>
        <v/>
      </c>
      <c r="Z1465" s="82"/>
      <c r="AA1465" s="82" t="str">
        <f>IF(AND(MONTH(E1465)='IN-NX'!$J$5,'IN-NX'!$D$7=D1465),"x","")</f>
        <v/>
      </c>
      <c r="AB1465" s="82" t="str">
        <f>IF(AND(OR(LEFT(TH!N1462,2)="15",LEFT(TH!O1462,2)="15"),LEFT(TH!O1462,3)&lt;&gt;"111",'152-CT'!$J$8=TH!F1462),"x","")</f>
        <v/>
      </c>
      <c r="AC1465" s="82" t="str">
        <f>IF(AND(OR(LEFT(TH!N1462,2)="15",LEFT(TH!O1462,2)="15"),TK!$E$7=TH!F1462),"x","")</f>
        <v/>
      </c>
      <c r="AD1465" s="82" t="str">
        <f>IF(AND(N1465="1521",MONTH(C1465)='BK-NL'!$M$11),"x","")</f>
        <v/>
      </c>
    </row>
    <row r="1466" spans="1:31" ht="15.75" customHeight="1">
      <c r="A1466" s="334" t="str">
        <f>IF(B1466&lt;&gt;"",IF(AND(B1466='IN-TC'!$S$4,OR(TH!N1463="1111",TH!O1463="1111")),TH!D1463,""),"")</f>
        <v/>
      </c>
      <c r="B1466" s="63">
        <f t="shared" si="185"/>
        <v>3</v>
      </c>
      <c r="C1466" s="64">
        <v>42457</v>
      </c>
      <c r="D1466" s="316" t="s">
        <v>964</v>
      </c>
      <c r="E1466" s="64">
        <v>42457</v>
      </c>
      <c r="F1466" s="72" t="s">
        <v>1420</v>
      </c>
      <c r="G1466" s="67" t="s">
        <v>1315</v>
      </c>
      <c r="H1466" s="72" t="s">
        <v>836</v>
      </c>
      <c r="I1466" s="437"/>
      <c r="J1466" s="437"/>
      <c r="K1466" s="428"/>
      <c r="L1466" s="437"/>
      <c r="M1466" s="65">
        <v>15000000</v>
      </c>
      <c r="N1466" s="66" t="s">
        <v>101</v>
      </c>
      <c r="O1466" s="66" t="s">
        <v>63</v>
      </c>
      <c r="P1466" s="82" t="str">
        <f>IF(AND('331-CT'!$E$7=TH!H1463,OR(N1466="331",O1466="331")),"x","")</f>
        <v/>
      </c>
      <c r="Q1466" s="82" t="str">
        <f>IF(AND(B1466='111'!$L$11,OR($N1466=$Q$7,$O1466=$Q$7)),"x","")</f>
        <v/>
      </c>
      <c r="R1466" s="82" t="str">
        <f>IF(AND($N1466=$Q$7,$B1466&lt;'111'!$L$11),"x","")</f>
        <v/>
      </c>
      <c r="S1466" s="82" t="str">
        <f>IF(AND($O1466=$Q$7,$B1466&lt;'111'!$L$11),"x","")</f>
        <v>x</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IF(OR(TH!N1463=TH!$X$7,O1466=TH!$X$7),"x","")</f>
        <v>x</v>
      </c>
      <c r="Y1466" s="82" t="str">
        <f>IF(AND(OR(N1466="131",O1466="131"),H1466='131-CT'!$H$9),"x","")</f>
        <v/>
      </c>
      <c r="Z1466" s="82"/>
      <c r="AA1466" s="82" t="str">
        <f>IF(AND(MONTH(E1466)='IN-NX'!$J$5,'IN-NX'!$D$7=D1466),"x","")</f>
        <v/>
      </c>
      <c r="AB1466" s="82" t="str">
        <f>IF(AND(OR(LEFT(TH!N1463,2)="15",LEFT(TH!O1463,2)="15"),LEFT(TH!O1463,3)&lt;&gt;"111",'152-CT'!$J$8=TH!F1463),"x","")</f>
        <v/>
      </c>
      <c r="AC1466" s="82" t="str">
        <f>IF(AND(OR(LEFT(TH!N1463,2)="15",LEFT(TH!O1463,2)="15"),TK!$E$7=TH!F1463),"x","")</f>
        <v/>
      </c>
      <c r="AD1466" s="82" t="str">
        <f>IF(AND(N1466="1521",MONTH(C1466)='BK-NL'!$M$11),"x","")</f>
        <v/>
      </c>
    </row>
    <row r="1467" spans="1:31" ht="15.75" customHeight="1">
      <c r="A1467" s="334" t="str">
        <f>IF(B1467&lt;&gt;"",IF(AND(B1467='IN-TC'!$S$4,OR(TH!N1464="1111",TH!O1464="1111")),TH!D1464,""),"")</f>
        <v/>
      </c>
      <c r="B1467" s="63">
        <f t="shared" si="185"/>
        <v>3</v>
      </c>
      <c r="C1467" s="64">
        <v>42457</v>
      </c>
      <c r="D1467" s="316" t="s">
        <v>964</v>
      </c>
      <c r="E1467" s="64">
        <v>42457</v>
      </c>
      <c r="F1467" s="72" t="s">
        <v>1421</v>
      </c>
      <c r="G1467" s="67" t="s">
        <v>1315</v>
      </c>
      <c r="H1467" s="342" t="s">
        <v>836</v>
      </c>
      <c r="I1467" s="439"/>
      <c r="J1467" s="439"/>
      <c r="K1467" s="430"/>
      <c r="L1467" s="439"/>
      <c r="M1467" s="65">
        <v>1500000</v>
      </c>
      <c r="N1467" s="66" t="s">
        <v>9</v>
      </c>
      <c r="O1467" s="66" t="s">
        <v>63</v>
      </c>
      <c r="P1467" s="82" t="str">
        <f>IF(AND('331-CT'!$E$7=TH!H1464,OR(N1467="331",O1467="331")),"x","")</f>
        <v/>
      </c>
      <c r="Q1467" s="82" t="str">
        <f>IF(AND(B1467='111'!$L$11,OR($N1467=$Q$7,$O1467=$Q$7)),"x","")</f>
        <v/>
      </c>
      <c r="R1467" s="82" t="str">
        <f>IF(AND($N1467=$Q$7,$B1467&lt;'111'!$L$11),"x","")</f>
        <v/>
      </c>
      <c r="S1467" s="82" t="str">
        <f>IF(AND($O1467=$Q$7,$B1467&lt;'111'!$L$11),"x","")</f>
        <v>x</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IF(OR(TH!N1464=TH!$X$7,O1467=TH!$X$7),"x","")</f>
        <v/>
      </c>
      <c r="Y1467" s="82" t="str">
        <f>IF(AND(OR(N1467="131",O1467="131"),H1467='131-CT'!$H$9),"x","")</f>
        <v/>
      </c>
      <c r="Z1467" s="82"/>
      <c r="AA1467" s="82" t="str">
        <f>IF(AND(MONTH(E1467)='IN-NX'!$J$5,'IN-NX'!$D$7=D1467),"x","")</f>
        <v/>
      </c>
      <c r="AB1467" s="82" t="str">
        <f>IF(AND(OR(LEFT(TH!N1464,2)="15",LEFT(TH!O1464,2)="15"),LEFT(TH!O1464,3)&lt;&gt;"111",'152-CT'!$J$8=TH!F1464),"x","")</f>
        <v/>
      </c>
      <c r="AC1467" s="82" t="str">
        <f>IF(AND(OR(LEFT(TH!N1464,2)="15",LEFT(TH!O1464,2)="15"),TK!$E$7=TH!F1464),"x","")</f>
        <v/>
      </c>
      <c r="AD1467" s="82" t="str">
        <f>IF(AND(N1467="1521",MONTH(C1467)='BK-NL'!$M$11),"x","")</f>
        <v/>
      </c>
    </row>
    <row r="1468" spans="1:31" ht="15.75" customHeight="1">
      <c r="A1468" s="334" t="str">
        <f>IF(B1468&lt;&gt;"",IF(AND(B1468='IN-TC'!$S$4,OR(TH!N1468="1111",TH!O1468="1111")),TH!D1468,""),"")</f>
        <v/>
      </c>
      <c r="B1468" s="63">
        <f t="shared" si="185"/>
        <v>3</v>
      </c>
      <c r="C1468" s="64">
        <v>42458</v>
      </c>
      <c r="D1468" s="64" t="s">
        <v>699</v>
      </c>
      <c r="E1468" s="64">
        <v>42458</v>
      </c>
      <c r="F1468" s="72" t="s">
        <v>1190</v>
      </c>
      <c r="G1468" s="67" t="s">
        <v>914</v>
      </c>
      <c r="H1468" s="72" t="s">
        <v>596</v>
      </c>
      <c r="I1468" s="437"/>
      <c r="J1468" s="437"/>
      <c r="K1468" s="428">
        <v>4930.13</v>
      </c>
      <c r="L1468" s="437">
        <v>22280</v>
      </c>
      <c r="M1468" s="65">
        <v>109843296</v>
      </c>
      <c r="N1468" s="66" t="s">
        <v>266</v>
      </c>
      <c r="O1468" s="66" t="s">
        <v>585</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1" s="345" customFormat="1" ht="15.75" customHeight="1">
      <c r="A1469" s="334" t="str">
        <f>IF(B1469&lt;&gt;"",IF(AND(B1469='IN-TC'!$S$4,OR(TH!N1469="1111",TH!O1469="1111")),TH!D1469,""),"")</f>
        <v/>
      </c>
      <c r="B1469" s="993">
        <f t="shared" si="185"/>
        <v>3</v>
      </c>
      <c r="C1469" s="78">
        <v>42458</v>
      </c>
      <c r="D1469" s="78" t="s">
        <v>579</v>
      </c>
      <c r="E1469" s="78">
        <v>42458</v>
      </c>
      <c r="F1469" s="72" t="s">
        <v>1065</v>
      </c>
      <c r="G1469" s="79" t="s">
        <v>914</v>
      </c>
      <c r="H1469" s="72" t="s">
        <v>596</v>
      </c>
      <c r="I1469" s="435"/>
      <c r="J1469" s="435"/>
      <c r="K1469" s="426">
        <v>158.06</v>
      </c>
      <c r="L1469" s="435">
        <v>22280</v>
      </c>
      <c r="M1469" s="81">
        <v>3521577</v>
      </c>
      <c r="N1469" s="82" t="s">
        <v>101</v>
      </c>
      <c r="O1469" s="82" t="s">
        <v>585</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1" s="345" customFormat="1" ht="15.75" customHeight="1">
      <c r="A1470" s="334" t="str">
        <f>IF(B1470&lt;&gt;"",IF(AND(B1470='IN-TC'!$S$4,OR(TH!N1470="1111",TH!O1470="1111")),TH!D1470,""),"")</f>
        <v/>
      </c>
      <c r="B1470" s="993">
        <f t="shared" si="185"/>
        <v>3</v>
      </c>
      <c r="C1470" s="78">
        <v>42458</v>
      </c>
      <c r="D1470" s="78" t="s">
        <v>579</v>
      </c>
      <c r="E1470" s="78">
        <v>42458</v>
      </c>
      <c r="F1470" s="72" t="s">
        <v>1066</v>
      </c>
      <c r="G1470" s="975" t="s">
        <v>914</v>
      </c>
      <c r="H1470" s="72" t="s">
        <v>596</v>
      </c>
      <c r="I1470" s="435"/>
      <c r="J1470" s="435"/>
      <c r="K1470" s="426">
        <v>15.81</v>
      </c>
      <c r="L1470" s="435">
        <v>22280</v>
      </c>
      <c r="M1470" s="81">
        <v>352247</v>
      </c>
      <c r="N1470" s="82" t="s">
        <v>9</v>
      </c>
      <c r="O1470" s="82" t="s">
        <v>585</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x</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1" s="345" customFormat="1" ht="15.75" customHeight="1">
      <c r="A1471" s="334" t="str">
        <f>IF(B1471&lt;&gt;"",IF(AND(B1471='IN-TC'!$S$4,OR(TH!N1471="1111",TH!O1471="1111")),TH!D1471,""),"")</f>
        <v/>
      </c>
      <c r="B1471" s="993">
        <f t="shared" si="185"/>
        <v>3</v>
      </c>
      <c r="C1471" s="78">
        <v>42458</v>
      </c>
      <c r="D1471" s="78" t="s">
        <v>579</v>
      </c>
      <c r="E1471" s="78">
        <v>42458</v>
      </c>
      <c r="F1471" s="72" t="s">
        <v>1068</v>
      </c>
      <c r="G1471" s="975" t="s">
        <v>914</v>
      </c>
      <c r="H1471" s="72" t="s">
        <v>596</v>
      </c>
      <c r="I1471" s="435"/>
      <c r="J1471" s="435"/>
      <c r="K1471" s="426">
        <v>171</v>
      </c>
      <c r="L1471" s="435">
        <v>22280</v>
      </c>
      <c r="M1471" s="81">
        <v>3809880</v>
      </c>
      <c r="N1471" s="82" t="s">
        <v>101</v>
      </c>
      <c r="O1471" s="82" t="s">
        <v>585</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1" s="345" customFormat="1" ht="15.75" customHeight="1">
      <c r="A1472" s="334" t="str">
        <f>IF(B1472&lt;&gt;"",IF(AND(B1472='IN-TC'!$S$4,OR(TH!N1472="1111",TH!O1472="1111")),TH!D1472,""),"")</f>
        <v/>
      </c>
      <c r="B1472" s="993">
        <f t="shared" si="185"/>
        <v>3</v>
      </c>
      <c r="C1472" s="78">
        <v>42458</v>
      </c>
      <c r="D1472" s="78" t="s">
        <v>579</v>
      </c>
      <c r="E1472" s="78">
        <v>42458</v>
      </c>
      <c r="F1472" s="72" t="s">
        <v>1062</v>
      </c>
      <c r="G1472" s="975" t="s">
        <v>914</v>
      </c>
      <c r="H1472" s="72" t="s">
        <v>596</v>
      </c>
      <c r="I1472" s="435"/>
      <c r="J1472" s="435"/>
      <c r="K1472" s="426"/>
      <c r="L1472" s="435"/>
      <c r="M1472" s="81">
        <v>4135875</v>
      </c>
      <c r="N1472" s="1118" t="s">
        <v>585</v>
      </c>
      <c r="O1472" s="66" t="s">
        <v>43</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2" ht="15.75" customHeight="1">
      <c r="A1473" s="334" t="str">
        <f>IF(B1473&lt;&gt;"",IF(AND(B1473='IN-TC'!$S$4,OR(TH!N1473="1111",TH!O1473="1111")),TH!D1473,""),"")</f>
        <v/>
      </c>
      <c r="B1473" s="63">
        <f t="shared" si="185"/>
        <v>3</v>
      </c>
      <c r="C1473" s="64">
        <v>42458</v>
      </c>
      <c r="D1473" s="64" t="s">
        <v>702</v>
      </c>
      <c r="E1473" s="64">
        <v>42458</v>
      </c>
      <c r="F1473" s="72" t="s">
        <v>1060</v>
      </c>
      <c r="G1473" s="972" t="s">
        <v>914</v>
      </c>
      <c r="H1473" s="72"/>
      <c r="I1473" s="437"/>
      <c r="J1473" s="437"/>
      <c r="K1473" s="428">
        <v>136.25</v>
      </c>
      <c r="L1473" s="437">
        <v>22295</v>
      </c>
      <c r="M1473" s="65">
        <v>3037694</v>
      </c>
      <c r="N1473" s="66" t="s">
        <v>99</v>
      </c>
      <c r="O1473" s="66" t="s">
        <v>266</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2" ht="15.75" customHeight="1">
      <c r="A1474" s="334" t="str">
        <f>IF(B1474&lt;&gt;"",IF(AND(B1474='IN-TC'!$S$4,OR(TH!N1474="1111",TH!O1474="1111")),TH!D1474,""),"")</f>
        <v/>
      </c>
      <c r="B1474" s="63">
        <f t="shared" si="185"/>
        <v>3</v>
      </c>
      <c r="C1474" s="64">
        <v>42458</v>
      </c>
      <c r="D1474" s="64" t="s">
        <v>702</v>
      </c>
      <c r="E1474" s="64">
        <v>42458</v>
      </c>
      <c r="F1474" s="72" t="s">
        <v>613</v>
      </c>
      <c r="G1474" s="972" t="s">
        <v>914</v>
      </c>
      <c r="H1474" s="72"/>
      <c r="I1474" s="437"/>
      <c r="J1474" s="437"/>
      <c r="K1474" s="428">
        <v>5</v>
      </c>
      <c r="L1474" s="437">
        <v>22295</v>
      </c>
      <c r="M1474" s="65">
        <v>111475</v>
      </c>
      <c r="N1474" s="66" t="s">
        <v>101</v>
      </c>
      <c r="O1474" s="66" t="s">
        <v>266</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2" ht="15.75" customHeight="1">
      <c r="A1475" s="334" t="str">
        <f>IF(B1475&lt;&gt;"",IF(AND(B1475='IN-TC'!$S$4,OR(TH!N1475="1111",TH!O1475="1111")),TH!D1475,""),"")</f>
        <v/>
      </c>
      <c r="B1475" s="63">
        <f t="shared" si="185"/>
        <v>3</v>
      </c>
      <c r="C1475" s="64">
        <v>42458</v>
      </c>
      <c r="D1475" s="64" t="s">
        <v>702</v>
      </c>
      <c r="E1475" s="64">
        <v>42458</v>
      </c>
      <c r="F1475" s="72" t="s">
        <v>1191</v>
      </c>
      <c r="G1475" s="972" t="s">
        <v>914</v>
      </c>
      <c r="H1475" s="72"/>
      <c r="I1475" s="437"/>
      <c r="J1475" s="437"/>
      <c r="K1475" s="428">
        <v>0.5</v>
      </c>
      <c r="L1475" s="437">
        <v>22295</v>
      </c>
      <c r="M1475" s="65">
        <v>11148</v>
      </c>
      <c r="N1475" s="66" t="s">
        <v>9</v>
      </c>
      <c r="O1475" s="66" t="s">
        <v>266</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x</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2" s="1122" customFormat="1" ht="15.75" customHeight="1">
      <c r="A1476" s="334" t="str">
        <f>IF(B1476&lt;&gt;"",IF(AND(B1476='IN-TC'!$S$4,OR(TH!N1476="1111",TH!O1476="1111")),TH!D1476,""),"")</f>
        <v/>
      </c>
      <c r="B1476" s="1119">
        <f t="shared" si="185"/>
        <v>3</v>
      </c>
      <c r="C1476" s="966">
        <v>42458</v>
      </c>
      <c r="D1476" s="64" t="s">
        <v>699</v>
      </c>
      <c r="E1476" s="966">
        <v>42458</v>
      </c>
      <c r="F1476" s="72" t="s">
        <v>1345</v>
      </c>
      <c r="G1476" s="970"/>
      <c r="H1476" s="963"/>
      <c r="I1476" s="964"/>
      <c r="J1476" s="964"/>
      <c r="K1476" s="965"/>
      <c r="L1476" s="964"/>
      <c r="M1476" s="1120">
        <v>3842009.4000008553</v>
      </c>
      <c r="N1476" s="1121" t="s">
        <v>266</v>
      </c>
      <c r="O1476" s="66" t="s">
        <v>43</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2" ht="15.75" customHeight="1">
      <c r="A1477" s="334" t="str">
        <f>IF(B1477&lt;&gt;"",IF(AND(B1477='IN-TC'!$S$4,OR(TH!N1465="1111",TH!O1465="1111")),TH!D1465,""),"")</f>
        <v/>
      </c>
      <c r="B1477" s="63">
        <f t="shared" si="185"/>
        <v>3</v>
      </c>
      <c r="C1477" s="64">
        <v>42457</v>
      </c>
      <c r="D1477" s="316" t="s">
        <v>965</v>
      </c>
      <c r="E1477" s="64">
        <v>42457</v>
      </c>
      <c r="F1477" s="72" t="s">
        <v>777</v>
      </c>
      <c r="G1477" s="67" t="s">
        <v>1343</v>
      </c>
      <c r="H1477" s="72" t="s">
        <v>672</v>
      </c>
      <c r="I1477" s="437"/>
      <c r="J1477" s="437"/>
      <c r="K1477" s="428"/>
      <c r="L1477" s="437"/>
      <c r="M1477" s="65">
        <v>14800000</v>
      </c>
      <c r="N1477" s="66" t="s">
        <v>8</v>
      </c>
      <c r="O1477" s="66" t="s">
        <v>63</v>
      </c>
      <c r="P1477" s="82" t="str">
        <f>IF(AND('331-CT'!$E$7=TH!H1465,OR(N1477="331",O1477="331")),"x","")</f>
        <v/>
      </c>
      <c r="Q1477" s="82" t="str">
        <f>IF(AND(B1477='111'!$L$11,OR($N1477=$Q$7,$O1477=$Q$7)),"x","")</f>
        <v/>
      </c>
      <c r="R1477" s="82" t="str">
        <f>IF(AND($N1477=$Q$7,$B1477&lt;'111'!$L$11),"x","")</f>
        <v/>
      </c>
      <c r="S1477" s="82" t="str">
        <f>IF(AND($O1477=$Q$7,$B1477&lt;'111'!$L$11),"x","")</f>
        <v>x</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IF(OR(TH!N1465=TH!$X$7,O1477=TH!$X$7),"x","")</f>
        <v>x</v>
      </c>
      <c r="Y1477" s="82" t="str">
        <f>IF(AND(OR(N1477="131",O1477="131"),H1477='131-CT'!$H$9),"x","")</f>
        <v/>
      </c>
      <c r="Z1477" s="82"/>
      <c r="AA1477" s="82" t="str">
        <f>IF(AND(MONTH(E1477)='IN-NX'!$J$5,'IN-NX'!$D$7=D1477),"x","")</f>
        <v/>
      </c>
      <c r="AB1477" s="82" t="str">
        <f>IF(AND(OR(LEFT(TH!N1465,2)="15",LEFT(TH!O1465,2)="15"),LEFT(TH!O1465,3)&lt;&gt;"111",'152-CT'!$J$8=TH!F1465),"x","")</f>
        <v/>
      </c>
      <c r="AC1477" s="82" t="str">
        <f>IF(AND(OR(LEFT(TH!N1465,2)="15",LEFT(TH!O1465,2)="15"),TK!$E$7=TH!F1465),"x","")</f>
        <v/>
      </c>
      <c r="AD1477" s="82" t="str">
        <f>IF(AND(N1477="1521",MONTH(C1477)='BK-NL'!$M$11),"x","")</f>
        <v/>
      </c>
      <c r="AE1477" s="1136" t="str">
        <f>IF(H1477&lt;&gt;VLOOKUP(H1477,DSKH,1,0),"","x")</f>
        <v>x</v>
      </c>
    </row>
    <row r="1478" spans="1:32" ht="15.75" customHeight="1">
      <c r="A1478" s="334" t="str">
        <f>IF(B1478&lt;&gt;"",IF(AND(B1478='IN-TC'!$S$4,OR(TH!N1466="1111",TH!O1466="1111")),TH!D1466,""),"")</f>
        <v/>
      </c>
      <c r="B1478" s="63">
        <f t="shared" si="185"/>
        <v>3</v>
      </c>
      <c r="C1478" s="64">
        <v>42458</v>
      </c>
      <c r="D1478" s="316" t="s">
        <v>1380</v>
      </c>
      <c r="E1478" s="64">
        <v>42458</v>
      </c>
      <c r="F1478" s="72" t="s">
        <v>1107</v>
      </c>
      <c r="G1478" s="67" t="s">
        <v>1344</v>
      </c>
      <c r="H1478" s="72" t="s">
        <v>805</v>
      </c>
      <c r="I1478" s="437"/>
      <c r="J1478" s="437"/>
      <c r="K1478" s="428"/>
      <c r="L1478" s="437"/>
      <c r="M1478" s="65">
        <v>714764</v>
      </c>
      <c r="N1478" s="66" t="s">
        <v>101</v>
      </c>
      <c r="O1478" s="66" t="s">
        <v>63</v>
      </c>
      <c r="P1478" s="82" t="str">
        <f>IF(AND('331-CT'!$E$7=TH!H1466,OR(N1478="331",O1478="331")),"x","")</f>
        <v/>
      </c>
      <c r="Q1478" s="82" t="str">
        <f>IF(AND(B1478='111'!$L$11,OR($N1478=$Q$7,$O1478=$Q$7)),"x","")</f>
        <v/>
      </c>
      <c r="R1478" s="82" t="str">
        <f>IF(AND($N1478=$Q$7,$B1478&lt;'111'!$L$11),"x","")</f>
        <v/>
      </c>
      <c r="S1478" s="82" t="str">
        <f>IF(AND($O1478=$Q$7,$B1478&lt;'111'!$L$11),"x","")</f>
        <v>x</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IF(OR(TH!N1466=TH!$X$7,O1478=TH!$X$7),"x","")</f>
        <v/>
      </c>
      <c r="Y1478" s="82" t="str">
        <f>IF(AND(OR(N1478="131",O1478="131"),H1478='131-CT'!$H$9),"x","")</f>
        <v/>
      </c>
      <c r="Z1478" s="82"/>
      <c r="AA1478" s="82" t="str">
        <f>IF(AND(MONTH(E1478)='IN-NX'!$J$5,'IN-NX'!$D$7=D1478),"x","")</f>
        <v/>
      </c>
      <c r="AB1478" s="82" t="str">
        <f>IF(AND(OR(LEFT(TH!N1466,2)="15",LEFT(TH!O1466,2)="15"),LEFT(TH!O1466,3)&lt;&gt;"111",'152-CT'!$J$8=TH!F1466),"x","")</f>
        <v/>
      </c>
      <c r="AC1478" s="82" t="str">
        <f>IF(AND(OR(LEFT(TH!N1466,2)="15",LEFT(TH!O1466,2)="15"),TK!$E$7=TH!F1466),"x","")</f>
        <v/>
      </c>
      <c r="AD1478" s="82" t="str">
        <f>IF(AND(N1478="1521",MONTH(C1478)='BK-NL'!$M$11),"x","")</f>
        <v/>
      </c>
    </row>
    <row r="1479" spans="1:32" ht="15.75" customHeight="1">
      <c r="A1479" s="334" t="str">
        <f>IF(B1479&lt;&gt;"",IF(AND(B1479='IN-TC'!$S$4,OR(TH!N1467="1111",TH!O1467="1111")),TH!D1467,""),"")</f>
        <v/>
      </c>
      <c r="B1479" s="63">
        <f t="shared" ref="B1479:B1542" si="186">IF(C1479&lt;&gt;"",MONTH(C1479),"")</f>
        <v>3</v>
      </c>
      <c r="C1479" s="64">
        <v>42458</v>
      </c>
      <c r="D1479" s="316" t="s">
        <v>1380</v>
      </c>
      <c r="E1479" s="64">
        <v>42458</v>
      </c>
      <c r="F1479" s="72" t="s">
        <v>1337</v>
      </c>
      <c r="G1479" s="67" t="s">
        <v>1344</v>
      </c>
      <c r="H1479" s="72" t="s">
        <v>805</v>
      </c>
      <c r="I1479" s="437"/>
      <c r="J1479" s="437"/>
      <c r="K1479" s="428"/>
      <c r="L1479" s="437"/>
      <c r="M1479" s="65">
        <v>71476</v>
      </c>
      <c r="N1479" s="66" t="s">
        <v>9</v>
      </c>
      <c r="O1479" s="66" t="s">
        <v>63</v>
      </c>
      <c r="P1479" s="82" t="str">
        <f>IF(AND('331-CT'!$E$7=TH!H1467,OR(N1479="331",O1479="331")),"x","")</f>
        <v/>
      </c>
      <c r="Q1479" s="82" t="str">
        <f>IF(AND(B1479='111'!$L$11,OR($N1479=$Q$7,$O1479=$Q$7)),"x","")</f>
        <v/>
      </c>
      <c r="R1479" s="82" t="str">
        <f>IF(AND($N1479=$Q$7,$B1479&lt;'111'!$L$11),"x","")</f>
        <v/>
      </c>
      <c r="S1479" s="82" t="str">
        <f>IF(AND($O1479=$Q$7,$B1479&lt;'111'!$L$11),"x","")</f>
        <v>x</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IF(OR(TH!N1467=TH!$X$7,O1479=TH!$X$7),"x","")</f>
        <v>x</v>
      </c>
      <c r="Y1479" s="82" t="str">
        <f>IF(AND(OR(N1479="131",O1479="131"),H1479='131-CT'!$H$9),"x","")</f>
        <v/>
      </c>
      <c r="Z1479" s="82"/>
      <c r="AA1479" s="82" t="str">
        <f>IF(AND(MONTH(E1479)='IN-NX'!$J$5,'IN-NX'!$D$7=D1479),"x","")</f>
        <v/>
      </c>
      <c r="AB1479" s="82" t="str">
        <f>IF(AND(OR(LEFT(TH!N1467,2)="15",LEFT(TH!O1467,2)="15"),LEFT(TH!O1467,3)&lt;&gt;"111",'152-CT'!$J$8=TH!F1467),"x","")</f>
        <v/>
      </c>
      <c r="AC1479" s="82" t="str">
        <f>IF(AND(OR(LEFT(TH!N1467,2)="15",LEFT(TH!O1467,2)="15"),TK!$E$7=TH!F1467),"x","")</f>
        <v/>
      </c>
      <c r="AD1479" s="82" t="str">
        <f>IF(AND(N1479="1521",MONTH(C1479)='BK-NL'!$M$11),"x","")</f>
        <v/>
      </c>
    </row>
    <row r="1480" spans="1:32" ht="15.75" customHeight="1">
      <c r="A1480" s="334" t="str">
        <f>IF(B1480&lt;&gt;"",IF(AND(B1480='IN-TC'!$S$4,OR(TH!N1480="1111",TH!O1480="1111")),TH!D1480,""),"")</f>
        <v/>
      </c>
      <c r="B1480" s="63">
        <f t="shared" si="186"/>
        <v>3</v>
      </c>
      <c r="C1480" s="64">
        <v>42459</v>
      </c>
      <c r="D1480" s="64" t="s">
        <v>702</v>
      </c>
      <c r="E1480" s="64">
        <v>42459</v>
      </c>
      <c r="F1480" s="72" t="s">
        <v>1216</v>
      </c>
      <c r="G1480" s="972" t="s">
        <v>915</v>
      </c>
      <c r="H1480" s="72" t="s">
        <v>629</v>
      </c>
      <c r="I1480" s="437"/>
      <c r="J1480" s="437"/>
      <c r="K1480" s="428"/>
      <c r="L1480" s="437"/>
      <c r="M1480" s="65">
        <v>23396120</v>
      </c>
      <c r="N1480" s="66" t="s">
        <v>8</v>
      </c>
      <c r="O1480" s="66" t="s">
        <v>26</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c r="AE1480" s="1136" t="str">
        <f>IF(H1480&lt;&gt;VLOOKUP(H1480,DSKH,1,0),"","x")</f>
        <v>x</v>
      </c>
    </row>
    <row r="1481" spans="1:32" ht="15.75" customHeight="1">
      <c r="A1481" s="334" t="str">
        <f>IF(B1481&lt;&gt;"",IF(AND(B1481='IN-TC'!$S$4,OR(TH!N1481="1111",TH!O1481="1111")),TH!D1481,""),"")</f>
        <v/>
      </c>
      <c r="B1481" s="63">
        <f t="shared" si="186"/>
        <v>3</v>
      </c>
      <c r="C1481" s="64">
        <v>42459</v>
      </c>
      <c r="D1481" s="64" t="s">
        <v>702</v>
      </c>
      <c r="E1481" s="64">
        <v>42459</v>
      </c>
      <c r="F1481" s="72" t="s">
        <v>1192</v>
      </c>
      <c r="G1481" s="972" t="s">
        <v>915</v>
      </c>
      <c r="H1481" s="72"/>
      <c r="I1481" s="437"/>
      <c r="J1481" s="437"/>
      <c r="K1481" s="428"/>
      <c r="L1481" s="437"/>
      <c r="M1481" s="65">
        <v>45000</v>
      </c>
      <c r="N1481" s="66" t="s">
        <v>101</v>
      </c>
      <c r="O1481" s="66" t="s">
        <v>26</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2" ht="15.75" customHeight="1">
      <c r="A1482" s="334" t="str">
        <f>IF(B1482&lt;&gt;"",IF(AND(B1482='IN-TC'!$S$4,OR(TH!N1482="1111",TH!O1482="1111")),TH!D1482,""),"")</f>
        <v/>
      </c>
      <c r="B1482" s="63">
        <f t="shared" si="186"/>
        <v>3</v>
      </c>
      <c r="C1482" s="64">
        <v>42459</v>
      </c>
      <c r="D1482" s="64" t="s">
        <v>702</v>
      </c>
      <c r="E1482" s="64">
        <v>42459</v>
      </c>
      <c r="F1482" s="72" t="s">
        <v>1193</v>
      </c>
      <c r="G1482" s="972" t="s">
        <v>915</v>
      </c>
      <c r="H1482" s="72"/>
      <c r="I1482" s="437"/>
      <c r="J1482" s="437"/>
      <c r="K1482" s="428"/>
      <c r="L1482" s="437"/>
      <c r="M1482" s="65">
        <v>4500</v>
      </c>
      <c r="N1482" s="66" t="s">
        <v>9</v>
      </c>
      <c r="O1482" s="66" t="s">
        <v>26</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x</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2" ht="15.75" customHeight="1">
      <c r="A1483" s="334" t="str">
        <f>IF(B1483&lt;&gt;"",IF(AND(B1483='IN-TC'!$S$4,OR(TH!N1477="1111",TH!O1477="1111")),TH!D1477,""),"")</f>
        <v/>
      </c>
      <c r="B1483" s="63">
        <f t="shared" si="186"/>
        <v>3</v>
      </c>
      <c r="C1483" s="64">
        <v>42459</v>
      </c>
      <c r="D1483" s="64" t="s">
        <v>1381</v>
      </c>
      <c r="E1483" s="64">
        <v>42459</v>
      </c>
      <c r="F1483" s="72" t="s">
        <v>1100</v>
      </c>
      <c r="G1483" s="972" t="s">
        <v>915</v>
      </c>
      <c r="H1483" s="72" t="s">
        <v>760</v>
      </c>
      <c r="I1483" s="437"/>
      <c r="J1483" s="437"/>
      <c r="K1483" s="428"/>
      <c r="L1483" s="437"/>
      <c r="M1483" s="65">
        <v>25000000</v>
      </c>
      <c r="N1483" s="66" t="s">
        <v>26</v>
      </c>
      <c r="O1483" s="66" t="s">
        <v>63</v>
      </c>
      <c r="P1483" s="82" t="str">
        <f>IF(AND('331-CT'!$E$7=TH!H1477,OR(N1483="331",O1483="331")),"x","")</f>
        <v/>
      </c>
      <c r="Q1483" s="82" t="str">
        <f>IF(AND(B1483='111'!$L$11,OR($N1483=$Q$7,$O1483=$Q$7)),"x","")</f>
        <v/>
      </c>
      <c r="R1483" s="82" t="str">
        <f>IF(AND($N1483=$Q$7,$B1483&lt;'111'!$L$11),"x","")</f>
        <v/>
      </c>
      <c r="S1483" s="82" t="str">
        <f>IF(AND($O1483=$Q$7,$B1483&lt;'111'!$L$11),"x","")</f>
        <v>x</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IF(OR(TH!N1477=TH!$X$7,O1483=TH!$X$7),"x","")</f>
        <v/>
      </c>
      <c r="Y1483" s="82" t="str">
        <f>IF(AND(OR(N1483="131",O1483="131"),H1483='131-CT'!$H$9),"x","")</f>
        <v/>
      </c>
      <c r="Z1483" s="82"/>
      <c r="AA1483" s="82" t="str">
        <f>IF(AND(MONTH(E1483)='IN-NX'!$J$5,'IN-NX'!$D$7=D1483),"x","")</f>
        <v/>
      </c>
      <c r="AB1483" s="82" t="str">
        <f>IF(AND(OR(LEFT(TH!N1477,2)="15",LEFT(TH!O1477,2)="15"),LEFT(TH!O1477,3)&lt;&gt;"111",'152-CT'!$J$8=TH!F1477),"x","")</f>
        <v/>
      </c>
      <c r="AC1483" s="82" t="str">
        <f>IF(AND(OR(LEFT(TH!N1477,2)="15",LEFT(TH!O1477,2)="15"),TK!$E$7=TH!F1477),"x","")</f>
        <v/>
      </c>
      <c r="AD1483" s="82" t="str">
        <f>IF(AND(N1483="1521",MONTH(C1483)='BK-NL'!$M$11),"x","")</f>
        <v/>
      </c>
    </row>
    <row r="1484" spans="1:32" ht="15.75" customHeight="1">
      <c r="A1484" s="334" t="str">
        <f>IF(B1484&lt;&gt;"",IF(AND(B1484='IN-TC'!$S$4,OR(TH!N1478="1111",TH!O1478="1111")),TH!D1478,""),"")</f>
        <v/>
      </c>
      <c r="B1484" s="63">
        <f t="shared" si="186"/>
        <v>3</v>
      </c>
      <c r="C1484" s="64">
        <v>42459</v>
      </c>
      <c r="D1484" s="64" t="s">
        <v>2242</v>
      </c>
      <c r="E1484" s="64">
        <v>42459</v>
      </c>
      <c r="F1484" s="72" t="s">
        <v>1012</v>
      </c>
      <c r="G1484" s="972" t="s">
        <v>1314</v>
      </c>
      <c r="H1484" s="72" t="s">
        <v>1038</v>
      </c>
      <c r="I1484" s="437"/>
      <c r="J1484" s="437"/>
      <c r="K1484" s="428"/>
      <c r="L1484" s="437"/>
      <c r="M1484" s="65">
        <v>462727</v>
      </c>
      <c r="N1484" s="66" t="s">
        <v>101</v>
      </c>
      <c r="O1484" s="66" t="s">
        <v>63</v>
      </c>
      <c r="P1484" s="82" t="str">
        <f>IF(AND('331-CT'!$E$7=TH!H1478,OR(N1484="331",O1484="331")),"x","")</f>
        <v/>
      </c>
      <c r="Q1484" s="82" t="str">
        <f>IF(AND(B1484='111'!$L$11,OR($N1484=$Q$7,$O1484=$Q$7)),"x","")</f>
        <v/>
      </c>
      <c r="R1484" s="82" t="str">
        <f>IF(AND($N1484=$Q$7,$B1484&lt;'111'!$L$11),"x","")</f>
        <v/>
      </c>
      <c r="S1484" s="82" t="str">
        <f>IF(AND($O1484=$Q$7,$B1484&lt;'111'!$L$11),"x","")</f>
        <v>x</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IF(OR(TH!N1478=TH!$X$7,O1484=TH!$X$7),"x","")</f>
        <v/>
      </c>
      <c r="Y1484" s="82" t="str">
        <f>IF(AND(OR(N1484="131",O1484="131"),H1484='131-CT'!$H$9),"x","")</f>
        <v/>
      </c>
      <c r="Z1484" s="82"/>
      <c r="AA1484" s="82" t="str">
        <f>IF(AND(MONTH(E1484)='IN-NX'!$J$5,'IN-NX'!$D$7=D1484),"x","")</f>
        <v/>
      </c>
      <c r="AB1484" s="82" t="str">
        <f>IF(AND(OR(LEFT(TH!N1478,2)="15",LEFT(TH!O1478,2)="15"),LEFT(TH!O1478,3)&lt;&gt;"111",'152-CT'!$J$8=TH!F1478),"x","")</f>
        <v/>
      </c>
      <c r="AC1484" s="82" t="str">
        <f>IF(AND(OR(LEFT(TH!N1478,2)="15",LEFT(TH!O1478,2)="15"),TK!$E$7=TH!F1478),"x","")</f>
        <v/>
      </c>
      <c r="AD1484" s="82" t="str">
        <f>IF(AND(N1484="1521",MONTH(C1484)='BK-NL'!$M$11),"x","")</f>
        <v/>
      </c>
    </row>
    <row r="1485" spans="1:32" ht="15.75" customHeight="1">
      <c r="A1485" s="334" t="str">
        <f>IF(B1485&lt;&gt;"",IF(AND(B1485='IN-TC'!$S$4,OR(TH!N1479="1111",TH!O1479="1111")),TH!D1479,""),"")</f>
        <v/>
      </c>
      <c r="B1485" s="63">
        <f t="shared" si="186"/>
        <v>3</v>
      </c>
      <c r="C1485" s="64">
        <v>42459</v>
      </c>
      <c r="D1485" s="64" t="s">
        <v>2242</v>
      </c>
      <c r="E1485" s="64">
        <v>42459</v>
      </c>
      <c r="F1485" s="72" t="s">
        <v>1013</v>
      </c>
      <c r="G1485" s="972" t="s">
        <v>1314</v>
      </c>
      <c r="H1485" s="72" t="s">
        <v>1038</v>
      </c>
      <c r="I1485" s="437"/>
      <c r="J1485" s="437"/>
      <c r="K1485" s="428"/>
      <c r="L1485" s="437"/>
      <c r="M1485" s="65">
        <v>46273</v>
      </c>
      <c r="N1485" s="66" t="s">
        <v>9</v>
      </c>
      <c r="O1485" s="66" t="s">
        <v>63</v>
      </c>
      <c r="P1485" s="82" t="str">
        <f>IF(AND('331-CT'!$E$7=TH!H1479,OR(N1485="331",O1485="331")),"x","")</f>
        <v/>
      </c>
      <c r="Q1485" s="82" t="str">
        <f>IF(AND(B1485='111'!$L$11,OR($N1485=$Q$7,$O1485=$Q$7)),"x","")</f>
        <v/>
      </c>
      <c r="R1485" s="82" t="str">
        <f>IF(AND($N1485=$Q$7,$B1485&lt;'111'!$L$11),"x","")</f>
        <v/>
      </c>
      <c r="S1485" s="82" t="str">
        <f>IF(AND($O1485=$Q$7,$B1485&lt;'111'!$L$11),"x","")</f>
        <v>x</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IF(OR(TH!N1479=TH!$X$7,O1485=TH!$X$7),"x","")</f>
        <v>x</v>
      </c>
      <c r="Y1485" s="82" t="str">
        <f>IF(AND(OR(N1485="131",O1485="131"),H1485='131-CT'!$H$9),"x","")</f>
        <v/>
      </c>
      <c r="Z1485" s="82"/>
      <c r="AA1485" s="82" t="str">
        <f>IF(AND(MONTH(E1485)='IN-NX'!$J$5,'IN-NX'!$D$7=D1485),"x","")</f>
        <v/>
      </c>
      <c r="AB1485" s="82" t="str">
        <f>IF(AND(OR(LEFT(TH!N1479,2)="15",LEFT(TH!O1479,2)="15"),LEFT(TH!O1479,3)&lt;&gt;"111",'152-CT'!$J$8=TH!F1479),"x","")</f>
        <v/>
      </c>
      <c r="AC1485" s="82" t="str">
        <f>IF(AND(OR(LEFT(TH!N1479,2)="15",LEFT(TH!O1479,2)="15"),TK!$E$7=TH!F1479),"x","")</f>
        <v/>
      </c>
      <c r="AD1485" s="82" t="str">
        <f>IF(AND(N1485="1521",MONTH(C1485)='BK-NL'!$M$11),"x","")</f>
        <v/>
      </c>
    </row>
    <row r="1486" spans="1:32" ht="15.75" customHeight="1">
      <c r="A1486" s="334" t="str">
        <f>IF(B1486&lt;&gt;"",IF(AND(B1486='IN-TC'!$S$4,OR(TH!N1483="1111",TH!O1483="1111")),TH!D1483,""),"")</f>
        <v/>
      </c>
      <c r="B1486" s="63">
        <f t="shared" si="186"/>
        <v>3</v>
      </c>
      <c r="C1486" s="64">
        <v>42459</v>
      </c>
      <c r="D1486" s="64" t="s">
        <v>2243</v>
      </c>
      <c r="E1486" s="64">
        <f>C1486</f>
        <v>42459</v>
      </c>
      <c r="F1486" s="72" t="s">
        <v>1349</v>
      </c>
      <c r="G1486" s="972" t="s">
        <v>1347</v>
      </c>
      <c r="H1486" s="342" t="s">
        <v>618</v>
      </c>
      <c r="I1486" s="437"/>
      <c r="J1486" s="437"/>
      <c r="K1486" s="428"/>
      <c r="L1486" s="437"/>
      <c r="M1486" s="65">
        <v>9114999</v>
      </c>
      <c r="N1486" s="66" t="s">
        <v>8</v>
      </c>
      <c r="O1486" s="66" t="s">
        <v>63</v>
      </c>
      <c r="P1486" s="82" t="str">
        <f>IF(AND('331-CT'!$E$7=TH!H1483,OR(N1486="331",O1486="331")),"x","")</f>
        <v/>
      </c>
      <c r="Q1486" s="82" t="str">
        <f>IF(AND(B1486='111'!$L$11,OR($N1486=$Q$7,$O1486=$Q$7)),"x","")</f>
        <v/>
      </c>
      <c r="R1486" s="82" t="str">
        <f>IF(AND($N1486=$Q$7,$B1486&lt;'111'!$L$11),"x","")</f>
        <v/>
      </c>
      <c r="S1486" s="82" t="str">
        <f>IF(AND($O1486=$Q$7,$B1486&lt;'111'!$L$11),"x","")</f>
        <v>x</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IF(OR(TH!N1483=TH!$X$7,O1486=TH!$X$7),"x","")</f>
        <v/>
      </c>
      <c r="Y1486" s="82" t="str">
        <f>IF(AND(OR(N1486="131",O1486="131"),H1486='131-CT'!$H$9),"x","")</f>
        <v/>
      </c>
      <c r="Z1486" s="82"/>
      <c r="AA1486" s="82" t="str">
        <f>IF(AND(MONTH(E1486)='IN-NX'!$J$5,'IN-NX'!$D$7=D1486),"x","")</f>
        <v/>
      </c>
      <c r="AB1486" s="82" t="str">
        <f>IF(AND(OR(LEFT(TH!N1483,2)="15",LEFT(TH!O1483,2)="15"),LEFT(TH!O1483,3)&lt;&gt;"111",'152-CT'!$J$8=TH!F1483),"x","")</f>
        <v/>
      </c>
      <c r="AC1486" s="82" t="str">
        <f>IF(AND(OR(LEFT(TH!N1483,2)="15",LEFT(TH!O1483,2)="15"),TK!$E$7=TH!F1483),"x","")</f>
        <v/>
      </c>
      <c r="AD1486" s="82" t="str">
        <f>IF(AND(N1486="1521",MONTH(C1486)='BK-NL'!$M$11),"x","")</f>
        <v/>
      </c>
      <c r="AE1486" s="1136" t="str">
        <f>IF(H1486&lt;&gt;VLOOKUP(H1486,DSKH,1,0),"","x")</f>
        <v>x</v>
      </c>
    </row>
    <row r="1487" spans="1:32" ht="15.75" customHeight="1">
      <c r="A1487" s="334" t="str">
        <f>IF(B1487&lt;&gt;"",IF(AND(B1487='IN-TC'!$S$4,OR(TH!N1484="1111",TH!O1484="1111")),TH!D1484,""),"")</f>
        <v/>
      </c>
      <c r="B1487" s="63">
        <f t="shared" si="186"/>
        <v>3</v>
      </c>
      <c r="C1487" s="64">
        <v>42460</v>
      </c>
      <c r="D1487" s="64" t="s">
        <v>2244</v>
      </c>
      <c r="E1487" s="64">
        <f>C1487</f>
        <v>42460</v>
      </c>
      <c r="F1487" s="72" t="s">
        <v>1354</v>
      </c>
      <c r="G1487" s="972"/>
      <c r="H1487" s="342" t="s">
        <v>1356</v>
      </c>
      <c r="I1487" s="437"/>
      <c r="J1487" s="437"/>
      <c r="K1487" s="428"/>
      <c r="L1487" s="437"/>
      <c r="M1487" s="65">
        <v>1796363</v>
      </c>
      <c r="N1487" s="66" t="s">
        <v>101</v>
      </c>
      <c r="O1487" s="66" t="s">
        <v>63</v>
      </c>
      <c r="P1487" s="82" t="str">
        <f>IF(AND('331-CT'!$E$7=TH!H1484,OR(N1487="331",O1487="331")),"x","")</f>
        <v/>
      </c>
      <c r="Q1487" s="82" t="str">
        <f>IF(AND(B1487='111'!$L$11,OR($N1487=$Q$7,$O1487=$Q$7)),"x","")</f>
        <v/>
      </c>
      <c r="R1487" s="82" t="str">
        <f>IF(AND($N1487=$Q$7,$B1487&lt;'111'!$L$11),"x","")</f>
        <v/>
      </c>
      <c r="S1487" s="82" t="str">
        <f>IF(AND($O1487=$Q$7,$B1487&lt;'111'!$L$11),"x","")</f>
        <v>x</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IF(OR(TH!N1484=TH!$X$7,O1487=TH!$X$7),"x","")</f>
        <v/>
      </c>
      <c r="Y1487" s="82" t="str">
        <f>IF(AND(OR(N1487="131",O1487="131"),H1487='131-CT'!$H$9),"x","")</f>
        <v/>
      </c>
      <c r="Z1487" s="82"/>
      <c r="AA1487" s="82" t="str">
        <f>IF(AND(MONTH(E1487)='IN-NX'!$J$5,'IN-NX'!$D$7=D1487),"x","")</f>
        <v/>
      </c>
      <c r="AB1487" s="82" t="str">
        <f>IF(AND(OR(LEFT(TH!N1484,2)="15",LEFT(TH!O1484,2)="15"),LEFT(TH!O1484,3)&lt;&gt;"111",'152-CT'!$J$8=TH!F1484),"x","")</f>
        <v/>
      </c>
      <c r="AC1487" s="82" t="str">
        <f>IF(AND(OR(LEFT(TH!N1484,2)="15",LEFT(TH!O1484,2)="15"),TK!$E$7=TH!F1484),"x","")</f>
        <v/>
      </c>
      <c r="AD1487" s="82" t="str">
        <f>IF(AND(N1487="1521",MONTH(C1487)='BK-NL'!$M$11),"x","")</f>
        <v/>
      </c>
    </row>
    <row r="1488" spans="1:32" s="345" customFormat="1" ht="15.75" customHeight="1">
      <c r="A1488" s="334" t="str">
        <f>IF(B1488&lt;&gt;"",IF(AND(B1488='IN-TC'!$S$4,OR(TH!N1485="1111",TH!O1485="1111")),TH!D1485,""),"")</f>
        <v/>
      </c>
      <c r="B1488" s="63">
        <f t="shared" si="186"/>
        <v>3</v>
      </c>
      <c r="C1488" s="64">
        <v>42460</v>
      </c>
      <c r="D1488" s="64" t="s">
        <v>2244</v>
      </c>
      <c r="E1488" s="64">
        <f>C1488</f>
        <v>42460</v>
      </c>
      <c r="F1488" s="72" t="s">
        <v>1355</v>
      </c>
      <c r="G1488" s="972"/>
      <c r="H1488" s="342" t="s">
        <v>1356</v>
      </c>
      <c r="I1488" s="437"/>
      <c r="J1488" s="437"/>
      <c r="K1488" s="428"/>
      <c r="L1488" s="437"/>
      <c r="M1488" s="65">
        <v>179637</v>
      </c>
      <c r="N1488" s="66" t="s">
        <v>9</v>
      </c>
      <c r="O1488" s="66" t="s">
        <v>63</v>
      </c>
      <c r="P1488" s="82" t="str">
        <f>IF(AND('331-CT'!$E$7=TH!H1485,OR(N1488="331",O1488="331")),"x","")</f>
        <v/>
      </c>
      <c r="Q1488" s="82" t="str">
        <f>IF(AND(B1488='111'!$L$11,OR($N1488=$Q$7,$O1488=$Q$7)),"x","")</f>
        <v/>
      </c>
      <c r="R1488" s="82" t="str">
        <f>IF(AND($N1488=$Q$7,$B1488&lt;'111'!$L$11),"x","")</f>
        <v/>
      </c>
      <c r="S1488" s="82" t="str">
        <f>IF(AND($O1488=$Q$7,$B1488&lt;'111'!$L$11),"x","")</f>
        <v>x</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IF(OR(TH!N1485=TH!$X$7,O1488=TH!$X$7),"x","")</f>
        <v>x</v>
      </c>
      <c r="Y1488" s="82" t="str">
        <f>IF(AND(OR(N1488="131",O1488="131"),H1488='131-CT'!$H$9),"x","")</f>
        <v/>
      </c>
      <c r="Z1488" s="82"/>
      <c r="AA1488" s="82" t="str">
        <f>IF(AND(MONTH(E1488)='IN-NX'!$J$5,'IN-NX'!$D$7=D1488),"x","")</f>
        <v/>
      </c>
      <c r="AB1488" s="82" t="str">
        <f>IF(AND(OR(LEFT(TH!N1485,2)="15",LEFT(TH!O1485,2)="15"),LEFT(TH!O1485,3)&lt;&gt;"111",'152-CT'!$J$8=TH!F1485),"x","")</f>
        <v/>
      </c>
      <c r="AC1488" s="82" t="str">
        <f>IF(AND(OR(LEFT(TH!N1485,2)="15",LEFT(TH!O1485,2)="15"),TK!$E$7=TH!F1485),"x","")</f>
        <v/>
      </c>
      <c r="AD1488" s="82" t="str">
        <f>IF(AND(N1488="1521",MONTH(C1488)='BK-NL'!$M$11),"x","")</f>
        <v/>
      </c>
      <c r="AE1488" s="328"/>
      <c r="AF1488" s="328"/>
    </row>
    <row r="1489" spans="1:31" s="341" customFormat="1" ht="15.75" customHeight="1">
      <c r="A1489" s="334" t="str">
        <f>IF(B1489&lt;&gt;"",IF(AND(B1489='IN-TC'!$S$4,OR(TH!N1489="1111",TH!O1489="1111")),TH!D1489,""),"")</f>
        <v/>
      </c>
      <c r="B1489" s="993">
        <f t="shared" si="186"/>
        <v>1</v>
      </c>
      <c r="C1489" s="78">
        <v>42400</v>
      </c>
      <c r="D1489" s="78" t="s">
        <v>579</v>
      </c>
      <c r="E1489" s="78">
        <v>42370</v>
      </c>
      <c r="F1489" s="72" t="s">
        <v>632</v>
      </c>
      <c r="G1489" s="79" t="s">
        <v>652</v>
      </c>
      <c r="H1489" s="80" t="s">
        <v>628</v>
      </c>
      <c r="I1489" s="435"/>
      <c r="J1489" s="435"/>
      <c r="K1489" s="426"/>
      <c r="L1489" s="435"/>
      <c r="M1489" s="81">
        <v>10134000</v>
      </c>
      <c r="N1489" s="82" t="s">
        <v>588</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c r="AE1489" s="341" t="str">
        <f t="shared" ref="AE1489:AE1520" si="187">IF(H1489&lt;&gt;VLOOKUP(H1489,DSKH,1,0),"","x")</f>
        <v>x</v>
      </c>
    </row>
    <row r="1490" spans="1:31" s="341" customFormat="1" ht="15.75" customHeight="1">
      <c r="A1490" s="334" t="str">
        <f>IF(B1490&lt;&gt;"",IF(AND(B1490='IN-TC'!$S$4,OR(TH!N1490="1111",TH!O1490="1111")),TH!D1490,""),"")</f>
        <v/>
      </c>
      <c r="B1490" s="993">
        <f t="shared" si="186"/>
        <v>1</v>
      </c>
      <c r="C1490" s="78">
        <v>42400</v>
      </c>
      <c r="D1490" s="78" t="s">
        <v>579</v>
      </c>
      <c r="E1490" s="78">
        <v>42370</v>
      </c>
      <c r="F1490" s="72" t="s">
        <v>633</v>
      </c>
      <c r="G1490" s="79" t="s">
        <v>653</v>
      </c>
      <c r="H1490" s="80" t="s">
        <v>628</v>
      </c>
      <c r="I1490" s="435"/>
      <c r="J1490" s="435"/>
      <c r="K1490" s="426"/>
      <c r="L1490" s="435"/>
      <c r="M1490" s="81">
        <v>6823560</v>
      </c>
      <c r="N1490" s="82" t="s">
        <v>588</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341" t="str">
        <f t="shared" si="187"/>
        <v>x</v>
      </c>
    </row>
    <row r="1491" spans="1:31" s="341" customFormat="1" ht="15.75" customHeight="1">
      <c r="A1491" s="334" t="str">
        <f>IF(B1491&lt;&gt;"",IF(AND(B1491='IN-TC'!$S$4,OR(TH!N1491="1111",TH!O1491="1111")),TH!D1491,""),"")</f>
        <v/>
      </c>
      <c r="B1491" s="993">
        <f t="shared" si="186"/>
        <v>1</v>
      </c>
      <c r="C1491" s="78">
        <v>42400</v>
      </c>
      <c r="D1491" s="78" t="s">
        <v>579</v>
      </c>
      <c r="E1491" s="78">
        <v>42370</v>
      </c>
      <c r="F1491" s="72" t="s">
        <v>634</v>
      </c>
      <c r="G1491" s="79" t="s">
        <v>653</v>
      </c>
      <c r="H1491" s="80" t="s">
        <v>628</v>
      </c>
      <c r="I1491" s="435"/>
      <c r="J1491" s="435"/>
      <c r="K1491" s="426"/>
      <c r="L1491" s="435"/>
      <c r="M1491" s="81">
        <v>682356</v>
      </c>
      <c r="N1491" s="82" t="s">
        <v>9</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x</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c r="AE1491" s="341" t="str">
        <f t="shared" si="187"/>
        <v>x</v>
      </c>
    </row>
    <row r="1492" spans="1:31" s="341" customFormat="1" ht="15.75" customHeight="1">
      <c r="A1492" s="334" t="str">
        <f>IF(B1492&lt;&gt;"",IF(AND(B1492='IN-TC'!$S$4,OR(TH!N1492="1111",TH!O1492="1111")),TH!D1492,""),"")</f>
        <v/>
      </c>
      <c r="B1492" s="993">
        <f t="shared" si="186"/>
        <v>1</v>
      </c>
      <c r="C1492" s="78">
        <v>42400</v>
      </c>
      <c r="D1492" s="78" t="s">
        <v>579</v>
      </c>
      <c r="E1492" s="78">
        <v>42369</v>
      </c>
      <c r="F1492" s="72" t="s">
        <v>635</v>
      </c>
      <c r="G1492" s="79" t="s">
        <v>654</v>
      </c>
      <c r="H1492" s="80" t="s">
        <v>626</v>
      </c>
      <c r="I1492" s="435"/>
      <c r="J1492" s="435"/>
      <c r="K1492" s="426"/>
      <c r="L1492" s="435"/>
      <c r="M1492" s="81">
        <v>4645000</v>
      </c>
      <c r="N1492" s="82" t="s">
        <v>588</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c r="AE1492" s="341" t="str">
        <f t="shared" si="187"/>
        <v>x</v>
      </c>
    </row>
    <row r="1493" spans="1:31" s="341" customFormat="1" ht="15.75" customHeight="1">
      <c r="A1493" s="334" t="str">
        <f>IF(B1493&lt;&gt;"",IF(AND(B1493='IN-TC'!$S$4,OR(TH!N1493="1111",TH!O1493="1111")),TH!D1493,""),"")</f>
        <v/>
      </c>
      <c r="B1493" s="993">
        <f t="shared" si="186"/>
        <v>1</v>
      </c>
      <c r="C1493" s="78">
        <v>42400</v>
      </c>
      <c r="D1493" s="78" t="s">
        <v>579</v>
      </c>
      <c r="E1493" s="78">
        <v>42369</v>
      </c>
      <c r="F1493" s="72" t="s">
        <v>635</v>
      </c>
      <c r="G1493" s="79" t="s">
        <v>655</v>
      </c>
      <c r="H1493" s="80" t="s">
        <v>626</v>
      </c>
      <c r="I1493" s="435"/>
      <c r="J1493" s="435"/>
      <c r="K1493" s="426"/>
      <c r="L1493" s="435"/>
      <c r="M1493" s="81">
        <v>1300000</v>
      </c>
      <c r="N1493" s="82" t="s">
        <v>588</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c r="AE1493" s="341" t="str">
        <f t="shared" si="187"/>
        <v>x</v>
      </c>
    </row>
    <row r="1494" spans="1:31" s="341" customFormat="1" ht="15.75" customHeight="1">
      <c r="A1494" s="334" t="str">
        <f>IF(B1494&lt;&gt;"",IF(AND(B1494='IN-TC'!$S$4,OR(TH!N1494="1111",TH!O1494="1111")),TH!D1494,""),"")</f>
        <v/>
      </c>
      <c r="B1494" s="993">
        <f t="shared" si="186"/>
        <v>1</v>
      </c>
      <c r="C1494" s="78">
        <v>42400</v>
      </c>
      <c r="D1494" s="78" t="s">
        <v>579</v>
      </c>
      <c r="E1494" s="78">
        <v>42380</v>
      </c>
      <c r="F1494" s="72" t="s">
        <v>636</v>
      </c>
      <c r="G1494" s="79" t="s">
        <v>656</v>
      </c>
      <c r="H1494" s="80" t="s">
        <v>627</v>
      </c>
      <c r="I1494" s="435"/>
      <c r="J1494" s="435"/>
      <c r="K1494" s="426"/>
      <c r="L1494" s="435"/>
      <c r="M1494" s="81">
        <v>2000000</v>
      </c>
      <c r="N1494" s="82" t="s">
        <v>588</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c r="AE1494" s="341" t="str">
        <f t="shared" si="187"/>
        <v>x</v>
      </c>
    </row>
    <row r="1495" spans="1:31" s="341" customFormat="1" ht="15.75" customHeight="1">
      <c r="A1495" s="334" t="str">
        <f>IF(B1495&lt;&gt;"",IF(AND(B1495='IN-TC'!$S$4,OR(TH!N1495="1111",TH!O1495="1111")),TH!D1495,""),"")</f>
        <v/>
      </c>
      <c r="B1495" s="993">
        <f t="shared" si="186"/>
        <v>1</v>
      </c>
      <c r="C1495" s="78">
        <v>42400</v>
      </c>
      <c r="D1495" s="78" t="s">
        <v>579</v>
      </c>
      <c r="E1495" s="78">
        <v>42380</v>
      </c>
      <c r="F1495" s="72" t="s">
        <v>637</v>
      </c>
      <c r="G1495" s="79" t="s">
        <v>656</v>
      </c>
      <c r="H1495" s="80" t="s">
        <v>627</v>
      </c>
      <c r="I1495" s="435"/>
      <c r="J1495" s="435"/>
      <c r="K1495" s="426"/>
      <c r="L1495" s="435"/>
      <c r="M1495" s="81">
        <v>200000</v>
      </c>
      <c r="N1495" s="82" t="s">
        <v>9</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x</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c r="AE1495" s="341" t="str">
        <f t="shared" si="187"/>
        <v>x</v>
      </c>
    </row>
    <row r="1496" spans="1:31" s="341" customFormat="1" ht="15.75" customHeight="1">
      <c r="A1496" s="334" t="str">
        <f>IF(B1496&lt;&gt;"",IF(AND(B1496='IN-TC'!$S$4,OR(TH!N1496="1111",TH!O1496="1111")),TH!D1496,""),"")</f>
        <v/>
      </c>
      <c r="B1496" s="993">
        <f t="shared" si="186"/>
        <v>1</v>
      </c>
      <c r="C1496" s="78">
        <v>42400</v>
      </c>
      <c r="D1496" s="78" t="s">
        <v>579</v>
      </c>
      <c r="E1496" s="78">
        <v>42381</v>
      </c>
      <c r="F1496" s="72" t="s">
        <v>636</v>
      </c>
      <c r="G1496" s="79" t="s">
        <v>657</v>
      </c>
      <c r="H1496" s="80" t="s">
        <v>627</v>
      </c>
      <c r="I1496" s="435"/>
      <c r="J1496" s="435"/>
      <c r="K1496" s="426"/>
      <c r="L1496" s="435"/>
      <c r="M1496" s="81">
        <v>2000000</v>
      </c>
      <c r="N1496" s="82" t="s">
        <v>588</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c r="AE1496" s="341" t="str">
        <f t="shared" si="187"/>
        <v>x</v>
      </c>
    </row>
    <row r="1497" spans="1:31" s="341" customFormat="1" ht="15.75" customHeight="1">
      <c r="A1497" s="334" t="str">
        <f>IF(B1497&lt;&gt;"",IF(AND(B1497='IN-TC'!$S$4,OR(TH!N1497="1111",TH!O1497="1111")),TH!D1497,""),"")</f>
        <v/>
      </c>
      <c r="B1497" s="993">
        <f t="shared" si="186"/>
        <v>1</v>
      </c>
      <c r="C1497" s="78">
        <v>42400</v>
      </c>
      <c r="D1497" s="78" t="s">
        <v>579</v>
      </c>
      <c r="E1497" s="78">
        <v>42381</v>
      </c>
      <c r="F1497" s="72" t="s">
        <v>637</v>
      </c>
      <c r="G1497" s="79" t="s">
        <v>657</v>
      </c>
      <c r="H1497" s="80" t="s">
        <v>627</v>
      </c>
      <c r="I1497" s="435"/>
      <c r="J1497" s="435"/>
      <c r="K1497" s="426"/>
      <c r="L1497" s="435"/>
      <c r="M1497" s="81">
        <v>200000</v>
      </c>
      <c r="N1497" s="82" t="s">
        <v>9</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x</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c r="AE1497" s="341" t="str">
        <f t="shared" si="187"/>
        <v>x</v>
      </c>
    </row>
    <row r="1498" spans="1:31" s="341" customFormat="1" ht="15.75" customHeight="1">
      <c r="A1498" s="334" t="str">
        <f>IF(B1498&lt;&gt;"",IF(AND(B1498='IN-TC'!$S$4,OR(TH!N1498="1111",TH!O1498="1111")),TH!D1498,""),"")</f>
        <v/>
      </c>
      <c r="B1498" s="993">
        <f t="shared" si="186"/>
        <v>1</v>
      </c>
      <c r="C1498" s="78">
        <v>42400</v>
      </c>
      <c r="D1498" s="78" t="s">
        <v>579</v>
      </c>
      <c r="E1498" s="78">
        <v>42394</v>
      </c>
      <c r="F1498" s="72" t="s">
        <v>636</v>
      </c>
      <c r="G1498" s="79" t="s">
        <v>658</v>
      </c>
      <c r="H1498" s="80" t="s">
        <v>627</v>
      </c>
      <c r="I1498" s="435"/>
      <c r="J1498" s="435"/>
      <c r="K1498" s="426"/>
      <c r="L1498" s="435"/>
      <c r="M1498" s="81">
        <v>1818182</v>
      </c>
      <c r="N1498" s="82" t="s">
        <v>588</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c r="AE1498" s="341" t="str">
        <f t="shared" si="187"/>
        <v>x</v>
      </c>
    </row>
    <row r="1499" spans="1:31" s="341" customFormat="1" ht="15.75" customHeight="1">
      <c r="A1499" s="334" t="str">
        <f>IF(B1499&lt;&gt;"",IF(AND(B1499='IN-TC'!$S$4,OR(TH!N1499="1111",TH!O1499="1111")),TH!D1499,""),"")</f>
        <v/>
      </c>
      <c r="B1499" s="993">
        <f t="shared" si="186"/>
        <v>1</v>
      </c>
      <c r="C1499" s="78">
        <v>42400</v>
      </c>
      <c r="D1499" s="78" t="s">
        <v>579</v>
      </c>
      <c r="E1499" s="78">
        <v>42394</v>
      </c>
      <c r="F1499" s="72" t="s">
        <v>637</v>
      </c>
      <c r="G1499" s="79" t="s">
        <v>658</v>
      </c>
      <c r="H1499" s="80" t="s">
        <v>627</v>
      </c>
      <c r="I1499" s="435"/>
      <c r="J1499" s="435"/>
      <c r="K1499" s="426"/>
      <c r="L1499" s="435"/>
      <c r="M1499" s="81">
        <v>181818</v>
      </c>
      <c r="N1499" s="82" t="s">
        <v>9</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x</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c r="AE1499" s="341" t="str">
        <f t="shared" si="187"/>
        <v>x</v>
      </c>
    </row>
    <row r="1500" spans="1:31" s="341" customFormat="1" ht="15.75" customHeight="1">
      <c r="A1500" s="334" t="str">
        <f>IF(B1500&lt;&gt;"",IF(AND(B1500='IN-TC'!$S$4,OR(TH!N1500="1111",TH!O1500="1111")),TH!D1500,""),"")</f>
        <v/>
      </c>
      <c r="B1500" s="993">
        <f t="shared" si="186"/>
        <v>1</v>
      </c>
      <c r="C1500" s="78">
        <v>42400</v>
      </c>
      <c r="D1500" s="78" t="s">
        <v>579</v>
      </c>
      <c r="E1500" s="78">
        <v>42398</v>
      </c>
      <c r="F1500" s="72" t="s">
        <v>632</v>
      </c>
      <c r="G1500" s="79" t="s">
        <v>659</v>
      </c>
      <c r="H1500" s="80" t="s">
        <v>628</v>
      </c>
      <c r="I1500" s="435"/>
      <c r="J1500" s="435"/>
      <c r="K1500" s="426"/>
      <c r="L1500" s="435"/>
      <c r="M1500" s="81">
        <v>11135000</v>
      </c>
      <c r="N1500" s="82" t="s">
        <v>588</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c r="AE1500" s="341" t="str">
        <f t="shared" si="187"/>
        <v>x</v>
      </c>
    </row>
    <row r="1501" spans="1:31" s="341" customFormat="1" ht="15.75" customHeight="1">
      <c r="A1501" s="334" t="str">
        <f>IF(B1501&lt;&gt;"",IF(AND(B1501='IN-TC'!$S$4,OR(TH!N1501="1111",TH!O1501="1111")),TH!D1501,""),"")</f>
        <v/>
      </c>
      <c r="B1501" s="993">
        <f t="shared" si="186"/>
        <v>1</v>
      </c>
      <c r="C1501" s="78">
        <v>42400</v>
      </c>
      <c r="D1501" s="78" t="s">
        <v>579</v>
      </c>
      <c r="E1501" s="78">
        <v>42398</v>
      </c>
      <c r="F1501" s="72" t="s">
        <v>638</v>
      </c>
      <c r="G1501" s="79" t="s">
        <v>660</v>
      </c>
      <c r="H1501" s="80" t="s">
        <v>628</v>
      </c>
      <c r="I1501" s="435"/>
      <c r="J1501" s="435"/>
      <c r="K1501" s="426"/>
      <c r="L1501" s="435"/>
      <c r="M1501" s="81">
        <v>5077560</v>
      </c>
      <c r="N1501" s="82" t="s">
        <v>588</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c r="AE1501" s="341" t="str">
        <f t="shared" si="187"/>
        <v>x</v>
      </c>
    </row>
    <row r="1502" spans="1:31" s="341" customFormat="1" ht="15.75" customHeight="1">
      <c r="A1502" s="334" t="str">
        <f>IF(B1502&lt;&gt;"",IF(AND(B1502='IN-TC'!$S$4,OR(TH!N1502="1111",TH!O1502="1111")),TH!D1502,""),"")</f>
        <v/>
      </c>
      <c r="B1502" s="993">
        <f t="shared" si="186"/>
        <v>1</v>
      </c>
      <c r="C1502" s="78">
        <v>42400</v>
      </c>
      <c r="D1502" s="78" t="s">
        <v>579</v>
      </c>
      <c r="E1502" s="78">
        <v>42398</v>
      </c>
      <c r="F1502" s="72" t="s">
        <v>639</v>
      </c>
      <c r="G1502" s="79" t="s">
        <v>660</v>
      </c>
      <c r="H1502" s="80" t="s">
        <v>628</v>
      </c>
      <c r="I1502" s="435"/>
      <c r="J1502" s="435"/>
      <c r="K1502" s="426"/>
      <c r="L1502" s="435"/>
      <c r="M1502" s="81">
        <v>507756</v>
      </c>
      <c r="N1502" s="82" t="s">
        <v>9</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x</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c r="AE1502" s="341" t="str">
        <f t="shared" si="187"/>
        <v>x</v>
      </c>
    </row>
    <row r="1503" spans="1:31" s="341" customFormat="1" ht="15.75" customHeight="1">
      <c r="A1503" s="334" t="str">
        <f>IF(B1503&lt;&gt;"",IF(AND(B1503='IN-TC'!$S$4,OR(TH!N1503="1111",TH!O1503="1111")),TH!D1503,""),"")</f>
        <v/>
      </c>
      <c r="B1503" s="993">
        <f t="shared" si="186"/>
        <v>1</v>
      </c>
      <c r="C1503" s="78">
        <v>42400</v>
      </c>
      <c r="D1503" s="78" t="s">
        <v>579</v>
      </c>
      <c r="E1503" s="78">
        <v>42398</v>
      </c>
      <c r="F1503" s="72" t="s">
        <v>632</v>
      </c>
      <c r="G1503" s="79" t="s">
        <v>661</v>
      </c>
      <c r="H1503" s="80" t="s">
        <v>628</v>
      </c>
      <c r="I1503" s="435"/>
      <c r="J1503" s="435"/>
      <c r="K1503" s="426"/>
      <c r="L1503" s="435"/>
      <c r="M1503" s="81">
        <v>23383500</v>
      </c>
      <c r="N1503" s="82" t="s">
        <v>588</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c r="AE1503" s="341" t="str">
        <f t="shared" si="187"/>
        <v>x</v>
      </c>
    </row>
    <row r="1504" spans="1:31" s="341" customFormat="1" ht="15.75" customHeight="1">
      <c r="A1504" s="334" t="str">
        <f>IF(B1504&lt;&gt;"",IF(AND(B1504='IN-TC'!$S$4,OR(TH!N1504="1111",TH!O1504="1111")),TH!D1504,""),"")</f>
        <v/>
      </c>
      <c r="B1504" s="993">
        <f t="shared" si="186"/>
        <v>1</v>
      </c>
      <c r="C1504" s="78">
        <v>42400</v>
      </c>
      <c r="D1504" s="78" t="s">
        <v>579</v>
      </c>
      <c r="E1504" s="78">
        <v>42398</v>
      </c>
      <c r="F1504" s="72" t="s">
        <v>633</v>
      </c>
      <c r="G1504" s="79" t="s">
        <v>662</v>
      </c>
      <c r="H1504" s="80" t="s">
        <v>628</v>
      </c>
      <c r="I1504" s="435"/>
      <c r="J1504" s="435"/>
      <c r="K1504" s="426"/>
      <c r="L1504" s="435"/>
      <c r="M1504" s="81">
        <v>6413760</v>
      </c>
      <c r="N1504" s="82" t="s">
        <v>588</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c r="AE1504" s="341" t="str">
        <f t="shared" si="187"/>
        <v>x</v>
      </c>
    </row>
    <row r="1505" spans="1:31" s="341" customFormat="1" ht="15.75" customHeight="1">
      <c r="A1505" s="334" t="str">
        <f>IF(B1505&lt;&gt;"",IF(AND(B1505='IN-TC'!$S$4,OR(TH!N1505="1111",TH!O1505="1111")),TH!D1505,""),"")</f>
        <v/>
      </c>
      <c r="B1505" s="993">
        <f t="shared" si="186"/>
        <v>1</v>
      </c>
      <c r="C1505" s="78">
        <v>42400</v>
      </c>
      <c r="D1505" s="78" t="s">
        <v>579</v>
      </c>
      <c r="E1505" s="78">
        <v>42398</v>
      </c>
      <c r="F1505" s="72" t="s">
        <v>634</v>
      </c>
      <c r="G1505" s="79" t="s">
        <v>662</v>
      </c>
      <c r="H1505" s="80" t="s">
        <v>628</v>
      </c>
      <c r="I1505" s="435"/>
      <c r="J1505" s="435"/>
      <c r="K1505" s="426"/>
      <c r="L1505" s="435"/>
      <c r="M1505" s="81">
        <v>641376</v>
      </c>
      <c r="N1505" s="1172" t="s">
        <v>9</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x</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c r="AE1505" s="341" t="str">
        <f t="shared" si="187"/>
        <v>x</v>
      </c>
    </row>
    <row r="1506" spans="1:31" s="341" customFormat="1" ht="15.75" customHeight="1">
      <c r="A1506" s="334" t="str">
        <f>IF(B1506&lt;&gt;"",IF(AND(B1506='IN-TC'!$S$4,OR(TH!N1506="1111",TH!O1506="1111")),TH!D1506,""),"")</f>
        <v/>
      </c>
      <c r="B1506" s="993">
        <f t="shared" si="186"/>
        <v>1</v>
      </c>
      <c r="C1506" s="78">
        <v>42400</v>
      </c>
      <c r="D1506" s="78" t="s">
        <v>579</v>
      </c>
      <c r="E1506" s="78">
        <v>42400</v>
      </c>
      <c r="F1506" s="72" t="s">
        <v>636</v>
      </c>
      <c r="G1506" s="79" t="s">
        <v>663</v>
      </c>
      <c r="H1506" s="80" t="s">
        <v>627</v>
      </c>
      <c r="I1506" s="435"/>
      <c r="J1506" s="435"/>
      <c r="K1506" s="426"/>
      <c r="L1506" s="435"/>
      <c r="M1506" s="81">
        <v>2000000</v>
      </c>
      <c r="N1506" s="82" t="s">
        <v>588</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c r="AE1506" s="341" t="str">
        <f t="shared" si="187"/>
        <v>x</v>
      </c>
    </row>
    <row r="1507" spans="1:31" s="341" customFormat="1" ht="15.75" customHeight="1">
      <c r="A1507" s="334" t="str">
        <f>IF(B1507&lt;&gt;"",IF(AND(B1507='IN-TC'!$S$4,OR(TH!N1507="1111",TH!O1507="1111")),TH!D1507,""),"")</f>
        <v/>
      </c>
      <c r="B1507" s="993">
        <f t="shared" si="186"/>
        <v>1</v>
      </c>
      <c r="C1507" s="78">
        <v>42400</v>
      </c>
      <c r="D1507" s="78" t="s">
        <v>579</v>
      </c>
      <c r="E1507" s="78">
        <v>42400</v>
      </c>
      <c r="F1507" s="72" t="s">
        <v>637</v>
      </c>
      <c r="G1507" s="79" t="s">
        <v>663</v>
      </c>
      <c r="H1507" s="80" t="s">
        <v>627</v>
      </c>
      <c r="I1507" s="435"/>
      <c r="J1507" s="435"/>
      <c r="K1507" s="426"/>
      <c r="L1507" s="435"/>
      <c r="M1507" s="81">
        <v>200000</v>
      </c>
      <c r="N1507" s="82" t="s">
        <v>9</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x</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c r="AE1507" s="341" t="str">
        <f t="shared" si="187"/>
        <v>x</v>
      </c>
    </row>
    <row r="1508" spans="1:31" s="341" customFormat="1" ht="15.75" customHeight="1">
      <c r="A1508" s="334" t="str">
        <f>IF(B1508&lt;&gt;"",IF(AND(B1508='IN-TC'!$S$4,OR(TH!N1508="1111",TH!O1508="1111")),TH!D1508,""),"")</f>
        <v/>
      </c>
      <c r="B1508" s="993">
        <f t="shared" si="186"/>
        <v>1</v>
      </c>
      <c r="C1508" s="78">
        <v>42400</v>
      </c>
      <c r="D1508" s="78" t="s">
        <v>579</v>
      </c>
      <c r="E1508" s="78">
        <v>42375</v>
      </c>
      <c r="F1508" s="72" t="s">
        <v>640</v>
      </c>
      <c r="G1508" s="975" t="s">
        <v>664</v>
      </c>
      <c r="H1508" s="80" t="s">
        <v>629</v>
      </c>
      <c r="I1508" s="435"/>
      <c r="J1508" s="435"/>
      <c r="K1508" s="426"/>
      <c r="L1508" s="435"/>
      <c r="M1508" s="81">
        <v>24653000</v>
      </c>
      <c r="N1508" s="82" t="s">
        <v>282</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c r="AE1508" s="341" t="str">
        <f t="shared" si="187"/>
        <v>x</v>
      </c>
    </row>
    <row r="1509" spans="1:31" s="341" customFormat="1" ht="15.75" customHeight="1">
      <c r="A1509" s="334" t="str">
        <f>IF(B1509&lt;&gt;"",IF(AND(B1509='IN-TC'!$S$4,OR(TH!N1509="1111",TH!O1509="1111")),TH!D1509,""),"")</f>
        <v/>
      </c>
      <c r="B1509" s="993">
        <f t="shared" si="186"/>
        <v>1</v>
      </c>
      <c r="C1509" s="78">
        <v>42400</v>
      </c>
      <c r="D1509" s="78" t="s">
        <v>579</v>
      </c>
      <c r="E1509" s="78">
        <v>42375</v>
      </c>
      <c r="F1509" s="72" t="s">
        <v>641</v>
      </c>
      <c r="G1509" s="975" t="s">
        <v>664</v>
      </c>
      <c r="H1509" s="80" t="s">
        <v>629</v>
      </c>
      <c r="I1509" s="435"/>
      <c r="J1509" s="435"/>
      <c r="K1509" s="426"/>
      <c r="L1509" s="435"/>
      <c r="M1509" s="81">
        <v>2465300</v>
      </c>
      <c r="N1509" s="82" t="s">
        <v>9</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x</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c r="AE1509" s="341" t="str">
        <f t="shared" si="187"/>
        <v>x</v>
      </c>
    </row>
    <row r="1510" spans="1:31" s="341" customFormat="1" ht="15.75" customHeight="1">
      <c r="A1510" s="334" t="str">
        <f>IF(B1510&lt;&gt;"",IF(AND(B1510='IN-TC'!$S$4,OR(TH!N1510="1111",TH!O1510="1111")),TH!D1510,""),"")</f>
        <v/>
      </c>
      <c r="B1510" s="993">
        <f t="shared" si="186"/>
        <v>1</v>
      </c>
      <c r="C1510" s="78">
        <v>42400</v>
      </c>
      <c r="D1510" s="78" t="s">
        <v>579</v>
      </c>
      <c r="E1510" s="78">
        <v>42385</v>
      </c>
      <c r="F1510" s="72" t="s">
        <v>642</v>
      </c>
      <c r="G1510" s="79" t="s">
        <v>665</v>
      </c>
      <c r="H1510" s="80" t="s">
        <v>629</v>
      </c>
      <c r="I1510" s="435"/>
      <c r="J1510" s="435"/>
      <c r="K1510" s="426"/>
      <c r="L1510" s="435"/>
      <c r="M1510" s="81">
        <v>29327400</v>
      </c>
      <c r="N1510" s="1172" t="s">
        <v>282</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c r="AE1510" s="341" t="str">
        <f t="shared" si="187"/>
        <v>x</v>
      </c>
    </row>
    <row r="1511" spans="1:31" s="341" customFormat="1" ht="15.75" customHeight="1">
      <c r="A1511" s="334" t="str">
        <f>IF(B1511&lt;&gt;"",IF(AND(B1511='IN-TC'!$S$4,OR(TH!N1511="1111",TH!O1511="1111")),TH!D1511,""),"")</f>
        <v/>
      </c>
      <c r="B1511" s="993">
        <f t="shared" si="186"/>
        <v>1</v>
      </c>
      <c r="C1511" s="78">
        <v>42400</v>
      </c>
      <c r="D1511" s="78" t="s">
        <v>579</v>
      </c>
      <c r="E1511" s="78">
        <v>42385</v>
      </c>
      <c r="F1511" s="72" t="s">
        <v>643</v>
      </c>
      <c r="G1511" s="79" t="s">
        <v>665</v>
      </c>
      <c r="H1511" s="80" t="s">
        <v>629</v>
      </c>
      <c r="I1511" s="435"/>
      <c r="J1511" s="435"/>
      <c r="K1511" s="426"/>
      <c r="L1511" s="435"/>
      <c r="M1511" s="81">
        <v>2932740</v>
      </c>
      <c r="N1511" s="82" t="s">
        <v>9</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x</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c r="AE1511" s="341" t="str">
        <f t="shared" si="187"/>
        <v>x</v>
      </c>
    </row>
    <row r="1512" spans="1:31" s="341" customFormat="1" ht="15.75" customHeight="1">
      <c r="A1512" s="334" t="str">
        <f>IF(B1512&lt;&gt;"",IF(AND(B1512='IN-TC'!$S$4,OR(TH!N1512="1111",TH!O1512="1111")),TH!D1512,""),"")</f>
        <v/>
      </c>
      <c r="B1512" s="993">
        <f t="shared" si="186"/>
        <v>1</v>
      </c>
      <c r="C1512" s="78">
        <v>42400</v>
      </c>
      <c r="D1512" s="78" t="s">
        <v>579</v>
      </c>
      <c r="E1512" s="78">
        <v>42395</v>
      </c>
      <c r="F1512" s="72" t="s">
        <v>644</v>
      </c>
      <c r="G1512" s="79" t="s">
        <v>666</v>
      </c>
      <c r="H1512" s="80" t="s">
        <v>629</v>
      </c>
      <c r="I1512" s="435"/>
      <c r="J1512" s="435"/>
      <c r="K1512" s="426"/>
      <c r="L1512" s="435"/>
      <c r="M1512" s="81">
        <v>28991500</v>
      </c>
      <c r="N1512" s="82" t="s">
        <v>282</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c r="AE1512" s="341" t="str">
        <f t="shared" si="187"/>
        <v>x</v>
      </c>
    </row>
    <row r="1513" spans="1:31" s="341" customFormat="1" ht="15.75" customHeight="1">
      <c r="A1513" s="334" t="str">
        <f>IF(B1513&lt;&gt;"",IF(AND(B1513='IN-TC'!$S$4,OR(TH!N1513="1111",TH!O1513="1111")),TH!D1513,""),"")</f>
        <v/>
      </c>
      <c r="B1513" s="993">
        <f t="shared" si="186"/>
        <v>1</v>
      </c>
      <c r="C1513" s="78">
        <v>42400</v>
      </c>
      <c r="D1513" s="78" t="s">
        <v>579</v>
      </c>
      <c r="E1513" s="78">
        <v>42395</v>
      </c>
      <c r="F1513" s="72" t="s">
        <v>645</v>
      </c>
      <c r="G1513" s="975" t="s">
        <v>666</v>
      </c>
      <c r="H1513" s="80" t="s">
        <v>629</v>
      </c>
      <c r="I1513" s="435"/>
      <c r="J1513" s="435"/>
      <c r="K1513" s="426"/>
      <c r="L1513" s="435"/>
      <c r="M1513" s="81">
        <v>2899150</v>
      </c>
      <c r="N1513" s="82" t="s">
        <v>9</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x</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c r="AE1513" s="341" t="str">
        <f t="shared" si="187"/>
        <v>x</v>
      </c>
    </row>
    <row r="1514" spans="1:31" s="345" customFormat="1" ht="15.75" customHeight="1">
      <c r="A1514" s="334" t="str">
        <f>IF(B1514&lt;&gt;"",IF(AND(B1514='IN-TC'!$S$4,OR(TH!N1514="1111",TH!O1514="1111")),TH!D1514,""),"")</f>
        <v/>
      </c>
      <c r="B1514" s="993">
        <f t="shared" si="186"/>
        <v>2</v>
      </c>
      <c r="C1514" s="1124">
        <v>42429</v>
      </c>
      <c r="D1514" s="1124" t="s">
        <v>579</v>
      </c>
      <c r="E1514" s="1124">
        <v>42407</v>
      </c>
      <c r="F1514" s="72" t="s">
        <v>632</v>
      </c>
      <c r="G1514" s="994" t="s">
        <v>1069</v>
      </c>
      <c r="H1514" s="320" t="s">
        <v>628</v>
      </c>
      <c r="I1514" s="435"/>
      <c r="J1514" s="435"/>
      <c r="K1514" s="426"/>
      <c r="L1514" s="435"/>
      <c r="M1514" s="81">
        <v>11175000</v>
      </c>
      <c r="N1514" s="82" t="s">
        <v>588</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c r="AE1514" s="341" t="str">
        <f t="shared" si="187"/>
        <v>x</v>
      </c>
    </row>
    <row r="1515" spans="1:31" s="345" customFormat="1" ht="15.75" customHeight="1">
      <c r="A1515" s="334" t="str">
        <f>IF(B1515&lt;&gt;"",IF(AND(B1515='IN-TC'!$S$4,OR(TH!N1515="1111",TH!O1515="1111")),TH!D1515,""),"")</f>
        <v/>
      </c>
      <c r="B1515" s="993">
        <f t="shared" si="186"/>
        <v>2</v>
      </c>
      <c r="C1515" s="1124">
        <v>42429</v>
      </c>
      <c r="D1515" s="1124" t="s">
        <v>579</v>
      </c>
      <c r="E1515" s="1124">
        <v>42407</v>
      </c>
      <c r="F1515" s="72" t="s">
        <v>1075</v>
      </c>
      <c r="G1515" s="994" t="s">
        <v>1070</v>
      </c>
      <c r="H1515" s="320" t="s">
        <v>628</v>
      </c>
      <c r="I1515" s="435"/>
      <c r="J1515" s="435"/>
      <c r="K1515" s="426"/>
      <c r="L1515" s="435"/>
      <c r="M1515" s="81">
        <v>5319300</v>
      </c>
      <c r="N1515" s="82" t="s">
        <v>588</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c r="AE1515" s="341" t="str">
        <f t="shared" si="187"/>
        <v>x</v>
      </c>
    </row>
    <row r="1516" spans="1:31" s="345" customFormat="1" ht="15.75" customHeight="1">
      <c r="A1516" s="334" t="str">
        <f>IF(B1516&lt;&gt;"",IF(AND(B1516='IN-TC'!$S$4,OR(TH!N1516="1111",TH!O1516="1111")),TH!D1516,""),"")</f>
        <v/>
      </c>
      <c r="B1516" s="993">
        <f t="shared" si="186"/>
        <v>2</v>
      </c>
      <c r="C1516" s="1124">
        <v>42429</v>
      </c>
      <c r="D1516" s="1124" t="s">
        <v>579</v>
      </c>
      <c r="E1516" s="1124">
        <v>42407</v>
      </c>
      <c r="F1516" s="72" t="s">
        <v>1076</v>
      </c>
      <c r="G1516" s="994" t="s">
        <v>1070</v>
      </c>
      <c r="H1516" s="320" t="s">
        <v>628</v>
      </c>
      <c r="I1516" s="435"/>
      <c r="J1516" s="435"/>
      <c r="K1516" s="426"/>
      <c r="L1516" s="435"/>
      <c r="M1516" s="81">
        <v>531930</v>
      </c>
      <c r="N1516" s="1118" t="s">
        <v>9</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x</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c r="AE1516" s="341" t="str">
        <f t="shared" si="187"/>
        <v>x</v>
      </c>
    </row>
    <row r="1517" spans="1:31" s="345" customFormat="1" ht="15.75" customHeight="1">
      <c r="A1517" s="334" t="str">
        <f>IF(B1517&lt;&gt;"",IF(AND(B1517='IN-TC'!$S$4,OR(TH!N1517="1111",TH!O1517="1111")),TH!D1517,""),"")</f>
        <v/>
      </c>
      <c r="B1517" s="993">
        <f t="shared" si="186"/>
        <v>2</v>
      </c>
      <c r="C1517" s="1124">
        <v>42429</v>
      </c>
      <c r="D1517" s="1124" t="s">
        <v>579</v>
      </c>
      <c r="E1517" s="1124">
        <v>42429</v>
      </c>
      <c r="F1517" s="72" t="s">
        <v>636</v>
      </c>
      <c r="G1517" s="994" t="s">
        <v>1071</v>
      </c>
      <c r="H1517" s="320" t="s">
        <v>627</v>
      </c>
      <c r="I1517" s="435"/>
      <c r="J1517" s="435"/>
      <c r="K1517" s="426"/>
      <c r="L1517" s="435"/>
      <c r="M1517" s="81">
        <v>2000000</v>
      </c>
      <c r="N1517" s="82" t="s">
        <v>588</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c r="AE1517" s="341" t="str">
        <f t="shared" si="187"/>
        <v>x</v>
      </c>
    </row>
    <row r="1518" spans="1:31" s="345" customFormat="1" ht="15.75" customHeight="1">
      <c r="A1518" s="334" t="str">
        <f>IF(B1518&lt;&gt;"",IF(AND(B1518='IN-TC'!$S$4,OR(TH!N1518="1111",TH!O1518="1111")),TH!D1518,""),"")</f>
        <v/>
      </c>
      <c r="B1518" s="993">
        <f t="shared" si="186"/>
        <v>2</v>
      </c>
      <c r="C1518" s="1124">
        <v>42429</v>
      </c>
      <c r="D1518" s="1124" t="s">
        <v>579</v>
      </c>
      <c r="E1518" s="1124">
        <v>42429</v>
      </c>
      <c r="F1518" s="72" t="s">
        <v>637</v>
      </c>
      <c r="G1518" s="994" t="s">
        <v>1071</v>
      </c>
      <c r="H1518" s="320" t="s">
        <v>627</v>
      </c>
      <c r="I1518" s="435"/>
      <c r="J1518" s="435"/>
      <c r="K1518" s="426"/>
      <c r="L1518" s="435"/>
      <c r="M1518" s="81">
        <v>200000</v>
      </c>
      <c r="N1518" s="1118" t="s">
        <v>9</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x</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c r="AE1518" s="341" t="str">
        <f t="shared" si="187"/>
        <v>x</v>
      </c>
    </row>
    <row r="1519" spans="1:31" s="345" customFormat="1" ht="15.75" customHeight="1">
      <c r="A1519" s="334" t="str">
        <f>IF(B1519&lt;&gt;"",IF(AND(B1519='IN-TC'!$S$4,OR(TH!N1519="1111",TH!O1519="1111")),TH!D1519,""),"")</f>
        <v/>
      </c>
      <c r="B1519" s="993">
        <f t="shared" si="186"/>
        <v>2</v>
      </c>
      <c r="C1519" s="1124">
        <v>42429</v>
      </c>
      <c r="D1519" s="1124" t="s">
        <v>579</v>
      </c>
      <c r="E1519" s="1124">
        <v>42406</v>
      </c>
      <c r="F1519" s="72" t="s">
        <v>1077</v>
      </c>
      <c r="G1519" s="994" t="s">
        <v>1072</v>
      </c>
      <c r="H1519" s="320" t="s">
        <v>629</v>
      </c>
      <c r="I1519" s="435"/>
      <c r="J1519" s="435"/>
      <c r="K1519" s="426"/>
      <c r="L1519" s="435"/>
      <c r="M1519" s="81">
        <v>29442000</v>
      </c>
      <c r="N1519" s="1118" t="s">
        <v>282</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c r="AE1519" s="341" t="str">
        <f t="shared" si="187"/>
        <v>x</v>
      </c>
    </row>
    <row r="1520" spans="1:31" s="345" customFormat="1" ht="15.75" customHeight="1">
      <c r="A1520" s="334" t="str">
        <f>IF(B1520&lt;&gt;"",IF(AND(B1520='IN-TC'!$S$4,OR(TH!N1520="1111",TH!O1520="1111")),TH!D1520,""),"")</f>
        <v/>
      </c>
      <c r="B1520" s="993">
        <f t="shared" si="186"/>
        <v>2</v>
      </c>
      <c r="C1520" s="1124">
        <v>42429</v>
      </c>
      <c r="D1520" s="1124" t="s">
        <v>579</v>
      </c>
      <c r="E1520" s="1124">
        <v>42406</v>
      </c>
      <c r="F1520" s="72" t="s">
        <v>1078</v>
      </c>
      <c r="G1520" s="994" t="s">
        <v>1072</v>
      </c>
      <c r="H1520" s="320" t="s">
        <v>629</v>
      </c>
      <c r="I1520" s="435"/>
      <c r="J1520" s="435"/>
      <c r="K1520" s="426"/>
      <c r="L1520" s="435"/>
      <c r="M1520" s="81">
        <v>2944200</v>
      </c>
      <c r="N1520" s="1118" t="s">
        <v>9</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x</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c r="AE1520" s="341" t="str">
        <f t="shared" si="187"/>
        <v>x</v>
      </c>
    </row>
    <row r="1521" spans="1:31" s="345" customFormat="1" ht="15.75" customHeight="1">
      <c r="A1521" s="334" t="str">
        <f>IF(B1521&lt;&gt;"",IF(AND(B1521='IN-TC'!$S$4,OR(TH!N1521="1111",TH!O1521="1111")),TH!D1521,""),"")</f>
        <v/>
      </c>
      <c r="B1521" s="993">
        <f t="shared" si="186"/>
        <v>2</v>
      </c>
      <c r="C1521" s="1124">
        <v>42429</v>
      </c>
      <c r="D1521" s="1124" t="s">
        <v>579</v>
      </c>
      <c r="E1521" s="1124">
        <v>42426</v>
      </c>
      <c r="F1521" s="72" t="s">
        <v>1081</v>
      </c>
      <c r="G1521" s="994" t="s">
        <v>1099</v>
      </c>
      <c r="H1521" s="320" t="s">
        <v>629</v>
      </c>
      <c r="I1521" s="435"/>
      <c r="J1521" s="435"/>
      <c r="K1521" s="426"/>
      <c r="L1521" s="435"/>
      <c r="M1521" s="81">
        <v>21102800</v>
      </c>
      <c r="N1521" s="1118" t="s">
        <v>282</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c r="AE1521" s="341" t="str">
        <f t="shared" ref="AE1521:AE1540" si="188">IF(H1521&lt;&gt;VLOOKUP(H1521,DSKH,1,0),"","x")</f>
        <v>x</v>
      </c>
    </row>
    <row r="1522" spans="1:31" s="345" customFormat="1" ht="15.75" customHeight="1">
      <c r="A1522" s="334" t="str">
        <f>IF(B1522&lt;&gt;"",IF(AND(B1522='IN-TC'!$S$4,OR(TH!N1522="1111",TH!O1522="1111")),TH!D1522,""),"")</f>
        <v/>
      </c>
      <c r="B1522" s="993">
        <f t="shared" si="186"/>
        <v>2</v>
      </c>
      <c r="C1522" s="1124">
        <v>42429</v>
      </c>
      <c r="D1522" s="1124" t="s">
        <v>579</v>
      </c>
      <c r="E1522" s="1124">
        <v>42426</v>
      </c>
      <c r="F1522" s="72" t="s">
        <v>1082</v>
      </c>
      <c r="G1522" s="994" t="s">
        <v>1099</v>
      </c>
      <c r="H1522" s="320" t="s">
        <v>629</v>
      </c>
      <c r="I1522" s="435"/>
      <c r="J1522" s="435"/>
      <c r="K1522" s="426"/>
      <c r="L1522" s="435"/>
      <c r="M1522" s="81">
        <v>2110280</v>
      </c>
      <c r="N1522" s="1118" t="s">
        <v>9</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x</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c r="AE1522" s="341" t="str">
        <f t="shared" si="188"/>
        <v>x</v>
      </c>
    </row>
    <row r="1523" spans="1:31" s="345" customFormat="1" ht="15.75" customHeight="1">
      <c r="A1523" s="334" t="str">
        <f>IF(B1523&lt;&gt;"",IF(AND(B1523='IN-TC'!$S$4,OR(TH!N1523="1111",TH!O1523="1111")),TH!D1523,""),"")</f>
        <v/>
      </c>
      <c r="B1523" s="993">
        <f t="shared" si="186"/>
        <v>2</v>
      </c>
      <c r="C1523" s="1124">
        <v>42429</v>
      </c>
      <c r="D1523" s="1124" t="s">
        <v>579</v>
      </c>
      <c r="E1523" s="1124">
        <v>42384</v>
      </c>
      <c r="F1523" s="72" t="s">
        <v>1083</v>
      </c>
      <c r="G1523" s="1173" t="s">
        <v>1074</v>
      </c>
      <c r="H1523" s="320" t="s">
        <v>630</v>
      </c>
      <c r="I1523" s="435"/>
      <c r="J1523" s="435"/>
      <c r="K1523" s="426"/>
      <c r="L1523" s="435"/>
      <c r="M1523" s="81">
        <v>124981818</v>
      </c>
      <c r="N1523" s="1118" t="s">
        <v>162</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c r="AE1523" s="341" t="str">
        <f t="shared" si="188"/>
        <v>x</v>
      </c>
    </row>
    <row r="1524" spans="1:31" s="345" customFormat="1" ht="15.75" customHeight="1">
      <c r="A1524" s="334" t="str">
        <f>IF(B1524&lt;&gt;"",IF(AND(B1524='IN-TC'!$S$4,OR(TH!N1524="1111",TH!O1524="1111")),TH!D1524,""),"")</f>
        <v/>
      </c>
      <c r="B1524" s="993">
        <f t="shared" si="186"/>
        <v>2</v>
      </c>
      <c r="C1524" s="1124">
        <v>42429</v>
      </c>
      <c r="D1524" s="1124" t="s">
        <v>579</v>
      </c>
      <c r="E1524" s="1124">
        <v>42384</v>
      </c>
      <c r="F1524" s="72" t="s">
        <v>1084</v>
      </c>
      <c r="G1524" s="1173" t="s">
        <v>1074</v>
      </c>
      <c r="H1524" s="320" t="s">
        <v>630</v>
      </c>
      <c r="I1524" s="435"/>
      <c r="J1524" s="435"/>
      <c r="K1524" s="426"/>
      <c r="L1524" s="435"/>
      <c r="M1524" s="81">
        <v>12498182</v>
      </c>
      <c r="N1524" s="1118" t="s">
        <v>9</v>
      </c>
      <c r="O1524" s="82" t="s">
        <v>8</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x</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c r="AE1524" s="341" t="str">
        <f t="shared" si="188"/>
        <v>x</v>
      </c>
    </row>
    <row r="1525" spans="1:31" s="345" customFormat="1" ht="15.75" customHeight="1">
      <c r="A1525" s="334" t="str">
        <f>IF(B1525&lt;&gt;"",IF(AND(B1525='IN-TC'!$S$4,OR(TH!N1525="1111",TH!O1525="1111")),TH!D1525,""),"")</f>
        <v/>
      </c>
      <c r="B1525" s="993">
        <f t="shared" si="186"/>
        <v>3</v>
      </c>
      <c r="C1525" s="1124">
        <v>42460</v>
      </c>
      <c r="D1525" s="1124" t="s">
        <v>579</v>
      </c>
      <c r="E1525" s="1124">
        <v>42426</v>
      </c>
      <c r="F1525" s="72" t="s">
        <v>1140</v>
      </c>
      <c r="G1525" s="994" t="s">
        <v>1142</v>
      </c>
      <c r="H1525" s="320" t="s">
        <v>629</v>
      </c>
      <c r="I1525" s="435"/>
      <c r="J1525" s="435"/>
      <c r="K1525" s="426"/>
      <c r="L1525" s="435"/>
      <c r="M1525" s="81">
        <v>236351</v>
      </c>
      <c r="N1525" s="1118" t="s">
        <v>101</v>
      </c>
      <c r="O1525" s="82" t="s">
        <v>8</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c r="AE1525" s="341" t="str">
        <f t="shared" si="188"/>
        <v>x</v>
      </c>
    </row>
    <row r="1526" spans="1:31" s="345" customFormat="1" ht="15.75" customHeight="1">
      <c r="A1526" s="334" t="str">
        <f>IF(B1526&lt;&gt;"",IF(AND(B1526='IN-TC'!$S$4,OR(TH!N1526="1111",TH!O1526="1111")),TH!D1526,""),"")</f>
        <v/>
      </c>
      <c r="B1526" s="993">
        <f t="shared" si="186"/>
        <v>3</v>
      </c>
      <c r="C1526" s="1124">
        <v>42460</v>
      </c>
      <c r="D1526" s="1124" t="s">
        <v>579</v>
      </c>
      <c r="E1526" s="1124">
        <v>42426</v>
      </c>
      <c r="F1526" s="72" t="s">
        <v>1141</v>
      </c>
      <c r="G1526" s="994" t="s">
        <v>1142</v>
      </c>
      <c r="H1526" s="320" t="s">
        <v>629</v>
      </c>
      <c r="I1526" s="435"/>
      <c r="J1526" s="435"/>
      <c r="K1526" s="426"/>
      <c r="L1526" s="435"/>
      <c r="M1526" s="81">
        <v>23635</v>
      </c>
      <c r="N1526" s="1118" t="s">
        <v>9</v>
      </c>
      <c r="O1526" s="82" t="s">
        <v>8</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x</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c r="AE1526" s="341" t="str">
        <f t="shared" si="188"/>
        <v>x</v>
      </c>
    </row>
    <row r="1527" spans="1:31" s="345" customFormat="1" ht="15.75" customHeight="1">
      <c r="A1527" s="334" t="str">
        <f>IF(B1527&lt;&gt;"",IF(AND(B1527='IN-TC'!$S$4,OR(TH!N1527="1111",TH!O1527="1111")),TH!D1527,""),"")</f>
        <v/>
      </c>
      <c r="B1527" s="993">
        <f t="shared" si="186"/>
        <v>3</v>
      </c>
      <c r="C1527" s="1124">
        <v>42460</v>
      </c>
      <c r="D1527" s="1124" t="s">
        <v>579</v>
      </c>
      <c r="E1527" s="1124">
        <v>42436</v>
      </c>
      <c r="F1527" s="72" t="s">
        <v>1159</v>
      </c>
      <c r="G1527" s="994" t="s">
        <v>1382</v>
      </c>
      <c r="H1527" s="320" t="s">
        <v>629</v>
      </c>
      <c r="I1527" s="435"/>
      <c r="J1527" s="435"/>
      <c r="K1527" s="426"/>
      <c r="L1527" s="435"/>
      <c r="M1527" s="81">
        <v>20681300</v>
      </c>
      <c r="N1527" s="1118" t="s">
        <v>282</v>
      </c>
      <c r="O1527" s="82" t="s">
        <v>8</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c r="AE1527" s="341" t="str">
        <f t="shared" si="188"/>
        <v>x</v>
      </c>
    </row>
    <row r="1528" spans="1:31" s="345" customFormat="1" ht="15.75" customHeight="1">
      <c r="A1528" s="334" t="str">
        <f>IF(B1528&lt;&gt;"",IF(AND(B1528='IN-TC'!$S$4,OR(TH!N1528="1111",TH!O1528="1111")),TH!D1528,""),"")</f>
        <v/>
      </c>
      <c r="B1528" s="993">
        <f t="shared" si="186"/>
        <v>3</v>
      </c>
      <c r="C1528" s="1124">
        <v>42460</v>
      </c>
      <c r="D1528" s="1124" t="s">
        <v>579</v>
      </c>
      <c r="E1528" s="1124">
        <v>42436</v>
      </c>
      <c r="F1528" s="72" t="s">
        <v>1160</v>
      </c>
      <c r="G1528" s="994" t="s">
        <v>1382</v>
      </c>
      <c r="H1528" s="320" t="s">
        <v>629</v>
      </c>
      <c r="I1528" s="435"/>
      <c r="J1528" s="435"/>
      <c r="K1528" s="426"/>
      <c r="L1528" s="435"/>
      <c r="M1528" s="81">
        <v>2068130</v>
      </c>
      <c r="N1528" s="1118" t="s">
        <v>9</v>
      </c>
      <c r="O1528" s="82" t="s">
        <v>8</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x</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c r="AE1528" s="341" t="str">
        <f t="shared" si="188"/>
        <v>x</v>
      </c>
    </row>
    <row r="1529" spans="1:31" s="345" customFormat="1" ht="15.75" customHeight="1">
      <c r="A1529" s="334" t="str">
        <f>IF(B1529&lt;&gt;"",IF(AND(B1529='IN-TC'!$S$4,OR(TH!N1529="1111",TH!O1529="1111")),TH!D1529,""),"")</f>
        <v/>
      </c>
      <c r="B1529" s="993">
        <f t="shared" si="186"/>
        <v>3</v>
      </c>
      <c r="C1529" s="1124">
        <v>42460</v>
      </c>
      <c r="D1529" s="1124" t="s">
        <v>579</v>
      </c>
      <c r="E1529" s="1124">
        <v>42445</v>
      </c>
      <c r="F1529" s="72" t="s">
        <v>1161</v>
      </c>
      <c r="G1529" s="994" t="s">
        <v>1384</v>
      </c>
      <c r="H1529" s="320" t="s">
        <v>629</v>
      </c>
      <c r="I1529" s="435"/>
      <c r="J1529" s="435"/>
      <c r="K1529" s="426"/>
      <c r="L1529" s="435"/>
      <c r="M1529" s="81">
        <v>21269200</v>
      </c>
      <c r="N1529" s="1118" t="s">
        <v>282</v>
      </c>
      <c r="O1529" s="82" t="s">
        <v>8</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c r="AE1529" s="341" t="str">
        <f t="shared" si="188"/>
        <v>x</v>
      </c>
    </row>
    <row r="1530" spans="1:31" s="345" customFormat="1" ht="15.75" customHeight="1">
      <c r="A1530" s="334" t="str">
        <f>IF(B1530&lt;&gt;"",IF(AND(B1530='IN-TC'!$S$4,OR(TH!N1530="1111",TH!O1530="1111")),TH!D1530,""),"")</f>
        <v/>
      </c>
      <c r="B1530" s="993">
        <f t="shared" si="186"/>
        <v>3</v>
      </c>
      <c r="C1530" s="1124">
        <v>42460</v>
      </c>
      <c r="D1530" s="1124" t="s">
        <v>579</v>
      </c>
      <c r="E1530" s="1124">
        <v>42445</v>
      </c>
      <c r="F1530" s="72" t="s">
        <v>1162</v>
      </c>
      <c r="G1530" s="994" t="s">
        <v>1384</v>
      </c>
      <c r="H1530" s="320" t="s">
        <v>629</v>
      </c>
      <c r="I1530" s="435"/>
      <c r="J1530" s="435"/>
      <c r="K1530" s="426"/>
      <c r="L1530" s="435"/>
      <c r="M1530" s="81">
        <v>2126920</v>
      </c>
      <c r="N1530" s="1118" t="s">
        <v>9</v>
      </c>
      <c r="O1530" s="82" t="s">
        <v>8</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x</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341" t="str">
        <f t="shared" si="188"/>
        <v>x</v>
      </c>
    </row>
    <row r="1531" spans="1:31" s="345" customFormat="1" ht="15.75" customHeight="1">
      <c r="A1531" s="334" t="str">
        <f>IF(B1531&lt;&gt;"",IF(AND(B1531='IN-TC'!$S$4,OR(TH!N1531="1111",TH!O1531="1111")),TH!D1531,""),"")</f>
        <v/>
      </c>
      <c r="B1531" s="993">
        <f t="shared" si="186"/>
        <v>3</v>
      </c>
      <c r="C1531" s="1124">
        <v>42460</v>
      </c>
      <c r="D1531" s="1124" t="s">
        <v>579</v>
      </c>
      <c r="E1531" s="1124">
        <v>42455</v>
      </c>
      <c r="F1531" s="72" t="s">
        <v>1163</v>
      </c>
      <c r="G1531" s="994" t="s">
        <v>1383</v>
      </c>
      <c r="H1531" s="320" t="s">
        <v>629</v>
      </c>
      <c r="I1531" s="435"/>
      <c r="J1531" s="435"/>
      <c r="K1531" s="426"/>
      <c r="L1531" s="435"/>
      <c r="M1531" s="81">
        <v>20169600</v>
      </c>
      <c r="N1531" s="1118" t="s">
        <v>282</v>
      </c>
      <c r="O1531" s="82" t="s">
        <v>8</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c r="AE1531" s="341" t="str">
        <f t="shared" si="188"/>
        <v>x</v>
      </c>
    </row>
    <row r="1532" spans="1:31" s="345" customFormat="1" ht="15.75" customHeight="1">
      <c r="A1532" s="334" t="str">
        <f>IF(B1532&lt;&gt;"",IF(AND(B1532='IN-TC'!$S$4,OR(TH!N1532="1111",TH!O1532="1111")),TH!D1532,""),"")</f>
        <v/>
      </c>
      <c r="B1532" s="993">
        <f t="shared" si="186"/>
        <v>3</v>
      </c>
      <c r="C1532" s="1124">
        <v>42460</v>
      </c>
      <c r="D1532" s="1124" t="s">
        <v>579</v>
      </c>
      <c r="E1532" s="1124">
        <v>42455</v>
      </c>
      <c r="F1532" s="72" t="s">
        <v>1164</v>
      </c>
      <c r="G1532" s="994" t="s">
        <v>1383</v>
      </c>
      <c r="H1532" s="320" t="s">
        <v>629</v>
      </c>
      <c r="I1532" s="435"/>
      <c r="J1532" s="435"/>
      <c r="K1532" s="426"/>
      <c r="L1532" s="435"/>
      <c r="M1532" s="81">
        <v>2016960</v>
      </c>
      <c r="N1532" s="1118" t="s">
        <v>9</v>
      </c>
      <c r="O1532" s="82" t="s">
        <v>8</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x</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c r="AE1532" s="341" t="str">
        <f t="shared" si="188"/>
        <v>x</v>
      </c>
    </row>
    <row r="1533" spans="1:31" s="345" customFormat="1" ht="15.75" customHeight="1">
      <c r="A1533" s="334" t="str">
        <f>IF(B1533&lt;&gt;"",IF(AND(B1533='IN-TC'!$S$4,OR(TH!N1533="1111",TH!O1533="1111")),TH!D1533,""),"")</f>
        <v/>
      </c>
      <c r="B1533" s="993">
        <f t="shared" si="186"/>
        <v>3</v>
      </c>
      <c r="C1533" s="1124">
        <v>42460</v>
      </c>
      <c r="D1533" s="1124" t="s">
        <v>579</v>
      </c>
      <c r="E1533" s="78">
        <v>42447</v>
      </c>
      <c r="F1533" s="72" t="s">
        <v>1165</v>
      </c>
      <c r="G1533" s="975" t="s">
        <v>1167</v>
      </c>
      <c r="H1533" s="80" t="s">
        <v>1168</v>
      </c>
      <c r="I1533" s="435"/>
      <c r="J1533" s="435"/>
      <c r="K1533" s="426"/>
      <c r="L1533" s="435"/>
      <c r="M1533" s="81">
        <v>33545455</v>
      </c>
      <c r="N1533" s="82" t="s">
        <v>162</v>
      </c>
      <c r="O1533" s="82" t="s">
        <v>8</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c r="AE1533" s="341" t="str">
        <f t="shared" si="188"/>
        <v>x</v>
      </c>
    </row>
    <row r="1534" spans="1:31" s="345" customFormat="1" ht="15.75" customHeight="1">
      <c r="A1534" s="334" t="str">
        <f>IF(B1534&lt;&gt;"",IF(AND(B1534='IN-TC'!$S$4,OR(TH!N1534="1111",TH!O1534="1111")),TH!D1534,""),"")</f>
        <v/>
      </c>
      <c r="B1534" s="993">
        <f t="shared" si="186"/>
        <v>3</v>
      </c>
      <c r="C1534" s="1124">
        <v>42460</v>
      </c>
      <c r="D1534" s="1124" t="s">
        <v>579</v>
      </c>
      <c r="E1534" s="78">
        <v>42447</v>
      </c>
      <c r="F1534" s="72" t="s">
        <v>1166</v>
      </c>
      <c r="G1534" s="975" t="s">
        <v>1167</v>
      </c>
      <c r="H1534" s="80" t="s">
        <v>1168</v>
      </c>
      <c r="I1534" s="435"/>
      <c r="J1534" s="435"/>
      <c r="K1534" s="426"/>
      <c r="L1534" s="435"/>
      <c r="M1534" s="81">
        <v>3354545</v>
      </c>
      <c r="N1534" s="1118" t="s">
        <v>9</v>
      </c>
      <c r="O1534" s="82" t="s">
        <v>8</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x</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c r="AE1534" s="341" t="str">
        <f t="shared" si="188"/>
        <v>x</v>
      </c>
    </row>
    <row r="1535" spans="1:31" s="345" customFormat="1" ht="15.75" customHeight="1">
      <c r="A1535" s="334" t="str">
        <f>IF(B1535&lt;&gt;"",IF(AND(B1535='IN-TC'!$S$4,OR(TH!N1535="1111",TH!O1535="1111")),TH!D1535,""),"")</f>
        <v/>
      </c>
      <c r="B1535" s="993">
        <f t="shared" si="186"/>
        <v>3</v>
      </c>
      <c r="C1535" s="1124">
        <v>42460</v>
      </c>
      <c r="D1535" s="1124" t="s">
        <v>579</v>
      </c>
      <c r="E1535" s="78">
        <v>42454</v>
      </c>
      <c r="F1535" s="72" t="s">
        <v>1422</v>
      </c>
      <c r="G1535" s="975"/>
      <c r="H1535" s="80" t="s">
        <v>1423</v>
      </c>
      <c r="I1535" s="435"/>
      <c r="J1535" s="435"/>
      <c r="K1535" s="426"/>
      <c r="L1535" s="435"/>
      <c r="M1535" s="81">
        <v>1000000</v>
      </c>
      <c r="N1535" s="1118" t="s">
        <v>101</v>
      </c>
      <c r="O1535" s="82" t="s">
        <v>8</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c r="AE1535" s="341" t="str">
        <f t="shared" si="188"/>
        <v>x</v>
      </c>
    </row>
    <row r="1536" spans="1:31" s="345" customFormat="1" ht="15.75" customHeight="1">
      <c r="A1536" s="334" t="str">
        <f>IF(B1536&lt;&gt;"",IF(AND(B1536='IN-TC'!$S$4,OR(TH!N1536="1111",TH!O1536="1111")),TH!D1536,""),"")</f>
        <v/>
      </c>
      <c r="B1536" s="993">
        <f t="shared" si="186"/>
        <v>3</v>
      </c>
      <c r="C1536" s="1124">
        <v>42460</v>
      </c>
      <c r="D1536" s="1124" t="s">
        <v>579</v>
      </c>
      <c r="E1536" s="78">
        <v>42369</v>
      </c>
      <c r="F1536" s="72" t="s">
        <v>635</v>
      </c>
      <c r="G1536" s="975" t="s">
        <v>1170</v>
      </c>
      <c r="H1536" s="1197" t="s">
        <v>626</v>
      </c>
      <c r="I1536" s="435"/>
      <c r="J1536" s="435"/>
      <c r="K1536" s="426"/>
      <c r="L1536" s="435"/>
      <c r="M1536" s="81">
        <v>480000</v>
      </c>
      <c r="N1536" s="82" t="s">
        <v>588</v>
      </c>
      <c r="O1536" s="82" t="s">
        <v>8</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c r="AE1536" s="341" t="str">
        <f t="shared" si="188"/>
        <v>x</v>
      </c>
    </row>
    <row r="1537" spans="1:32" s="345" customFormat="1" ht="15.75" customHeight="1">
      <c r="A1537" s="334" t="str">
        <f>IF(B1537&lt;&gt;"",IF(AND(B1537='IN-TC'!$S$4,OR(TH!N1537="1111",TH!O1537="1111")),TH!D1537,""),"")</f>
        <v/>
      </c>
      <c r="B1537" s="993">
        <f t="shared" si="186"/>
        <v>3</v>
      </c>
      <c r="C1537" s="1124">
        <v>42460</v>
      </c>
      <c r="D1537" s="1124" t="s">
        <v>579</v>
      </c>
      <c r="E1537" s="78">
        <v>42369</v>
      </c>
      <c r="F1537" s="72" t="s">
        <v>1169</v>
      </c>
      <c r="G1537" s="975" t="s">
        <v>1171</v>
      </c>
      <c r="H1537" s="1197" t="s">
        <v>626</v>
      </c>
      <c r="I1537" s="435"/>
      <c r="J1537" s="435"/>
      <c r="K1537" s="426"/>
      <c r="L1537" s="435"/>
      <c r="M1537" s="81">
        <v>5737000</v>
      </c>
      <c r="N1537" s="82" t="s">
        <v>588</v>
      </c>
      <c r="O1537" s="82" t="s">
        <v>8</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c r="AE1537" s="341" t="str">
        <f t="shared" si="188"/>
        <v>x</v>
      </c>
    </row>
    <row r="1538" spans="1:32" s="345" customFormat="1" ht="15.75" customHeight="1">
      <c r="A1538" s="334" t="str">
        <f>IF(B1538&lt;&gt;"",IF(AND(B1538='IN-TC'!$S$4,OR(TH!N1538="1111",TH!O1538="1111")),TH!D1538,""),"")</f>
        <v/>
      </c>
      <c r="B1538" s="993">
        <f t="shared" si="186"/>
        <v>3</v>
      </c>
      <c r="C1538" s="1124">
        <v>42460</v>
      </c>
      <c r="D1538" s="1124" t="s">
        <v>579</v>
      </c>
      <c r="E1538" s="1124">
        <v>42445</v>
      </c>
      <c r="F1538" s="72" t="s">
        <v>766</v>
      </c>
      <c r="G1538" s="975" t="s">
        <v>1133</v>
      </c>
      <c r="H1538" s="320" t="s">
        <v>1132</v>
      </c>
      <c r="I1538" s="435"/>
      <c r="J1538" s="435"/>
      <c r="K1538" s="426"/>
      <c r="L1538" s="435"/>
      <c r="M1538" s="81">
        <v>10528000</v>
      </c>
      <c r="N1538" s="82" t="s">
        <v>588</v>
      </c>
      <c r="O1538" s="82" t="s">
        <v>8</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c r="AE1538" s="341" t="str">
        <f t="shared" si="188"/>
        <v>x</v>
      </c>
    </row>
    <row r="1539" spans="1:32" s="345" customFormat="1" ht="15.75" customHeight="1">
      <c r="A1539" s="334" t="str">
        <f>IF(B1539&lt;&gt;"",IF(AND(B1539='IN-TC'!$S$4,OR(TH!N1539="1111",TH!O1539="1111")),TH!D1539,""),"")</f>
        <v/>
      </c>
      <c r="B1539" s="993">
        <f t="shared" si="186"/>
        <v>3</v>
      </c>
      <c r="C1539" s="1124">
        <v>42460</v>
      </c>
      <c r="D1539" s="1124" t="s">
        <v>579</v>
      </c>
      <c r="E1539" s="1124">
        <v>42445</v>
      </c>
      <c r="F1539" s="72" t="s">
        <v>1129</v>
      </c>
      <c r="G1539" s="994" t="s">
        <v>1131</v>
      </c>
      <c r="H1539" s="320" t="s">
        <v>1132</v>
      </c>
      <c r="I1539" s="435"/>
      <c r="J1539" s="435"/>
      <c r="K1539" s="426"/>
      <c r="L1539" s="435"/>
      <c r="M1539" s="81">
        <v>5219200</v>
      </c>
      <c r="N1539" s="82" t="s">
        <v>588</v>
      </c>
      <c r="O1539" s="82" t="s">
        <v>8</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c r="AE1539" s="341" t="str">
        <f t="shared" si="188"/>
        <v>x</v>
      </c>
    </row>
    <row r="1540" spans="1:32" s="345" customFormat="1" ht="15.75" customHeight="1">
      <c r="A1540" s="334" t="str">
        <f>IF(B1540&lt;&gt;"",IF(AND(B1540='IN-TC'!$S$4,OR(TH!N1540="1111",TH!O1540="1111")),TH!D1540,""),"")</f>
        <v/>
      </c>
      <c r="B1540" s="993">
        <f t="shared" si="186"/>
        <v>3</v>
      </c>
      <c r="C1540" s="1124">
        <v>42460</v>
      </c>
      <c r="D1540" s="1124" t="s">
        <v>579</v>
      </c>
      <c r="E1540" s="1124">
        <v>42445</v>
      </c>
      <c r="F1540" s="72" t="s">
        <v>1130</v>
      </c>
      <c r="G1540" s="994" t="s">
        <v>1131</v>
      </c>
      <c r="H1540" s="320" t="s">
        <v>1132</v>
      </c>
      <c r="I1540" s="435"/>
      <c r="J1540" s="435"/>
      <c r="K1540" s="426"/>
      <c r="L1540" s="435"/>
      <c r="M1540" s="81">
        <v>521920</v>
      </c>
      <c r="N1540" s="1118" t="s">
        <v>9</v>
      </c>
      <c r="O1540" s="82" t="s">
        <v>8</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x</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c r="AE1540" s="341" t="str">
        <f t="shared" si="188"/>
        <v>x</v>
      </c>
    </row>
    <row r="1541" spans="1:32" s="345" customFormat="1" ht="15.75" customHeight="1">
      <c r="A1541" s="334" t="str">
        <f>IF(B1541&lt;&gt;"",IF(AND(B1541='IN-TC'!$S$4,OR(TH!N1541="1111",TH!O1541="1111")),TH!D1541,""),"")</f>
        <v/>
      </c>
      <c r="B1541" s="993">
        <f t="shared" si="186"/>
        <v>3</v>
      </c>
      <c r="C1541" s="1124">
        <v>42460</v>
      </c>
      <c r="D1541" s="1124" t="s">
        <v>579</v>
      </c>
      <c r="E1541" s="1124">
        <f>C1541</f>
        <v>42460</v>
      </c>
      <c r="F1541" s="72" t="s">
        <v>1352</v>
      </c>
      <c r="G1541" s="994"/>
      <c r="H1541" s="320" t="s">
        <v>1353</v>
      </c>
      <c r="I1541" s="435"/>
      <c r="J1541" s="435"/>
      <c r="K1541" s="426"/>
      <c r="L1541" s="435"/>
      <c r="M1541" s="81">
        <v>13069999</v>
      </c>
      <c r="N1541" s="1118" t="s">
        <v>77</v>
      </c>
      <c r="O1541" s="1118" t="s">
        <v>92</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2" s="1156" customFormat="1" ht="15.75" customHeight="1">
      <c r="A1542" s="334" t="str">
        <f>IF(B1542&lt;&gt;"",IF(AND(B1542='IN-TC'!$S$4,OR(TH!N1290="1111",TH!O1290="1111")),TH!D1290,""),"")</f>
        <v>C22</v>
      </c>
      <c r="B1542" s="63">
        <f t="shared" si="186"/>
        <v>2</v>
      </c>
      <c r="C1542" s="64">
        <v>42429</v>
      </c>
      <c r="D1542" s="64" t="s">
        <v>889</v>
      </c>
      <c r="E1542" s="64">
        <v>42429</v>
      </c>
      <c r="F1542" s="512" t="s">
        <v>1012</v>
      </c>
      <c r="G1542" s="67" t="s">
        <v>1037</v>
      </c>
      <c r="H1542" s="72" t="s">
        <v>1038</v>
      </c>
      <c r="I1542" s="437"/>
      <c r="J1542" s="437"/>
      <c r="K1542" s="428"/>
      <c r="L1542" s="437"/>
      <c r="M1542" s="65">
        <v>1461818</v>
      </c>
      <c r="N1542" s="66" t="s">
        <v>101</v>
      </c>
      <c r="O1542" s="66" t="s">
        <v>63</v>
      </c>
      <c r="P1542" s="82" t="str">
        <f>IF(AND('331-CT'!$E$7=TH!H1290,OR(N1542="331",O1542="331")),"x","")</f>
        <v/>
      </c>
      <c r="Q1542" s="82" t="str">
        <f>IF(AND(B1542='111'!$L$11,OR($N1542=$Q$7,$O1542=$Q$7)),"x","")</f>
        <v/>
      </c>
      <c r="R1542" s="82" t="str">
        <f>IF(AND($N1542=$Q$7,$B1542&lt;'111'!$L$11),"x","")</f>
        <v/>
      </c>
      <c r="S1542" s="82" t="str">
        <f>IF(AND($O1542=$Q$7,$B1542&lt;'111'!$L$11),"x","")</f>
        <v>x</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IF(OR(TH!N1290=TH!$X$7,O1542=TH!$X$7),"x","")</f>
        <v>x</v>
      </c>
      <c r="Y1542" s="82" t="str">
        <f>IF(AND(OR(N1542="131",O1542="131"),H1542='131-CT'!$H$9),"x","")</f>
        <v/>
      </c>
      <c r="Z1542" s="82"/>
      <c r="AA1542" s="82" t="str">
        <f>IF(AND(MONTH(E1542)='IN-NX'!$J$5,'IN-NX'!$D$7=D1542),"x","")</f>
        <v/>
      </c>
      <c r="AB1542" s="82" t="str">
        <f>IF(AND(OR(LEFT(TH!N1290,2)="15",LEFT(TH!O1290,2)="15"),LEFT(TH!O1290,3)&lt;&gt;"111",'152-CT'!$J$8=TH!F1290),"x","")</f>
        <v/>
      </c>
      <c r="AC1542" s="82" t="str">
        <f>IF(AND(OR(LEFT(TH!N1290,2)="15",LEFT(TH!O1290,2)="15"),TK!$E$7=TH!F1290),"x","")</f>
        <v/>
      </c>
      <c r="AD1542" s="82" t="str">
        <f>IF(AND(N1542="1521",MONTH(C1542)='BK-NL'!$M$11),"x","")</f>
        <v/>
      </c>
      <c r="AE1542" s="328"/>
      <c r="AF1542" s="328"/>
    </row>
    <row r="1543" spans="1:32" s="1156" customFormat="1" ht="15.75" customHeight="1">
      <c r="A1543" s="334" t="str">
        <f>IF(B1543&lt;&gt;"",IF(AND(B1543='IN-TC'!$S$4,OR(TH!N1291="1111",TH!O1291="1111")),TH!D1291,""),"")</f>
        <v>C22</v>
      </c>
      <c r="B1543" s="63">
        <f t="shared" ref="B1543:B1580" si="189">IF(C1543&lt;&gt;"",MONTH(C1543),"")</f>
        <v>2</v>
      </c>
      <c r="C1543" s="64">
        <v>42429</v>
      </c>
      <c r="D1543" s="64" t="s">
        <v>889</v>
      </c>
      <c r="E1543" s="64">
        <v>42429</v>
      </c>
      <c r="F1543" s="512" t="s">
        <v>1013</v>
      </c>
      <c r="G1543" s="67" t="s">
        <v>1037</v>
      </c>
      <c r="H1543" s="72" t="s">
        <v>1038</v>
      </c>
      <c r="I1543" s="437"/>
      <c r="J1543" s="437"/>
      <c r="K1543" s="428"/>
      <c r="L1543" s="437"/>
      <c r="M1543" s="65">
        <v>146182</v>
      </c>
      <c r="N1543" s="66" t="s">
        <v>9</v>
      </c>
      <c r="O1543" s="66" t="s">
        <v>63</v>
      </c>
      <c r="P1543" s="82" t="str">
        <f>IF(AND('331-CT'!$E$7=TH!H1291,OR(N1543="331",O1543="331")),"x","")</f>
        <v/>
      </c>
      <c r="Q1543" s="82" t="str">
        <f>IF(AND(B1543='111'!$L$11,OR($N1543=$Q$7,$O1543=$Q$7)),"x","")</f>
        <v/>
      </c>
      <c r="R1543" s="82" t="str">
        <f>IF(AND($N1543=$Q$7,$B1543&lt;'111'!$L$11),"x","")</f>
        <v/>
      </c>
      <c r="S1543" s="82" t="str">
        <f>IF(AND($O1543=$Q$7,$B1543&lt;'111'!$L$11),"x","")</f>
        <v>x</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IF(OR(TH!N1291=TH!$X$7,O1543=TH!$X$7),"x","")</f>
        <v/>
      </c>
      <c r="Y1543" s="82" t="str">
        <f>IF(AND(OR(N1543="131",O1543="131"),H1543='131-CT'!$H$9),"x","")</f>
        <v/>
      </c>
      <c r="Z1543" s="82"/>
      <c r="AA1543" s="82" t="str">
        <f>IF(AND(MONTH(E1543)='IN-NX'!$J$5,'IN-NX'!$D$7=D1543),"x","")</f>
        <v/>
      </c>
      <c r="AB1543" s="82" t="str">
        <f>IF(AND(OR(LEFT(TH!N1291,2)="15",LEFT(TH!O1291,2)="15"),LEFT(TH!O1291,3)&lt;&gt;"111",'152-CT'!$J$8=TH!F1291),"x","")</f>
        <v/>
      </c>
      <c r="AC1543" s="82" t="str">
        <f>IF(AND(OR(LEFT(TH!N1291,2)="15",LEFT(TH!O1291,2)="15"),TK!$E$7=TH!F1291),"x","")</f>
        <v/>
      </c>
      <c r="AD1543" s="82" t="str">
        <f>IF(AND(N1543="1521",MONTH(C1543)='BK-NL'!$M$11),"x","")</f>
        <v/>
      </c>
      <c r="AE1543" s="328"/>
      <c r="AF1543" s="328"/>
    </row>
    <row r="1544" spans="1:32" s="348" customFormat="1" ht="15.75" customHeight="1">
      <c r="A1544" s="1229" t="str">
        <f>IF(B1544&lt;&gt;"",IF(AND(B1544='IN-TC'!$S$4,OR(TH!N1292="1111",TH!O1292="1111")),TH!D1292,""),"")</f>
        <v>C22</v>
      </c>
      <c r="B1544" s="1134">
        <f t="shared" si="189"/>
        <v>2</v>
      </c>
      <c r="C1544" s="92">
        <v>42429</v>
      </c>
      <c r="D1544" s="92" t="s">
        <v>890</v>
      </c>
      <c r="E1544" s="92">
        <v>42429</v>
      </c>
      <c r="F1544" s="1259" t="s">
        <v>1014</v>
      </c>
      <c r="G1544" s="93"/>
      <c r="H1544" s="978" t="s">
        <v>845</v>
      </c>
      <c r="I1544" s="1175"/>
      <c r="J1544" s="1175"/>
      <c r="K1544" s="1176"/>
      <c r="L1544" s="1175"/>
      <c r="M1544" s="95">
        <v>114054537</v>
      </c>
      <c r="N1544" s="83" t="s">
        <v>589</v>
      </c>
      <c r="O1544" s="83" t="s">
        <v>63</v>
      </c>
      <c r="P1544" s="82" t="str">
        <f>IF(AND('331-CT'!$E$7=TH!H1292,OR(N1544="331",O1544="331")),"x","")</f>
        <v/>
      </c>
      <c r="Q1544" s="82" t="str">
        <f>IF(AND(B1544='111'!$L$11,OR($N1544=$Q$7,$O1544=$Q$7)),"x","")</f>
        <v/>
      </c>
      <c r="R1544" s="82" t="str">
        <f>IF(AND($N1544=$Q$7,$B1544&lt;'111'!$L$11),"x","")</f>
        <v/>
      </c>
      <c r="S1544" s="82" t="str">
        <f>IF(AND($O1544=$Q$7,$B1544&lt;'111'!$L$11),"x","")</f>
        <v>x</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IF(OR(TH!N1292=TH!$X$7,O1544=TH!$X$7),"x","")</f>
        <v>x</v>
      </c>
      <c r="Y1544" s="82" t="str">
        <f>IF(AND(OR(N1544="131",O1544="131"),H1544='131-CT'!$H$9),"x","")</f>
        <v/>
      </c>
      <c r="Z1544" s="82"/>
      <c r="AA1544" s="82" t="str">
        <f>IF(AND(MONTH(E1544)='IN-NX'!$J$5,'IN-NX'!$D$7=D1544),"x","")</f>
        <v/>
      </c>
      <c r="AB1544" s="82" t="str">
        <f>IF(AND(OR(LEFT(TH!N1292,2)="15",LEFT(TH!O1292,2)="15"),LEFT(TH!O1292,3)&lt;&gt;"111",'152-CT'!$J$8=TH!F1292),"x","")</f>
        <v/>
      </c>
      <c r="AC1544" s="82" t="str">
        <f>IF(AND(OR(LEFT(TH!N1292,2)="15",LEFT(TH!O1292,2)="15"),TK!$E$7=TH!F1292),"x","")</f>
        <v/>
      </c>
      <c r="AD1544" s="82" t="str">
        <f>IF(AND(N1544="1521",MONTH(C1544)='BK-NL'!$M$11),"x","")</f>
        <v/>
      </c>
    </row>
    <row r="1545" spans="1:32" s="1156" customFormat="1" ht="15.75" customHeight="1">
      <c r="A1545" s="334" t="str">
        <f>IF(B1545&lt;&gt;"",IF(AND(B1545='IN-TC'!$S$4,OR(TH!N1293="1111",TH!O1293="1111")),TH!D1293,""),"")</f>
        <v>C23</v>
      </c>
      <c r="B1545" s="63">
        <f t="shared" si="189"/>
        <v>2</v>
      </c>
      <c r="C1545" s="316">
        <v>42429</v>
      </c>
      <c r="D1545" s="64" t="s">
        <v>891</v>
      </c>
      <c r="E1545" s="316">
        <v>42416</v>
      </c>
      <c r="F1545" s="512" t="s">
        <v>1079</v>
      </c>
      <c r="G1545" s="976" t="s">
        <v>1073</v>
      </c>
      <c r="H1545" s="318" t="s">
        <v>629</v>
      </c>
      <c r="I1545" s="437"/>
      <c r="J1545" s="437"/>
      <c r="K1545" s="428"/>
      <c r="L1545" s="437"/>
      <c r="M1545" s="65">
        <v>16038100</v>
      </c>
      <c r="N1545" s="319" t="s">
        <v>282</v>
      </c>
      <c r="O1545" s="66" t="s">
        <v>63</v>
      </c>
      <c r="P1545" s="82" t="str">
        <f>IF(AND('331-CT'!$E$7=TH!H1293,OR(N1545="331",O1545="331")),"x","")</f>
        <v/>
      </c>
      <c r="Q1545" s="82" t="str">
        <f>IF(AND(B1545='111'!$L$11,OR($N1545=$Q$7,$O1545=$Q$7)),"x","")</f>
        <v/>
      </c>
      <c r="R1545" s="82" t="str">
        <f>IF(AND($N1545=$Q$7,$B1545&lt;'111'!$L$11),"x","")</f>
        <v/>
      </c>
      <c r="S1545" s="82" t="str">
        <f>IF(AND($O1545=$Q$7,$B1545&lt;'111'!$L$11),"x","")</f>
        <v>x</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IF(OR(TH!N1293=TH!$X$7,O1545=TH!$X$7),"x","")</f>
        <v/>
      </c>
      <c r="Y1545" s="82" t="str">
        <f>IF(AND(OR(N1545="131",O1545="131"),H1545='131-CT'!$H$9),"x","")</f>
        <v/>
      </c>
      <c r="Z1545" s="82"/>
      <c r="AA1545" s="82" t="str">
        <f>IF(AND(MONTH(E1545)='IN-NX'!$J$5,'IN-NX'!$D$7=D1545),"x","")</f>
        <v/>
      </c>
      <c r="AB1545" s="82" t="str">
        <f>IF(AND(OR(LEFT(TH!N1293,2)="15",LEFT(TH!O1293,2)="15"),LEFT(TH!O1293,3)&lt;&gt;"111",'152-CT'!$J$8=TH!F1293),"x","")</f>
        <v/>
      </c>
      <c r="AC1545" s="82" t="str">
        <f>IF(AND(OR(LEFT(TH!N1293,2)="15",LEFT(TH!O1293,2)="15"),TK!$E$7=TH!F1293),"x","")</f>
        <v/>
      </c>
      <c r="AD1545" s="82" t="str">
        <f>IF(AND(N1545="1521",MONTH(C1545)='BK-NL'!$M$11),"x","")</f>
        <v/>
      </c>
      <c r="AE1545" s="328"/>
      <c r="AF1545" s="328"/>
    </row>
    <row r="1546" spans="1:32" s="1156" customFormat="1" ht="15.75" customHeight="1">
      <c r="A1546" s="334" t="str">
        <f>IF(B1546&lt;&gt;"",IF(AND(B1546='IN-TC'!$S$4,OR(TH!N1294="1111",TH!O1294="1111")),TH!D1294,""),"")</f>
        <v>C24</v>
      </c>
      <c r="B1546" s="63">
        <f t="shared" si="189"/>
        <v>2</v>
      </c>
      <c r="C1546" s="316">
        <v>42429</v>
      </c>
      <c r="D1546" s="64" t="s">
        <v>891</v>
      </c>
      <c r="E1546" s="316">
        <v>42416</v>
      </c>
      <c r="F1546" s="512" t="s">
        <v>1080</v>
      </c>
      <c r="G1546" s="976" t="s">
        <v>1073</v>
      </c>
      <c r="H1546" s="318" t="s">
        <v>629</v>
      </c>
      <c r="I1546" s="437"/>
      <c r="J1546" s="437"/>
      <c r="K1546" s="428"/>
      <c r="L1546" s="437"/>
      <c r="M1546" s="65">
        <v>1603810</v>
      </c>
      <c r="N1546" s="319" t="s">
        <v>9</v>
      </c>
      <c r="O1546" s="66" t="s">
        <v>63</v>
      </c>
      <c r="P1546" s="82" t="str">
        <f>IF(AND('331-CT'!$E$7=TH!H1294,OR(N1546="331",O1546="331")),"x","")</f>
        <v/>
      </c>
      <c r="Q1546" s="82" t="str">
        <f>IF(AND(B1546='111'!$L$11,OR($N1546=$Q$7,$O1546=$Q$7)),"x","")</f>
        <v/>
      </c>
      <c r="R1546" s="82" t="str">
        <f>IF(AND($N1546=$Q$7,$B1546&lt;'111'!$L$11),"x","")</f>
        <v/>
      </c>
      <c r="S1546" s="82" t="str">
        <f>IF(AND($O1546=$Q$7,$B1546&lt;'111'!$L$11),"x","")</f>
        <v>x</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IF(OR(TH!N1294=TH!$X$7,O1546=TH!$X$7),"x","")</f>
        <v>x</v>
      </c>
      <c r="Y1546" s="82" t="str">
        <f>IF(AND(OR(N1546="131",O1546="131"),H1546='131-CT'!$H$9),"x","")</f>
        <v/>
      </c>
      <c r="Z1546" s="82"/>
      <c r="AA1546" s="82" t="str">
        <f>IF(AND(MONTH(E1546)='IN-NX'!$J$5,'IN-NX'!$D$7=D1546),"x","")</f>
        <v/>
      </c>
      <c r="AB1546" s="82" t="str">
        <f>IF(AND(OR(LEFT(TH!N1294,2)="15",LEFT(TH!O1294,2)="15"),LEFT(TH!O1294,3)&lt;&gt;"111",'152-CT'!$J$8=TH!F1294),"x","")</f>
        <v/>
      </c>
      <c r="AC1546" s="82" t="str">
        <f>IF(AND(OR(LEFT(TH!N1294,2)="15",LEFT(TH!O1294,2)="15"),TK!$E$7=TH!F1294),"x","")</f>
        <v/>
      </c>
      <c r="AD1546" s="82" t="str">
        <f>IF(AND(N1546="1521",MONTH(C1546)='BK-NL'!$M$11),"x","")</f>
        <v/>
      </c>
      <c r="AE1546" s="328"/>
      <c r="AF1546" s="328"/>
    </row>
    <row r="1547" spans="1:32" s="1156" customFormat="1" ht="15.75" customHeight="1">
      <c r="A1547" s="334" t="str">
        <f>IF(B1547&lt;&gt;"",IF(AND(B1547='IN-TC'!$S$4,OR(TH!N1486="1111",TH!O1486="1111")),TH!D1486,""),"")</f>
        <v/>
      </c>
      <c r="B1547" s="63">
        <f t="shared" si="189"/>
        <v>3</v>
      </c>
      <c r="C1547" s="64">
        <v>42460</v>
      </c>
      <c r="D1547" s="64" t="s">
        <v>2245</v>
      </c>
      <c r="E1547" s="64">
        <f>C1547</f>
        <v>42460</v>
      </c>
      <c r="F1547" s="72" t="s">
        <v>1357</v>
      </c>
      <c r="G1547" s="972" t="s">
        <v>1359</v>
      </c>
      <c r="H1547" s="342" t="s">
        <v>1360</v>
      </c>
      <c r="I1547" s="437"/>
      <c r="J1547" s="437"/>
      <c r="K1547" s="428"/>
      <c r="L1547" s="437"/>
      <c r="M1547" s="65">
        <v>29670</v>
      </c>
      <c r="N1547" s="66" t="s">
        <v>101</v>
      </c>
      <c r="O1547" s="66" t="s">
        <v>63</v>
      </c>
      <c r="P1547" s="82" t="str">
        <f>IF(AND('331-CT'!$E$7=TH!H1486,OR(N1547="331",O1547="331")),"x","")</f>
        <v/>
      </c>
      <c r="Q1547" s="82" t="str">
        <f>IF(AND(B1547='111'!$L$11,OR($N1547=$Q$7,$O1547=$Q$7)),"x","")</f>
        <v/>
      </c>
      <c r="R1547" s="82" t="str">
        <f>IF(AND($N1547=$Q$7,$B1547&lt;'111'!$L$11),"x","")</f>
        <v/>
      </c>
      <c r="S1547" s="82" t="str">
        <f>IF(AND($O1547=$Q$7,$B1547&lt;'111'!$L$11),"x","")</f>
        <v>x</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IF(OR(TH!N1486=TH!$X$7,O1547=TH!$X$7),"x","")</f>
        <v/>
      </c>
      <c r="Y1547" s="82" t="str">
        <f>IF(AND(OR(N1547="131",O1547="131"),H1547='131-CT'!$H$9),"x","")</f>
        <v/>
      </c>
      <c r="Z1547" s="82"/>
      <c r="AA1547" s="82" t="str">
        <f>IF(AND(MONTH(E1547)='IN-NX'!$J$5,'IN-NX'!$D$7=D1547),"x","")</f>
        <v/>
      </c>
      <c r="AB1547" s="82" t="str">
        <f>IF(AND(OR(LEFT(TH!N1486,2)="15",LEFT(TH!O1486,2)="15"),LEFT(TH!O1486,3)&lt;&gt;"111",'152-CT'!$J$8=TH!F1486),"x","")</f>
        <v/>
      </c>
      <c r="AC1547" s="82" t="str">
        <f>IF(AND(OR(LEFT(TH!N1486,2)="15",LEFT(TH!O1486,2)="15"),TK!$E$7=TH!F1486),"x","")</f>
        <v/>
      </c>
      <c r="AD1547" s="82" t="str">
        <f>IF(AND(N1547="1521",MONTH(C1547)='BK-NL'!$M$11),"x","")</f>
        <v/>
      </c>
      <c r="AE1547" s="328"/>
      <c r="AF1547" s="328"/>
    </row>
    <row r="1548" spans="1:32" s="1156" customFormat="1" ht="15.75" customHeight="1">
      <c r="A1548" s="334" t="str">
        <f>IF(B1548&lt;&gt;"",IF(AND(B1548='IN-TC'!$S$4,OR(TH!N1487="1111",TH!O1487="1111")),TH!D1487,""),"")</f>
        <v/>
      </c>
      <c r="B1548" s="63">
        <f t="shared" si="189"/>
        <v>3</v>
      </c>
      <c r="C1548" s="64">
        <v>42460</v>
      </c>
      <c r="D1548" s="64" t="s">
        <v>2245</v>
      </c>
      <c r="E1548" s="64">
        <f>C1548</f>
        <v>42460</v>
      </c>
      <c r="F1548" s="72" t="s">
        <v>1358</v>
      </c>
      <c r="G1548" s="972" t="s">
        <v>1359</v>
      </c>
      <c r="H1548" s="342" t="s">
        <v>1360</v>
      </c>
      <c r="I1548" s="437"/>
      <c r="J1548" s="437"/>
      <c r="K1548" s="428"/>
      <c r="L1548" s="437"/>
      <c r="M1548" s="65">
        <v>2967</v>
      </c>
      <c r="N1548" s="66" t="s">
        <v>9</v>
      </c>
      <c r="O1548" s="66" t="s">
        <v>63</v>
      </c>
      <c r="P1548" s="82" t="str">
        <f>IF(AND('331-CT'!$E$7=TH!H1487,OR(N1548="331",O1548="331")),"x","")</f>
        <v/>
      </c>
      <c r="Q1548" s="82" t="str">
        <f>IF(AND(B1548='111'!$L$11,OR($N1548=$Q$7,$O1548=$Q$7)),"x","")</f>
        <v/>
      </c>
      <c r="R1548" s="82" t="str">
        <f>IF(AND($N1548=$Q$7,$B1548&lt;'111'!$L$11),"x","")</f>
        <v/>
      </c>
      <c r="S1548" s="82" t="str">
        <f>IF(AND($O1548=$Q$7,$B1548&lt;'111'!$L$11),"x","")</f>
        <v>x</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IF(OR(TH!N1487=TH!$X$7,O1548=TH!$X$7),"x","")</f>
        <v/>
      </c>
      <c r="Y1548" s="82" t="str">
        <f>IF(AND(OR(N1548="131",O1548="131"),H1548='131-CT'!$H$9),"x","")</f>
        <v/>
      </c>
      <c r="Z1548" s="82"/>
      <c r="AA1548" s="82" t="str">
        <f>IF(AND(MONTH(E1548)='IN-NX'!$J$5,'IN-NX'!$D$7=D1548),"x","")</f>
        <v/>
      </c>
      <c r="AB1548" s="82" t="str">
        <f>IF(AND(OR(LEFT(TH!N1487,2)="15",LEFT(TH!O1487,2)="15"),LEFT(TH!O1487,3)&lt;&gt;"111",'152-CT'!$J$8=TH!F1487),"x","")</f>
        <v/>
      </c>
      <c r="AC1548" s="82" t="str">
        <f>IF(AND(OR(LEFT(TH!N1487,2)="15",LEFT(TH!O1487,2)="15"),TK!$E$7=TH!F1487),"x","")</f>
        <v/>
      </c>
      <c r="AD1548" s="82" t="str">
        <f>IF(AND(N1548="1521",MONTH(C1548)='BK-NL'!$M$11),"x","")</f>
        <v/>
      </c>
      <c r="AE1548" s="328"/>
      <c r="AF1548" s="328"/>
    </row>
    <row r="1549" spans="1:32" s="348" customFormat="1" ht="15.75" customHeight="1">
      <c r="A1549" s="1229" t="str">
        <f>IF(B1549&lt;&gt;"",IF(AND(B1549='IN-TC'!$S$4,OR(TH!N1488="1111",TH!O1488="1111")),TH!D1488,""),"")</f>
        <v/>
      </c>
      <c r="B1549" s="1134">
        <f t="shared" si="189"/>
        <v>3</v>
      </c>
      <c r="C1549" s="92">
        <v>42460</v>
      </c>
      <c r="D1549" s="92" t="s">
        <v>2246</v>
      </c>
      <c r="E1549" s="92">
        <v>42460</v>
      </c>
      <c r="F1549" s="94" t="s">
        <v>1217</v>
      </c>
      <c r="G1549" s="1138"/>
      <c r="H1549" s="94" t="s">
        <v>845</v>
      </c>
      <c r="I1549" s="443"/>
      <c r="J1549" s="443"/>
      <c r="K1549" s="434"/>
      <c r="L1549" s="443"/>
      <c r="M1549" s="95">
        <v>140728119</v>
      </c>
      <c r="N1549" s="83" t="s">
        <v>589</v>
      </c>
      <c r="O1549" s="83" t="s">
        <v>63</v>
      </c>
      <c r="P1549" s="82" t="str">
        <f>IF(AND('331-CT'!$E$7=TH!H1488,OR(N1549="331",O1549="331")),"x","")</f>
        <v/>
      </c>
      <c r="Q1549" s="82" t="str">
        <f>IF(AND(B1549='111'!$L$11,OR($N1549=$Q$7,$O1549=$Q$7)),"x","")</f>
        <v/>
      </c>
      <c r="R1549" s="82" t="str">
        <f>IF(AND($N1549=$Q$7,$B1549&lt;'111'!$L$11),"x","")</f>
        <v/>
      </c>
      <c r="S1549" s="82" t="str">
        <f>IF(AND($O1549=$Q$7,$B1549&lt;'111'!$L$11),"x","")</f>
        <v>x</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IF(OR(TH!N1488=TH!$X$7,O1549=TH!$X$7),"x","")</f>
        <v>x</v>
      </c>
      <c r="Y1549" s="82" t="str">
        <f>IF(AND(OR(N1549="131",O1549="131"),H1549='131-CT'!$H$9),"x","")</f>
        <v/>
      </c>
      <c r="Z1549" s="82"/>
      <c r="AA1549" s="82" t="str">
        <f>IF(AND(MONTH(E1549)='IN-NX'!$J$5,'IN-NX'!$D$7=D1549),"x","")</f>
        <v/>
      </c>
      <c r="AB1549" s="82" t="str">
        <f>IF(AND(OR(LEFT(TH!N1488,2)="15",LEFT(TH!O1488,2)="15"),LEFT(TH!O1488,3)&lt;&gt;"111",'152-CT'!$J$8=TH!F1488),"x","")</f>
        <v/>
      </c>
      <c r="AC1549" s="82" t="str">
        <f>IF(AND(OR(LEFT(TH!N1488,2)="15",LEFT(TH!O1488,2)="15"),TK!$E$7=TH!F1488),"x","")</f>
        <v/>
      </c>
      <c r="AD1549" s="82" t="str">
        <f>IF(AND(N1549="1521",MONTH(C1549)='BK-NL'!$M$11),"x","")</f>
        <v/>
      </c>
    </row>
    <row r="1550" spans="1:32" s="1156" customFormat="1" ht="15.75" customHeight="1">
      <c r="A1550" s="334" t="str">
        <f>IF(B1550&lt;&gt;"",IF(AND(B1550='IN-TC'!$S$4,OR(TH!N1714="1111",TH!O1714="1111")),TH!D1714,""),"")</f>
        <v/>
      </c>
      <c r="B1550" s="63">
        <f t="shared" si="189"/>
        <v>4</v>
      </c>
      <c r="C1550" s="64">
        <v>42462</v>
      </c>
      <c r="D1550" s="64" t="s">
        <v>864</v>
      </c>
      <c r="E1550" s="64">
        <f>C1550</f>
        <v>42462</v>
      </c>
      <c r="F1550" s="72" t="s">
        <v>1010</v>
      </c>
      <c r="G1550" s="972" t="s">
        <v>1385</v>
      </c>
      <c r="H1550" s="72" t="s">
        <v>805</v>
      </c>
      <c r="I1550" s="437"/>
      <c r="J1550" s="437"/>
      <c r="K1550" s="428"/>
      <c r="L1550" s="437"/>
      <c r="M1550" s="65">
        <v>1036637</v>
      </c>
      <c r="N1550" s="66" t="s">
        <v>101</v>
      </c>
      <c r="O1550" s="66" t="s">
        <v>63</v>
      </c>
      <c r="P1550" s="82" t="str">
        <f>IF(AND('331-CT'!$E$7=TH!H1714,OR(N1550="331",O1550="331")),"x","")</f>
        <v/>
      </c>
      <c r="Q1550" s="82" t="str">
        <f>IF(AND(B1550='111'!$L$11,OR($N1550=$Q$7,$O1550=$Q$7)),"x","")</f>
        <v/>
      </c>
      <c r="R1550" s="82" t="str">
        <f>IF(AND($N1550=$Q$7,$B1550&lt;'111'!$L$11),"x","")</f>
        <v/>
      </c>
      <c r="S1550" s="82" t="str">
        <f>IF(AND($O1550=$Q$7,$B1550&lt;'111'!$L$11),"x","")</f>
        <v>x</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IF(OR(TH!N1714=TH!$X$7,O1550=TH!$X$7),"x","")</f>
        <v/>
      </c>
      <c r="Y1550" s="82" t="str">
        <f>IF(AND(OR(N1550="131",O1550="131"),H1550='131-CT'!$H$9),"x","")</f>
        <v/>
      </c>
      <c r="Z1550" s="82"/>
      <c r="AA1550" s="82" t="str">
        <f>IF(AND(MONTH(E1550)='IN-NX'!$J$5,'IN-NX'!$D$7=D1550),"x","")</f>
        <v/>
      </c>
      <c r="AB1550" s="82" t="str">
        <f>IF(AND(OR(LEFT(TH!N1714,2)="15",LEFT(TH!O1714,2)="15"),LEFT(TH!O1714,3)&lt;&gt;"111",'152-CT'!$J$8=TH!F1714),"x","")</f>
        <v/>
      </c>
      <c r="AC1550" s="82" t="str">
        <f>IF(AND(OR(LEFT(TH!N1714,2)="15",LEFT(TH!O1714,2)="15"),TK!$E$7=TH!F1714),"x","")</f>
        <v/>
      </c>
      <c r="AD1550" s="82" t="str">
        <f>IF(AND(N1550="1521",MONTH(C1550)='BK-NL'!$M$11),"x","")</f>
        <v/>
      </c>
      <c r="AE1550" s="328"/>
      <c r="AF1550" s="328"/>
    </row>
    <row r="1551" spans="1:32" s="1156" customFormat="1" ht="15.75" customHeight="1">
      <c r="A1551" s="334" t="str">
        <f>IF(B1551&lt;&gt;"",IF(AND(B1551='IN-TC'!$S$4,OR(TH!N1715="1111",TH!O1715="1111")),TH!D1715,""),"")</f>
        <v/>
      </c>
      <c r="B1551" s="63">
        <f t="shared" si="189"/>
        <v>4</v>
      </c>
      <c r="C1551" s="64">
        <v>42462</v>
      </c>
      <c r="D1551" s="64" t="s">
        <v>864</v>
      </c>
      <c r="E1551" s="64">
        <f>C1551</f>
        <v>42462</v>
      </c>
      <c r="F1551" s="72" t="s">
        <v>1386</v>
      </c>
      <c r="G1551" s="972" t="s">
        <v>1385</v>
      </c>
      <c r="H1551" s="72" t="s">
        <v>805</v>
      </c>
      <c r="I1551" s="437"/>
      <c r="J1551" s="437"/>
      <c r="K1551" s="428"/>
      <c r="L1551" s="437"/>
      <c r="M1551" s="65">
        <v>103663</v>
      </c>
      <c r="N1551" s="66" t="s">
        <v>9</v>
      </c>
      <c r="O1551" s="66" t="s">
        <v>63</v>
      </c>
      <c r="P1551" s="82" t="str">
        <f>IF(AND('331-CT'!$E$7=TH!H1715,OR(N1551="331",O1551="331")),"x","")</f>
        <v/>
      </c>
      <c r="Q1551" s="82" t="str">
        <f>IF(AND(B1551='111'!$L$11,OR($N1551=$Q$7,$O1551=$Q$7)),"x","")</f>
        <v/>
      </c>
      <c r="R1551" s="82" t="str">
        <f>IF(AND($N1551=$Q$7,$B1551&lt;'111'!$L$11),"x","")</f>
        <v/>
      </c>
      <c r="S1551" s="82" t="str">
        <f>IF(AND($O1551=$Q$7,$B1551&lt;'111'!$L$11),"x","")</f>
        <v>x</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IF(OR(TH!N1715=TH!$X$7,O1551=TH!$X$7),"x","")</f>
        <v/>
      </c>
      <c r="Y1551" s="82" t="str">
        <f>IF(AND(OR(N1551="131",O1551="131"),H1551='131-CT'!$H$9),"x","")</f>
        <v/>
      </c>
      <c r="Z1551" s="82"/>
      <c r="AA1551" s="82" t="str">
        <f>IF(AND(MONTH(E1551)='IN-NX'!$J$5,'IN-NX'!$D$7=D1551),"x","")</f>
        <v/>
      </c>
      <c r="AB1551" s="82" t="str">
        <f>IF(AND(OR(LEFT(TH!N1715,2)="15",LEFT(TH!O1715,2)="15"),LEFT(TH!O1715,3)&lt;&gt;"111",'152-CT'!$J$8=TH!F1715),"x","")</f>
        <v/>
      </c>
      <c r="AC1551" s="82" t="str">
        <f>IF(AND(OR(LEFT(TH!N1715,2)="15",LEFT(TH!O1715,2)="15"),TK!$E$7=TH!F1715),"x","")</f>
        <v/>
      </c>
      <c r="AD1551" s="82" t="str">
        <f>IF(AND(N1551="1521",MONTH(C1551)='BK-NL'!$M$11),"x","")</f>
        <v/>
      </c>
      <c r="AE1551" s="328"/>
      <c r="AF1551" s="328"/>
    </row>
    <row r="1552" spans="1:32" s="1156" customFormat="1" ht="15.75" customHeight="1">
      <c r="A1552" s="334" t="str">
        <f>IF(B1552&lt;&gt;"",IF(AND(B1552='IN-TC'!$S$4,OR(TH!N1550="1111",TH!O1550="1111")),TH!D1550,""),"")</f>
        <v/>
      </c>
      <c r="B1552" s="1148">
        <f t="shared" si="189"/>
        <v>4</v>
      </c>
      <c r="C1552" s="1149">
        <v>42464</v>
      </c>
      <c r="D1552" s="1149" t="s">
        <v>865</v>
      </c>
      <c r="E1552" s="1149">
        <f>C1552</f>
        <v>42464</v>
      </c>
      <c r="F1552" s="512" t="s">
        <v>960</v>
      </c>
      <c r="G1552" s="1151"/>
      <c r="H1552" s="1150" t="s">
        <v>959</v>
      </c>
      <c r="I1552" s="1152"/>
      <c r="J1552" s="1152"/>
      <c r="K1552" s="1153"/>
      <c r="L1552" s="1152"/>
      <c r="M1552" s="1154">
        <v>400000000</v>
      </c>
      <c r="N1552" s="1155" t="s">
        <v>272</v>
      </c>
      <c r="O1552" s="1155" t="s">
        <v>63</v>
      </c>
      <c r="P1552" s="1155" t="str">
        <f>IF(AND('331-CT'!$E$7=TH!H1550,OR(N1552="331",O1552="331")),"x","")</f>
        <v/>
      </c>
      <c r="Q1552" s="1155" t="str">
        <f>IF(AND(B1552='111'!$L$11,OR($N1552=$Q$7,$O1552=$Q$7)),"x","")</f>
        <v/>
      </c>
      <c r="R1552" s="1155" t="str">
        <f>IF(AND($N1552=$Q$7,$B1552&lt;'111'!$L$11),"x","")</f>
        <v/>
      </c>
      <c r="S1552" s="1155" t="str">
        <f>IF(AND($O1552=$Q$7,$B1552&lt;'111'!$L$11),"x","")</f>
        <v>x</v>
      </c>
      <c r="T1552" s="1155" t="str">
        <f>IF(ISERROR(FIND('112'!$M$9,G1552,1)),"",IF((AND(FIND('112'!$M$9,G1552,1)&gt;=1,B1552='112'!$K$9,OR($N1552='112'!$I$6,$O1552='112'!$I$6))),"x",""))</f>
        <v/>
      </c>
      <c r="U1552" s="1155" t="str">
        <f>IF(ISERROR(FIND('112'!$M$9,G1552,1)),"",IF((AND(LEFT(G1552,2)=LEFT('112'!$M$9,2),B1552&lt;'112'!$K$9,$N1552='112'!$I$6)),"x",""))</f>
        <v/>
      </c>
      <c r="V1552" s="1155" t="str">
        <f>IF(ISERROR(FIND('112'!$M$9,G1552,1)),"",IF((AND(RIGHT(G1552,2)=RIGHT('112'!$M$9,2),B1552&lt;'112'!$K$9,$O1552='112'!$I$6)),"x",""))</f>
        <v/>
      </c>
      <c r="W1552" s="1155" t="str">
        <f>IF(AND('341-CT'!$H$9=H1552,OR(LEFT(N1552,3)=$W$7,LEFT(O1552,3)=$W$7)),"x","")</f>
        <v/>
      </c>
      <c r="X1552" s="1155" t="str">
        <f>IF(OR(TH!N1550=TH!$X$7,O1552=TH!$X$7),"x","")</f>
        <v/>
      </c>
      <c r="Y1552" s="1155" t="str">
        <f>IF(AND(OR(N1552="131",O1552="131"),H1552='131-CT'!$H$9),"x","")</f>
        <v/>
      </c>
      <c r="Z1552" s="1155"/>
      <c r="AA1552" s="1155" t="str">
        <f>IF(AND(MONTH(E1552)='IN-NX'!$J$5,'IN-NX'!$D$7=D1552),"x","")</f>
        <v/>
      </c>
      <c r="AB1552" s="1155" t="str">
        <f>IF(AND(OR(LEFT(TH!N1550,2)="15",LEFT(TH!O1550,2)="15"),LEFT(TH!O1550,3)&lt;&gt;"111",'152-CT'!$J$8=TH!F1550),"x","")</f>
        <v/>
      </c>
      <c r="AC1552" s="1155" t="str">
        <f>IF(AND(OR(LEFT(TH!N1550,2)="15",LEFT(TH!O1550,2)="15"),TK!$E$7=TH!F1550),"x","")</f>
        <v/>
      </c>
      <c r="AD1552" s="1155" t="str">
        <f>IF(AND(N1552="1521",MONTH(C1552)='BK-NL'!$M$11),"x","")</f>
        <v/>
      </c>
    </row>
    <row r="1553" spans="1:32" s="1156" customFormat="1" ht="15.75" customHeight="1">
      <c r="A1553" s="334" t="str">
        <f>IF(B1553&lt;&gt;"",IF(AND(B1553='IN-TC'!$S$4,OR(TH!N1552="1111",TH!O1552="1111")),TH!D1552,""),"")</f>
        <v/>
      </c>
      <c r="B1553" s="1148">
        <f t="shared" si="189"/>
        <v>4</v>
      </c>
      <c r="C1553" s="1149">
        <v>42464</v>
      </c>
      <c r="D1553" s="1149" t="s">
        <v>866</v>
      </c>
      <c r="E1553" s="1149">
        <f>C1553</f>
        <v>42464</v>
      </c>
      <c r="F1553" s="512" t="s">
        <v>960</v>
      </c>
      <c r="G1553" s="1151"/>
      <c r="H1553" s="1150" t="s">
        <v>2239</v>
      </c>
      <c r="I1553" s="1152"/>
      <c r="J1553" s="1152"/>
      <c r="K1553" s="1153"/>
      <c r="L1553" s="1152"/>
      <c r="M1553" s="1154">
        <v>350000000</v>
      </c>
      <c r="N1553" s="1155" t="s">
        <v>272</v>
      </c>
      <c r="O1553" s="1155" t="s">
        <v>63</v>
      </c>
      <c r="P1553" s="1155" t="str">
        <f>IF(AND('331-CT'!$E$7=TH!H1552,OR(N1553="331",O1553="331")),"x","")</f>
        <v/>
      </c>
      <c r="Q1553" s="1155" t="str">
        <f>IF(AND(B1553='111'!$L$11,OR($N1553=$Q$7,$O1553=$Q$7)),"x","")</f>
        <v/>
      </c>
      <c r="R1553" s="1155" t="str">
        <f>IF(AND($N1553=$Q$7,$B1553&lt;'111'!$L$11),"x","")</f>
        <v/>
      </c>
      <c r="S1553" s="1155" t="str">
        <f>IF(AND($O1553=$Q$7,$B1553&lt;'111'!$L$11),"x","")</f>
        <v>x</v>
      </c>
      <c r="T1553" s="1155" t="str">
        <f>IF(ISERROR(FIND('112'!$M$9,G1553,1)),"",IF((AND(FIND('112'!$M$9,G1553,1)&gt;=1,B1553='112'!$K$9,OR($N1553='112'!$I$6,$O1553='112'!$I$6))),"x",""))</f>
        <v/>
      </c>
      <c r="U1553" s="1155" t="str">
        <f>IF(ISERROR(FIND('112'!$M$9,G1553,1)),"",IF((AND(LEFT(G1553,2)=LEFT('112'!$M$9,2),B1553&lt;'112'!$K$9,$N1553='112'!$I$6)),"x",""))</f>
        <v/>
      </c>
      <c r="V1553" s="1155" t="str">
        <f>IF(ISERROR(FIND('112'!$M$9,G1553,1)),"",IF((AND(RIGHT(G1553,2)=RIGHT('112'!$M$9,2),B1553&lt;'112'!$K$9,$O1553='112'!$I$6)),"x",""))</f>
        <v/>
      </c>
      <c r="W1553" s="1155" t="str">
        <f>IF(AND('341-CT'!$H$9=H1553,OR(LEFT(N1553,3)=$W$7,LEFT(O1553,3)=$W$7)),"x","")</f>
        <v/>
      </c>
      <c r="X1553" s="1155" t="str">
        <f>IF(OR(TH!N1552=TH!$X$7,O1553=TH!$X$7),"x","")</f>
        <v/>
      </c>
      <c r="Y1553" s="1155" t="str">
        <f>IF(AND(OR(N1553="131",O1553="131"),H1553='131-CT'!$H$9),"x","")</f>
        <v/>
      </c>
      <c r="Z1553" s="1155"/>
      <c r="AA1553" s="1155" t="str">
        <f>IF(AND(MONTH(E1553)='IN-NX'!$J$5,'IN-NX'!$D$7=D1553),"x","")</f>
        <v/>
      </c>
      <c r="AB1553" s="1155" t="str">
        <f>IF(AND(OR(LEFT(TH!N1552,2)="15",LEFT(TH!O1552,2)="15"),LEFT(TH!O1552,3)&lt;&gt;"111",'152-CT'!$J$8=TH!F1552),"x","")</f>
        <v/>
      </c>
      <c r="AC1553" s="1155" t="str">
        <f>IF(AND(OR(LEFT(TH!N1552,2)="15",LEFT(TH!O1552,2)="15"),TK!$E$7=TH!F1552),"x","")</f>
        <v/>
      </c>
      <c r="AD1553" s="1155" t="str">
        <f>IF(AND(N1553="1521",MONTH(C1553)='BK-NL'!$M$11),"x","")</f>
        <v/>
      </c>
    </row>
    <row r="1554" spans="1:32" s="1156" customFormat="1" ht="15.75" customHeight="1">
      <c r="A1554" s="334" t="str">
        <f>IF(B1554&lt;&gt;"",IF(AND(B1554='IN-TC'!$S$4,OR(TH!N1554="1111",TH!O1554="1111")),TH!D1554,""),"")</f>
        <v/>
      </c>
      <c r="B1554" s="1148">
        <f t="shared" si="189"/>
        <v>5</v>
      </c>
      <c r="C1554" s="1149">
        <v>42492</v>
      </c>
      <c r="D1554" s="1149" t="s">
        <v>864</v>
      </c>
      <c r="E1554" s="1149">
        <f>C1554</f>
        <v>42492</v>
      </c>
      <c r="F1554" s="512" t="s">
        <v>960</v>
      </c>
      <c r="G1554" s="1151"/>
      <c r="H1554" s="1150" t="s">
        <v>959</v>
      </c>
      <c r="I1554" s="1152"/>
      <c r="J1554" s="1152"/>
      <c r="K1554" s="1153"/>
      <c r="L1554" s="1152"/>
      <c r="M1554" s="1154">
        <v>400000000</v>
      </c>
      <c r="N1554" s="1155" t="s">
        <v>272</v>
      </c>
      <c r="O1554" s="1155" t="s">
        <v>63</v>
      </c>
      <c r="P1554" s="1155" t="str">
        <f>IF(AND('331-CT'!$E$7=TH!H1554,OR(N1554="331",O1554="331")),"x","")</f>
        <v/>
      </c>
      <c r="Q1554" s="1155" t="str">
        <f>IF(AND(B1554='111'!$L$11,OR($N1554=$Q$7,$O1554=$Q$7)),"x","")</f>
        <v/>
      </c>
      <c r="R1554" s="1155" t="str">
        <f>IF(AND($N1554=$Q$7,$B1554&lt;'111'!$L$11),"x","")</f>
        <v/>
      </c>
      <c r="S1554" s="1155" t="str">
        <f>IF(AND($O1554=$Q$7,$B1554&lt;'111'!$L$11),"x","")</f>
        <v>x</v>
      </c>
      <c r="T1554" s="1155" t="str">
        <f>IF(ISERROR(FIND('112'!$M$9,G1554,1)),"",IF((AND(FIND('112'!$M$9,G1554,1)&gt;=1,B1554='112'!$K$9,OR($N1554='112'!$I$6,$O1554='112'!$I$6))),"x",""))</f>
        <v/>
      </c>
      <c r="U1554" s="1155" t="str">
        <f>IF(ISERROR(FIND('112'!$M$9,G1554,1)),"",IF((AND(LEFT(G1554,2)=LEFT('112'!$M$9,2),B1554&lt;'112'!$K$9,$N1554='112'!$I$6)),"x",""))</f>
        <v/>
      </c>
      <c r="V1554" s="1155" t="str">
        <f>IF(ISERROR(FIND('112'!$M$9,G1554,1)),"",IF((AND(RIGHT(G1554,2)=RIGHT('112'!$M$9,2),B1554&lt;'112'!$K$9,$O1554='112'!$I$6)),"x",""))</f>
        <v/>
      </c>
      <c r="W1554" s="1155" t="str">
        <f>IF(AND('341-CT'!$H$9=H1554,OR(LEFT(N1554,3)=$W$7,LEFT(O1554,3)=$W$7)),"x","")</f>
        <v/>
      </c>
      <c r="X1554" s="1155" t="str">
        <f>IF(OR(TH!N1554=TH!$X$7,O1554=TH!$X$7),"x","")</f>
        <v/>
      </c>
      <c r="Y1554" s="1155" t="str">
        <f>IF(AND(OR(N1554="131",O1554="131"),H1554='131-CT'!$H$9),"x","")</f>
        <v/>
      </c>
      <c r="Z1554" s="1155"/>
      <c r="AA1554" s="1155" t="str">
        <f>IF(AND(MONTH(E1554)='IN-NX'!$J$5,'IN-NX'!$D$7=D1554),"x","")</f>
        <v/>
      </c>
      <c r="AB1554" s="1155" t="str">
        <f>IF(AND(OR(LEFT(TH!N1554,2)="15",LEFT(TH!O1554,2)="15"),LEFT(TH!O1554,3)&lt;&gt;"111",'152-CT'!$J$8=TH!F1554),"x","")</f>
        <v/>
      </c>
      <c r="AC1554" s="1155" t="str">
        <f>IF(AND(OR(LEFT(TH!N1554,2)="15",LEFT(TH!O1554,2)="15"),TK!$E$7=TH!F1554),"x","")</f>
        <v/>
      </c>
      <c r="AD1554" s="1155" t="str">
        <f>IF(AND(N1554="1521",MONTH(C1554)='BK-NL'!$M$11),"x","")</f>
        <v/>
      </c>
    </row>
    <row r="1555" spans="1:32" s="1156" customFormat="1" ht="15.75" customHeight="1">
      <c r="A1555" s="334" t="str">
        <f>IF(B1555&lt;&gt;"",IF(AND(B1555='IN-TC'!$S$4,OR(TH!N1820="1111",TH!O1820="1111")),TH!D1820,""),"")</f>
        <v/>
      </c>
      <c r="B1555" s="63">
        <f t="shared" si="189"/>
        <v>5</v>
      </c>
      <c r="C1555" s="64">
        <v>42494</v>
      </c>
      <c r="D1555" s="64" t="s">
        <v>865</v>
      </c>
      <c r="E1555" s="64">
        <v>42489</v>
      </c>
      <c r="F1555" s="72" t="s">
        <v>1478</v>
      </c>
      <c r="G1555" s="972" t="s">
        <v>1479</v>
      </c>
      <c r="H1555" s="72" t="s">
        <v>799</v>
      </c>
      <c r="I1555" s="437"/>
      <c r="J1555" s="437"/>
      <c r="K1555" s="428"/>
      <c r="L1555" s="437"/>
      <c r="M1555" s="65">
        <v>33050</v>
      </c>
      <c r="N1555" s="319" t="s">
        <v>101</v>
      </c>
      <c r="O1555" s="66" t="s">
        <v>63</v>
      </c>
      <c r="P1555" s="82" t="str">
        <f>IF(AND('331-CT'!$E$7=TH!H1820,OR(N1555="331",O1555="331")),"x","")</f>
        <v/>
      </c>
      <c r="Q1555" s="82" t="str">
        <f>IF(AND(B1555='111'!$L$11,OR($N1555=$Q$7,$O1555=$Q$7)),"x","")</f>
        <v/>
      </c>
      <c r="R1555" s="82" t="str">
        <f>IF(AND($N1555=$Q$7,$B1555&lt;'111'!$L$11),"x","")</f>
        <v/>
      </c>
      <c r="S1555" s="82" t="str">
        <f>IF(AND($O1555=$Q$7,$B1555&lt;'111'!$L$11),"x","")</f>
        <v>x</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IF(OR(TH!N1820=TH!$X$7,O1555=TH!$X$7),"x","")</f>
        <v>x</v>
      </c>
      <c r="Y1555" s="82" t="str">
        <f>IF(AND(OR(N1555="131",O1555="131"),H1555='131-CT'!$H$9),"x","")</f>
        <v/>
      </c>
      <c r="Z1555" s="82"/>
      <c r="AA1555" s="82" t="str">
        <f>IF(AND(MONTH(E1555)='IN-NX'!$J$5,'IN-NX'!$D$7=D1555),"x","")</f>
        <v/>
      </c>
      <c r="AB1555" s="82" t="str">
        <f>IF(AND(OR(LEFT(TH!N1820,2)="15",LEFT(TH!O1820,2)="15"),LEFT(TH!O1820,3)&lt;&gt;"111",'152-CT'!$J$8=TH!F1820),"x","")</f>
        <v/>
      </c>
      <c r="AC1555" s="82" t="str">
        <f>IF(AND(OR(LEFT(TH!N1820,2)="15",LEFT(TH!O1820,2)="15"),TK!$E$7=TH!F1820),"x","")</f>
        <v/>
      </c>
      <c r="AD1555" s="82" t="str">
        <f>IF(AND(N1555="1521",MONTH(C1555)='BK-NL'!$M$11),"x","")</f>
        <v/>
      </c>
      <c r="AE1555" s="328"/>
      <c r="AF1555" s="328"/>
    </row>
    <row r="1556" spans="1:32" s="1156" customFormat="1" ht="15.75" customHeight="1">
      <c r="A1556" s="334" t="str">
        <f>IF(B1556&lt;&gt;"",IF(AND(B1556='IN-TC'!$S$4,OR(TH!N1821="1111",TH!O1821="1111")),TH!D1821,""),"")</f>
        <v/>
      </c>
      <c r="B1556" s="63">
        <f t="shared" si="189"/>
        <v>5</v>
      </c>
      <c r="C1556" s="64">
        <v>42494</v>
      </c>
      <c r="D1556" s="64" t="s">
        <v>865</v>
      </c>
      <c r="E1556" s="64">
        <v>42489</v>
      </c>
      <c r="F1556" s="72" t="s">
        <v>1483</v>
      </c>
      <c r="G1556" s="972" t="s">
        <v>1479</v>
      </c>
      <c r="H1556" s="72" t="s">
        <v>799</v>
      </c>
      <c r="I1556" s="437"/>
      <c r="J1556" s="437"/>
      <c r="K1556" s="428"/>
      <c r="L1556" s="437"/>
      <c r="M1556" s="65">
        <v>3305</v>
      </c>
      <c r="N1556" s="319" t="s">
        <v>9</v>
      </c>
      <c r="O1556" s="66" t="s">
        <v>63</v>
      </c>
      <c r="P1556" s="82" t="str">
        <f>IF(AND('331-CT'!$E$7=TH!H1821,OR(N1556="331",O1556="331")),"x","")</f>
        <v/>
      </c>
      <c r="Q1556" s="82" t="str">
        <f>IF(AND(B1556='111'!$L$11,OR($N1556=$Q$7,$O1556=$Q$7)),"x","")</f>
        <v/>
      </c>
      <c r="R1556" s="82" t="str">
        <f>IF(AND($N1556=$Q$7,$B1556&lt;'111'!$L$11),"x","")</f>
        <v/>
      </c>
      <c r="S1556" s="82" t="str">
        <f>IF(AND($O1556=$Q$7,$B1556&lt;'111'!$L$11),"x","")</f>
        <v>x</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IF(OR(TH!N1821=TH!$X$7,O1556=TH!$X$7),"x","")</f>
        <v/>
      </c>
      <c r="Y1556" s="82" t="str">
        <f>IF(AND(OR(N1556="131",O1556="131"),H1556='131-CT'!$H$9),"x","")</f>
        <v/>
      </c>
      <c r="Z1556" s="82"/>
      <c r="AA1556" s="82" t="str">
        <f>IF(AND(MONTH(E1556)='IN-NX'!$J$5,'IN-NX'!$D$7=D1556),"x","")</f>
        <v/>
      </c>
      <c r="AB1556" s="82" t="str">
        <f>IF(AND(OR(LEFT(TH!N1821,2)="15",LEFT(TH!O1821,2)="15"),LEFT(TH!O1821,3)&lt;&gt;"111",'152-CT'!$J$8=TH!F1821),"x","")</f>
        <v/>
      </c>
      <c r="AC1556" s="82" t="str">
        <f>IF(AND(OR(LEFT(TH!N1821,2)="15",LEFT(TH!O1821,2)="15"),TK!$E$7=TH!F1821),"x","")</f>
        <v/>
      </c>
      <c r="AD1556" s="82" t="str">
        <f>IF(AND(N1556="1521",MONTH(C1556)='BK-NL'!$M$11),"x","")</f>
        <v/>
      </c>
      <c r="AE1556" s="328"/>
      <c r="AF1556" s="328"/>
    </row>
    <row r="1557" spans="1:32" s="1156" customFormat="1" ht="15.75" customHeight="1">
      <c r="A1557" s="334" t="str">
        <f>IF(B1557&lt;&gt;"",IF(AND(B1557='IN-TC'!$S$4,OR(TH!N1822="1111",TH!O1822="1111")),TH!D1822,""),"")</f>
        <v/>
      </c>
      <c r="B1557" s="63">
        <f t="shared" si="189"/>
        <v>5</v>
      </c>
      <c r="C1557" s="64">
        <v>42494</v>
      </c>
      <c r="D1557" s="64" t="s">
        <v>866</v>
      </c>
      <c r="E1557" s="64">
        <v>42494</v>
      </c>
      <c r="F1557" s="72" t="s">
        <v>1100</v>
      </c>
      <c r="G1557" s="67" t="s">
        <v>915</v>
      </c>
      <c r="H1557" s="1165" t="s">
        <v>761</v>
      </c>
      <c r="I1557" s="437"/>
      <c r="J1557" s="437"/>
      <c r="K1557" s="428"/>
      <c r="L1557" s="437"/>
      <c r="M1557" s="65">
        <v>31000000</v>
      </c>
      <c r="N1557" s="66" t="s">
        <v>26</v>
      </c>
      <c r="O1557" s="66" t="s">
        <v>63</v>
      </c>
      <c r="P1557" s="82" t="str">
        <f>IF(AND('331-CT'!$E$7=TH!H1822,OR(N1557="331",O1557="331")),"x","")</f>
        <v/>
      </c>
      <c r="Q1557" s="82" t="str">
        <f>IF(AND(B1557='111'!$L$11,OR($N1557=$Q$7,$O1557=$Q$7)),"x","")</f>
        <v/>
      </c>
      <c r="R1557" s="82" t="str">
        <f>IF(AND($N1557=$Q$7,$B1557&lt;'111'!$L$11),"x","")</f>
        <v/>
      </c>
      <c r="S1557" s="82" t="str">
        <f>IF(AND($O1557=$Q$7,$B1557&lt;'111'!$L$11),"x","")</f>
        <v>x</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IF(OR(TH!N1822=TH!$X$7,O1557=TH!$X$7),"x","")</f>
        <v/>
      </c>
      <c r="Y1557" s="82" t="str">
        <f>IF(AND(OR(N1557="131",O1557="131"),H1557='131-CT'!$H$9),"x","")</f>
        <v/>
      </c>
      <c r="Z1557" s="82"/>
      <c r="AA1557" s="82" t="str">
        <f>IF(AND(MONTH(E1557)='IN-NX'!$J$5,'IN-NX'!$D$7=D1557),"x","")</f>
        <v/>
      </c>
      <c r="AB1557" s="82" t="str">
        <f>IF(AND(OR(LEFT(TH!N1822,2)="15",LEFT(TH!O1822,2)="15"),LEFT(TH!O1822,3)&lt;&gt;"111",'152-CT'!$J$8=TH!F1822),"x","")</f>
        <v/>
      </c>
      <c r="AC1557" s="82" t="str">
        <f>IF(AND(OR(LEFT(TH!N1822,2)="15",LEFT(TH!O1822,2)="15"),TK!$E$7=TH!F1822),"x","")</f>
        <v/>
      </c>
      <c r="AD1557" s="82" t="str">
        <f>IF(AND(N1557="1521",MONTH(C1557)='BK-NL'!$M$11),"x","")</f>
        <v/>
      </c>
      <c r="AE1557" s="328"/>
      <c r="AF1557" s="328"/>
    </row>
    <row r="1558" spans="1:32" s="1156" customFormat="1" ht="15.75" customHeight="1">
      <c r="A1558" s="334" t="str">
        <f>IF(B1558&lt;&gt;"",IF(AND(B1558='IN-TC'!$S$4,OR(TH!N1823="1111",TH!O1823="1111")),TH!D1823,""),"")</f>
        <v/>
      </c>
      <c r="B1558" s="63">
        <f t="shared" si="189"/>
        <v>5</v>
      </c>
      <c r="C1558" s="64">
        <v>42494</v>
      </c>
      <c r="D1558" s="64" t="s">
        <v>866</v>
      </c>
      <c r="E1558" s="64">
        <v>42494</v>
      </c>
      <c r="F1558" s="72" t="s">
        <v>1010</v>
      </c>
      <c r="G1558" s="972" t="s">
        <v>1472</v>
      </c>
      <c r="H1558" s="318" t="s">
        <v>805</v>
      </c>
      <c r="I1558" s="437"/>
      <c r="J1558" s="437"/>
      <c r="K1558" s="428"/>
      <c r="L1558" s="437"/>
      <c r="M1558" s="65">
        <v>1082436</v>
      </c>
      <c r="N1558" s="319" t="s">
        <v>101</v>
      </c>
      <c r="O1558" s="66" t="s">
        <v>63</v>
      </c>
      <c r="P1558" s="82" t="str">
        <f>IF(AND('331-CT'!$E$7=TH!H1823,OR(N1558="331",O1558="331")),"x","")</f>
        <v/>
      </c>
      <c r="Q1558" s="82" t="str">
        <f>IF(AND(B1558='111'!$L$11,OR($N1558=$Q$7,$O1558=$Q$7)),"x","")</f>
        <v/>
      </c>
      <c r="R1558" s="82" t="str">
        <f>IF(AND($N1558=$Q$7,$B1558&lt;'111'!$L$11),"x","")</f>
        <v/>
      </c>
      <c r="S1558" s="82" t="str">
        <f>IF(AND($O1558=$Q$7,$B1558&lt;'111'!$L$11),"x","")</f>
        <v>x</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IF(OR(TH!N1823=TH!$X$7,O1558=TH!$X$7),"x","")</f>
        <v/>
      </c>
      <c r="Y1558" s="82" t="str">
        <f>IF(AND(OR(N1558="131",O1558="131"),H1558='131-CT'!$H$9),"x","")</f>
        <v/>
      </c>
      <c r="Z1558" s="82"/>
      <c r="AA1558" s="82" t="str">
        <f>IF(AND(MONTH(E1558)='IN-NX'!$J$5,'IN-NX'!$D$7=D1558),"x","")</f>
        <v/>
      </c>
      <c r="AB1558" s="82" t="str">
        <f>IF(AND(OR(LEFT(TH!N1823,2)="15",LEFT(TH!O1823,2)="15"),LEFT(TH!O1823,3)&lt;&gt;"111",'152-CT'!$J$8=TH!F1823),"x","")</f>
        <v/>
      </c>
      <c r="AC1558" s="82" t="str">
        <f>IF(AND(OR(LEFT(TH!N1823,2)="15",LEFT(TH!O1823,2)="15"),TK!$E$7=TH!F1823),"x","")</f>
        <v/>
      </c>
      <c r="AD1558" s="82" t="str">
        <f>IF(AND(N1558="1521",MONTH(C1558)='BK-NL'!$M$11),"x","")</f>
        <v/>
      </c>
      <c r="AE1558" s="328"/>
      <c r="AF1558" s="328"/>
    </row>
    <row r="1559" spans="1:32" s="1156" customFormat="1" ht="15.75" customHeight="1">
      <c r="A1559" s="334" t="str">
        <f>IF(B1559&lt;&gt;"",IF(AND(B1559='IN-TC'!$S$4,OR(TH!N1824="1111",TH!O1824="1111")),TH!D1824,""),"")</f>
        <v/>
      </c>
      <c r="B1559" s="63">
        <f t="shared" si="189"/>
        <v>5</v>
      </c>
      <c r="C1559" s="64">
        <v>42494</v>
      </c>
      <c r="D1559" s="64" t="s">
        <v>867</v>
      </c>
      <c r="E1559" s="64">
        <v>42494</v>
      </c>
      <c r="F1559" s="72" t="s">
        <v>1011</v>
      </c>
      <c r="G1559" s="972" t="s">
        <v>1472</v>
      </c>
      <c r="H1559" s="318" t="s">
        <v>805</v>
      </c>
      <c r="I1559" s="437"/>
      <c r="J1559" s="437"/>
      <c r="K1559" s="428"/>
      <c r="L1559" s="437"/>
      <c r="M1559" s="65">
        <v>108244</v>
      </c>
      <c r="N1559" s="319" t="s">
        <v>9</v>
      </c>
      <c r="O1559" s="66" t="s">
        <v>63</v>
      </c>
      <c r="P1559" s="82" t="str">
        <f>IF(AND('331-CT'!$E$7=TH!H1824,OR(N1559="331",O1559="331")),"x","")</f>
        <v/>
      </c>
      <c r="Q1559" s="82" t="str">
        <f>IF(AND(B1559='111'!$L$11,OR($N1559=$Q$7,$O1559=$Q$7)),"x","")</f>
        <v/>
      </c>
      <c r="R1559" s="82" t="str">
        <f>IF(AND($N1559=$Q$7,$B1559&lt;'111'!$L$11),"x","")</f>
        <v/>
      </c>
      <c r="S1559" s="82" t="str">
        <f>IF(AND($O1559=$Q$7,$B1559&lt;'111'!$L$11),"x","")</f>
        <v>x</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IF(OR(TH!N1824=TH!$X$7,O1559=TH!$X$7),"x","")</f>
        <v/>
      </c>
      <c r="Y1559" s="82" t="str">
        <f>IF(AND(OR(N1559="131",O1559="131"),H1559='131-CT'!$H$9),"x","")</f>
        <v/>
      </c>
      <c r="Z1559" s="82"/>
      <c r="AA1559" s="82" t="str">
        <f>IF(AND(MONTH(E1559)='IN-NX'!$J$5,'IN-NX'!$D$7=D1559),"x","")</f>
        <v/>
      </c>
      <c r="AB1559" s="82" t="str">
        <f>IF(AND(OR(LEFT(TH!N1824,2)="15",LEFT(TH!O1824,2)="15"),LEFT(TH!O1824,3)&lt;&gt;"111",'152-CT'!$J$8=TH!F1824),"x","")</f>
        <v/>
      </c>
      <c r="AC1559" s="82" t="str">
        <f>IF(AND(OR(LEFT(TH!N1824,2)="15",LEFT(TH!O1824,2)="15"),TK!$E$7=TH!F1824),"x","")</f>
        <v/>
      </c>
      <c r="AD1559" s="82" t="str">
        <f>IF(AND(N1559="1521",MONTH(C1559)='BK-NL'!$M$11),"x","")</f>
        <v/>
      </c>
      <c r="AE1559" s="328"/>
      <c r="AF1559" s="328"/>
    </row>
    <row r="1560" spans="1:32" s="1156" customFormat="1" ht="15.75" customHeight="1">
      <c r="A1560" s="334" t="str">
        <f>IF(B1560&lt;&gt;"",IF(AND(B1560='IN-TC'!$S$4,OR(TH!N1825="1111",TH!O1825="1111")),TH!D1825,""),"")</f>
        <v/>
      </c>
      <c r="B1560" s="63">
        <f t="shared" si="189"/>
        <v>5</v>
      </c>
      <c r="C1560" s="316">
        <v>42495</v>
      </c>
      <c r="D1560" s="64" t="s">
        <v>867</v>
      </c>
      <c r="E1560" s="316">
        <v>42495</v>
      </c>
      <c r="F1560" s="72" t="s">
        <v>1466</v>
      </c>
      <c r="G1560" s="976" t="s">
        <v>1473</v>
      </c>
      <c r="H1560" s="318" t="s">
        <v>843</v>
      </c>
      <c r="I1560" s="437"/>
      <c r="J1560" s="437"/>
      <c r="K1560" s="428"/>
      <c r="L1560" s="437"/>
      <c r="M1560" s="65">
        <v>1927823</v>
      </c>
      <c r="N1560" s="319" t="s">
        <v>101</v>
      </c>
      <c r="O1560" s="66" t="s">
        <v>63</v>
      </c>
      <c r="P1560" s="82" t="str">
        <f>IF(AND('331-CT'!$E$7=TH!H1825,OR(N1560="331",O1560="331")),"x","")</f>
        <v/>
      </c>
      <c r="Q1560" s="82" t="str">
        <f>IF(AND(B1560='111'!$L$11,OR($N1560=$Q$7,$O1560=$Q$7)),"x","")</f>
        <v/>
      </c>
      <c r="R1560" s="82" t="str">
        <f>IF(AND($N1560=$Q$7,$B1560&lt;'111'!$L$11),"x","")</f>
        <v/>
      </c>
      <c r="S1560" s="82" t="str">
        <f>IF(AND($O1560=$Q$7,$B1560&lt;'111'!$L$11),"x","")</f>
        <v>x</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IF(OR(TH!N1825=TH!$X$7,O1560=TH!$X$7),"x","")</f>
        <v>x</v>
      </c>
      <c r="Y1560" s="82" t="str">
        <f>IF(AND(OR(N1560="131",O1560="131"),H1560='131-CT'!$H$9),"x","")</f>
        <v/>
      </c>
      <c r="Z1560" s="82"/>
      <c r="AA1560" s="82" t="str">
        <f>IF(AND(MONTH(E1560)='IN-NX'!$J$5,'IN-NX'!$D$7=D1560),"x","")</f>
        <v/>
      </c>
      <c r="AB1560" s="82" t="str">
        <f>IF(AND(OR(LEFT(TH!N1825,2)="15",LEFT(TH!O1825,2)="15"),LEFT(TH!O1825,3)&lt;&gt;"111",'152-CT'!$J$8=TH!F1825),"x","")</f>
        <v/>
      </c>
      <c r="AC1560" s="82" t="str">
        <f>IF(AND(OR(LEFT(TH!N1825,2)="15",LEFT(TH!O1825,2)="15"),TK!$E$7=TH!F1825),"x","")</f>
        <v/>
      </c>
      <c r="AD1560" s="82" t="str">
        <f>IF(AND(N1560="1521",MONTH(C1560)='BK-NL'!$M$11),"x","")</f>
        <v/>
      </c>
      <c r="AE1560" s="328"/>
      <c r="AF1560" s="328"/>
    </row>
    <row r="1561" spans="1:32" s="1156" customFormat="1" ht="15.75" customHeight="1">
      <c r="A1561" s="334" t="str">
        <f>IF(B1561&lt;&gt;"",IF(AND(B1561='IN-TC'!$S$4,OR(TH!N1561="1111",TH!O1561="1111")),TH!D1561,""),"")</f>
        <v/>
      </c>
      <c r="B1561" s="1148">
        <f t="shared" si="189"/>
        <v>6</v>
      </c>
      <c r="C1561" s="1149">
        <v>42522</v>
      </c>
      <c r="D1561" s="1149" t="s">
        <v>864</v>
      </c>
      <c r="E1561" s="1149">
        <f>C1561</f>
        <v>42522</v>
      </c>
      <c r="F1561" s="512" t="s">
        <v>960</v>
      </c>
      <c r="G1561" s="1151"/>
      <c r="H1561" s="1150" t="s">
        <v>959</v>
      </c>
      <c r="I1561" s="1152"/>
      <c r="J1561" s="1152"/>
      <c r="K1561" s="1153"/>
      <c r="L1561" s="1152"/>
      <c r="M1561" s="1154">
        <v>500000000</v>
      </c>
      <c r="N1561" s="1155" t="s">
        <v>272</v>
      </c>
      <c r="O1561" s="1155" t="s">
        <v>63</v>
      </c>
      <c r="P1561" s="1155" t="str">
        <f>IF(AND('331-CT'!$E$7=TH!H1561,OR(N1561="331",O1561="331")),"x","")</f>
        <v/>
      </c>
      <c r="Q1561" s="1155" t="str">
        <f>IF(AND(B1561='111'!$L$11,OR($N1561=$Q$7,$O1561=$Q$7)),"x","")</f>
        <v/>
      </c>
      <c r="R1561" s="1155" t="str">
        <f>IF(AND($N1561=$Q$7,$B1561&lt;'111'!$L$11),"x","")</f>
        <v/>
      </c>
      <c r="S1561" s="1155" t="str">
        <f>IF(AND($O1561=$Q$7,$B1561&lt;'111'!$L$11),"x","")</f>
        <v>x</v>
      </c>
      <c r="T1561" s="1155" t="str">
        <f>IF(ISERROR(FIND('112'!$M$9,G1561,1)),"",IF((AND(FIND('112'!$M$9,G1561,1)&gt;=1,B1561='112'!$K$9,OR($N1561='112'!$I$6,$O1561='112'!$I$6))),"x",""))</f>
        <v/>
      </c>
      <c r="U1561" s="1155" t="str">
        <f>IF(ISERROR(FIND('112'!$M$9,G1561,1)),"",IF((AND(LEFT(G1561,2)=LEFT('112'!$M$9,2),B1561&lt;'112'!$K$9,$N1561='112'!$I$6)),"x",""))</f>
        <v/>
      </c>
      <c r="V1561" s="1155" t="str">
        <f>IF(ISERROR(FIND('112'!$M$9,G1561,1)),"",IF((AND(RIGHT(G1561,2)=RIGHT('112'!$M$9,2),B1561&lt;'112'!$K$9,$O1561='112'!$I$6)),"x",""))</f>
        <v/>
      </c>
      <c r="W1561" s="1155" t="str">
        <f>IF(AND('341-CT'!$H$9=H1561,OR(LEFT(N1561,3)=$W$7,LEFT(O1561,3)=$W$7)),"x","")</f>
        <v/>
      </c>
      <c r="X1561" s="1155" t="str">
        <f>IF(OR(TH!N1561=TH!$X$7,O1561=TH!$X$7),"x","")</f>
        <v/>
      </c>
      <c r="Y1561" s="1155" t="str">
        <f>IF(AND(OR(N1561="131",O1561="131"),H1561='131-CT'!$H$9),"x","")</f>
        <v/>
      </c>
      <c r="Z1561" s="1155"/>
      <c r="AA1561" s="1155" t="str">
        <f>IF(AND(MONTH(E1561)='IN-NX'!$J$5,'IN-NX'!$D$7=D1561),"x","")</f>
        <v/>
      </c>
      <c r="AB1561" s="1155" t="str">
        <f>IF(AND(OR(LEFT(TH!N1561,2)="15",LEFT(TH!O1561,2)="15"),LEFT(TH!O1561,3)&lt;&gt;"111",'152-CT'!$J$8=TH!F1561),"x","")</f>
        <v/>
      </c>
      <c r="AC1561" s="1155" t="str">
        <f>IF(AND(OR(LEFT(TH!N1561,2)="15",LEFT(TH!O1561,2)="15"),TK!$E$7=TH!F1561),"x","")</f>
        <v/>
      </c>
      <c r="AD1561" s="1155" t="str">
        <f>IF(AND(N1561="1521",MONTH(C1561)='BK-NL'!$M$11),"x","")</f>
        <v/>
      </c>
    </row>
    <row r="1562" spans="1:32" s="1156" customFormat="1" ht="15.75" customHeight="1">
      <c r="A1562" s="334" t="str">
        <f>IF(B1562&lt;&gt;"",IF(AND(B1562='IN-TC'!$S$4,OR(TH!N1959="1111",TH!O1959="1111")),TH!D1959,""),"")</f>
        <v/>
      </c>
      <c r="B1562" s="63">
        <f t="shared" si="189"/>
        <v>6</v>
      </c>
      <c r="C1562" s="64">
        <v>42522</v>
      </c>
      <c r="D1562" s="64" t="s">
        <v>865</v>
      </c>
      <c r="E1562" s="64">
        <v>42479</v>
      </c>
      <c r="F1562" s="72" t="s">
        <v>1693</v>
      </c>
      <c r="G1562" s="972" t="s">
        <v>1559</v>
      </c>
      <c r="H1562" s="72" t="s">
        <v>828</v>
      </c>
      <c r="I1562" s="437"/>
      <c r="J1562" s="437"/>
      <c r="K1562" s="428"/>
      <c r="L1562" s="437"/>
      <c r="M1562" s="65">
        <v>400000</v>
      </c>
      <c r="N1562" s="66" t="s">
        <v>101</v>
      </c>
      <c r="O1562" s="66" t="s">
        <v>63</v>
      </c>
      <c r="P1562" s="82" t="str">
        <f>IF(AND('331-CT'!$E$7=TH!H1959,OR(N1562="331",O1562="331")),"x","")</f>
        <v/>
      </c>
      <c r="Q1562" s="82" t="str">
        <f>IF(AND(B1562='111'!$L$11,OR($N1562=$Q$7,$O1562=$Q$7)),"x","")</f>
        <v/>
      </c>
      <c r="R1562" s="82" t="str">
        <f>IF(AND($N1562=$Q$7,$B1562&lt;'111'!$L$11),"x","")</f>
        <v/>
      </c>
      <c r="S1562" s="82" t="str">
        <f>IF(AND($O1562=$Q$7,$B1562&lt;'111'!$L$11),"x","")</f>
        <v>x</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IF(OR(TH!N1959=TH!$X$7,O1562=TH!$X$7),"x","")</f>
        <v/>
      </c>
      <c r="Y1562" s="82" t="str">
        <f>IF(AND(OR(N1562="131",O1562="131"),H1562='131-CT'!$H$9),"x","")</f>
        <v/>
      </c>
      <c r="Z1562" s="82"/>
      <c r="AA1562" s="82" t="str">
        <f>IF(AND(MONTH(E1562)='IN-NX'!$J$5,'IN-NX'!$D$7=D1562),"x","")</f>
        <v/>
      </c>
      <c r="AB1562" s="82" t="str">
        <f>IF(AND(OR(LEFT(TH!N1959,2)="15",LEFT(TH!O1959,2)="15"),LEFT(TH!O1959,3)&lt;&gt;"111",'152-CT'!$J$8=TH!F1959),"x","")</f>
        <v/>
      </c>
      <c r="AC1562" s="82" t="str">
        <f>IF(AND(OR(LEFT(TH!N1959,2)="15",LEFT(TH!O1959,2)="15"),TK!$E$7=TH!F1959),"x","")</f>
        <v/>
      </c>
      <c r="AD1562" s="82" t="str">
        <f>IF(AND(N1562="1521",MONTH(C1562)='BK-NL'!$M$11),"x","")</f>
        <v/>
      </c>
      <c r="AE1562" s="328"/>
      <c r="AF1562" s="328">
        <v>1</v>
      </c>
    </row>
    <row r="1563" spans="1:32" s="1156" customFormat="1" ht="15.75" customHeight="1">
      <c r="A1563" s="334" t="str">
        <f>IF(B1563&lt;&gt;"",IF(AND(B1563='IN-TC'!$S$4,OR(TH!N1960="1111",TH!O1960="1111")),TH!D1960,""),"")</f>
        <v/>
      </c>
      <c r="B1563" s="63">
        <f t="shared" si="189"/>
        <v>6</v>
      </c>
      <c r="C1563" s="64">
        <v>42522</v>
      </c>
      <c r="D1563" s="64" t="s">
        <v>865</v>
      </c>
      <c r="E1563" s="64">
        <v>42479</v>
      </c>
      <c r="F1563" s="72" t="s">
        <v>1529</v>
      </c>
      <c r="G1563" s="972" t="s">
        <v>1559</v>
      </c>
      <c r="H1563" s="72" t="s">
        <v>828</v>
      </c>
      <c r="I1563" s="437"/>
      <c r="J1563" s="437"/>
      <c r="K1563" s="428"/>
      <c r="L1563" s="437"/>
      <c r="M1563" s="65">
        <v>20000</v>
      </c>
      <c r="N1563" s="66" t="s">
        <v>9</v>
      </c>
      <c r="O1563" s="66" t="s">
        <v>63</v>
      </c>
      <c r="P1563" s="82" t="str">
        <f>IF(AND('331-CT'!$E$7=TH!H1960,OR(N1563="331",O1563="331")),"x","")</f>
        <v/>
      </c>
      <c r="Q1563" s="82" t="str">
        <f>IF(AND(B1563='111'!$L$11,OR($N1563=$Q$7,$O1563=$Q$7)),"x","")</f>
        <v/>
      </c>
      <c r="R1563" s="82" t="str">
        <f>IF(AND($N1563=$Q$7,$B1563&lt;'111'!$L$11),"x","")</f>
        <v/>
      </c>
      <c r="S1563" s="82" t="str">
        <f>IF(AND($O1563=$Q$7,$B1563&lt;'111'!$L$11),"x","")</f>
        <v>x</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IF(OR(TH!N1960=TH!$X$7,O1563=TH!$X$7),"x","")</f>
        <v>x</v>
      </c>
      <c r="Y1563" s="82" t="str">
        <f>IF(AND(OR(N1563="131",O1563="131"),H1563='131-CT'!$H$9),"x","")</f>
        <v/>
      </c>
      <c r="Z1563" s="82"/>
      <c r="AA1563" s="82" t="str">
        <f>IF(AND(MONTH(E1563)='IN-NX'!$J$5,'IN-NX'!$D$7=D1563),"x","")</f>
        <v/>
      </c>
      <c r="AB1563" s="82" t="str">
        <f>IF(AND(OR(LEFT(TH!N1960,2)="15",LEFT(TH!O1960,2)="15"),LEFT(TH!O1960,3)&lt;&gt;"111",'152-CT'!$J$8=TH!F1960),"x","")</f>
        <v/>
      </c>
      <c r="AC1563" s="82" t="str">
        <f>IF(AND(OR(LEFT(TH!N1960,2)="15",LEFT(TH!O1960,2)="15"),TK!$E$7=TH!F1960),"x","")</f>
        <v/>
      </c>
      <c r="AD1563" s="82" t="str">
        <f>IF(AND(N1563="1521",MONTH(C1563)='BK-NL'!$M$11),"x","")</f>
        <v/>
      </c>
      <c r="AE1563" s="328"/>
      <c r="AF1563" s="328"/>
    </row>
    <row r="1564" spans="1:32" s="1156" customFormat="1" ht="15.75" customHeight="1">
      <c r="A1564" s="334" t="str">
        <f>IF(B1564&lt;&gt;"",IF(AND(B1564='IN-TC'!$S$4,OR(TH!N1961="1111",TH!O1961="1111")),TH!D1961,""),"")</f>
        <v/>
      </c>
      <c r="B1564" s="63">
        <f t="shared" si="189"/>
        <v>6</v>
      </c>
      <c r="C1564" s="64">
        <v>42522</v>
      </c>
      <c r="D1564" s="64" t="s">
        <v>866</v>
      </c>
      <c r="E1564" s="64">
        <v>42521</v>
      </c>
      <c r="F1564" s="72" t="s">
        <v>1560</v>
      </c>
      <c r="G1564" s="972" t="s">
        <v>1562</v>
      </c>
      <c r="H1564" s="72" t="s">
        <v>799</v>
      </c>
      <c r="I1564" s="437"/>
      <c r="J1564" s="437"/>
      <c r="K1564" s="428"/>
      <c r="L1564" s="437"/>
      <c r="M1564" s="65">
        <v>46000</v>
      </c>
      <c r="N1564" s="66" t="s">
        <v>101</v>
      </c>
      <c r="O1564" s="66" t="s">
        <v>63</v>
      </c>
      <c r="P1564" s="82" t="str">
        <f>IF(AND('331-CT'!$E$7=TH!H1961,OR(N1564="331",O1564="331")),"x","")</f>
        <v/>
      </c>
      <c r="Q1564" s="82" t="str">
        <f>IF(AND(B1564='111'!$L$11,OR($N1564=$Q$7,$O1564=$Q$7)),"x","")</f>
        <v/>
      </c>
      <c r="R1564" s="82" t="str">
        <f>IF(AND($N1564=$Q$7,$B1564&lt;'111'!$L$11),"x","")</f>
        <v/>
      </c>
      <c r="S1564" s="82" t="str">
        <f>IF(AND($O1564=$Q$7,$B1564&lt;'111'!$L$11),"x","")</f>
        <v>x</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IF(OR(TH!N1961=TH!$X$7,O1564=TH!$X$7),"x","")</f>
        <v/>
      </c>
      <c r="Y1564" s="82" t="str">
        <f>IF(AND(OR(N1564="131",O1564="131"),H1564='131-CT'!$H$9),"x","")</f>
        <v/>
      </c>
      <c r="Z1564" s="82"/>
      <c r="AA1564" s="82" t="str">
        <f>IF(AND(MONTH(E1564)='IN-NX'!$J$5,'IN-NX'!$D$7=D1564),"x","")</f>
        <v/>
      </c>
      <c r="AB1564" s="82" t="str">
        <f>IF(AND(OR(LEFT(TH!N1961,2)="15",LEFT(TH!O1961,2)="15"),LEFT(TH!O1961,3)&lt;&gt;"111",'152-CT'!$J$8=TH!F1961),"x","")</f>
        <v/>
      </c>
      <c r="AC1564" s="82" t="str">
        <f>IF(AND(OR(LEFT(TH!N1961,2)="15",LEFT(TH!O1961,2)="15"),TK!$E$7=TH!F1961),"x","")</f>
        <v/>
      </c>
      <c r="AD1564" s="82" t="str">
        <f>IF(AND(N1564="1521",MONTH(C1564)='BK-NL'!$M$11),"x","")</f>
        <v/>
      </c>
      <c r="AE1564" s="328"/>
      <c r="AF1564" s="328">
        <v>1</v>
      </c>
    </row>
    <row r="1565" spans="1:32" s="1156" customFormat="1" ht="15.75" customHeight="1">
      <c r="A1565" s="334" t="str">
        <f>IF(B1565&lt;&gt;"",IF(AND(B1565='IN-TC'!$S$4,OR(TH!N1962="1111",TH!O1962="1111")),TH!D1962,""),"")</f>
        <v/>
      </c>
      <c r="B1565" s="63">
        <f t="shared" si="189"/>
        <v>6</v>
      </c>
      <c r="C1565" s="64">
        <v>42522</v>
      </c>
      <c r="D1565" s="64" t="s">
        <v>866</v>
      </c>
      <c r="E1565" s="64">
        <v>42521</v>
      </c>
      <c r="F1565" s="72" t="s">
        <v>1561</v>
      </c>
      <c r="G1565" s="972" t="s">
        <v>1562</v>
      </c>
      <c r="H1565" s="72" t="s">
        <v>799</v>
      </c>
      <c r="I1565" s="437"/>
      <c r="J1565" s="437"/>
      <c r="K1565" s="428"/>
      <c r="L1565" s="437"/>
      <c r="M1565" s="65">
        <v>4600</v>
      </c>
      <c r="N1565" s="66" t="s">
        <v>9</v>
      </c>
      <c r="O1565" s="66" t="s">
        <v>63</v>
      </c>
      <c r="P1565" s="82" t="str">
        <f>IF(AND('331-CT'!$E$7=TH!H1962,OR(N1565="331",O1565="331")),"x","")</f>
        <v/>
      </c>
      <c r="Q1565" s="82" t="str">
        <f>IF(AND(B1565='111'!$L$11,OR($N1565=$Q$7,$O1565=$Q$7)),"x","")</f>
        <v/>
      </c>
      <c r="R1565" s="82" t="str">
        <f>IF(AND($N1565=$Q$7,$B1565&lt;'111'!$L$11),"x","")</f>
        <v/>
      </c>
      <c r="S1565" s="82" t="str">
        <f>IF(AND($O1565=$Q$7,$B1565&lt;'111'!$L$11),"x","")</f>
        <v>x</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IF(OR(TH!N1962=TH!$X$7,O1565=TH!$X$7),"x","")</f>
        <v/>
      </c>
      <c r="Y1565" s="82" t="str">
        <f>IF(AND(OR(N1565="131",O1565="131"),H1565='131-CT'!$H$9),"x","")</f>
        <v/>
      </c>
      <c r="Z1565" s="82"/>
      <c r="AA1565" s="82" t="str">
        <f>IF(AND(MONTH(E1565)='IN-NX'!$J$5,'IN-NX'!$D$7=D1565),"x","")</f>
        <v/>
      </c>
      <c r="AB1565" s="82" t="str">
        <f>IF(AND(OR(LEFT(TH!N1962,2)="15",LEFT(TH!O1962,2)="15"),LEFT(TH!O1962,3)&lt;&gt;"111",'152-CT'!$J$8=TH!F1962),"x","")</f>
        <v/>
      </c>
      <c r="AC1565" s="82" t="str">
        <f>IF(AND(OR(LEFT(TH!N1962,2)="15",LEFT(TH!O1962,2)="15"),TK!$E$7=TH!F1962),"x","")</f>
        <v/>
      </c>
      <c r="AD1565" s="82" t="str">
        <f>IF(AND(N1565="1521",MONTH(C1565)='BK-NL'!$M$11),"x","")</f>
        <v/>
      </c>
      <c r="AE1565" s="328"/>
      <c r="AF1565" s="328"/>
    </row>
    <row r="1566" spans="1:32" s="1156" customFormat="1" ht="15.75" customHeight="1">
      <c r="A1566" s="334" t="str">
        <f>IF(B1566&lt;&gt;"",IF(AND(B1566='IN-TC'!$S$4,OR(TH!N1963="1111",TH!O1963="1111")),TH!D1963,""),"")</f>
        <v/>
      </c>
      <c r="B1566" s="63">
        <f t="shared" si="189"/>
        <v>6</v>
      </c>
      <c r="C1566" s="64">
        <v>42523</v>
      </c>
      <c r="D1566" s="64" t="s">
        <v>867</v>
      </c>
      <c r="E1566" s="64">
        <v>42523</v>
      </c>
      <c r="F1566" s="72" t="s">
        <v>1100</v>
      </c>
      <c r="G1566" s="67" t="s">
        <v>915</v>
      </c>
      <c r="H1566" s="72" t="s">
        <v>760</v>
      </c>
      <c r="I1566" s="437"/>
      <c r="J1566" s="437"/>
      <c r="K1566" s="428"/>
      <c r="L1566" s="437"/>
      <c r="M1566" s="65">
        <v>35000000</v>
      </c>
      <c r="N1566" s="66" t="s">
        <v>26</v>
      </c>
      <c r="O1566" s="66" t="s">
        <v>63</v>
      </c>
      <c r="P1566" s="82" t="str">
        <f>IF(AND('331-CT'!$E$7=TH!H1963,OR(N1566="331",O1566="331")),"x","")</f>
        <v/>
      </c>
      <c r="Q1566" s="82" t="str">
        <f>IF(AND(B1566='111'!$L$11,OR($N1566=$Q$7,$O1566=$Q$7)),"x","")</f>
        <v/>
      </c>
      <c r="R1566" s="82" t="str">
        <f>IF(AND($N1566=$Q$7,$B1566&lt;'111'!$L$11),"x","")</f>
        <v/>
      </c>
      <c r="S1566" s="82" t="str">
        <f>IF(AND($O1566=$Q$7,$B1566&lt;'111'!$L$11),"x","")</f>
        <v>x</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IF(OR(TH!N1963=TH!$X$7,O1566=TH!$X$7),"x","")</f>
        <v/>
      </c>
      <c r="Y1566" s="82" t="str">
        <f>IF(AND(OR(N1566="131",O1566="131"),H1566='131-CT'!$H$9),"x","")</f>
        <v/>
      </c>
      <c r="Z1566" s="82"/>
      <c r="AA1566" s="82" t="str">
        <f>IF(AND(MONTH(E1566)='IN-NX'!$J$5,'IN-NX'!$D$7=D1566),"x","")</f>
        <v/>
      </c>
      <c r="AB1566" s="82" t="str">
        <f>IF(AND(OR(LEFT(TH!N1963,2)="15",LEFT(TH!O1963,2)="15"),LEFT(TH!O1963,3)&lt;&gt;"111",'152-CT'!$J$8=TH!F1963),"x","")</f>
        <v/>
      </c>
      <c r="AC1566" s="82" t="str">
        <f>IF(AND(OR(LEFT(TH!N1963,2)="15",LEFT(TH!O1963,2)="15"),TK!$E$7=TH!F1963),"x","")</f>
        <v/>
      </c>
      <c r="AD1566" s="82" t="str">
        <f>IF(AND(N1566="1521",MONTH(C1566)='BK-NL'!$M$11),"x","")</f>
        <v/>
      </c>
      <c r="AE1566" s="328"/>
      <c r="AF1566" s="328"/>
    </row>
    <row r="1567" spans="1:32" s="1156" customFormat="1" ht="15.75" customHeight="1">
      <c r="A1567" s="334" t="str">
        <f>IF(B1567&lt;&gt;"",IF(AND(B1567='IN-TC'!$S$4,OR(TH!N1969="1111",TH!O1969="1111")),TH!D1969,""),"")</f>
        <v/>
      </c>
      <c r="B1567" s="63">
        <f t="shared" si="189"/>
        <v>6</v>
      </c>
      <c r="C1567" s="64">
        <v>42524</v>
      </c>
      <c r="D1567" s="64" t="s">
        <v>868</v>
      </c>
      <c r="E1567" s="64">
        <v>42524</v>
      </c>
      <c r="F1567" s="72" t="s">
        <v>1107</v>
      </c>
      <c r="G1567" s="972" t="s">
        <v>1563</v>
      </c>
      <c r="H1567" s="72" t="s">
        <v>805</v>
      </c>
      <c r="I1567" s="437"/>
      <c r="J1567" s="437"/>
      <c r="K1567" s="428"/>
      <c r="L1567" s="437"/>
      <c r="M1567" s="65">
        <v>675818</v>
      </c>
      <c r="N1567" s="66" t="s">
        <v>101</v>
      </c>
      <c r="O1567" s="66" t="s">
        <v>63</v>
      </c>
      <c r="P1567" s="82" t="str">
        <f>IF(AND('331-CT'!$E$7=TH!H1969,OR(N1567="331",O1567="331")),"x","")</f>
        <v/>
      </c>
      <c r="Q1567" s="82" t="str">
        <f>IF(AND(B1567='111'!$L$11,OR($N1567=$Q$7,$O1567=$Q$7)),"x","")</f>
        <v/>
      </c>
      <c r="R1567" s="82" t="str">
        <f>IF(AND($N1567=$Q$7,$B1567&lt;'111'!$L$11),"x","")</f>
        <v/>
      </c>
      <c r="S1567" s="82" t="str">
        <f>IF(AND($O1567=$Q$7,$B1567&lt;'111'!$L$11),"x","")</f>
        <v>x</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IF(OR(TH!N1969=TH!$X$7,O1567=TH!$X$7),"x","")</f>
        <v>x</v>
      </c>
      <c r="Y1567" s="82" t="str">
        <f>IF(AND(OR(N1567="131",O1567="131"),H1567='131-CT'!$H$9),"x","")</f>
        <v/>
      </c>
      <c r="Z1567" s="82"/>
      <c r="AA1567" s="82" t="str">
        <f>IF(AND(MONTH(E1567)='IN-NX'!$J$5,'IN-NX'!$D$7=D1567),"x","")</f>
        <v/>
      </c>
      <c r="AB1567" s="82" t="str">
        <f>IF(AND(OR(LEFT(TH!N1969,2)="15",LEFT(TH!O1969,2)="15"),LEFT(TH!O1969,3)&lt;&gt;"111",'152-CT'!$J$8=TH!F1969),"x","")</f>
        <v/>
      </c>
      <c r="AC1567" s="82" t="str">
        <f>IF(AND(OR(LEFT(TH!N1969,2)="15",LEFT(TH!O1969,2)="15"),TK!$E$7=TH!F1969),"x","")</f>
        <v/>
      </c>
      <c r="AD1567" s="82" t="str">
        <f>IF(AND(N1567="1521",MONTH(C1567)='BK-NL'!$M$11),"x","")</f>
        <v/>
      </c>
      <c r="AE1567" s="328"/>
      <c r="AF1567" s="328">
        <v>1</v>
      </c>
    </row>
    <row r="1568" spans="1:32" s="1156" customFormat="1" ht="15.75" customHeight="1">
      <c r="A1568" s="334" t="str">
        <f>IF(B1568&lt;&gt;"",IF(AND(B1568='IN-TC'!$S$4,OR(TH!N1970="1111",TH!O1970="1111")),TH!D1970,""),"")</f>
        <v/>
      </c>
      <c r="B1568" s="63">
        <f t="shared" si="189"/>
        <v>6</v>
      </c>
      <c r="C1568" s="64">
        <v>42524</v>
      </c>
      <c r="D1568" s="64" t="s">
        <v>868</v>
      </c>
      <c r="E1568" s="64">
        <v>42524</v>
      </c>
      <c r="F1568" s="72" t="s">
        <v>1337</v>
      </c>
      <c r="G1568" s="972" t="s">
        <v>1563</v>
      </c>
      <c r="H1568" s="72" t="s">
        <v>805</v>
      </c>
      <c r="I1568" s="437"/>
      <c r="J1568" s="437"/>
      <c r="K1568" s="428"/>
      <c r="L1568" s="437"/>
      <c r="M1568" s="65">
        <v>67582</v>
      </c>
      <c r="N1568" s="66" t="s">
        <v>9</v>
      </c>
      <c r="O1568" s="66" t="s">
        <v>63</v>
      </c>
      <c r="P1568" s="82" t="str">
        <f>IF(AND('331-CT'!$E$7=TH!H1970,OR(N1568="331",O1568="331")),"x","")</f>
        <v/>
      </c>
      <c r="Q1568" s="82" t="str">
        <f>IF(AND(B1568='111'!$L$11,OR($N1568=$Q$7,$O1568=$Q$7)),"x","")</f>
        <v/>
      </c>
      <c r="R1568" s="82" t="str">
        <f>IF(AND($N1568=$Q$7,$B1568&lt;'111'!$L$11),"x","")</f>
        <v/>
      </c>
      <c r="S1568" s="82" t="str">
        <f>IF(AND($O1568=$Q$7,$B1568&lt;'111'!$L$11),"x","")</f>
        <v>x</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IF(OR(TH!N1970=TH!$X$7,O1568=TH!$X$7),"x","")</f>
        <v/>
      </c>
      <c r="Y1568" s="82" t="str">
        <f>IF(AND(OR(N1568="131",O1568="131"),H1568='131-CT'!$H$9),"x","")</f>
        <v/>
      </c>
      <c r="Z1568" s="82"/>
      <c r="AA1568" s="82" t="str">
        <f>IF(AND(MONTH(E1568)='IN-NX'!$J$5,'IN-NX'!$D$7=D1568),"x","")</f>
        <v/>
      </c>
      <c r="AB1568" s="82" t="str">
        <f>IF(AND(OR(LEFT(TH!N1970,2)="15",LEFT(TH!O1970,2)="15"),LEFT(TH!O1970,3)&lt;&gt;"111",'152-CT'!$J$8=TH!F1970),"x","")</f>
        <v/>
      </c>
      <c r="AC1568" s="82" t="str">
        <f>IF(AND(OR(LEFT(TH!N1970,2)="15",LEFT(TH!O1970,2)="15"),TK!$E$7=TH!F1970),"x","")</f>
        <v/>
      </c>
      <c r="AD1568" s="82" t="str">
        <f>IF(AND(N1568="1521",MONTH(C1568)='BK-NL'!$M$11),"x","")</f>
        <v/>
      </c>
      <c r="AE1568" s="328"/>
      <c r="AF1568" s="328"/>
    </row>
    <row r="1569" spans="1:32" s="1156" customFormat="1" ht="15.75" customHeight="1">
      <c r="A1569" s="334" t="str">
        <f>IF(B1569&lt;&gt;"",IF(AND(B1569='IN-TC'!$S$4,OR(TH!N1971="1111",TH!O1971="1111")),TH!D1971,""),"")</f>
        <v/>
      </c>
      <c r="B1569" s="63">
        <f t="shared" si="189"/>
        <v>6</v>
      </c>
      <c r="C1569" s="64">
        <v>42525</v>
      </c>
      <c r="D1569" s="64" t="s">
        <v>869</v>
      </c>
      <c r="E1569" s="64">
        <v>42525</v>
      </c>
      <c r="F1569" s="72" t="s">
        <v>1564</v>
      </c>
      <c r="G1569" s="972" t="s">
        <v>1565</v>
      </c>
      <c r="H1569" s="72" t="s">
        <v>1027</v>
      </c>
      <c r="I1569" s="437"/>
      <c r="J1569" s="437"/>
      <c r="K1569" s="428"/>
      <c r="L1569" s="437"/>
      <c r="M1569" s="65">
        <v>155000</v>
      </c>
      <c r="N1569" s="66" t="s">
        <v>101</v>
      </c>
      <c r="O1569" s="66" t="s">
        <v>63</v>
      </c>
      <c r="P1569" s="82" t="str">
        <f>IF(AND('331-CT'!$E$7=TH!H1971,OR(N1569="331",O1569="331")),"x","")</f>
        <v/>
      </c>
      <c r="Q1569" s="82" t="str">
        <f>IF(AND(B1569='111'!$L$11,OR($N1569=$Q$7,$O1569=$Q$7)),"x","")</f>
        <v/>
      </c>
      <c r="R1569" s="82" t="str">
        <f>IF(AND($N1569=$Q$7,$B1569&lt;'111'!$L$11),"x","")</f>
        <v/>
      </c>
      <c r="S1569" s="82" t="str">
        <f>IF(AND($O1569=$Q$7,$B1569&lt;'111'!$L$11),"x","")</f>
        <v>x</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IF(OR(TH!N1971=TH!$X$7,O1569=TH!$X$7),"x","")</f>
        <v>x</v>
      </c>
      <c r="Y1569" s="82" t="str">
        <f>IF(AND(OR(N1569="131",O1569="131"),H1569='131-CT'!$H$9),"x","")</f>
        <v/>
      </c>
      <c r="Z1569" s="82"/>
      <c r="AA1569" s="82" t="str">
        <f>IF(AND(MONTH(E1569)='IN-NX'!$J$5,'IN-NX'!$D$7=D1569),"x","")</f>
        <v/>
      </c>
      <c r="AB1569" s="82" t="str">
        <f>IF(AND(OR(LEFT(TH!N1971,2)="15",LEFT(TH!O1971,2)="15"),LEFT(TH!O1971,3)&lt;&gt;"111",'152-CT'!$J$8=TH!F1971),"x","")</f>
        <v/>
      </c>
      <c r="AC1569" s="82" t="str">
        <f>IF(AND(OR(LEFT(TH!N1971,2)="15",LEFT(TH!O1971,2)="15"),TK!$E$7=TH!F1971),"x","")</f>
        <v/>
      </c>
      <c r="AD1569" s="82" t="str">
        <f>IF(AND(N1569="1521",MONTH(C1569)='BK-NL'!$M$11),"x","")</f>
        <v/>
      </c>
      <c r="AE1569" s="328"/>
      <c r="AF1569" s="328"/>
    </row>
    <row r="1570" spans="1:32" s="1156" customFormat="1" ht="15.75" customHeight="1">
      <c r="A1570" s="334" t="str">
        <f>IF(B1570&lt;&gt;"",IF(AND(B1570='IN-TC'!$S$4,OR(TH!N2259="1111",TH!O2259="1111")),TH!D2259,""),"")</f>
        <v/>
      </c>
      <c r="B1570" s="63">
        <f t="shared" si="189"/>
        <v>7</v>
      </c>
      <c r="C1570" s="64">
        <v>42552</v>
      </c>
      <c r="D1570" s="64" t="s">
        <v>864</v>
      </c>
      <c r="E1570" s="64">
        <f t="shared" ref="E1570:E1580" si="190">C1570</f>
        <v>42552</v>
      </c>
      <c r="F1570" s="72" t="s">
        <v>1100</v>
      </c>
      <c r="G1570" s="67" t="s">
        <v>1558</v>
      </c>
      <c r="H1570" s="72" t="s">
        <v>125</v>
      </c>
      <c r="I1570" s="437"/>
      <c r="J1570" s="437"/>
      <c r="K1570" s="428"/>
      <c r="L1570" s="437"/>
      <c r="M1570" s="65">
        <v>800000000</v>
      </c>
      <c r="N1570" s="66" t="s">
        <v>26</v>
      </c>
      <c r="O1570" s="66" t="s">
        <v>63</v>
      </c>
      <c r="P1570" s="82" t="str">
        <f>IF(AND('331-CT'!$E$7=TH!H2259,OR(N1570="331",O1570="331")),"x","")</f>
        <v/>
      </c>
      <c r="Q1570" s="82" t="str">
        <f>IF(AND(B1570='111'!$L$11,OR($N1570=$Q$7,$O1570=$Q$7)),"x","")</f>
        <v/>
      </c>
      <c r="R1570" s="82" t="str">
        <f>IF(AND($N1570=$Q$7,$B1570&lt;'111'!$L$11),"x","")</f>
        <v/>
      </c>
      <c r="S1570" s="82" t="str">
        <f>IF(AND($O1570=$Q$7,$B1570&lt;'111'!$L$11),"x","")</f>
        <v>x</v>
      </c>
      <c r="T1570" s="82" t="str">
        <f>IF(ISERROR(FIND('112'!$M$9,G1570,1)),"",IF((AND(FIND('112'!$M$9,G1570,1)&gt;=1,B1570='112'!$K$9,OR($N1570='112'!$I$6,$O1570='112'!$I$6))),"x",""))</f>
        <v/>
      </c>
      <c r="U1570" s="82" t="str">
        <f>IF(ISERROR(FIND('112'!$M$9,G1570,1)),"",IF((AND(LEFT(G1570,2)=LEFT('112'!$M$9,2),B1570&lt;'112'!$K$9,$N1570='112'!$I$6)),"x",""))</f>
        <v>x</v>
      </c>
      <c r="V1570" s="82" t="str">
        <f>IF(ISERROR(FIND('112'!$M$9,G1570,1)),"",IF((AND(RIGHT(G1570,2)=RIGHT('112'!$M$9,2),B1570&lt;'112'!$K$9,$O1570='112'!$I$6)),"x",""))</f>
        <v/>
      </c>
      <c r="W1570" s="82" t="str">
        <f>IF(AND('341-CT'!$H$9=H1570,OR(LEFT(N1570,3)=$W$7,LEFT(O1570,3)=$W$7)),"x","")</f>
        <v/>
      </c>
      <c r="X1570" s="82" t="str">
        <f>IF(OR(TH!N2259=TH!$X$7,O1570=TH!$X$7),"x","")</f>
        <v/>
      </c>
      <c r="Y1570" s="82" t="str">
        <f>IF(AND(OR(N1570="131",O1570="131"),H1570='131-CT'!$H$9),"x","")</f>
        <v/>
      </c>
      <c r="Z1570" s="82"/>
      <c r="AA1570" s="82" t="str">
        <f>IF(AND(MONTH(E1570)='IN-NX'!$J$5,'IN-NX'!$D$7=D1570),"x","")</f>
        <v/>
      </c>
      <c r="AB1570" s="82" t="str">
        <f>IF(AND(OR(LEFT(TH!N2259,2)="15",LEFT(TH!O2259,2)="15"),LEFT(TH!O2259,3)&lt;&gt;"111",'152-CT'!$J$8=TH!F2259),"x","")</f>
        <v/>
      </c>
      <c r="AC1570" s="82" t="str">
        <f>IF(AND(OR(LEFT(TH!N2259,2)="15",LEFT(TH!O2259,2)="15"),TK!$E$7=TH!F2259),"x","")</f>
        <v/>
      </c>
      <c r="AD1570" s="82" t="str">
        <f>IF(AND(N1570="1521",MONTH(C1570)='BK-NL'!$M$11),"x","")</f>
        <v/>
      </c>
      <c r="AE1570" s="349"/>
      <c r="AF1570" s="349"/>
    </row>
    <row r="1571" spans="1:32" s="1156" customFormat="1" ht="15.75" customHeight="1">
      <c r="A1571" s="334" t="str">
        <f>IF(B1571&lt;&gt;"",IF(AND(B1571='IN-TC'!$S$4,OR(TH!N2274="1111",TH!O2274="1111")),TH!D2274,""),"")</f>
        <v/>
      </c>
      <c r="B1571" s="63">
        <f t="shared" si="189"/>
        <v>7</v>
      </c>
      <c r="C1571" s="64">
        <v>42553</v>
      </c>
      <c r="D1571" s="64" t="s">
        <v>865</v>
      </c>
      <c r="E1571" s="64">
        <f t="shared" si="190"/>
        <v>42553</v>
      </c>
      <c r="F1571" s="72" t="s">
        <v>224</v>
      </c>
      <c r="G1571" s="972" t="s">
        <v>1704</v>
      </c>
      <c r="H1571" s="342" t="s">
        <v>618</v>
      </c>
      <c r="I1571" s="437">
        <v>450</v>
      </c>
      <c r="J1571" s="437">
        <f>M1571/I1571</f>
        <v>18404.04</v>
      </c>
      <c r="K1571" s="428"/>
      <c r="L1571" s="437"/>
      <c r="M1571" s="65">
        <v>8281818</v>
      </c>
      <c r="N1571" s="66" t="s">
        <v>282</v>
      </c>
      <c r="O1571" s="66" t="s">
        <v>63</v>
      </c>
      <c r="P1571" s="82" t="str">
        <f>IF(AND('331-CT'!$E$7=TH!H2274,OR(N1571="331",O1571="331")),"x","")</f>
        <v/>
      </c>
      <c r="Q1571" s="82" t="str">
        <f>IF(AND(B1571='111'!$L$11,OR($N1571=$Q$7,$O1571=$Q$7)),"x","")</f>
        <v/>
      </c>
      <c r="R1571" s="82" t="str">
        <f>IF(AND($N1571=$Q$7,$B1571&lt;'111'!$L$11),"x","")</f>
        <v/>
      </c>
      <c r="S1571" s="82" t="str">
        <f>IF(AND($O1571=$Q$7,$B1571&lt;'111'!$L$11),"x","")</f>
        <v>x</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IF(OR(TH!N2274=TH!$X$7,O1571=TH!$X$7),"x","")</f>
        <v/>
      </c>
      <c r="Y1571" s="82" t="str">
        <f>IF(AND(OR(N1571="131",O1571="131"),H1571='131-CT'!$H$9),"x","")</f>
        <v/>
      </c>
      <c r="Z1571" s="82"/>
      <c r="AA1571" s="82" t="str">
        <f>IF(AND(MONTH(E1571)='IN-NX'!$J$5,'IN-NX'!$D$7=D1571),"x","")</f>
        <v/>
      </c>
      <c r="AB1571" s="82" t="str">
        <f>IF(AND(OR(LEFT(TH!N2274,2)="15",LEFT(TH!O2274,2)="15"),LEFT(TH!O2274,3)&lt;&gt;"111",'152-CT'!$J$8=TH!F2274),"x","")</f>
        <v/>
      </c>
      <c r="AC1571" s="82" t="str">
        <f>IF(AND(OR(LEFT(TH!N2274,2)="15",LEFT(TH!O2274,2)="15"),TK!$E$7=TH!F2274),"x","")</f>
        <v/>
      </c>
      <c r="AD1571" s="82" t="str">
        <f>IF(AND(N1571="1521",MONTH(C1571)='BK-NL'!$M$11),"x","")</f>
        <v/>
      </c>
      <c r="AE1571" s="328"/>
      <c r="AF1571" s="328">
        <v>7</v>
      </c>
    </row>
    <row r="1572" spans="1:32" s="1156" customFormat="1" ht="15.75" customHeight="1">
      <c r="A1572" s="334" t="str">
        <f>IF(B1572&lt;&gt;"",IF(AND(B1572='IN-TC'!$S$4,OR(TH!N2275="1111",TH!O2275="1111")),TH!D2275,""),"")</f>
        <v/>
      </c>
      <c r="B1572" s="63">
        <f t="shared" si="189"/>
        <v>7</v>
      </c>
      <c r="C1572" s="64">
        <v>42553</v>
      </c>
      <c r="D1572" s="64" t="s">
        <v>865</v>
      </c>
      <c r="E1572" s="64">
        <f t="shared" si="190"/>
        <v>42553</v>
      </c>
      <c r="F1572" s="72" t="s">
        <v>1348</v>
      </c>
      <c r="G1572" s="972" t="s">
        <v>1704</v>
      </c>
      <c r="H1572" s="342" t="s">
        <v>618</v>
      </c>
      <c r="I1572" s="437"/>
      <c r="J1572" s="437"/>
      <c r="K1572" s="428"/>
      <c r="L1572" s="437"/>
      <c r="M1572" s="65">
        <v>828182</v>
      </c>
      <c r="N1572" s="66" t="s">
        <v>9</v>
      </c>
      <c r="O1572" s="66" t="s">
        <v>63</v>
      </c>
      <c r="P1572" s="82" t="str">
        <f>IF(AND('331-CT'!$E$7=TH!H2275,OR(N1572="331",O1572="331")),"x","")</f>
        <v/>
      </c>
      <c r="Q1572" s="82" t="str">
        <f>IF(AND(B1572='111'!$L$11,OR($N1572=$Q$7,$O1572=$Q$7)),"x","")</f>
        <v/>
      </c>
      <c r="R1572" s="82" t="str">
        <f>IF(AND($N1572=$Q$7,$B1572&lt;'111'!$L$11),"x","")</f>
        <v/>
      </c>
      <c r="S1572" s="82" t="str">
        <f>IF(AND($O1572=$Q$7,$B1572&lt;'111'!$L$11),"x","")</f>
        <v>x</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IF(OR(TH!N2275=TH!$X$7,O1572=TH!$X$7),"x","")</f>
        <v/>
      </c>
      <c r="Y1572" s="82" t="str">
        <f>IF(AND(OR(N1572="131",O1572="131"),H1572='131-CT'!$H$9),"x","")</f>
        <v/>
      </c>
      <c r="Z1572" s="82"/>
      <c r="AA1572" s="82" t="str">
        <f>IF(AND(MONTH(E1572)='IN-NX'!$J$5,'IN-NX'!$D$7=D1572),"x","")</f>
        <v/>
      </c>
      <c r="AB1572" s="82" t="str">
        <f>IF(AND(OR(LEFT(TH!N2275,2)="15",LEFT(TH!O2275,2)="15"),LEFT(TH!O2275,3)&lt;&gt;"111",'152-CT'!$J$8=TH!F2275),"x","")</f>
        <v/>
      </c>
      <c r="AC1572" s="82" t="str">
        <f>IF(AND(OR(LEFT(TH!N2275,2)="15",LEFT(TH!O2275,2)="15"),TK!$E$7=TH!F2275),"x","")</f>
        <v/>
      </c>
      <c r="AD1572" s="82" t="str">
        <f>IF(AND(N1572="1521",MONTH(C1572)='BK-NL'!$M$11),"x","")</f>
        <v/>
      </c>
      <c r="AE1572" s="328"/>
      <c r="AF1572" s="328">
        <v>7</v>
      </c>
    </row>
    <row r="1573" spans="1:32" s="1156" customFormat="1" ht="15.75" customHeight="1">
      <c r="A1573" s="334" t="str">
        <f>IF(B1573&lt;&gt;"",IF(AND(B1573='IN-TC'!$S$4,OR(TH!N2276="1111",TH!O2276="1111")),TH!D2276,""),"")</f>
        <v/>
      </c>
      <c r="B1573" s="63">
        <f t="shared" si="189"/>
        <v>7</v>
      </c>
      <c r="C1573" s="64">
        <v>42553</v>
      </c>
      <c r="D1573" s="64" t="s">
        <v>866</v>
      </c>
      <c r="E1573" s="64">
        <f t="shared" si="190"/>
        <v>42553</v>
      </c>
      <c r="F1573" s="72" t="s">
        <v>1100</v>
      </c>
      <c r="G1573" s="67" t="s">
        <v>1558</v>
      </c>
      <c r="H1573" s="72" t="s">
        <v>760</v>
      </c>
      <c r="I1573" s="437"/>
      <c r="J1573" s="437"/>
      <c r="K1573" s="428"/>
      <c r="L1573" s="437"/>
      <c r="M1573" s="65">
        <v>1990000000</v>
      </c>
      <c r="N1573" s="66" t="s">
        <v>26</v>
      </c>
      <c r="O1573" s="66" t="s">
        <v>63</v>
      </c>
      <c r="P1573" s="82" t="str">
        <f>IF(AND('331-CT'!$E$7=TH!H2276,OR(N1573="331",O1573="331")),"x","")</f>
        <v/>
      </c>
      <c r="Q1573" s="82" t="str">
        <f>IF(AND(B1573='111'!$L$11,OR($N1573=$Q$7,$O1573=$Q$7)),"x","")</f>
        <v/>
      </c>
      <c r="R1573" s="82" t="str">
        <f>IF(AND($N1573=$Q$7,$B1573&lt;'111'!$L$11),"x","")</f>
        <v/>
      </c>
      <c r="S1573" s="82" t="str">
        <f>IF(AND($O1573=$Q$7,$B1573&lt;'111'!$L$11),"x","")</f>
        <v>x</v>
      </c>
      <c r="T1573" s="82" t="str">
        <f>IF(ISERROR(FIND('112'!$M$9,G1573,1)),"",IF((AND(FIND('112'!$M$9,G1573,1)&gt;=1,B1573='112'!$K$9,OR($N1573='112'!$I$6,$O1573='112'!$I$6))),"x",""))</f>
        <v/>
      </c>
      <c r="U1573" s="82" t="str">
        <f>IF(ISERROR(FIND('112'!$M$9,G1573,1)),"",IF((AND(LEFT(G1573,2)=LEFT('112'!$M$9,2),B1573&lt;'112'!$K$9,$N1573='112'!$I$6)),"x",""))</f>
        <v>x</v>
      </c>
      <c r="V1573" s="82" t="str">
        <f>IF(ISERROR(FIND('112'!$M$9,G1573,1)),"",IF((AND(RIGHT(G1573,2)=RIGHT('112'!$M$9,2),B1573&lt;'112'!$K$9,$O1573='112'!$I$6)),"x",""))</f>
        <v/>
      </c>
      <c r="W1573" s="82" t="str">
        <f>IF(AND('341-CT'!$H$9=H1573,OR(LEFT(N1573,3)=$W$7,LEFT(O1573,3)=$W$7)),"x","")</f>
        <v/>
      </c>
      <c r="X1573" s="82" t="str">
        <f>IF(OR(TH!N2276=TH!$X$7,O1573=TH!$X$7),"x","")</f>
        <v>x</v>
      </c>
      <c r="Y1573" s="82" t="str">
        <f>IF(AND(OR(N1573="131",O1573="131"),H1573='131-CT'!$H$9),"x","")</f>
        <v/>
      </c>
      <c r="Z1573" s="82"/>
      <c r="AA1573" s="82" t="str">
        <f>IF(AND(MONTH(E1573)='IN-NX'!$J$5,'IN-NX'!$D$7=D1573),"x","")</f>
        <v/>
      </c>
      <c r="AB1573" s="82" t="str">
        <f>IF(AND(OR(LEFT(TH!N2276,2)="15",LEFT(TH!O2276,2)="15"),LEFT(TH!O2276,3)&lt;&gt;"111",'152-CT'!$J$8=TH!F2276),"x","")</f>
        <v/>
      </c>
      <c r="AC1573" s="82" t="str">
        <f>IF(AND(OR(LEFT(TH!N2276,2)="15",LEFT(TH!O2276,2)="15"),TK!$E$7=TH!F2276),"x","")</f>
        <v/>
      </c>
      <c r="AD1573" s="82" t="str">
        <f>IF(AND(N1573="1521",MONTH(C1573)='BK-NL'!$M$11),"x","")</f>
        <v/>
      </c>
      <c r="AE1573" s="349"/>
      <c r="AF1573" s="349"/>
    </row>
    <row r="1574" spans="1:32" s="1156" customFormat="1" ht="15.75" customHeight="1">
      <c r="A1574" s="334" t="str">
        <f>IF(B1574&lt;&gt;"",IF(AND(B1574='IN-TC'!$S$4,OR(TH!N2279="1111",TH!O2279="1111")),TH!D2279,""),"")</f>
        <v/>
      </c>
      <c r="B1574" s="63">
        <f t="shared" si="189"/>
        <v>7</v>
      </c>
      <c r="C1574" s="64">
        <v>42554</v>
      </c>
      <c r="D1574" s="64" t="s">
        <v>867</v>
      </c>
      <c r="E1574" s="64">
        <f t="shared" si="190"/>
        <v>42554</v>
      </c>
      <c r="F1574" s="72" t="s">
        <v>1010</v>
      </c>
      <c r="G1574" s="972" t="s">
        <v>1710</v>
      </c>
      <c r="H1574" s="72" t="s">
        <v>805</v>
      </c>
      <c r="I1574" s="437"/>
      <c r="J1574" s="437"/>
      <c r="K1574" s="428"/>
      <c r="L1574" s="437"/>
      <c r="M1574" s="65">
        <v>1542446</v>
      </c>
      <c r="N1574" s="66" t="s">
        <v>101</v>
      </c>
      <c r="O1574" s="66" t="s">
        <v>63</v>
      </c>
      <c r="P1574" s="82" t="str">
        <f>IF(AND('331-CT'!$E$7=TH!H2279,OR(N1574="331",O1574="331")),"x","")</f>
        <v/>
      </c>
      <c r="Q1574" s="82" t="str">
        <f>IF(AND(B1574='111'!$L$11,OR($N1574=$Q$7,$O1574=$Q$7)),"x","")</f>
        <v/>
      </c>
      <c r="R1574" s="82" t="str">
        <f>IF(AND($N1574=$Q$7,$B1574&lt;'111'!$L$11),"x","")</f>
        <v/>
      </c>
      <c r="S1574" s="82" t="str">
        <f>IF(AND($O1574=$Q$7,$B1574&lt;'111'!$L$11),"x","")</f>
        <v>x</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IF(OR(TH!N2279=TH!$X$7,O1574=TH!$X$7),"x","")</f>
        <v/>
      </c>
      <c r="Y1574" s="82" t="str">
        <f>IF(AND(OR(N1574="131",O1574="131"),H1574='131-CT'!$H$9),"x","")</f>
        <v/>
      </c>
      <c r="Z1574" s="82"/>
      <c r="AA1574" s="82" t="str">
        <f>IF(AND(MONTH(E1574)='IN-NX'!$J$5,'IN-NX'!$D$7=D1574),"x","")</f>
        <v/>
      </c>
      <c r="AB1574" s="82" t="str">
        <f>IF(AND(OR(LEFT(TH!N2279,2)="15",LEFT(TH!O2279,2)="15"),LEFT(TH!O2279,3)&lt;&gt;"111",'152-CT'!$J$8=TH!F2279),"x","")</f>
        <v/>
      </c>
      <c r="AC1574" s="82" t="str">
        <f>IF(AND(OR(LEFT(TH!N2279,2)="15",LEFT(TH!O2279,2)="15"),TK!$E$7=TH!F2279),"x","")</f>
        <v/>
      </c>
      <c r="AD1574" s="82" t="str">
        <f>IF(AND(N1574="1521",MONTH(C1574)='BK-NL'!$M$11),"x","")</f>
        <v/>
      </c>
      <c r="AE1574" s="328"/>
      <c r="AF1574" s="328">
        <v>7</v>
      </c>
    </row>
    <row r="1575" spans="1:32" s="1156" customFormat="1" ht="15.75" customHeight="1">
      <c r="A1575" s="334" t="str">
        <f>IF(B1575&lt;&gt;"",IF(AND(B1575='IN-TC'!$S$4,OR(TH!N2280="1111",TH!O2280="1111")),TH!D2280,""),"")</f>
        <v/>
      </c>
      <c r="B1575" s="63">
        <f t="shared" si="189"/>
        <v>7</v>
      </c>
      <c r="C1575" s="64">
        <v>42554</v>
      </c>
      <c r="D1575" s="64" t="s">
        <v>867</v>
      </c>
      <c r="E1575" s="64">
        <f t="shared" si="190"/>
        <v>42554</v>
      </c>
      <c r="F1575" s="72" t="s">
        <v>1011</v>
      </c>
      <c r="G1575" s="972" t="s">
        <v>1710</v>
      </c>
      <c r="H1575" s="72" t="s">
        <v>805</v>
      </c>
      <c r="I1575" s="437"/>
      <c r="J1575" s="437"/>
      <c r="K1575" s="428"/>
      <c r="L1575" s="437"/>
      <c r="M1575" s="65">
        <v>154244</v>
      </c>
      <c r="N1575" s="66" t="s">
        <v>9</v>
      </c>
      <c r="O1575" s="66" t="s">
        <v>63</v>
      </c>
      <c r="P1575" s="82" t="str">
        <f>IF(AND('331-CT'!$E$7=TH!H2280,OR(N1575="331",O1575="331")),"x","")</f>
        <v/>
      </c>
      <c r="Q1575" s="82" t="str">
        <f>IF(AND(B1575='111'!$L$11,OR($N1575=$Q$7,$O1575=$Q$7)),"x","")</f>
        <v/>
      </c>
      <c r="R1575" s="82" t="str">
        <f>IF(AND($N1575=$Q$7,$B1575&lt;'111'!$L$11),"x","")</f>
        <v/>
      </c>
      <c r="S1575" s="82" t="str">
        <f>IF(AND($O1575=$Q$7,$B1575&lt;'111'!$L$11),"x","")</f>
        <v>x</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IF(OR(TH!N2280=TH!$X$7,O1575=TH!$X$7),"x","")</f>
        <v>x</v>
      </c>
      <c r="Y1575" s="82" t="str">
        <f>IF(AND(OR(N1575="131",O1575="131"),H1575='131-CT'!$H$9),"x","")</f>
        <v/>
      </c>
      <c r="Z1575" s="82"/>
      <c r="AA1575" s="82" t="str">
        <f>IF(AND(MONTH(E1575)='IN-NX'!$J$5,'IN-NX'!$D$7=D1575),"x","")</f>
        <v/>
      </c>
      <c r="AB1575" s="82" t="str">
        <f>IF(AND(OR(LEFT(TH!N2280,2)="15",LEFT(TH!O2280,2)="15"),LEFT(TH!O2280,3)&lt;&gt;"111",'152-CT'!$J$8=TH!F2280),"x","")</f>
        <v/>
      </c>
      <c r="AC1575" s="82" t="str">
        <f>IF(AND(OR(LEFT(TH!N2280,2)="15",LEFT(TH!O2280,2)="15"),TK!$E$7=TH!F2280),"x","")</f>
        <v/>
      </c>
      <c r="AD1575" s="82" t="str">
        <f>IF(AND(N1575="1521",MONTH(C1575)='BK-NL'!$M$11),"x","")</f>
        <v/>
      </c>
      <c r="AE1575" s="328"/>
      <c r="AF1575" s="328">
        <v>7</v>
      </c>
    </row>
    <row r="1576" spans="1:32" s="1156" customFormat="1" ht="15.75" customHeight="1">
      <c r="A1576" s="334" t="str">
        <f>IF(B1576&lt;&gt;"",IF(AND(B1576='IN-TC'!$S$4,OR(TH!N1576="1111",TH!O1576="1111")),TH!D1576,""),"")</f>
        <v/>
      </c>
      <c r="B1576" s="1148">
        <f t="shared" si="189"/>
        <v>8</v>
      </c>
      <c r="C1576" s="1149">
        <v>42583</v>
      </c>
      <c r="D1576" s="1149" t="s">
        <v>864</v>
      </c>
      <c r="E1576" s="1149">
        <f t="shared" si="190"/>
        <v>42583</v>
      </c>
      <c r="F1576" s="512" t="s">
        <v>960</v>
      </c>
      <c r="G1576" s="1151"/>
      <c r="H1576" s="1150" t="s">
        <v>2239</v>
      </c>
      <c r="I1576" s="1152"/>
      <c r="J1576" s="1152"/>
      <c r="K1576" s="1153"/>
      <c r="L1576" s="1152"/>
      <c r="M1576" s="1154">
        <v>500000000</v>
      </c>
      <c r="N1576" s="1155" t="s">
        <v>272</v>
      </c>
      <c r="O1576" s="1155" t="s">
        <v>63</v>
      </c>
      <c r="P1576" s="1155" t="str">
        <f>IF(AND('331-CT'!$E$7=TH!H1576,OR(N1576="331",O1576="331")),"x","")</f>
        <v/>
      </c>
      <c r="Q1576" s="1155" t="str">
        <f>IF(AND(B1576='111'!$L$11,OR($N1576=$Q$7,$O1576=$Q$7)),"x","")</f>
        <v/>
      </c>
      <c r="R1576" s="1155" t="str">
        <f>IF(AND($N1576=$Q$7,$B1576&lt;'111'!$L$11),"x","")</f>
        <v/>
      </c>
      <c r="S1576" s="1155" t="str">
        <f>IF(AND($O1576=$Q$7,$B1576&lt;'111'!$L$11),"x","")</f>
        <v>x</v>
      </c>
      <c r="T1576" s="1155" t="str">
        <f>IF(ISERROR(FIND('112'!$M$9,G1576,1)),"",IF((AND(FIND('112'!$M$9,G1576,1)&gt;=1,B1576='112'!$K$9,OR($N1576='112'!$I$6,$O1576='112'!$I$6))),"x",""))</f>
        <v/>
      </c>
      <c r="U1576" s="1155" t="str">
        <f>IF(ISERROR(FIND('112'!$M$9,G1576,1)),"",IF((AND(LEFT(G1576,2)=LEFT('112'!$M$9,2),B1576&lt;'112'!$K$9,$N1576='112'!$I$6)),"x",""))</f>
        <v/>
      </c>
      <c r="V1576" s="1155" t="str">
        <f>IF(ISERROR(FIND('112'!$M$9,G1576,1)),"",IF((AND(RIGHT(G1576,2)=RIGHT('112'!$M$9,2),B1576&lt;'112'!$K$9,$O1576='112'!$I$6)),"x",""))</f>
        <v/>
      </c>
      <c r="W1576" s="1155" t="str">
        <f>IF(AND('341-CT'!$H$9=H1576,OR(LEFT(N1576,3)=$W$7,LEFT(O1576,3)=$W$7)),"x","")</f>
        <v/>
      </c>
      <c r="X1576" s="1155" t="str">
        <f>IF(OR(TH!N1576=TH!$X$7,O1576=TH!$X$7),"x","")</f>
        <v/>
      </c>
      <c r="Y1576" s="1155" t="str">
        <f>IF(AND(OR(N1576="131",O1576="131"),H1576='131-CT'!$H$9),"x","")</f>
        <v/>
      </c>
      <c r="Z1576" s="1155"/>
      <c r="AA1576" s="1155" t="str">
        <f>IF(AND(MONTH(E1576)='IN-NX'!$J$5,'IN-NX'!$D$7=D1576),"x","")</f>
        <v/>
      </c>
      <c r="AB1576" s="1155" t="str">
        <f>IF(AND(OR(LEFT(TH!N1576,2)="15",LEFT(TH!O1576,2)="15"),LEFT(TH!O1576,3)&lt;&gt;"111",'152-CT'!$J$8=TH!F1576),"x","")</f>
        <v/>
      </c>
      <c r="AC1576" s="1155" t="str">
        <f>IF(AND(OR(LEFT(TH!N1576,2)="15",LEFT(TH!O1576,2)="15"),TK!$E$7=TH!F1576),"x","")</f>
        <v/>
      </c>
      <c r="AD1576" s="1155" t="str">
        <f>IF(AND(N1576="1521",MONTH(C1576)='BK-NL'!$M$11),"x","")</f>
        <v/>
      </c>
    </row>
    <row r="1577" spans="1:32" s="1156" customFormat="1" ht="15.75" customHeight="1">
      <c r="A1577" s="334" t="str">
        <f>IF(B1577&lt;&gt;"",IF(AND(B1577='IN-TC'!$S$4,OR(TH!N2437="1111",TH!O2437="1111")),TH!D2437,""),"")</f>
        <v/>
      </c>
      <c r="B1577" s="63">
        <f t="shared" si="189"/>
        <v>8</v>
      </c>
      <c r="C1577" s="64">
        <v>42585</v>
      </c>
      <c r="D1577" s="64" t="s">
        <v>865</v>
      </c>
      <c r="E1577" s="64">
        <f t="shared" si="190"/>
        <v>42585</v>
      </c>
      <c r="F1577" s="72" t="s">
        <v>768</v>
      </c>
      <c r="G1577" s="972" t="s">
        <v>1796</v>
      </c>
      <c r="H1577" s="72" t="s">
        <v>1102</v>
      </c>
      <c r="I1577" s="437"/>
      <c r="J1577" s="437"/>
      <c r="K1577" s="428"/>
      <c r="L1577" s="437"/>
      <c r="M1577" s="1147">
        <v>592155</v>
      </c>
      <c r="N1577" s="66" t="s">
        <v>101</v>
      </c>
      <c r="O1577" s="66" t="s">
        <v>63</v>
      </c>
      <c r="P1577" s="82" t="str">
        <f>IF(AND('331-CT'!$E$7=TH!H2437,OR(N1577="331",O1577="331")),"x","")</f>
        <v/>
      </c>
      <c r="Q1577" s="82" t="str">
        <f>IF(AND(B1577='111'!$L$11,OR($N1577=$Q$7,$O1577=$Q$7)),"x","")</f>
        <v/>
      </c>
      <c r="R1577" s="82" t="str">
        <f>IF(AND($N1577=$Q$7,$B1577&lt;'111'!$L$11),"x","")</f>
        <v/>
      </c>
      <c r="S1577" s="82" t="str">
        <f>IF(AND($O1577=$Q$7,$B1577&lt;'111'!$L$11),"x","")</f>
        <v>x</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IF(OR(TH!N2437=TH!$X$7,O1577=TH!$X$7),"x","")</f>
        <v>x</v>
      </c>
      <c r="Y1577" s="82" t="str">
        <f>IF(AND(OR(N1577="131",O1577="131"),H1577='131-CT'!$H$9),"x","")</f>
        <v/>
      </c>
      <c r="Z1577" s="82"/>
      <c r="AA1577" s="82" t="str">
        <f>IF(AND(MONTH(E1577)='IN-NX'!$J$5,'IN-NX'!$D$7=D1577),"x","")</f>
        <v/>
      </c>
      <c r="AB1577" s="82" t="str">
        <f>IF(AND(OR(LEFT(TH!N2437,2)="15",LEFT(TH!O2437,2)="15"),LEFT(TH!O2437,3)&lt;&gt;"111",'152-CT'!$J$8=TH!F2437),"x","")</f>
        <v/>
      </c>
      <c r="AC1577" s="82" t="str">
        <f>IF(AND(OR(LEFT(TH!N2437,2)="15",LEFT(TH!O2437,2)="15"),TK!$E$7=TH!F2437),"x","")</f>
        <v/>
      </c>
      <c r="AD1577" s="82" t="str">
        <f>IF(AND(N1577="1521",MONTH(C1577)='BK-NL'!$M$11),"x","")</f>
        <v/>
      </c>
      <c r="AE1577" s="349"/>
      <c r="AF1577" s="349">
        <v>8</v>
      </c>
    </row>
    <row r="1578" spans="1:32" s="1156" customFormat="1" ht="15.75" customHeight="1">
      <c r="A1578" s="334" t="str">
        <f>IF(B1578&lt;&gt;"",IF(AND(B1578='IN-TC'!$S$4,OR(TH!N2438="1111",TH!O2438="1111")),TH!D2438,""),"")</f>
        <v/>
      </c>
      <c r="B1578" s="63">
        <f t="shared" si="189"/>
        <v>8</v>
      </c>
      <c r="C1578" s="64">
        <v>42585</v>
      </c>
      <c r="D1578" s="64" t="s">
        <v>865</v>
      </c>
      <c r="E1578" s="64">
        <f t="shared" si="190"/>
        <v>42585</v>
      </c>
      <c r="F1578" s="72" t="s">
        <v>769</v>
      </c>
      <c r="G1578" s="972" t="s">
        <v>1796</v>
      </c>
      <c r="H1578" s="72" t="s">
        <v>1102</v>
      </c>
      <c r="I1578" s="437"/>
      <c r="J1578" s="437"/>
      <c r="K1578" s="428"/>
      <c r="L1578" s="437"/>
      <c r="M1578" s="65">
        <v>59215</v>
      </c>
      <c r="N1578" s="82" t="s">
        <v>9</v>
      </c>
      <c r="O1578" s="66" t="s">
        <v>63</v>
      </c>
      <c r="P1578" s="82" t="str">
        <f>IF(AND('331-CT'!$E$7=TH!H2438,OR(N1578="331",O1578="331")),"x","")</f>
        <v/>
      </c>
      <c r="Q1578" s="82" t="str">
        <f>IF(AND(B1578='111'!$L$11,OR($N1578=$Q$7,$O1578=$Q$7)),"x","")</f>
        <v/>
      </c>
      <c r="R1578" s="82" t="str">
        <f>IF(AND($N1578=$Q$7,$B1578&lt;'111'!$L$11),"x","")</f>
        <v/>
      </c>
      <c r="S1578" s="82" t="str">
        <f>IF(AND($O1578=$Q$7,$B1578&lt;'111'!$L$11),"x","")</f>
        <v>x</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IF(OR(TH!N2438=TH!$X$7,O1578=TH!$X$7),"x","")</f>
        <v/>
      </c>
      <c r="Y1578" s="82" t="str">
        <f>IF(AND(OR(N1578="131",O1578="131"),H1578='131-CT'!$H$9),"x","")</f>
        <v/>
      </c>
      <c r="Z1578" s="82"/>
      <c r="AA1578" s="82" t="str">
        <f>IF(AND(MONTH(E1578)='IN-NX'!$J$5,'IN-NX'!$D$7=D1578),"x","")</f>
        <v/>
      </c>
      <c r="AB1578" s="82" t="str">
        <f>IF(AND(OR(LEFT(TH!N2438,2)="15",LEFT(TH!O2438,2)="15"),LEFT(TH!O2438,3)&lt;&gt;"111",'152-CT'!$J$8=TH!F2438),"x","")</f>
        <v/>
      </c>
      <c r="AC1578" s="82" t="str">
        <f>IF(AND(OR(LEFT(TH!N2438,2)="15",LEFT(TH!O2438,2)="15"),TK!$E$7=TH!F2438),"x","")</f>
        <v/>
      </c>
      <c r="AD1578" s="82" t="str">
        <f>IF(AND(N1578="1521",MONTH(C1578)='BK-NL'!$M$11),"x","")</f>
        <v/>
      </c>
      <c r="AE1578" s="349"/>
      <c r="AF1578" s="349">
        <v>8</v>
      </c>
    </row>
    <row r="1579" spans="1:32" s="1156" customFormat="1" ht="15.75" customHeight="1">
      <c r="A1579" s="334" t="str">
        <f>IF(B1579&lt;&gt;"",IF(AND(B1579='IN-TC'!$S$4,OR(TH!N2441="1111",TH!O2441="1111")),TH!D2441,""),"")</f>
        <v/>
      </c>
      <c r="B1579" s="63">
        <f t="shared" si="189"/>
        <v>8</v>
      </c>
      <c r="C1579" s="64">
        <v>42586</v>
      </c>
      <c r="D1579" s="64" t="s">
        <v>866</v>
      </c>
      <c r="E1579" s="64">
        <f t="shared" si="190"/>
        <v>42586</v>
      </c>
      <c r="F1579" s="72" t="s">
        <v>1693</v>
      </c>
      <c r="G1579" s="972" t="s">
        <v>1797</v>
      </c>
      <c r="H1579" s="72" t="s">
        <v>828</v>
      </c>
      <c r="I1579" s="437"/>
      <c r="J1579" s="437"/>
      <c r="K1579" s="428"/>
      <c r="L1579" s="437"/>
      <c r="M1579" s="65">
        <v>720000</v>
      </c>
      <c r="N1579" s="66" t="s">
        <v>101</v>
      </c>
      <c r="O1579" s="66" t="s">
        <v>63</v>
      </c>
      <c r="P1579" s="82" t="str">
        <f>IF(AND('331-CT'!$E$7=TH!H2441,OR(N1579="331",O1579="331")),"x","")</f>
        <v/>
      </c>
      <c r="Q1579" s="82" t="str">
        <f>IF(AND(B1579='111'!$L$11,OR($N1579=$Q$7,$O1579=$Q$7)),"x","")</f>
        <v/>
      </c>
      <c r="R1579" s="82" t="str">
        <f>IF(AND($N1579=$Q$7,$B1579&lt;'111'!$L$11),"x","")</f>
        <v/>
      </c>
      <c r="S1579" s="82" t="str">
        <f>IF(AND($O1579=$Q$7,$B1579&lt;'111'!$L$11),"x","")</f>
        <v>x</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IF(OR(TH!N2441=TH!$X$7,O1579=TH!$X$7),"x","")</f>
        <v/>
      </c>
      <c r="Y1579" s="82" t="str">
        <f>IF(AND(OR(N1579="131",O1579="131"),H1579='131-CT'!$H$9),"x","")</f>
        <v/>
      </c>
      <c r="Z1579" s="82"/>
      <c r="AA1579" s="82" t="str">
        <f>IF(AND(MONTH(E1579)='IN-NX'!$J$5,'IN-NX'!$D$7=D1579),"x","")</f>
        <v/>
      </c>
      <c r="AB1579" s="82" t="str">
        <f>IF(AND(OR(LEFT(TH!N2441,2)="15",LEFT(TH!O2441,2)="15"),LEFT(TH!O2441,3)&lt;&gt;"111",'152-CT'!$J$8=TH!F2441),"x","")</f>
        <v/>
      </c>
      <c r="AC1579" s="82" t="str">
        <f>IF(AND(OR(LEFT(TH!N2441,2)="15",LEFT(TH!O2441,2)="15"),TK!$E$7=TH!F2441),"x","")</f>
        <v/>
      </c>
      <c r="AD1579" s="82" t="str">
        <f>IF(AND(N1579="1521",MONTH(C1579)='BK-NL'!$M$11),"x","")</f>
        <v/>
      </c>
      <c r="AE1579" s="349"/>
      <c r="AF1579" s="349">
        <v>8</v>
      </c>
    </row>
    <row r="1580" spans="1:32" s="1156" customFormat="1" ht="15.75" customHeight="1">
      <c r="A1580" s="334" t="str">
        <f>IF(B1580&lt;&gt;"",IF(AND(B1580='IN-TC'!$S$4,OR(TH!N1580="1111",TH!O1580="1111")),TH!D1580,""),"")</f>
        <v/>
      </c>
      <c r="B1580" s="1148" t="str">
        <f t="shared" si="189"/>
        <v/>
      </c>
      <c r="C1580" s="1149"/>
      <c r="D1580" s="1149" t="s">
        <v>2240</v>
      </c>
      <c r="E1580" s="1149">
        <f t="shared" si="190"/>
        <v>0</v>
      </c>
      <c r="F1580" s="512" t="s">
        <v>960</v>
      </c>
      <c r="G1580" s="1151"/>
      <c r="H1580" s="1150" t="s">
        <v>959</v>
      </c>
      <c r="I1580" s="1152"/>
      <c r="J1580" s="1152"/>
      <c r="K1580" s="1153"/>
      <c r="L1580" s="1152"/>
      <c r="M1580" s="1154"/>
      <c r="N1580" s="1155" t="s">
        <v>272</v>
      </c>
      <c r="O1580" s="1155" t="s">
        <v>63</v>
      </c>
      <c r="P1580" s="1155" t="str">
        <f>IF(AND('331-CT'!$E$7=TH!H1580,OR(N1580="331",O1580="331")),"x","")</f>
        <v/>
      </c>
      <c r="Q1580" s="1155" t="str">
        <f>IF(AND(B1580='111'!$L$11,OR($N1580=$Q$7,$O1580=$Q$7)),"x","")</f>
        <v/>
      </c>
      <c r="R1580" s="1155" t="str">
        <f>IF(AND($N1580=$Q$7,$B1580&lt;'111'!$L$11),"x","")</f>
        <v/>
      </c>
      <c r="S1580" s="1155" t="str">
        <f>IF(AND($O1580=$Q$7,$B1580&lt;'111'!$L$11),"x","")</f>
        <v/>
      </c>
      <c r="T1580" s="1155" t="str">
        <f>IF(ISERROR(FIND('112'!$M$9,G1580,1)),"",IF((AND(FIND('112'!$M$9,G1580,1)&gt;=1,B1580='112'!$K$9,OR($N1580='112'!$I$6,$O1580='112'!$I$6))),"x",""))</f>
        <v/>
      </c>
      <c r="U1580" s="1155" t="str">
        <f>IF(ISERROR(FIND('112'!$M$9,G1580,1)),"",IF((AND(LEFT(G1580,2)=LEFT('112'!$M$9,2),B1580&lt;'112'!$K$9,$N1580='112'!$I$6)),"x",""))</f>
        <v/>
      </c>
      <c r="V1580" s="1155" t="str">
        <f>IF(ISERROR(FIND('112'!$M$9,G1580,1)),"",IF((AND(RIGHT(G1580,2)=RIGHT('112'!$M$9,2),B1580&lt;'112'!$K$9,$O1580='112'!$I$6)),"x",""))</f>
        <v/>
      </c>
      <c r="W1580" s="1155" t="str">
        <f>IF(AND('341-CT'!$H$9=H1580,OR(LEFT(N1580,3)=$W$7,LEFT(O1580,3)=$W$7)),"x","")</f>
        <v/>
      </c>
      <c r="X1580" s="1155" t="str">
        <f>IF(OR(TH!N1580=TH!$X$7,O1580=TH!$X$7),"x","")</f>
        <v/>
      </c>
      <c r="Y1580" s="1155" t="str">
        <f>IF(AND(OR(N1580="131",O1580="131"),H1580='131-CT'!$H$9),"x","")</f>
        <v/>
      </c>
      <c r="Z1580" s="1155"/>
      <c r="AA1580" s="1155" t="str">
        <f>IF(AND(MONTH(E1580)='IN-NX'!$J$5,'IN-NX'!$D$7=D1580),"x","")</f>
        <v/>
      </c>
      <c r="AB1580" s="1155" t="str">
        <f>IF(AND(OR(LEFT(TH!N1580,2)="15",LEFT(TH!O1580,2)="15"),LEFT(TH!O1580,3)&lt;&gt;"111",'152-CT'!$J$8=TH!F1580),"x","")</f>
        <v/>
      </c>
      <c r="AC1580" s="1155" t="str">
        <f>IF(AND(OR(LEFT(TH!N1580,2)="15",LEFT(TH!O1580,2)="15"),TK!$E$7=TH!F1580),"x","")</f>
        <v/>
      </c>
      <c r="AD1580" s="1155" t="str">
        <f>IF(AND(N1580="1521",MONTH(C1580)='BK-NL'!$M$11),"x","")</f>
        <v/>
      </c>
    </row>
    <row r="1581" spans="1:32" s="1156" customFormat="1" ht="15.75" customHeight="1">
      <c r="A1581" s="334"/>
      <c r="B1581" s="1148"/>
      <c r="C1581" s="1149"/>
      <c r="D1581" s="1149"/>
      <c r="E1581" s="1149"/>
      <c r="F1581" s="512"/>
      <c r="G1581" s="1151"/>
      <c r="H1581" s="1150"/>
      <c r="I1581" s="1152"/>
      <c r="J1581" s="1152"/>
      <c r="K1581" s="1153"/>
      <c r="L1581" s="1152"/>
      <c r="M1581" s="1154"/>
      <c r="N1581" s="1155"/>
      <c r="O1581" s="1155"/>
      <c r="P1581" s="1155"/>
      <c r="Q1581" s="1155"/>
      <c r="R1581" s="1155"/>
      <c r="S1581" s="1155"/>
      <c r="T1581" s="1155"/>
      <c r="U1581" s="1155"/>
      <c r="V1581" s="1155"/>
      <c r="W1581" s="1155"/>
      <c r="X1581" s="1155"/>
      <c r="Y1581" s="1155"/>
      <c r="Z1581" s="1155"/>
      <c r="AA1581" s="1155"/>
      <c r="AB1581" s="1155"/>
      <c r="AC1581" s="1155"/>
      <c r="AD1581" s="1155"/>
    </row>
    <row r="1582" spans="1:32" ht="15.75" customHeight="1">
      <c r="A1582" s="334" t="str">
        <f>IF(B1582&lt;&gt;"",IF(AND(B1582='IN-TC'!$S$4,OR(TH!N1582="1111",TH!O1582="1111")),TH!D1582,""),"")</f>
        <v/>
      </c>
      <c r="B1582" s="63">
        <f t="shared" ref="B1582:B1645" si="191">IF(C1582&lt;&gt;"",MONTH(C1582),"")</f>
        <v>1</v>
      </c>
      <c r="C1582" s="64">
        <f t="shared" ref="C1582:C1613" si="192">E1582</f>
        <v>42400</v>
      </c>
      <c r="D1582" s="64" t="s">
        <v>958</v>
      </c>
      <c r="E1582" s="64">
        <v>42400</v>
      </c>
      <c r="F1582" s="72" t="s">
        <v>945</v>
      </c>
      <c r="G1582" s="67" t="s">
        <v>344</v>
      </c>
      <c r="H1582" s="72" t="s">
        <v>441</v>
      </c>
      <c r="I1582" s="437"/>
      <c r="J1582" s="437"/>
      <c r="K1582" s="428"/>
      <c r="L1582" s="437"/>
      <c r="M1582" s="65">
        <v>239590000</v>
      </c>
      <c r="N1582" s="66" t="s">
        <v>8</v>
      </c>
      <c r="O1582" s="66" t="s">
        <v>272</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E1582" s="1136" t="str">
        <f t="shared" ref="AE1582:AE1613" si="193">IF(H1582&lt;&gt;VLOOKUP(H1582,DSKH,1,0),"","x")</f>
        <v>x</v>
      </c>
    </row>
    <row r="1583" spans="1:32" ht="15.75" customHeight="1">
      <c r="A1583" s="334" t="str">
        <f>IF(B1583&lt;&gt;"",IF(AND(B1583='IN-TC'!$S$4,OR(TH!N1583="1111",TH!O1583="1111")),TH!D1583,""),"")</f>
        <v/>
      </c>
      <c r="B1583" s="63">
        <f t="shared" si="191"/>
        <v>1</v>
      </c>
      <c r="C1583" s="64">
        <f t="shared" si="192"/>
        <v>42400</v>
      </c>
      <c r="D1583" s="64" t="s">
        <v>958</v>
      </c>
      <c r="E1583" s="64">
        <v>42400</v>
      </c>
      <c r="F1583" s="72" t="s">
        <v>945</v>
      </c>
      <c r="G1583" s="67" t="s">
        <v>344</v>
      </c>
      <c r="H1583" s="72" t="s">
        <v>434</v>
      </c>
      <c r="I1583" s="437"/>
      <c r="J1583" s="437"/>
      <c r="K1583" s="428"/>
      <c r="L1583" s="437"/>
      <c r="M1583" s="65">
        <v>226212000</v>
      </c>
      <c r="N1583" s="66" t="s">
        <v>8</v>
      </c>
      <c r="O1583" s="66" t="s">
        <v>272</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c r="AE1583" s="1136" t="str">
        <f t="shared" si="193"/>
        <v>x</v>
      </c>
    </row>
    <row r="1584" spans="1:32" ht="15.75" customHeight="1">
      <c r="A1584" s="334" t="str">
        <f>IF(B1584&lt;&gt;"",IF(AND(B1584='IN-TC'!$S$4,OR(TH!N1584="1111",TH!O1584="1111")),TH!D1584,""),"")</f>
        <v/>
      </c>
      <c r="B1584" s="63">
        <f t="shared" si="191"/>
        <v>1</v>
      </c>
      <c r="C1584" s="64">
        <f t="shared" si="192"/>
        <v>42400</v>
      </c>
      <c r="D1584" s="64" t="s">
        <v>958</v>
      </c>
      <c r="E1584" s="64">
        <v>42400</v>
      </c>
      <c r="F1584" s="72" t="s">
        <v>945</v>
      </c>
      <c r="G1584" s="67" t="s">
        <v>344</v>
      </c>
      <c r="H1584" s="72" t="s">
        <v>439</v>
      </c>
      <c r="I1584" s="437"/>
      <c r="J1584" s="437"/>
      <c r="K1584" s="428"/>
      <c r="L1584" s="437"/>
      <c r="M1584" s="65">
        <v>111171500</v>
      </c>
      <c r="N1584" s="66" t="s">
        <v>8</v>
      </c>
      <c r="O1584" s="66" t="s">
        <v>272</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c r="AE1584" s="1136" t="str">
        <f t="shared" si="193"/>
        <v>x</v>
      </c>
    </row>
    <row r="1585" spans="1:31" ht="15.75" customHeight="1">
      <c r="A1585" s="334" t="str">
        <f>IF(B1585&lt;&gt;"",IF(AND(B1585='IN-TC'!$S$4,OR(TH!N1585="1111",TH!O1585="1111")),TH!D1585,""),"")</f>
        <v/>
      </c>
      <c r="B1585" s="63">
        <f t="shared" si="191"/>
        <v>1</v>
      </c>
      <c r="C1585" s="64">
        <f t="shared" si="192"/>
        <v>42400</v>
      </c>
      <c r="D1585" s="64" t="s">
        <v>958</v>
      </c>
      <c r="E1585" s="64">
        <v>42400</v>
      </c>
      <c r="F1585" s="72" t="s">
        <v>945</v>
      </c>
      <c r="G1585" s="67" t="s">
        <v>344</v>
      </c>
      <c r="H1585" s="72" t="s">
        <v>430</v>
      </c>
      <c r="I1585" s="437"/>
      <c r="J1585" s="437"/>
      <c r="K1585" s="428"/>
      <c r="L1585" s="437"/>
      <c r="M1585" s="65">
        <v>679649500</v>
      </c>
      <c r="N1585" s="66" t="s">
        <v>8</v>
      </c>
      <c r="O1585" s="66" t="s">
        <v>272</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c r="AE1585" s="1136" t="str">
        <f t="shared" si="193"/>
        <v>x</v>
      </c>
    </row>
    <row r="1586" spans="1:31" ht="15.75" customHeight="1">
      <c r="A1586" s="334" t="str">
        <f>IF(B1586&lt;&gt;"",IF(AND(B1586='IN-TC'!$S$4,OR(TH!N1586="1111",TH!O1586="1111")),TH!D1586,""),"")</f>
        <v/>
      </c>
      <c r="B1586" s="63">
        <f t="shared" si="191"/>
        <v>1</v>
      </c>
      <c r="C1586" s="64">
        <f t="shared" si="192"/>
        <v>42400</v>
      </c>
      <c r="D1586" s="64" t="s">
        <v>958</v>
      </c>
      <c r="E1586" s="64">
        <v>42400</v>
      </c>
      <c r="F1586" s="72" t="s">
        <v>945</v>
      </c>
      <c r="G1586" s="67" t="s">
        <v>344</v>
      </c>
      <c r="H1586" s="72" t="s">
        <v>432</v>
      </c>
      <c r="I1586" s="437"/>
      <c r="J1586" s="437"/>
      <c r="K1586" s="428"/>
      <c r="L1586" s="437"/>
      <c r="M1586" s="65">
        <v>353232000</v>
      </c>
      <c r="N1586" s="66" t="s">
        <v>8</v>
      </c>
      <c r="O1586" s="66" t="s">
        <v>272</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c r="AE1586" s="1136" t="str">
        <f t="shared" si="193"/>
        <v>x</v>
      </c>
    </row>
    <row r="1587" spans="1:31" ht="15.75" customHeight="1">
      <c r="A1587" s="334" t="str">
        <f>IF(B1587&lt;&gt;"",IF(AND(B1587='IN-TC'!$S$4,OR(TH!N1587="1111",TH!O1587="1111")),TH!D1587,""),"")</f>
        <v/>
      </c>
      <c r="B1587" s="63">
        <f t="shared" si="191"/>
        <v>1</v>
      </c>
      <c r="C1587" s="64">
        <f t="shared" si="192"/>
        <v>42400</v>
      </c>
      <c r="D1587" s="64" t="s">
        <v>958</v>
      </c>
      <c r="E1587" s="64">
        <v>42400</v>
      </c>
      <c r="F1587" s="72" t="s">
        <v>945</v>
      </c>
      <c r="G1587" s="67" t="s">
        <v>344</v>
      </c>
      <c r="H1587" s="342" t="s">
        <v>435</v>
      </c>
      <c r="I1587" s="439"/>
      <c r="J1587" s="439"/>
      <c r="K1587" s="430"/>
      <c r="L1587" s="439"/>
      <c r="M1587" s="65">
        <v>324844500</v>
      </c>
      <c r="N1587" s="66" t="s">
        <v>8</v>
      </c>
      <c r="O1587" s="66" t="s">
        <v>272</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c r="AE1587" s="1136" t="str">
        <f t="shared" si="193"/>
        <v>x</v>
      </c>
    </row>
    <row r="1588" spans="1:31" ht="15.75" customHeight="1">
      <c r="A1588" s="334" t="str">
        <f>IF(B1588&lt;&gt;"",IF(AND(B1588='IN-TC'!$S$4,OR(TH!N1588="1111",TH!O1588="1111")),TH!D1588,""),"")</f>
        <v/>
      </c>
      <c r="B1588" s="63">
        <f t="shared" si="191"/>
        <v>1</v>
      </c>
      <c r="C1588" s="64">
        <f t="shared" si="192"/>
        <v>42400</v>
      </c>
      <c r="D1588" s="64" t="s">
        <v>958</v>
      </c>
      <c r="E1588" s="64">
        <v>42400</v>
      </c>
      <c r="F1588" s="72" t="s">
        <v>945</v>
      </c>
      <c r="G1588" s="67" t="s">
        <v>344</v>
      </c>
      <c r="H1588" s="72" t="s">
        <v>443</v>
      </c>
      <c r="I1588" s="437"/>
      <c r="J1588" s="437"/>
      <c r="K1588" s="428"/>
      <c r="L1588" s="437"/>
      <c r="M1588" s="65">
        <v>124576000</v>
      </c>
      <c r="N1588" s="66" t="s">
        <v>8</v>
      </c>
      <c r="O1588" s="66" t="s">
        <v>272</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c r="AE1588" s="1136" t="str">
        <f t="shared" si="193"/>
        <v>x</v>
      </c>
    </row>
    <row r="1589" spans="1:31" ht="15.75" customHeight="1">
      <c r="A1589" s="334" t="str">
        <f>IF(B1589&lt;&gt;"",IF(AND(B1589='IN-TC'!$S$4,OR(TH!N1589="1111",TH!O1589="1111")),TH!D1589,""),"")</f>
        <v/>
      </c>
      <c r="B1589" s="63">
        <f t="shared" si="191"/>
        <v>1</v>
      </c>
      <c r="C1589" s="64">
        <f t="shared" si="192"/>
        <v>42400</v>
      </c>
      <c r="D1589" s="64" t="s">
        <v>958</v>
      </c>
      <c r="E1589" s="64">
        <v>42400</v>
      </c>
      <c r="F1589" s="72" t="s">
        <v>945</v>
      </c>
      <c r="G1589" s="67" t="s">
        <v>344</v>
      </c>
      <c r="H1589" s="72" t="s">
        <v>425</v>
      </c>
      <c r="I1589" s="437"/>
      <c r="J1589" s="437"/>
      <c r="K1589" s="428"/>
      <c r="L1589" s="437"/>
      <c r="M1589" s="65">
        <v>230870000</v>
      </c>
      <c r="N1589" s="66" t="s">
        <v>8</v>
      </c>
      <c r="O1589" s="66" t="s">
        <v>272</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c r="AE1589" s="1136" t="str">
        <f t="shared" si="193"/>
        <v>x</v>
      </c>
    </row>
    <row r="1590" spans="1:31" ht="15.75" customHeight="1">
      <c r="A1590" s="334" t="str">
        <f>IF(B1590&lt;&gt;"",IF(AND(B1590='IN-TC'!$S$4,OR(TH!N1590="1111",TH!O1590="1111")),TH!D1590,""),"")</f>
        <v/>
      </c>
      <c r="B1590" s="63">
        <f t="shared" si="191"/>
        <v>1</v>
      </c>
      <c r="C1590" s="64">
        <f t="shared" si="192"/>
        <v>42400</v>
      </c>
      <c r="D1590" s="64" t="s">
        <v>958</v>
      </c>
      <c r="E1590" s="64">
        <v>42400</v>
      </c>
      <c r="F1590" s="72" t="s">
        <v>945</v>
      </c>
      <c r="G1590" s="67" t="s">
        <v>344</v>
      </c>
      <c r="H1590" s="342" t="s">
        <v>428</v>
      </c>
      <c r="I1590" s="439"/>
      <c r="J1590" s="439"/>
      <c r="K1590" s="430"/>
      <c r="L1590" s="439"/>
      <c r="M1590" s="65">
        <v>462654500</v>
      </c>
      <c r="N1590" s="66" t="s">
        <v>8</v>
      </c>
      <c r="O1590" s="66" t="s">
        <v>272</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E1590" s="1136" t="str">
        <f t="shared" si="193"/>
        <v>x</v>
      </c>
    </row>
    <row r="1591" spans="1:31" ht="15.75" customHeight="1">
      <c r="A1591" s="334" t="str">
        <f>IF(B1591&lt;&gt;"",IF(AND(B1591='IN-TC'!$S$4,OR(TH!N1591="1111",TH!O1591="1111")),TH!D1591,""),"")</f>
        <v/>
      </c>
      <c r="B1591" s="63">
        <f t="shared" si="191"/>
        <v>2</v>
      </c>
      <c r="C1591" s="64">
        <f t="shared" si="192"/>
        <v>42429</v>
      </c>
      <c r="D1591" s="64" t="s">
        <v>1086</v>
      </c>
      <c r="E1591" s="64">
        <v>42429</v>
      </c>
      <c r="F1591" s="72" t="s">
        <v>945</v>
      </c>
      <c r="G1591" s="67" t="s">
        <v>344</v>
      </c>
      <c r="H1591" s="72" t="s">
        <v>441</v>
      </c>
      <c r="I1591" s="437"/>
      <c r="J1591" s="437"/>
      <c r="K1591" s="428"/>
      <c r="L1591" s="437"/>
      <c r="M1591" s="65">
        <v>106535000</v>
      </c>
      <c r="N1591" s="66" t="s">
        <v>8</v>
      </c>
      <c r="O1591" s="66" t="s">
        <v>272</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c r="AE1591" s="1136" t="str">
        <f t="shared" si="193"/>
        <v>x</v>
      </c>
    </row>
    <row r="1592" spans="1:31" ht="15.75" customHeight="1">
      <c r="A1592" s="334" t="str">
        <f>IF(B1592&lt;&gt;"",IF(AND(B1592='IN-TC'!$S$4,OR(TH!N1592="1111",TH!O1592="1111")),TH!D1592,""),"")</f>
        <v/>
      </c>
      <c r="B1592" s="63">
        <f t="shared" si="191"/>
        <v>2</v>
      </c>
      <c r="C1592" s="64">
        <f t="shared" si="192"/>
        <v>42429</v>
      </c>
      <c r="D1592" s="64" t="s">
        <v>1086</v>
      </c>
      <c r="E1592" s="64">
        <v>42429</v>
      </c>
      <c r="F1592" s="72" t="s">
        <v>945</v>
      </c>
      <c r="G1592" s="67" t="s">
        <v>344</v>
      </c>
      <c r="H1592" s="72" t="s">
        <v>434</v>
      </c>
      <c r="I1592" s="437"/>
      <c r="J1592" s="437"/>
      <c r="K1592" s="428"/>
      <c r="L1592" s="437"/>
      <c r="M1592" s="65">
        <v>204461400</v>
      </c>
      <c r="N1592" s="66" t="s">
        <v>8</v>
      </c>
      <c r="O1592" s="66" t="s">
        <v>272</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c r="AE1592" s="1136" t="str">
        <f t="shared" si="193"/>
        <v>x</v>
      </c>
    </row>
    <row r="1593" spans="1:31" ht="15.75" customHeight="1">
      <c r="A1593" s="334" t="str">
        <f>IF(B1593&lt;&gt;"",IF(AND(B1593='IN-TC'!$S$4,OR(TH!N1593="1111",TH!O1593="1111")),TH!D1593,""),"")</f>
        <v/>
      </c>
      <c r="B1593" s="63">
        <f t="shared" si="191"/>
        <v>2</v>
      </c>
      <c r="C1593" s="64">
        <f t="shared" si="192"/>
        <v>42429</v>
      </c>
      <c r="D1593" s="64" t="s">
        <v>1086</v>
      </c>
      <c r="E1593" s="64">
        <v>42429</v>
      </c>
      <c r="F1593" s="72" t="s">
        <v>945</v>
      </c>
      <c r="G1593" s="67" t="s">
        <v>344</v>
      </c>
      <c r="H1593" s="72" t="s">
        <v>432</v>
      </c>
      <c r="I1593" s="437"/>
      <c r="J1593" s="437"/>
      <c r="K1593" s="428"/>
      <c r="L1593" s="437"/>
      <c r="M1593" s="65">
        <v>208923000</v>
      </c>
      <c r="N1593" s="66" t="s">
        <v>8</v>
      </c>
      <c r="O1593" s="66" t="s">
        <v>272</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c r="AE1593" s="1136" t="str">
        <f t="shared" si="193"/>
        <v>x</v>
      </c>
    </row>
    <row r="1594" spans="1:31" ht="15.75" customHeight="1">
      <c r="A1594" s="334" t="str">
        <f>IF(B1594&lt;&gt;"",IF(AND(B1594='IN-TC'!$S$4,OR(TH!N1594="1111",TH!O1594="1111")),TH!D1594,""),"")</f>
        <v/>
      </c>
      <c r="B1594" s="63">
        <f t="shared" si="191"/>
        <v>2</v>
      </c>
      <c r="C1594" s="64">
        <f t="shared" si="192"/>
        <v>42429</v>
      </c>
      <c r="D1594" s="64" t="s">
        <v>1086</v>
      </c>
      <c r="E1594" s="64">
        <v>42429</v>
      </c>
      <c r="F1594" s="72" t="s">
        <v>945</v>
      </c>
      <c r="G1594" s="67" t="s">
        <v>344</v>
      </c>
      <c r="H1594" s="72" t="s">
        <v>435</v>
      </c>
      <c r="I1594" s="437"/>
      <c r="J1594" s="437"/>
      <c r="K1594" s="428"/>
      <c r="L1594" s="437"/>
      <c r="M1594" s="65">
        <v>87215700</v>
      </c>
      <c r="N1594" s="66" t="s">
        <v>8</v>
      </c>
      <c r="O1594" s="66" t="s">
        <v>272</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c r="AE1594" s="1136" t="str">
        <f t="shared" si="193"/>
        <v>x</v>
      </c>
    </row>
    <row r="1595" spans="1:31" ht="15.75" customHeight="1">
      <c r="A1595" s="334" t="str">
        <f>IF(B1595&lt;&gt;"",IF(AND(B1595='IN-TC'!$S$4,OR(TH!N1595="1111",TH!O1595="1111")),TH!D1595,""),"")</f>
        <v/>
      </c>
      <c r="B1595" s="63">
        <f t="shared" si="191"/>
        <v>2</v>
      </c>
      <c r="C1595" s="64">
        <f t="shared" si="192"/>
        <v>42429</v>
      </c>
      <c r="D1595" s="64" t="s">
        <v>1086</v>
      </c>
      <c r="E1595" s="64">
        <v>42429</v>
      </c>
      <c r="F1595" s="72" t="s">
        <v>945</v>
      </c>
      <c r="G1595" s="67" t="s">
        <v>344</v>
      </c>
      <c r="H1595" s="342" t="s">
        <v>425</v>
      </c>
      <c r="I1595" s="439"/>
      <c r="J1595" s="439"/>
      <c r="K1595" s="430"/>
      <c r="L1595" s="439"/>
      <c r="M1595" s="65">
        <v>100714900</v>
      </c>
      <c r="N1595" s="66" t="s">
        <v>8</v>
      </c>
      <c r="O1595" s="66" t="s">
        <v>272</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c r="AE1595" s="1136" t="str">
        <f t="shared" si="193"/>
        <v>x</v>
      </c>
    </row>
    <row r="1596" spans="1:31" ht="15.75" customHeight="1">
      <c r="A1596" s="334" t="str">
        <f>IF(B1596&lt;&gt;"",IF(AND(B1596='IN-TC'!$S$4,OR(TH!N1596="1111",TH!O1596="1111")),TH!D1596,""),"")</f>
        <v/>
      </c>
      <c r="B1596" s="63">
        <f t="shared" si="191"/>
        <v>2</v>
      </c>
      <c r="C1596" s="64">
        <f t="shared" si="192"/>
        <v>42429</v>
      </c>
      <c r="D1596" s="64" t="s">
        <v>2227</v>
      </c>
      <c r="E1596" s="64">
        <v>42429</v>
      </c>
      <c r="F1596" s="72" t="s">
        <v>945</v>
      </c>
      <c r="G1596" s="67" t="s">
        <v>338</v>
      </c>
      <c r="H1596" s="342" t="s">
        <v>383</v>
      </c>
      <c r="I1596" s="437"/>
      <c r="J1596" s="437"/>
      <c r="K1596" s="428"/>
      <c r="L1596" s="437"/>
      <c r="M1596" s="65">
        <v>218592500</v>
      </c>
      <c r="N1596" s="66" t="s">
        <v>8</v>
      </c>
      <c r="O1596" s="66" t="s">
        <v>272</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c r="AE1596" s="1136" t="str">
        <f t="shared" si="193"/>
        <v>x</v>
      </c>
    </row>
    <row r="1597" spans="1:31" ht="15.75" customHeight="1">
      <c r="A1597" s="334" t="str">
        <f>IF(B1597&lt;&gt;"",IF(AND(B1597='IN-TC'!$S$4,OR(TH!N1597="1111",TH!O1597="1111")),TH!D1597,""),"")</f>
        <v/>
      </c>
      <c r="B1597" s="63">
        <f t="shared" si="191"/>
        <v>2</v>
      </c>
      <c r="C1597" s="64">
        <f t="shared" si="192"/>
        <v>42429</v>
      </c>
      <c r="D1597" s="64" t="s">
        <v>2227</v>
      </c>
      <c r="E1597" s="64">
        <v>42429</v>
      </c>
      <c r="F1597" s="72" t="s">
        <v>945</v>
      </c>
      <c r="G1597" s="67" t="s">
        <v>338</v>
      </c>
      <c r="H1597" s="342" t="s">
        <v>388</v>
      </c>
      <c r="I1597" s="437"/>
      <c r="J1597" s="437"/>
      <c r="K1597" s="428"/>
      <c r="L1597" s="437"/>
      <c r="M1597" s="65">
        <v>116322500</v>
      </c>
      <c r="N1597" s="66" t="s">
        <v>8</v>
      </c>
      <c r="O1597" s="66" t="s">
        <v>272</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c r="AE1597" s="1136" t="str">
        <f t="shared" si="193"/>
        <v>x</v>
      </c>
    </row>
    <row r="1598" spans="1:31" ht="15.75" customHeight="1">
      <c r="A1598" s="334" t="str">
        <f>IF(B1598&lt;&gt;"",IF(AND(B1598='IN-TC'!$S$4,OR(TH!N1598="1111",TH!O1598="1111")),TH!D1598,""),"")</f>
        <v/>
      </c>
      <c r="B1598" s="63">
        <f t="shared" si="191"/>
        <v>2</v>
      </c>
      <c r="C1598" s="64">
        <f t="shared" si="192"/>
        <v>42429</v>
      </c>
      <c r="D1598" s="64" t="s">
        <v>2227</v>
      </c>
      <c r="E1598" s="64">
        <v>42429</v>
      </c>
      <c r="F1598" s="72" t="s">
        <v>945</v>
      </c>
      <c r="G1598" s="67" t="s">
        <v>338</v>
      </c>
      <c r="H1598" s="342" t="s">
        <v>391</v>
      </c>
      <c r="I1598" s="437"/>
      <c r="J1598" s="437"/>
      <c r="K1598" s="428"/>
      <c r="L1598" s="437"/>
      <c r="M1598" s="65">
        <v>231612500</v>
      </c>
      <c r="N1598" s="66" t="s">
        <v>8</v>
      </c>
      <c r="O1598" s="66" t="s">
        <v>272</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c r="AE1598" s="1136" t="str">
        <f t="shared" si="193"/>
        <v>x</v>
      </c>
    </row>
    <row r="1599" spans="1:31" ht="15.75" customHeight="1">
      <c r="A1599" s="334" t="str">
        <f>IF(B1599&lt;&gt;"",IF(AND(B1599='IN-TC'!$S$4,OR(TH!N1599="1111",TH!O1599="1111")),TH!D1599,""),"")</f>
        <v/>
      </c>
      <c r="B1599" s="63">
        <f t="shared" si="191"/>
        <v>2</v>
      </c>
      <c r="C1599" s="64">
        <f t="shared" si="192"/>
        <v>42429</v>
      </c>
      <c r="D1599" s="64" t="s">
        <v>2227</v>
      </c>
      <c r="E1599" s="64">
        <v>42429</v>
      </c>
      <c r="F1599" s="72" t="s">
        <v>945</v>
      </c>
      <c r="G1599" s="67" t="s">
        <v>338</v>
      </c>
      <c r="H1599" s="342" t="s">
        <v>393</v>
      </c>
      <c r="I1599" s="437"/>
      <c r="J1599" s="437"/>
      <c r="K1599" s="428"/>
      <c r="L1599" s="437"/>
      <c r="M1599" s="65">
        <v>121275000</v>
      </c>
      <c r="N1599" s="66" t="s">
        <v>8</v>
      </c>
      <c r="O1599" s="66" t="s">
        <v>272</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c r="AE1599" s="1136" t="str">
        <f t="shared" si="193"/>
        <v>x</v>
      </c>
    </row>
    <row r="1600" spans="1:31" ht="15.75" customHeight="1">
      <c r="A1600" s="334" t="str">
        <f>IF(B1600&lt;&gt;"",IF(AND(B1600='IN-TC'!$S$4,OR(TH!N1600="1111",TH!O1600="1111")),TH!D1600,""),"")</f>
        <v/>
      </c>
      <c r="B1600" s="63">
        <f t="shared" si="191"/>
        <v>2</v>
      </c>
      <c r="C1600" s="64">
        <f t="shared" si="192"/>
        <v>42429</v>
      </c>
      <c r="D1600" s="64" t="s">
        <v>2227</v>
      </c>
      <c r="E1600" s="64">
        <v>42429</v>
      </c>
      <c r="F1600" s="72" t="s">
        <v>945</v>
      </c>
      <c r="G1600" s="67" t="s">
        <v>338</v>
      </c>
      <c r="H1600" s="342" t="s">
        <v>385</v>
      </c>
      <c r="I1600" s="439"/>
      <c r="J1600" s="439"/>
      <c r="K1600" s="430"/>
      <c r="L1600" s="439"/>
      <c r="M1600" s="65">
        <v>338835000</v>
      </c>
      <c r="N1600" s="66" t="s">
        <v>8</v>
      </c>
      <c r="O1600" s="66" t="s">
        <v>272</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c r="AE1600" s="1136" t="str">
        <f t="shared" si="193"/>
        <v>x</v>
      </c>
    </row>
    <row r="1601" spans="1:31" ht="15.75" customHeight="1">
      <c r="A1601" s="334" t="str">
        <f>IF(B1601&lt;&gt;"",IF(AND(B1601='IN-TC'!$S$4,OR(TH!N1601="1111",TH!O1601="1111")),TH!D1601,""),"")</f>
        <v/>
      </c>
      <c r="B1601" s="63">
        <f t="shared" si="191"/>
        <v>2</v>
      </c>
      <c r="C1601" s="64">
        <f t="shared" si="192"/>
        <v>42429</v>
      </c>
      <c r="D1601" s="64" t="s">
        <v>2227</v>
      </c>
      <c r="E1601" s="64">
        <v>42429</v>
      </c>
      <c r="F1601" s="72" t="s">
        <v>945</v>
      </c>
      <c r="G1601" s="67" t="s">
        <v>338</v>
      </c>
      <c r="H1601" s="342" t="s">
        <v>378</v>
      </c>
      <c r="I1601" s="437"/>
      <c r="J1601" s="437"/>
      <c r="K1601" s="428"/>
      <c r="L1601" s="437"/>
      <c r="M1601" s="65">
        <v>232575000</v>
      </c>
      <c r="N1601" s="66" t="s">
        <v>8</v>
      </c>
      <c r="O1601" s="66" t="s">
        <v>272</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E1601" s="1136" t="str">
        <f t="shared" si="193"/>
        <v>x</v>
      </c>
    </row>
    <row r="1602" spans="1:31" ht="15.75" customHeight="1">
      <c r="A1602" s="334" t="str">
        <f>IF(B1602&lt;&gt;"",IF(AND(B1602='IN-TC'!$S$4,OR(TH!N1602="1111",TH!O1602="1111")),TH!D1602,""),"")</f>
        <v/>
      </c>
      <c r="B1602" s="63">
        <f t="shared" si="191"/>
        <v>2</v>
      </c>
      <c r="C1602" s="64">
        <f t="shared" si="192"/>
        <v>42429</v>
      </c>
      <c r="D1602" s="64" t="s">
        <v>2227</v>
      </c>
      <c r="E1602" s="64">
        <v>42429</v>
      </c>
      <c r="F1602" s="72" t="s">
        <v>945</v>
      </c>
      <c r="G1602" s="67" t="s">
        <v>338</v>
      </c>
      <c r="H1602" s="342" t="s">
        <v>395</v>
      </c>
      <c r="I1602" s="437"/>
      <c r="J1602" s="437"/>
      <c r="K1602" s="428"/>
      <c r="L1602" s="437"/>
      <c r="M1602" s="65">
        <v>105787500</v>
      </c>
      <c r="N1602" s="66" t="s">
        <v>8</v>
      </c>
      <c r="O1602" s="66" t="s">
        <v>272</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c r="AE1602" s="1136" t="str">
        <f t="shared" si="193"/>
        <v>x</v>
      </c>
    </row>
    <row r="1603" spans="1:31" ht="15.75" customHeight="1">
      <c r="A1603" s="334" t="str">
        <f>IF(B1603&lt;&gt;"",IF(AND(B1603='IN-TC'!$S$4,OR(TH!N1603="1111",TH!O1603="1111")),TH!D1603,""),"")</f>
        <v/>
      </c>
      <c r="B1603" s="63">
        <f t="shared" si="191"/>
        <v>3</v>
      </c>
      <c r="C1603" s="64">
        <f t="shared" si="192"/>
        <v>42460</v>
      </c>
      <c r="D1603" s="64" t="s">
        <v>2228</v>
      </c>
      <c r="E1603" s="64">
        <v>42460</v>
      </c>
      <c r="F1603" s="72" t="s">
        <v>945</v>
      </c>
      <c r="G1603" s="67" t="s">
        <v>338</v>
      </c>
      <c r="H1603" s="342" t="s">
        <v>383</v>
      </c>
      <c r="I1603" s="437"/>
      <c r="J1603" s="437"/>
      <c r="K1603" s="428"/>
      <c r="L1603" s="437"/>
      <c r="M1603" s="65">
        <v>218592500</v>
      </c>
      <c r="N1603" s="66" t="s">
        <v>8</v>
      </c>
      <c r="O1603" s="66" t="s">
        <v>272</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E1603" s="1136" t="str">
        <f t="shared" si="193"/>
        <v>x</v>
      </c>
    </row>
    <row r="1604" spans="1:31" ht="15.75" customHeight="1">
      <c r="A1604" s="334" t="str">
        <f>IF(B1604&lt;&gt;"",IF(AND(B1604='IN-TC'!$S$4,OR(TH!N1604="1111",TH!O1604="1111")),TH!D1604,""),"")</f>
        <v/>
      </c>
      <c r="B1604" s="63">
        <f t="shared" si="191"/>
        <v>3</v>
      </c>
      <c r="C1604" s="64">
        <f t="shared" si="192"/>
        <v>42460</v>
      </c>
      <c r="D1604" s="64" t="s">
        <v>2228</v>
      </c>
      <c r="E1604" s="64">
        <v>42460</v>
      </c>
      <c r="F1604" s="72" t="s">
        <v>945</v>
      </c>
      <c r="G1604" s="67" t="s">
        <v>338</v>
      </c>
      <c r="H1604" s="342" t="s">
        <v>388</v>
      </c>
      <c r="I1604" s="437"/>
      <c r="J1604" s="437"/>
      <c r="K1604" s="428"/>
      <c r="L1604" s="437"/>
      <c r="M1604" s="65">
        <v>116322500</v>
      </c>
      <c r="N1604" s="66" t="s">
        <v>8</v>
      </c>
      <c r="O1604" s="66" t="s">
        <v>272</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c r="AE1604" s="1136" t="str">
        <f t="shared" si="193"/>
        <v>x</v>
      </c>
    </row>
    <row r="1605" spans="1:31" ht="15.75" customHeight="1">
      <c r="A1605" s="334" t="str">
        <f>IF(B1605&lt;&gt;"",IF(AND(B1605='IN-TC'!$S$4,OR(TH!N1605="1111",TH!O1605="1111")),TH!D1605,""),"")</f>
        <v/>
      </c>
      <c r="B1605" s="63">
        <f t="shared" si="191"/>
        <v>3</v>
      </c>
      <c r="C1605" s="64">
        <f t="shared" si="192"/>
        <v>42460</v>
      </c>
      <c r="D1605" s="64" t="s">
        <v>2228</v>
      </c>
      <c r="E1605" s="64">
        <v>42460</v>
      </c>
      <c r="F1605" s="72" t="s">
        <v>945</v>
      </c>
      <c r="G1605" s="67" t="s">
        <v>338</v>
      </c>
      <c r="H1605" s="342" t="s">
        <v>361</v>
      </c>
      <c r="I1605" s="439"/>
      <c r="J1605" s="439"/>
      <c r="K1605" s="430"/>
      <c r="L1605" s="439"/>
      <c r="M1605" s="65">
        <v>150220000</v>
      </c>
      <c r="N1605" s="66" t="s">
        <v>8</v>
      </c>
      <c r="O1605" s="66" t="s">
        <v>272</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c r="AE1605" s="1136" t="str">
        <f t="shared" si="193"/>
        <v>x</v>
      </c>
    </row>
    <row r="1606" spans="1:31" ht="15.75" customHeight="1">
      <c r="A1606" s="334" t="str">
        <f>IF(B1606&lt;&gt;"",IF(AND(B1606='IN-TC'!$S$4,OR(TH!N1606="1111",TH!O1606="1111")),TH!D1606,""),"")</f>
        <v/>
      </c>
      <c r="B1606" s="63">
        <f t="shared" si="191"/>
        <v>3</v>
      </c>
      <c r="C1606" s="64">
        <f t="shared" si="192"/>
        <v>42460</v>
      </c>
      <c r="D1606" s="64" t="s">
        <v>2228</v>
      </c>
      <c r="E1606" s="64">
        <v>42460</v>
      </c>
      <c r="F1606" s="72" t="s">
        <v>945</v>
      </c>
      <c r="G1606" s="67" t="s">
        <v>338</v>
      </c>
      <c r="H1606" s="342" t="s">
        <v>346</v>
      </c>
      <c r="I1606" s="437"/>
      <c r="J1606" s="437"/>
      <c r="K1606" s="428"/>
      <c r="L1606" s="437"/>
      <c r="M1606" s="65">
        <v>73630000</v>
      </c>
      <c r="N1606" s="66" t="s">
        <v>8</v>
      </c>
      <c r="O1606" s="66" t="s">
        <v>272</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c r="AE1606" s="1136" t="str">
        <f t="shared" si="193"/>
        <v>x</v>
      </c>
    </row>
    <row r="1607" spans="1:31" ht="15.75" customHeight="1">
      <c r="A1607" s="334" t="str">
        <f>IF(B1607&lt;&gt;"",IF(AND(B1607='IN-TC'!$S$4,OR(TH!N1607="1111",TH!O1607="1111")),TH!D1607,""),"")</f>
        <v/>
      </c>
      <c r="B1607" s="63">
        <f t="shared" si="191"/>
        <v>3</v>
      </c>
      <c r="C1607" s="64">
        <f t="shared" si="192"/>
        <v>42460</v>
      </c>
      <c r="D1607" s="64" t="s">
        <v>2228</v>
      </c>
      <c r="E1607" s="64">
        <v>42460</v>
      </c>
      <c r="F1607" s="72" t="s">
        <v>945</v>
      </c>
      <c r="G1607" s="67" t="s">
        <v>338</v>
      </c>
      <c r="H1607" s="342" t="s">
        <v>364</v>
      </c>
      <c r="I1607" s="437"/>
      <c r="J1607" s="437"/>
      <c r="K1607" s="428"/>
      <c r="L1607" s="437"/>
      <c r="M1607" s="65">
        <v>153809000</v>
      </c>
      <c r="N1607" s="66" t="s">
        <v>8</v>
      </c>
      <c r="O1607" s="66" t="s">
        <v>272</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c r="AE1607" s="1136" t="str">
        <f t="shared" si="193"/>
        <v>x</v>
      </c>
    </row>
    <row r="1608" spans="1:31" ht="15.75" customHeight="1">
      <c r="A1608" s="334" t="str">
        <f>IF(B1608&lt;&gt;"",IF(AND(B1608='IN-TC'!$S$4,OR(TH!N1608="1111",TH!O1608="1111")),TH!D1608,""),"")</f>
        <v/>
      </c>
      <c r="B1608" s="63">
        <f t="shared" si="191"/>
        <v>3</v>
      </c>
      <c r="C1608" s="64">
        <f t="shared" si="192"/>
        <v>42460</v>
      </c>
      <c r="D1608" s="64" t="s">
        <v>2228</v>
      </c>
      <c r="E1608" s="64">
        <v>42460</v>
      </c>
      <c r="F1608" s="72" t="s">
        <v>945</v>
      </c>
      <c r="G1608" s="67" t="s">
        <v>338</v>
      </c>
      <c r="H1608" s="342" t="s">
        <v>391</v>
      </c>
      <c r="I1608" s="437"/>
      <c r="J1608" s="437"/>
      <c r="K1608" s="428"/>
      <c r="L1608" s="437"/>
      <c r="M1608" s="65">
        <v>231612500</v>
      </c>
      <c r="N1608" s="66" t="s">
        <v>8</v>
      </c>
      <c r="O1608" s="66" t="s">
        <v>272</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c r="AE1608" s="1136" t="str">
        <f t="shared" si="193"/>
        <v>x</v>
      </c>
    </row>
    <row r="1609" spans="1:31" ht="15.75" customHeight="1">
      <c r="A1609" s="334" t="str">
        <f>IF(B1609&lt;&gt;"",IF(AND(B1609='IN-TC'!$S$4,OR(TH!N1609="1111",TH!O1609="1111")),TH!D1609,""),"")</f>
        <v/>
      </c>
      <c r="B1609" s="63">
        <f t="shared" si="191"/>
        <v>3</v>
      </c>
      <c r="C1609" s="64">
        <f t="shared" si="192"/>
        <v>42460</v>
      </c>
      <c r="D1609" s="64" t="s">
        <v>2228</v>
      </c>
      <c r="E1609" s="64">
        <v>42460</v>
      </c>
      <c r="F1609" s="72" t="s">
        <v>945</v>
      </c>
      <c r="G1609" s="67" t="s">
        <v>338</v>
      </c>
      <c r="H1609" s="342" t="s">
        <v>349</v>
      </c>
      <c r="I1609" s="437"/>
      <c r="J1609" s="437"/>
      <c r="K1609" s="428"/>
      <c r="L1609" s="437"/>
      <c r="M1609" s="65">
        <v>138454000</v>
      </c>
      <c r="N1609" s="66" t="s">
        <v>8</v>
      </c>
      <c r="O1609" s="66" t="s">
        <v>272</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c r="AE1609" s="1136" t="str">
        <f t="shared" si="193"/>
        <v>x</v>
      </c>
    </row>
    <row r="1610" spans="1:31" ht="15.75" customHeight="1">
      <c r="A1610" s="334" t="str">
        <f>IF(B1610&lt;&gt;"",IF(AND(B1610='IN-TC'!$S$4,OR(TH!N1610="1111",TH!O1610="1111")),TH!D1610,""),"")</f>
        <v/>
      </c>
      <c r="B1610" s="63">
        <f t="shared" si="191"/>
        <v>3</v>
      </c>
      <c r="C1610" s="64">
        <f t="shared" si="192"/>
        <v>42460</v>
      </c>
      <c r="D1610" s="64" t="s">
        <v>2228</v>
      </c>
      <c r="E1610" s="64">
        <v>42460</v>
      </c>
      <c r="F1610" s="72" t="s">
        <v>945</v>
      </c>
      <c r="G1610" s="67" t="s">
        <v>338</v>
      </c>
      <c r="H1610" s="342" t="s">
        <v>367</v>
      </c>
      <c r="I1610" s="439"/>
      <c r="J1610" s="439"/>
      <c r="K1610" s="430"/>
      <c r="L1610" s="439"/>
      <c r="M1610" s="65">
        <v>75887000</v>
      </c>
      <c r="N1610" s="66" t="s">
        <v>8</v>
      </c>
      <c r="O1610" s="66" t="s">
        <v>272</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c r="AE1610" s="1136" t="str">
        <f t="shared" si="193"/>
        <v>x</v>
      </c>
    </row>
    <row r="1611" spans="1:31" ht="15.75" customHeight="1">
      <c r="A1611" s="334" t="str">
        <f>IF(B1611&lt;&gt;"",IF(AND(B1611='IN-TC'!$S$4,OR(TH!N1611="1111",TH!O1611="1111")),TH!D1611,""),"")</f>
        <v/>
      </c>
      <c r="B1611" s="63">
        <f t="shared" si="191"/>
        <v>3</v>
      </c>
      <c r="C1611" s="64">
        <f t="shared" si="192"/>
        <v>42460</v>
      </c>
      <c r="D1611" s="64" t="s">
        <v>2228</v>
      </c>
      <c r="E1611" s="64">
        <v>42460</v>
      </c>
      <c r="F1611" s="72" t="s">
        <v>945</v>
      </c>
      <c r="G1611" s="67" t="s">
        <v>338</v>
      </c>
      <c r="H1611" s="342" t="s">
        <v>393</v>
      </c>
      <c r="I1611" s="437"/>
      <c r="J1611" s="437"/>
      <c r="K1611" s="428"/>
      <c r="L1611" s="437"/>
      <c r="M1611" s="65">
        <v>121275000</v>
      </c>
      <c r="N1611" s="66" t="s">
        <v>8</v>
      </c>
      <c r="O1611" s="66" t="s">
        <v>272</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c r="AE1611" s="1136" t="str">
        <f t="shared" si="193"/>
        <v>x</v>
      </c>
    </row>
    <row r="1612" spans="1:31" ht="15.75" customHeight="1">
      <c r="A1612" s="334" t="str">
        <f>IF(B1612&lt;&gt;"",IF(AND(B1612='IN-TC'!$S$4,OR(TH!N1612="1111",TH!O1612="1111")),TH!D1612,""),"")</f>
        <v/>
      </c>
      <c r="B1612" s="63">
        <f t="shared" si="191"/>
        <v>3</v>
      </c>
      <c r="C1612" s="64">
        <f t="shared" si="192"/>
        <v>42460</v>
      </c>
      <c r="D1612" s="64" t="s">
        <v>2228</v>
      </c>
      <c r="E1612" s="64">
        <v>42460</v>
      </c>
      <c r="F1612" s="72" t="s">
        <v>945</v>
      </c>
      <c r="G1612" s="67" t="s">
        <v>338</v>
      </c>
      <c r="H1612" s="342" t="s">
        <v>385</v>
      </c>
      <c r="I1612" s="437"/>
      <c r="J1612" s="437"/>
      <c r="K1612" s="428"/>
      <c r="L1612" s="437"/>
      <c r="M1612" s="65">
        <v>338835000</v>
      </c>
      <c r="N1612" s="66" t="s">
        <v>8</v>
      </c>
      <c r="O1612" s="66" t="s">
        <v>272</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c r="AE1612" s="1136" t="str">
        <f t="shared" si="193"/>
        <v>x</v>
      </c>
    </row>
    <row r="1613" spans="1:31" ht="15.75" customHeight="1">
      <c r="A1613" s="334" t="str">
        <f>IF(B1613&lt;&gt;"",IF(AND(B1613='IN-TC'!$S$4,OR(TH!N1613="1111",TH!O1613="1111")),TH!D1613,""),"")</f>
        <v/>
      </c>
      <c r="B1613" s="63">
        <f t="shared" si="191"/>
        <v>3</v>
      </c>
      <c r="C1613" s="64">
        <f t="shared" si="192"/>
        <v>42460</v>
      </c>
      <c r="D1613" s="64" t="s">
        <v>2228</v>
      </c>
      <c r="E1613" s="64">
        <v>42460</v>
      </c>
      <c r="F1613" s="72" t="s">
        <v>945</v>
      </c>
      <c r="G1613" s="67" t="s">
        <v>338</v>
      </c>
      <c r="H1613" s="342" t="s">
        <v>378</v>
      </c>
      <c r="I1613" s="437"/>
      <c r="J1613" s="437"/>
      <c r="K1613" s="428"/>
      <c r="L1613" s="437"/>
      <c r="M1613" s="65">
        <v>232575000</v>
      </c>
      <c r="N1613" s="66" t="s">
        <v>8</v>
      </c>
      <c r="O1613" s="66" t="s">
        <v>272</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c r="AE1613" s="1136" t="str">
        <f t="shared" si="193"/>
        <v>x</v>
      </c>
    </row>
    <row r="1614" spans="1:31" ht="15.75" customHeight="1">
      <c r="A1614" s="334" t="str">
        <f>IF(B1614&lt;&gt;"",IF(AND(B1614='IN-TC'!$S$4,OR(TH!N1614="1111",TH!O1614="1111")),TH!D1614,""),"")</f>
        <v/>
      </c>
      <c r="B1614" s="63">
        <f t="shared" si="191"/>
        <v>3</v>
      </c>
      <c r="C1614" s="64">
        <f t="shared" ref="C1614:C1645" si="194">E1614</f>
        <v>42460</v>
      </c>
      <c r="D1614" s="64" t="s">
        <v>2228</v>
      </c>
      <c r="E1614" s="64">
        <v>42460</v>
      </c>
      <c r="F1614" s="72" t="s">
        <v>945</v>
      </c>
      <c r="G1614" s="67" t="s">
        <v>338</v>
      </c>
      <c r="H1614" s="342" t="s">
        <v>395</v>
      </c>
      <c r="I1614" s="437"/>
      <c r="J1614" s="437"/>
      <c r="K1614" s="428"/>
      <c r="L1614" s="437"/>
      <c r="M1614" s="65">
        <v>105787500</v>
      </c>
      <c r="N1614" s="66" t="s">
        <v>8</v>
      </c>
      <c r="O1614" s="66" t="s">
        <v>272</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c r="AE1614" s="1136" t="str">
        <f t="shared" ref="AE1614:AE1645" si="195">IF(H1614&lt;&gt;VLOOKUP(H1614,DSKH,1,0),"","x")</f>
        <v>x</v>
      </c>
    </row>
    <row r="1615" spans="1:31" ht="15.75" customHeight="1">
      <c r="A1615" s="334" t="str">
        <f>IF(B1615&lt;&gt;"",IF(AND(B1615='IN-TC'!$S$4,OR(TH!N1615="1111",TH!O1615="1111")),TH!D1615,""),"")</f>
        <v/>
      </c>
      <c r="B1615" s="63">
        <f t="shared" si="191"/>
        <v>4</v>
      </c>
      <c r="C1615" s="64">
        <f t="shared" si="194"/>
        <v>42490</v>
      </c>
      <c r="D1615" s="64" t="s">
        <v>2229</v>
      </c>
      <c r="E1615" s="64">
        <v>42490</v>
      </c>
      <c r="F1615" s="72" t="s">
        <v>945</v>
      </c>
      <c r="G1615" s="67" t="s">
        <v>344</v>
      </c>
      <c r="H1615" s="342" t="s">
        <v>439</v>
      </c>
      <c r="I1615" s="439"/>
      <c r="J1615" s="439"/>
      <c r="K1615" s="430"/>
      <c r="L1615" s="439"/>
      <c r="M1615" s="65">
        <v>132323500</v>
      </c>
      <c r="N1615" s="66" t="s">
        <v>8</v>
      </c>
      <c r="O1615" s="66" t="s">
        <v>272</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c r="AE1615" s="1136" t="str">
        <f t="shared" si="195"/>
        <v>x</v>
      </c>
    </row>
    <row r="1616" spans="1:31" ht="15.75" customHeight="1">
      <c r="A1616" s="334" t="str">
        <f>IF(B1616&lt;&gt;"",IF(AND(B1616='IN-TC'!$S$4,OR(TH!N1616="1111",TH!O1616="1111")),TH!D1616,""),"")</f>
        <v/>
      </c>
      <c r="B1616" s="63">
        <f t="shared" si="191"/>
        <v>4</v>
      </c>
      <c r="C1616" s="64">
        <f t="shared" si="194"/>
        <v>42490</v>
      </c>
      <c r="D1616" s="64" t="s">
        <v>2229</v>
      </c>
      <c r="E1616" s="64">
        <v>42490</v>
      </c>
      <c r="F1616" s="72" t="s">
        <v>945</v>
      </c>
      <c r="G1616" s="67" t="s">
        <v>344</v>
      </c>
      <c r="H1616" s="342" t="s">
        <v>430</v>
      </c>
      <c r="I1616" s="437"/>
      <c r="J1616" s="437"/>
      <c r="K1616" s="428"/>
      <c r="L1616" s="437"/>
      <c r="M1616" s="65">
        <v>291555000</v>
      </c>
      <c r="N1616" s="66" t="s">
        <v>8</v>
      </c>
      <c r="O1616" s="66" t="s">
        <v>272</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c r="AE1616" s="1136" t="str">
        <f t="shared" si="195"/>
        <v>x</v>
      </c>
    </row>
    <row r="1617" spans="1:31" ht="15.75" customHeight="1">
      <c r="A1617" s="334" t="str">
        <f>IF(B1617&lt;&gt;"",IF(AND(B1617='IN-TC'!$S$4,OR(TH!N1617="1111",TH!O1617="1111")),TH!D1617,""),"")</f>
        <v/>
      </c>
      <c r="B1617" s="63">
        <f t="shared" si="191"/>
        <v>4</v>
      </c>
      <c r="C1617" s="64">
        <f t="shared" si="194"/>
        <v>42490</v>
      </c>
      <c r="D1617" s="64" t="s">
        <v>2229</v>
      </c>
      <c r="E1617" s="64">
        <v>42490</v>
      </c>
      <c r="F1617" s="72" t="s">
        <v>945</v>
      </c>
      <c r="G1617" s="67" t="s">
        <v>344</v>
      </c>
      <c r="H1617" s="342" t="s">
        <v>435</v>
      </c>
      <c r="I1617" s="437"/>
      <c r="J1617" s="437"/>
      <c r="K1617" s="428"/>
      <c r="L1617" s="437"/>
      <c r="M1617" s="65">
        <v>274567000</v>
      </c>
      <c r="N1617" s="66" t="s">
        <v>8</v>
      </c>
      <c r="O1617" s="66" t="s">
        <v>272</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c r="AE1617" s="1136" t="str">
        <f t="shared" si="195"/>
        <v>x</v>
      </c>
    </row>
    <row r="1618" spans="1:31" ht="15.75" customHeight="1">
      <c r="A1618" s="334" t="str">
        <f>IF(B1618&lt;&gt;"",IF(AND(B1618='IN-TC'!$S$4,OR(TH!N1618="1111",TH!O1618="1111")),TH!D1618,""),"")</f>
        <v/>
      </c>
      <c r="B1618" s="63">
        <f t="shared" si="191"/>
        <v>4</v>
      </c>
      <c r="C1618" s="64">
        <f t="shared" si="194"/>
        <v>42490</v>
      </c>
      <c r="D1618" s="64" t="s">
        <v>2229</v>
      </c>
      <c r="E1618" s="64">
        <v>42490</v>
      </c>
      <c r="F1618" s="72" t="s">
        <v>945</v>
      </c>
      <c r="G1618" s="67" t="s">
        <v>344</v>
      </c>
      <c r="H1618" s="342" t="s">
        <v>428</v>
      </c>
      <c r="I1618" s="439"/>
      <c r="J1618" s="439"/>
      <c r="K1618" s="430"/>
      <c r="L1618" s="439"/>
      <c r="M1618" s="65">
        <v>135764500</v>
      </c>
      <c r="N1618" s="66" t="s">
        <v>8</v>
      </c>
      <c r="O1618" s="66" t="s">
        <v>272</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c r="AE1618" s="1136" t="str">
        <f t="shared" si="195"/>
        <v>x</v>
      </c>
    </row>
    <row r="1619" spans="1:31" ht="15.75" customHeight="1">
      <c r="A1619" s="334" t="str">
        <f>IF(B1619&lt;&gt;"",IF(AND(B1619='IN-TC'!$S$4,OR(TH!N1619="1111",TH!O1619="1111")),TH!D1619,""),"")</f>
        <v/>
      </c>
      <c r="B1619" s="63">
        <f t="shared" si="191"/>
        <v>4</v>
      </c>
      <c r="C1619" s="64">
        <f t="shared" si="194"/>
        <v>42490</v>
      </c>
      <c r="D1619" s="64" t="s">
        <v>2230</v>
      </c>
      <c r="E1619" s="64">
        <v>42490</v>
      </c>
      <c r="F1619" s="72" t="s">
        <v>945</v>
      </c>
      <c r="G1619" s="67" t="s">
        <v>338</v>
      </c>
      <c r="H1619" s="342" t="s">
        <v>361</v>
      </c>
      <c r="I1619" s="437"/>
      <c r="J1619" s="437"/>
      <c r="K1619" s="428"/>
      <c r="L1619" s="437"/>
      <c r="M1619" s="65">
        <v>168606000</v>
      </c>
      <c r="N1619" s="66" t="s">
        <v>8</v>
      </c>
      <c r="O1619" s="66" t="s">
        <v>272</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c r="AE1619" s="1136" t="str">
        <f t="shared" si="195"/>
        <v>x</v>
      </c>
    </row>
    <row r="1620" spans="1:31" ht="15.75" customHeight="1">
      <c r="A1620" s="334" t="str">
        <f>IF(B1620&lt;&gt;"",IF(AND(B1620='IN-TC'!$S$4,OR(TH!N1620="1111",TH!O1620="1111")),TH!D1620,""),"")</f>
        <v/>
      </c>
      <c r="B1620" s="63">
        <f t="shared" si="191"/>
        <v>4</v>
      </c>
      <c r="C1620" s="64">
        <f t="shared" si="194"/>
        <v>42490</v>
      </c>
      <c r="D1620" s="64" t="s">
        <v>2230</v>
      </c>
      <c r="E1620" s="64">
        <v>42490</v>
      </c>
      <c r="F1620" s="72" t="s">
        <v>945</v>
      </c>
      <c r="G1620" s="67" t="s">
        <v>338</v>
      </c>
      <c r="H1620" s="342" t="s">
        <v>346</v>
      </c>
      <c r="I1620" s="437"/>
      <c r="J1620" s="437"/>
      <c r="K1620" s="428"/>
      <c r="L1620" s="437"/>
      <c r="M1620" s="65">
        <v>75222000</v>
      </c>
      <c r="N1620" s="66" t="s">
        <v>8</v>
      </c>
      <c r="O1620" s="66" t="s">
        <v>272</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c r="AE1620" s="1136" t="str">
        <f t="shared" si="195"/>
        <v>x</v>
      </c>
    </row>
    <row r="1621" spans="1:31" ht="15.75" customHeight="1">
      <c r="A1621" s="334" t="str">
        <f>IF(B1621&lt;&gt;"",IF(AND(B1621='IN-TC'!$S$4,OR(TH!N1621="1111",TH!O1621="1111")),TH!D1621,""),"")</f>
        <v/>
      </c>
      <c r="B1621" s="63">
        <f t="shared" si="191"/>
        <v>4</v>
      </c>
      <c r="C1621" s="64">
        <f t="shared" si="194"/>
        <v>42490</v>
      </c>
      <c r="D1621" s="64" t="s">
        <v>2230</v>
      </c>
      <c r="E1621" s="64">
        <v>42490</v>
      </c>
      <c r="F1621" s="72" t="s">
        <v>945</v>
      </c>
      <c r="G1621" s="67" t="s">
        <v>338</v>
      </c>
      <c r="H1621" s="342" t="s">
        <v>364</v>
      </c>
      <c r="I1621" s="437"/>
      <c r="J1621" s="437"/>
      <c r="K1621" s="428"/>
      <c r="L1621" s="437"/>
      <c r="M1621" s="65">
        <v>157788000</v>
      </c>
      <c r="N1621" s="66" t="s">
        <v>8</v>
      </c>
      <c r="O1621" s="66" t="s">
        <v>272</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c r="AE1621" s="1136" t="str">
        <f t="shared" si="195"/>
        <v>x</v>
      </c>
    </row>
    <row r="1622" spans="1:31" ht="15.75" customHeight="1">
      <c r="A1622" s="334" t="str">
        <f>IF(B1622&lt;&gt;"",IF(AND(B1622='IN-TC'!$S$4,OR(TH!N1622="1111",TH!O1622="1111")),TH!D1622,""),"")</f>
        <v/>
      </c>
      <c r="B1622" s="63">
        <f t="shared" si="191"/>
        <v>4</v>
      </c>
      <c r="C1622" s="64">
        <f t="shared" si="194"/>
        <v>42490</v>
      </c>
      <c r="D1622" s="64" t="s">
        <v>2230</v>
      </c>
      <c r="E1622" s="64">
        <v>42490</v>
      </c>
      <c r="F1622" s="72" t="s">
        <v>945</v>
      </c>
      <c r="G1622" s="67" t="s">
        <v>338</v>
      </c>
      <c r="H1622" s="342" t="s">
        <v>349</v>
      </c>
      <c r="I1622" s="437"/>
      <c r="J1622" s="437"/>
      <c r="K1622" s="428"/>
      <c r="L1622" s="437"/>
      <c r="M1622" s="65">
        <v>256776000</v>
      </c>
      <c r="N1622" s="66" t="s">
        <v>8</v>
      </c>
      <c r="O1622" s="66" t="s">
        <v>272</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c r="AE1622" s="1136" t="str">
        <f t="shared" si="195"/>
        <v>x</v>
      </c>
    </row>
    <row r="1623" spans="1:31" ht="15.75" customHeight="1">
      <c r="A1623" s="334" t="str">
        <f>IF(B1623&lt;&gt;"",IF(AND(B1623='IN-TC'!$S$4,OR(TH!N1623="1111",TH!O1623="1111")),TH!D1623,""),"")</f>
        <v/>
      </c>
      <c r="B1623" s="63">
        <f t="shared" si="191"/>
        <v>4</v>
      </c>
      <c r="C1623" s="64">
        <f t="shared" si="194"/>
        <v>42490</v>
      </c>
      <c r="D1623" s="64" t="s">
        <v>2230</v>
      </c>
      <c r="E1623" s="64">
        <v>42490</v>
      </c>
      <c r="F1623" s="72" t="s">
        <v>945</v>
      </c>
      <c r="G1623" s="67" t="s">
        <v>338</v>
      </c>
      <c r="H1623" s="342" t="s">
        <v>367</v>
      </c>
      <c r="I1623" s="439"/>
      <c r="J1623" s="439"/>
      <c r="K1623" s="430"/>
      <c r="L1623" s="439"/>
      <c r="M1623" s="65">
        <v>73908000</v>
      </c>
      <c r="N1623" s="66" t="s">
        <v>8</v>
      </c>
      <c r="O1623" s="66" t="s">
        <v>272</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c r="AE1623" s="1136" t="str">
        <f t="shared" si="195"/>
        <v>x</v>
      </c>
    </row>
    <row r="1624" spans="1:31" ht="15.75" customHeight="1">
      <c r="A1624" s="334" t="str">
        <f>IF(B1624&lt;&gt;"",IF(AND(B1624='IN-TC'!$S$4,OR(TH!N1624="1111",TH!O1624="1111")),TH!D1624,""),"")</f>
        <v/>
      </c>
      <c r="B1624" s="63">
        <f t="shared" si="191"/>
        <v>5</v>
      </c>
      <c r="C1624" s="64">
        <f t="shared" si="194"/>
        <v>42521</v>
      </c>
      <c r="D1624" s="64" t="s">
        <v>2231</v>
      </c>
      <c r="E1624" s="64">
        <v>42521</v>
      </c>
      <c r="F1624" s="72" t="s">
        <v>945</v>
      </c>
      <c r="G1624" s="67" t="s">
        <v>344</v>
      </c>
      <c r="H1624" s="342" t="s">
        <v>434</v>
      </c>
      <c r="I1624" s="437"/>
      <c r="J1624" s="437"/>
      <c r="K1624" s="428"/>
      <c r="L1624" s="437"/>
      <c r="M1624" s="65">
        <v>106249000</v>
      </c>
      <c r="N1624" s="66" t="s">
        <v>8</v>
      </c>
      <c r="O1624" s="66" t="s">
        <v>272</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c r="AE1624" s="1136" t="str">
        <f t="shared" si="195"/>
        <v>x</v>
      </c>
    </row>
    <row r="1625" spans="1:31" ht="15.75" customHeight="1">
      <c r="A1625" s="334" t="str">
        <f>IF(B1625&lt;&gt;"",IF(AND(B1625='IN-TC'!$S$4,OR(TH!N1625="1111",TH!O1625="1111")),TH!D1625,""),"")</f>
        <v/>
      </c>
      <c r="B1625" s="63">
        <f t="shared" si="191"/>
        <v>5</v>
      </c>
      <c r="C1625" s="64">
        <f t="shared" si="194"/>
        <v>42521</v>
      </c>
      <c r="D1625" s="64" t="s">
        <v>2231</v>
      </c>
      <c r="E1625" s="64">
        <v>42521</v>
      </c>
      <c r="F1625" s="72" t="s">
        <v>945</v>
      </c>
      <c r="G1625" s="67" t="s">
        <v>344</v>
      </c>
      <c r="H1625" s="342" t="s">
        <v>439</v>
      </c>
      <c r="I1625" s="437"/>
      <c r="J1625" s="437"/>
      <c r="K1625" s="428"/>
      <c r="L1625" s="437"/>
      <c r="M1625" s="65">
        <v>403560500</v>
      </c>
      <c r="N1625" s="66" t="s">
        <v>8</v>
      </c>
      <c r="O1625" s="66" t="s">
        <v>272</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c r="AE1625" s="1136" t="str">
        <f t="shared" si="195"/>
        <v>x</v>
      </c>
    </row>
    <row r="1626" spans="1:31" ht="15.75" customHeight="1">
      <c r="A1626" s="334" t="str">
        <f>IF(B1626&lt;&gt;"",IF(AND(B1626='IN-TC'!$S$4,OR(TH!N1626="1111",TH!O1626="1111")),TH!D1626,""),"")</f>
        <v/>
      </c>
      <c r="B1626" s="63">
        <f t="shared" si="191"/>
        <v>5</v>
      </c>
      <c r="C1626" s="64">
        <f t="shared" si="194"/>
        <v>42521</v>
      </c>
      <c r="D1626" s="64" t="s">
        <v>2231</v>
      </c>
      <c r="E1626" s="64">
        <v>42521</v>
      </c>
      <c r="F1626" s="72" t="s">
        <v>945</v>
      </c>
      <c r="G1626" s="67" t="s">
        <v>344</v>
      </c>
      <c r="H1626" s="342" t="s">
        <v>430</v>
      </c>
      <c r="I1626" s="437"/>
      <c r="J1626" s="437"/>
      <c r="K1626" s="428"/>
      <c r="L1626" s="437"/>
      <c r="M1626" s="65">
        <v>210896400</v>
      </c>
      <c r="N1626" s="66" t="s">
        <v>8</v>
      </c>
      <c r="O1626" s="66" t="s">
        <v>272</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c r="AE1626" s="1136" t="str">
        <f t="shared" si="195"/>
        <v>x</v>
      </c>
    </row>
    <row r="1627" spans="1:31" ht="15.75" customHeight="1">
      <c r="A1627" s="334" t="str">
        <f>IF(B1627&lt;&gt;"",IF(AND(B1627='IN-TC'!$S$4,OR(TH!N1627="1111",TH!O1627="1111")),TH!D1627,""),"")</f>
        <v/>
      </c>
      <c r="B1627" s="63">
        <f t="shared" si="191"/>
        <v>5</v>
      </c>
      <c r="C1627" s="64">
        <f t="shared" si="194"/>
        <v>42521</v>
      </c>
      <c r="D1627" s="64" t="s">
        <v>2231</v>
      </c>
      <c r="E1627" s="64">
        <v>42521</v>
      </c>
      <c r="F1627" s="72" t="s">
        <v>945</v>
      </c>
      <c r="G1627" s="67" t="s">
        <v>344</v>
      </c>
      <c r="H1627" s="342" t="s">
        <v>435</v>
      </c>
      <c r="I1627" s="437"/>
      <c r="J1627" s="437"/>
      <c r="K1627" s="428"/>
      <c r="L1627" s="437"/>
      <c r="M1627" s="65">
        <v>422620700</v>
      </c>
      <c r="N1627" s="66" t="s">
        <v>8</v>
      </c>
      <c r="O1627" s="66" t="s">
        <v>272</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c r="AE1627" s="1136" t="str">
        <f t="shared" si="195"/>
        <v>x</v>
      </c>
    </row>
    <row r="1628" spans="1:31" ht="15.75" customHeight="1">
      <c r="A1628" s="334" t="str">
        <f>IF(B1628&lt;&gt;"",IF(AND(B1628='IN-TC'!$S$4,OR(TH!N1628="1111",TH!O1628="1111")),TH!D1628,""),"")</f>
        <v/>
      </c>
      <c r="B1628" s="63">
        <f t="shared" si="191"/>
        <v>5</v>
      </c>
      <c r="C1628" s="64">
        <f t="shared" si="194"/>
        <v>42521</v>
      </c>
      <c r="D1628" s="64" t="s">
        <v>2231</v>
      </c>
      <c r="E1628" s="64">
        <v>42521</v>
      </c>
      <c r="F1628" s="72" t="s">
        <v>945</v>
      </c>
      <c r="G1628" s="67" t="s">
        <v>344</v>
      </c>
      <c r="H1628" s="342" t="s">
        <v>443</v>
      </c>
      <c r="I1628" s="439"/>
      <c r="J1628" s="439"/>
      <c r="K1628" s="430"/>
      <c r="L1628" s="439"/>
      <c r="M1628" s="65">
        <v>320563100</v>
      </c>
      <c r="N1628" s="66" t="s">
        <v>8</v>
      </c>
      <c r="O1628" s="66" t="s">
        <v>272</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c r="AE1628" s="1136" t="str">
        <f t="shared" si="195"/>
        <v>x</v>
      </c>
    </row>
    <row r="1629" spans="1:31" ht="15.75" customHeight="1">
      <c r="A1629" s="334" t="str">
        <f>IF(B1629&lt;&gt;"",IF(AND(B1629='IN-TC'!$S$4,OR(TH!N1629="1111",TH!O1629="1111")),TH!D1629,""),"")</f>
        <v/>
      </c>
      <c r="B1629" s="63">
        <f t="shared" si="191"/>
        <v>5</v>
      </c>
      <c r="C1629" s="64">
        <f t="shared" si="194"/>
        <v>42521</v>
      </c>
      <c r="D1629" s="64" t="s">
        <v>2231</v>
      </c>
      <c r="E1629" s="64">
        <v>42521</v>
      </c>
      <c r="F1629" s="72" t="s">
        <v>945</v>
      </c>
      <c r="G1629" s="67" t="s">
        <v>344</v>
      </c>
      <c r="H1629" s="342" t="s">
        <v>425</v>
      </c>
      <c r="I1629" s="437"/>
      <c r="J1629" s="437"/>
      <c r="K1629" s="428"/>
      <c r="L1629" s="437"/>
      <c r="M1629" s="65">
        <v>107092700</v>
      </c>
      <c r="N1629" s="66" t="s">
        <v>8</v>
      </c>
      <c r="O1629" s="66" t="s">
        <v>272</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c r="AE1629" s="1136" t="str">
        <f t="shared" si="195"/>
        <v>x</v>
      </c>
    </row>
    <row r="1630" spans="1:31" ht="15.75" customHeight="1">
      <c r="A1630" s="334" t="str">
        <f>IF(B1630&lt;&gt;"",IF(AND(B1630='IN-TC'!$S$4,OR(TH!N1630="1111",TH!O1630="1111")),TH!D1630,""),"")</f>
        <v/>
      </c>
      <c r="B1630" s="63">
        <f t="shared" si="191"/>
        <v>5</v>
      </c>
      <c r="C1630" s="64">
        <f t="shared" si="194"/>
        <v>42521</v>
      </c>
      <c r="D1630" s="64" t="s">
        <v>2231</v>
      </c>
      <c r="E1630" s="64">
        <v>42521</v>
      </c>
      <c r="F1630" s="72" t="s">
        <v>945</v>
      </c>
      <c r="G1630" s="67" t="s">
        <v>344</v>
      </c>
      <c r="H1630" s="342" t="s">
        <v>428</v>
      </c>
      <c r="I1630" s="437"/>
      <c r="J1630" s="437"/>
      <c r="K1630" s="428"/>
      <c r="L1630" s="437"/>
      <c r="M1630" s="65">
        <v>203517600</v>
      </c>
      <c r="N1630" s="66" t="s">
        <v>8</v>
      </c>
      <c r="O1630" s="66" t="s">
        <v>272</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c r="AE1630" s="1136" t="str">
        <f t="shared" si="195"/>
        <v>x</v>
      </c>
    </row>
    <row r="1631" spans="1:31" ht="15.75" customHeight="1">
      <c r="A1631" s="334" t="str">
        <f>IF(B1631&lt;&gt;"",IF(AND(B1631='IN-TC'!$S$4,OR(TH!N1631="1111",TH!O1631="1111")),TH!D1631,""),"")</f>
        <v/>
      </c>
      <c r="B1631" s="63">
        <f t="shared" si="191"/>
        <v>5</v>
      </c>
      <c r="C1631" s="64">
        <f t="shared" si="194"/>
        <v>42521</v>
      </c>
      <c r="D1631" s="64" t="s">
        <v>2232</v>
      </c>
      <c r="E1631" s="64">
        <v>42521</v>
      </c>
      <c r="F1631" s="72" t="s">
        <v>945</v>
      </c>
      <c r="G1631" s="67" t="s">
        <v>338</v>
      </c>
      <c r="H1631" s="342" t="s">
        <v>361</v>
      </c>
      <c r="I1631" s="439"/>
      <c r="J1631" s="439"/>
      <c r="K1631" s="430"/>
      <c r="L1631" s="439"/>
      <c r="M1631" s="65">
        <v>171791000</v>
      </c>
      <c r="N1631" s="66" t="s">
        <v>8</v>
      </c>
      <c r="O1631" s="66" t="s">
        <v>272</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c r="AE1631" s="1136" t="str">
        <f t="shared" si="195"/>
        <v>x</v>
      </c>
    </row>
    <row r="1632" spans="1:31" ht="15.75" customHeight="1">
      <c r="A1632" s="334" t="str">
        <f>IF(B1632&lt;&gt;"",IF(AND(B1632='IN-TC'!$S$4,OR(TH!N1632="1111",TH!O1632="1111")),TH!D1632,""),"")</f>
        <v/>
      </c>
      <c r="B1632" s="63">
        <f t="shared" si="191"/>
        <v>5</v>
      </c>
      <c r="C1632" s="64">
        <f t="shared" si="194"/>
        <v>42521</v>
      </c>
      <c r="D1632" s="64" t="s">
        <v>2232</v>
      </c>
      <c r="E1632" s="64">
        <v>42521</v>
      </c>
      <c r="F1632" s="72" t="s">
        <v>945</v>
      </c>
      <c r="G1632" s="67" t="s">
        <v>338</v>
      </c>
      <c r="H1632" s="342" t="s">
        <v>346</v>
      </c>
      <c r="I1632" s="437"/>
      <c r="J1632" s="437"/>
      <c r="K1632" s="428"/>
      <c r="L1632" s="437"/>
      <c r="M1632" s="65">
        <v>326432500</v>
      </c>
      <c r="N1632" s="66" t="s">
        <v>8</v>
      </c>
      <c r="O1632" s="66" t="s">
        <v>272</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c r="AE1632" s="1136" t="str">
        <f t="shared" si="195"/>
        <v>x</v>
      </c>
    </row>
    <row r="1633" spans="1:31" ht="15.75" customHeight="1">
      <c r="A1633" s="334" t="str">
        <f>IF(B1633&lt;&gt;"",IF(AND(B1633='IN-TC'!$S$4,OR(TH!N1633="1111",TH!O1633="1111")),TH!D1633,""),"")</f>
        <v/>
      </c>
      <c r="B1633" s="63">
        <f t="shared" si="191"/>
        <v>5</v>
      </c>
      <c r="C1633" s="64">
        <f t="shared" si="194"/>
        <v>42521</v>
      </c>
      <c r="D1633" s="64" t="s">
        <v>2232</v>
      </c>
      <c r="E1633" s="64">
        <v>42521</v>
      </c>
      <c r="F1633" s="72" t="s">
        <v>945</v>
      </c>
      <c r="G1633" s="67" t="s">
        <v>338</v>
      </c>
      <c r="H1633" s="342" t="s">
        <v>364</v>
      </c>
      <c r="I1633" s="437"/>
      <c r="J1633" s="437"/>
      <c r="K1633" s="428"/>
      <c r="L1633" s="437"/>
      <c r="M1633" s="65">
        <v>175250500</v>
      </c>
      <c r="N1633" s="66" t="s">
        <v>8</v>
      </c>
      <c r="O1633" s="66" t="s">
        <v>272</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c r="AE1633" s="1136" t="str">
        <f t="shared" si="195"/>
        <v>x</v>
      </c>
    </row>
    <row r="1634" spans="1:31" ht="15.75" customHeight="1">
      <c r="A1634" s="334" t="str">
        <f>IF(B1634&lt;&gt;"",IF(AND(B1634='IN-TC'!$S$4,OR(TH!N1634="1111",TH!O1634="1111")),TH!D1634,""),"")</f>
        <v/>
      </c>
      <c r="B1634" s="63">
        <f t="shared" si="191"/>
        <v>5</v>
      </c>
      <c r="C1634" s="64">
        <f t="shared" si="194"/>
        <v>42521</v>
      </c>
      <c r="D1634" s="64" t="s">
        <v>2232</v>
      </c>
      <c r="E1634" s="64">
        <v>42521</v>
      </c>
      <c r="F1634" s="72" t="s">
        <v>945</v>
      </c>
      <c r="G1634" s="67" t="s">
        <v>338</v>
      </c>
      <c r="H1634" s="342" t="s">
        <v>349</v>
      </c>
      <c r="I1634" s="437"/>
      <c r="J1634" s="437"/>
      <c r="K1634" s="428"/>
      <c r="L1634" s="437"/>
      <c r="M1634" s="65">
        <v>193045000</v>
      </c>
      <c r="N1634" s="66" t="s">
        <v>8</v>
      </c>
      <c r="O1634" s="66" t="s">
        <v>272</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c r="AE1634" s="1136" t="str">
        <f t="shared" si="195"/>
        <v>x</v>
      </c>
    </row>
    <row r="1635" spans="1:31" ht="15.75" customHeight="1">
      <c r="A1635" s="334" t="str">
        <f>IF(B1635&lt;&gt;"",IF(AND(B1635='IN-TC'!$S$4,OR(TH!N1635="1111",TH!O1635="1111")),TH!D1635,""),"")</f>
        <v/>
      </c>
      <c r="B1635" s="63">
        <f t="shared" si="191"/>
        <v>5</v>
      </c>
      <c r="C1635" s="64">
        <f t="shared" si="194"/>
        <v>42521</v>
      </c>
      <c r="D1635" s="64" t="s">
        <v>2232</v>
      </c>
      <c r="E1635" s="64">
        <v>42521</v>
      </c>
      <c r="F1635" s="72" t="s">
        <v>945</v>
      </c>
      <c r="G1635" s="67" t="s">
        <v>338</v>
      </c>
      <c r="H1635" s="342" t="s">
        <v>367</v>
      </c>
      <c r="I1635" s="437"/>
      <c r="J1635" s="437"/>
      <c r="K1635" s="428"/>
      <c r="L1635" s="437"/>
      <c r="M1635" s="65">
        <v>246216500</v>
      </c>
      <c r="N1635" s="66" t="s">
        <v>8</v>
      </c>
      <c r="O1635" s="66" t="s">
        <v>272</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c r="AE1635" s="1136" t="str">
        <f t="shared" si="195"/>
        <v>x</v>
      </c>
    </row>
    <row r="1636" spans="1:31" ht="15.75" customHeight="1">
      <c r="A1636" s="334" t="str">
        <f>IF(B1636&lt;&gt;"",IF(AND(B1636='IN-TC'!$S$4,OR(TH!N1636="1111",TH!O1636="1111")),TH!D1636,""),"")</f>
        <v/>
      </c>
      <c r="B1636" s="63">
        <f t="shared" si="191"/>
        <v>6</v>
      </c>
      <c r="C1636" s="64">
        <f t="shared" si="194"/>
        <v>42551</v>
      </c>
      <c r="D1636" s="64" t="s">
        <v>2233</v>
      </c>
      <c r="E1636" s="64">
        <v>42551</v>
      </c>
      <c r="F1636" s="72" t="s">
        <v>945</v>
      </c>
      <c r="G1636" s="67" t="s">
        <v>344</v>
      </c>
      <c r="H1636" s="342" t="s">
        <v>1965</v>
      </c>
      <c r="I1636" s="439"/>
      <c r="J1636" s="439"/>
      <c r="K1636" s="430"/>
      <c r="L1636" s="439"/>
      <c r="M1636" s="65">
        <v>463260000</v>
      </c>
      <c r="N1636" s="66" t="s">
        <v>8</v>
      </c>
      <c r="O1636" s="66" t="s">
        <v>272</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c r="AE1636" s="1136" t="str">
        <f t="shared" si="195"/>
        <v>x</v>
      </c>
    </row>
    <row r="1637" spans="1:31" ht="15.75" customHeight="1">
      <c r="A1637" s="334" t="str">
        <f>IF(B1637&lt;&gt;"",IF(AND(B1637='IN-TC'!$S$4,OR(TH!N1637="1111",TH!O1637="1111")),TH!D1637,""),"")</f>
        <v/>
      </c>
      <c r="B1637" s="63">
        <f t="shared" si="191"/>
        <v>6</v>
      </c>
      <c r="C1637" s="64">
        <f t="shared" si="194"/>
        <v>42551</v>
      </c>
      <c r="D1637" s="64" t="s">
        <v>2233</v>
      </c>
      <c r="E1637" s="64">
        <v>42551</v>
      </c>
      <c r="F1637" s="72" t="s">
        <v>945</v>
      </c>
      <c r="G1637" s="67" t="s">
        <v>344</v>
      </c>
      <c r="H1637" s="342" t="s">
        <v>1964</v>
      </c>
      <c r="I1637" s="437"/>
      <c r="J1637" s="437"/>
      <c r="K1637" s="428"/>
      <c r="L1637" s="437"/>
      <c r="M1637" s="65">
        <v>745605000</v>
      </c>
      <c r="N1637" s="66" t="s">
        <v>8</v>
      </c>
      <c r="O1637" s="66" t="s">
        <v>272</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c r="AE1637" s="1136" t="str">
        <f t="shared" si="195"/>
        <v>x</v>
      </c>
    </row>
    <row r="1638" spans="1:31" ht="15.75" customHeight="1">
      <c r="A1638" s="334" t="str">
        <f>IF(B1638&lt;&gt;"",IF(AND(B1638='IN-TC'!$S$4,OR(TH!N1638="1111",TH!O1638="1111")),TH!D1638,""),"")</f>
        <v/>
      </c>
      <c r="B1638" s="63">
        <f t="shared" si="191"/>
        <v>6</v>
      </c>
      <c r="C1638" s="64">
        <f t="shared" si="194"/>
        <v>42551</v>
      </c>
      <c r="D1638" s="64" t="s">
        <v>2233</v>
      </c>
      <c r="E1638" s="64">
        <v>42551</v>
      </c>
      <c r="F1638" s="72" t="s">
        <v>945</v>
      </c>
      <c r="G1638" s="67" t="s">
        <v>344</v>
      </c>
      <c r="H1638" s="342" t="s">
        <v>1967</v>
      </c>
      <c r="I1638" s="437"/>
      <c r="J1638" s="437"/>
      <c r="K1638" s="428"/>
      <c r="L1638" s="437"/>
      <c r="M1638" s="65">
        <v>454650000</v>
      </c>
      <c r="N1638" s="66" t="s">
        <v>8</v>
      </c>
      <c r="O1638" s="66" t="s">
        <v>272</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c r="AE1638" s="1136" t="str">
        <f t="shared" si="195"/>
        <v>x</v>
      </c>
    </row>
    <row r="1639" spans="1:31" ht="15.75" customHeight="1">
      <c r="A1639" s="334" t="str">
        <f>IF(B1639&lt;&gt;"",IF(AND(B1639='IN-TC'!$S$4,OR(TH!N1639="1111",TH!O1639="1111")),TH!D1639,""),"")</f>
        <v/>
      </c>
      <c r="B1639" s="63">
        <f t="shared" si="191"/>
        <v>6</v>
      </c>
      <c r="C1639" s="64">
        <f t="shared" si="194"/>
        <v>42551</v>
      </c>
      <c r="D1639" s="64" t="s">
        <v>2233</v>
      </c>
      <c r="E1639" s="64">
        <v>42551</v>
      </c>
      <c r="F1639" s="72" t="s">
        <v>945</v>
      </c>
      <c r="G1639" s="67" t="s">
        <v>344</v>
      </c>
      <c r="H1639" s="342" t="s">
        <v>1966</v>
      </c>
      <c r="I1639" s="437"/>
      <c r="J1639" s="437"/>
      <c r="K1639" s="428"/>
      <c r="L1639" s="437"/>
      <c r="M1639" s="65">
        <v>585375000</v>
      </c>
      <c r="N1639" s="66" t="s">
        <v>8</v>
      </c>
      <c r="O1639" s="66" t="s">
        <v>272</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c r="AE1639" s="1136" t="str">
        <f t="shared" si="195"/>
        <v>x</v>
      </c>
    </row>
    <row r="1640" spans="1:31" ht="15.75" customHeight="1">
      <c r="A1640" s="334" t="str">
        <f>IF(B1640&lt;&gt;"",IF(AND(B1640='IN-TC'!$S$4,OR(TH!N1640="1111",TH!O1640="1111")),TH!D1640,""),"")</f>
        <v/>
      </c>
      <c r="B1640" s="63">
        <f t="shared" si="191"/>
        <v>6</v>
      </c>
      <c r="C1640" s="64">
        <f t="shared" si="194"/>
        <v>42551</v>
      </c>
      <c r="D1640" s="64" t="s">
        <v>2233</v>
      </c>
      <c r="E1640" s="64">
        <v>42551</v>
      </c>
      <c r="F1640" s="72" t="s">
        <v>945</v>
      </c>
      <c r="G1640" s="67" t="s">
        <v>344</v>
      </c>
      <c r="H1640" s="342" t="s">
        <v>398</v>
      </c>
      <c r="I1640" s="437"/>
      <c r="J1640" s="437"/>
      <c r="K1640" s="428"/>
      <c r="L1640" s="437"/>
      <c r="M1640" s="65">
        <v>112210000</v>
      </c>
      <c r="N1640" s="66" t="s">
        <v>8</v>
      </c>
      <c r="O1640" s="66" t="s">
        <v>272</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c r="AE1640" s="1136" t="str">
        <f t="shared" si="195"/>
        <v>x</v>
      </c>
    </row>
    <row r="1641" spans="1:31" ht="15.75" customHeight="1">
      <c r="A1641" s="334" t="str">
        <f>IF(B1641&lt;&gt;"",IF(AND(B1641='IN-TC'!$S$4,OR(TH!N1641="1111",TH!O1641="1111")),TH!D1641,""),"")</f>
        <v/>
      </c>
      <c r="B1641" s="63">
        <f t="shared" si="191"/>
        <v>6</v>
      </c>
      <c r="C1641" s="64">
        <f t="shared" si="194"/>
        <v>42551</v>
      </c>
      <c r="D1641" s="64" t="s">
        <v>2233</v>
      </c>
      <c r="E1641" s="64">
        <v>42551</v>
      </c>
      <c r="F1641" s="72" t="s">
        <v>945</v>
      </c>
      <c r="G1641" s="67" t="s">
        <v>344</v>
      </c>
      <c r="H1641" s="342" t="s">
        <v>402</v>
      </c>
      <c r="I1641" s="439"/>
      <c r="J1641" s="439"/>
      <c r="K1641" s="430"/>
      <c r="L1641" s="439"/>
      <c r="M1641" s="65">
        <v>266315000</v>
      </c>
      <c r="N1641" s="66" t="s">
        <v>8</v>
      </c>
      <c r="O1641" s="66" t="s">
        <v>272</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c r="AE1641" s="1136" t="str">
        <f t="shared" si="195"/>
        <v>x</v>
      </c>
    </row>
    <row r="1642" spans="1:31" ht="15.75" customHeight="1">
      <c r="A1642" s="334" t="str">
        <f>IF(B1642&lt;&gt;"",IF(AND(B1642='IN-TC'!$S$4,OR(TH!N1642="1111",TH!O1642="1111")),TH!D1642,""),"")</f>
        <v/>
      </c>
      <c r="B1642" s="63">
        <f t="shared" si="191"/>
        <v>6</v>
      </c>
      <c r="C1642" s="64">
        <f t="shared" si="194"/>
        <v>42551</v>
      </c>
      <c r="D1642" s="64" t="s">
        <v>2233</v>
      </c>
      <c r="E1642" s="64">
        <v>42551</v>
      </c>
      <c r="F1642" s="72" t="s">
        <v>945</v>
      </c>
      <c r="G1642" s="67" t="s">
        <v>344</v>
      </c>
      <c r="H1642" s="342" t="s">
        <v>403</v>
      </c>
      <c r="I1642" s="437"/>
      <c r="J1642" s="437"/>
      <c r="K1642" s="428"/>
      <c r="L1642" s="437"/>
      <c r="M1642" s="65">
        <v>122010000</v>
      </c>
      <c r="N1642" s="66" t="s">
        <v>8</v>
      </c>
      <c r="O1642" s="66" t="s">
        <v>272</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c r="AE1642" s="1136" t="str">
        <f t="shared" si="195"/>
        <v>x</v>
      </c>
    </row>
    <row r="1643" spans="1:31" ht="15.75" customHeight="1">
      <c r="A1643" s="334" t="str">
        <f>IF(B1643&lt;&gt;"",IF(AND(B1643='IN-TC'!$S$4,OR(TH!N1643="1111",TH!O1643="1111")),TH!D1643,""),"")</f>
        <v/>
      </c>
      <c r="B1643" s="63">
        <f t="shared" si="191"/>
        <v>6</v>
      </c>
      <c r="C1643" s="64">
        <f t="shared" si="194"/>
        <v>42551</v>
      </c>
      <c r="D1643" s="64" t="s">
        <v>2233</v>
      </c>
      <c r="E1643" s="64">
        <v>42551</v>
      </c>
      <c r="F1643" s="72" t="s">
        <v>945</v>
      </c>
      <c r="G1643" s="67" t="s">
        <v>344</v>
      </c>
      <c r="H1643" s="342" t="s">
        <v>443</v>
      </c>
      <c r="I1643" s="437"/>
      <c r="J1643" s="437"/>
      <c r="K1643" s="428"/>
      <c r="L1643" s="437"/>
      <c r="M1643" s="65">
        <v>288750000</v>
      </c>
      <c r="N1643" s="66" t="s">
        <v>8</v>
      </c>
      <c r="O1643" s="66" t="s">
        <v>272</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c r="AE1643" s="1136" t="str">
        <f t="shared" si="195"/>
        <v>x</v>
      </c>
    </row>
    <row r="1644" spans="1:31" ht="15.75" customHeight="1">
      <c r="A1644" s="334" t="str">
        <f>IF(B1644&lt;&gt;"",IF(AND(B1644='IN-TC'!$S$4,OR(TH!N1644="1111",TH!O1644="1111")),TH!D1644,""),"")</f>
        <v/>
      </c>
      <c r="B1644" s="63">
        <f t="shared" si="191"/>
        <v>6</v>
      </c>
      <c r="C1644" s="64">
        <f t="shared" si="194"/>
        <v>42551</v>
      </c>
      <c r="D1644" s="64" t="s">
        <v>2234</v>
      </c>
      <c r="E1644" s="64">
        <v>42551</v>
      </c>
      <c r="F1644" s="72" t="s">
        <v>945</v>
      </c>
      <c r="G1644" s="67" t="s">
        <v>338</v>
      </c>
      <c r="H1644" s="342" t="s">
        <v>361</v>
      </c>
      <c r="I1644" s="437"/>
      <c r="J1644" s="437"/>
      <c r="K1644" s="428"/>
      <c r="L1644" s="437"/>
      <c r="M1644" s="65">
        <v>263810000</v>
      </c>
      <c r="N1644" s="66" t="s">
        <v>8</v>
      </c>
      <c r="O1644" s="66" t="s">
        <v>272</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c r="AE1644" s="1136" t="str">
        <f t="shared" si="195"/>
        <v>x</v>
      </c>
    </row>
    <row r="1645" spans="1:31" ht="15.75" customHeight="1">
      <c r="A1645" s="334" t="str">
        <f>IF(B1645&lt;&gt;"",IF(AND(B1645='IN-TC'!$S$4,OR(TH!N1645="1111",TH!O1645="1111")),TH!D1645,""),"")</f>
        <v/>
      </c>
      <c r="B1645" s="63">
        <f t="shared" si="191"/>
        <v>6</v>
      </c>
      <c r="C1645" s="64">
        <f t="shared" si="194"/>
        <v>42551</v>
      </c>
      <c r="D1645" s="64" t="s">
        <v>2234</v>
      </c>
      <c r="E1645" s="64">
        <v>42551</v>
      </c>
      <c r="F1645" s="72" t="s">
        <v>945</v>
      </c>
      <c r="G1645" s="67" t="s">
        <v>338</v>
      </c>
      <c r="H1645" s="342" t="s">
        <v>346</v>
      </c>
      <c r="I1645" s="439"/>
      <c r="J1645" s="439"/>
      <c r="K1645" s="430"/>
      <c r="L1645" s="439"/>
      <c r="M1645" s="65">
        <v>124875000</v>
      </c>
      <c r="N1645" s="66" t="s">
        <v>8</v>
      </c>
      <c r="O1645" s="66" t="s">
        <v>272</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c r="AE1645" s="1136" t="str">
        <f t="shared" si="195"/>
        <v>x</v>
      </c>
    </row>
    <row r="1646" spans="1:31" ht="15.75" customHeight="1">
      <c r="A1646" s="334" t="str">
        <f>IF(B1646&lt;&gt;"",IF(AND(B1646='IN-TC'!$S$4,OR(TH!N1646="1111",TH!O1646="1111")),TH!D1646,""),"")</f>
        <v/>
      </c>
      <c r="B1646" s="63">
        <f t="shared" ref="B1646:B1740" si="196">IF(C1646&lt;&gt;"",MONTH(C1646),"")</f>
        <v>6</v>
      </c>
      <c r="C1646" s="64">
        <f t="shared" ref="C1646:C1662" si="197">E1646</f>
        <v>42551</v>
      </c>
      <c r="D1646" s="64" t="s">
        <v>2234</v>
      </c>
      <c r="E1646" s="64">
        <v>42551</v>
      </c>
      <c r="F1646" s="72" t="s">
        <v>945</v>
      </c>
      <c r="G1646" s="67" t="s">
        <v>338</v>
      </c>
      <c r="H1646" s="342" t="s">
        <v>364</v>
      </c>
      <c r="I1646" s="437"/>
      <c r="J1646" s="437"/>
      <c r="K1646" s="428"/>
      <c r="L1646" s="437"/>
      <c r="M1646" s="65">
        <v>258112000</v>
      </c>
      <c r="N1646" s="66" t="s">
        <v>8</v>
      </c>
      <c r="O1646" s="66" t="s">
        <v>272</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c r="AE1646" s="1136" t="str">
        <f t="shared" ref="AE1646:AE1713" si="198">IF(H1646&lt;&gt;VLOOKUP(H1646,DSKH,1,0),"","x")</f>
        <v>x</v>
      </c>
    </row>
    <row r="1647" spans="1:31" ht="15.75" customHeight="1">
      <c r="A1647" s="334" t="str">
        <f>IF(B1647&lt;&gt;"",IF(AND(B1647='IN-TC'!$S$4,OR(TH!N1647="1111",TH!O1647="1111")),TH!D1647,""),"")</f>
        <v/>
      </c>
      <c r="B1647" s="63">
        <f t="shared" si="196"/>
        <v>6</v>
      </c>
      <c r="C1647" s="64">
        <f t="shared" si="197"/>
        <v>42551</v>
      </c>
      <c r="D1647" s="64" t="s">
        <v>2234</v>
      </c>
      <c r="E1647" s="64">
        <v>42551</v>
      </c>
      <c r="F1647" s="72" t="s">
        <v>945</v>
      </c>
      <c r="G1647" s="67" t="s">
        <v>338</v>
      </c>
      <c r="H1647" s="342" t="s">
        <v>349</v>
      </c>
      <c r="I1647" s="437"/>
      <c r="J1647" s="437"/>
      <c r="K1647" s="428"/>
      <c r="L1647" s="437"/>
      <c r="M1647" s="65">
        <v>373367000</v>
      </c>
      <c r="N1647" s="66" t="s">
        <v>8</v>
      </c>
      <c r="O1647" s="66" t="s">
        <v>272</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c r="AE1647" s="1136" t="str">
        <f t="shared" si="198"/>
        <v>x</v>
      </c>
    </row>
    <row r="1648" spans="1:31" ht="15.75" customHeight="1">
      <c r="A1648" s="334" t="str">
        <f>IF(B1648&lt;&gt;"",IF(AND(B1648='IN-TC'!$S$4,OR(TH!N1648="1111",TH!O1648="1111")),TH!D1648,""),"")</f>
        <v/>
      </c>
      <c r="B1648" s="63">
        <f t="shared" si="196"/>
        <v>6</v>
      </c>
      <c r="C1648" s="64">
        <f t="shared" si="197"/>
        <v>42551</v>
      </c>
      <c r="D1648" s="64" t="s">
        <v>2234</v>
      </c>
      <c r="E1648" s="64">
        <v>42551</v>
      </c>
      <c r="F1648" s="72" t="s">
        <v>945</v>
      </c>
      <c r="G1648" s="67" t="s">
        <v>338</v>
      </c>
      <c r="H1648" s="342" t="s">
        <v>367</v>
      </c>
      <c r="I1648" s="437"/>
      <c r="J1648" s="437"/>
      <c r="K1648" s="428"/>
      <c r="L1648" s="437"/>
      <c r="M1648" s="65">
        <v>167850500</v>
      </c>
      <c r="N1648" s="66" t="s">
        <v>8</v>
      </c>
      <c r="O1648" s="66" t="s">
        <v>272</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c r="AE1648" s="1136" t="str">
        <f t="shared" si="198"/>
        <v>x</v>
      </c>
    </row>
    <row r="1649" spans="1:31" ht="15.75" customHeight="1">
      <c r="A1649" s="334" t="str">
        <f>IF(B1649&lt;&gt;"",IF(AND(B1649='IN-TC'!$S$4,OR(TH!N1649="1111",TH!O1649="1111")),TH!D1649,""),"")</f>
        <v/>
      </c>
      <c r="B1649" s="63">
        <f t="shared" si="196"/>
        <v>7</v>
      </c>
      <c r="C1649" s="64">
        <f t="shared" si="197"/>
        <v>42582</v>
      </c>
      <c r="D1649" s="64" t="s">
        <v>2235</v>
      </c>
      <c r="E1649" s="64">
        <v>42582</v>
      </c>
      <c r="F1649" s="72" t="s">
        <v>945</v>
      </c>
      <c r="G1649" s="67" t="s">
        <v>344</v>
      </c>
      <c r="H1649" s="342" t="s">
        <v>439</v>
      </c>
      <c r="I1649" s="437"/>
      <c r="J1649" s="437"/>
      <c r="K1649" s="428"/>
      <c r="L1649" s="437"/>
      <c r="M1649" s="65">
        <v>85467000</v>
      </c>
      <c r="N1649" s="66" t="s">
        <v>8</v>
      </c>
      <c r="O1649" s="66" t="s">
        <v>272</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c r="AE1649" s="1136" t="str">
        <f t="shared" si="198"/>
        <v>x</v>
      </c>
    </row>
    <row r="1650" spans="1:31" ht="15.75" customHeight="1">
      <c r="A1650" s="334" t="str">
        <f>IF(B1650&lt;&gt;"",IF(AND(B1650='IN-TC'!$S$4,OR(TH!N1650="1111",TH!O1650="1111")),TH!D1650,""),"")</f>
        <v/>
      </c>
      <c r="B1650" s="63">
        <f t="shared" si="196"/>
        <v>7</v>
      </c>
      <c r="C1650" s="64">
        <f t="shared" si="197"/>
        <v>42582</v>
      </c>
      <c r="D1650" s="64" t="s">
        <v>2235</v>
      </c>
      <c r="E1650" s="64">
        <v>42582</v>
      </c>
      <c r="F1650" s="72" t="s">
        <v>945</v>
      </c>
      <c r="G1650" s="67" t="s">
        <v>344</v>
      </c>
      <c r="H1650" s="342" t="s">
        <v>430</v>
      </c>
      <c r="I1650" s="439"/>
      <c r="J1650" s="439"/>
      <c r="K1650" s="430"/>
      <c r="L1650" s="439"/>
      <c r="M1650" s="65">
        <v>270480000</v>
      </c>
      <c r="N1650" s="66" t="s">
        <v>8</v>
      </c>
      <c r="O1650" s="66" t="s">
        <v>272</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c r="AE1650" s="1136" t="str">
        <f t="shared" si="198"/>
        <v>x</v>
      </c>
    </row>
    <row r="1651" spans="1:31" ht="15.75" customHeight="1">
      <c r="A1651" s="334" t="str">
        <f>IF(B1651&lt;&gt;"",IF(AND(B1651='IN-TC'!$S$4,OR(TH!N1651="1111",TH!O1651="1111")),TH!D1651,""),"")</f>
        <v/>
      </c>
      <c r="B1651" s="63">
        <f t="shared" si="196"/>
        <v>7</v>
      </c>
      <c r="C1651" s="64">
        <f t="shared" si="197"/>
        <v>42582</v>
      </c>
      <c r="D1651" s="64" t="s">
        <v>2235</v>
      </c>
      <c r="E1651" s="64">
        <v>42582</v>
      </c>
      <c r="F1651" s="72" t="s">
        <v>945</v>
      </c>
      <c r="G1651" s="67" t="s">
        <v>344</v>
      </c>
      <c r="H1651" s="342" t="s">
        <v>1967</v>
      </c>
      <c r="I1651" s="437"/>
      <c r="J1651" s="437"/>
      <c r="K1651" s="428"/>
      <c r="L1651" s="437"/>
      <c r="M1651" s="65">
        <v>411075000</v>
      </c>
      <c r="N1651" s="66" t="s">
        <v>8</v>
      </c>
      <c r="O1651" s="66" t="s">
        <v>272</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c r="AE1651" s="1136" t="str">
        <f t="shared" si="198"/>
        <v>x</v>
      </c>
    </row>
    <row r="1652" spans="1:31" ht="15.75" customHeight="1">
      <c r="A1652" s="334" t="str">
        <f>IF(B1652&lt;&gt;"",IF(AND(B1652='IN-TC'!$S$4,OR(TH!N1652="1111",TH!O1652="1111")),TH!D1652,""),"")</f>
        <v/>
      </c>
      <c r="B1652" s="63">
        <f t="shared" si="196"/>
        <v>7</v>
      </c>
      <c r="C1652" s="64">
        <f t="shared" si="197"/>
        <v>42582</v>
      </c>
      <c r="D1652" s="64" t="s">
        <v>2235</v>
      </c>
      <c r="E1652" s="64">
        <v>42582</v>
      </c>
      <c r="F1652" s="72" t="s">
        <v>945</v>
      </c>
      <c r="G1652" s="67" t="s">
        <v>344</v>
      </c>
      <c r="H1652" s="342" t="s">
        <v>1966</v>
      </c>
      <c r="I1652" s="437"/>
      <c r="J1652" s="437"/>
      <c r="K1652" s="428"/>
      <c r="L1652" s="437"/>
      <c r="M1652" s="65">
        <v>139545000</v>
      </c>
      <c r="N1652" s="66" t="s">
        <v>8</v>
      </c>
      <c r="O1652" s="66" t="s">
        <v>272</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c r="AE1652" s="1136" t="str">
        <f t="shared" si="198"/>
        <v>x</v>
      </c>
    </row>
    <row r="1653" spans="1:31" ht="15.75" customHeight="1">
      <c r="A1653" s="334" t="str">
        <f>IF(B1653&lt;&gt;"",IF(AND(B1653='IN-TC'!$S$4,OR(TH!N1653="1111",TH!O1653="1111")),TH!D1653,""),"")</f>
        <v/>
      </c>
      <c r="B1653" s="63">
        <f t="shared" si="196"/>
        <v>7</v>
      </c>
      <c r="C1653" s="64">
        <f t="shared" si="197"/>
        <v>42582</v>
      </c>
      <c r="D1653" s="64" t="s">
        <v>2235</v>
      </c>
      <c r="E1653" s="64">
        <v>42582</v>
      </c>
      <c r="F1653" s="72" t="s">
        <v>945</v>
      </c>
      <c r="G1653" s="67" t="s">
        <v>344</v>
      </c>
      <c r="H1653" s="342" t="s">
        <v>435</v>
      </c>
      <c r="I1653" s="437"/>
      <c r="J1653" s="437"/>
      <c r="K1653" s="428"/>
      <c r="L1653" s="437"/>
      <c r="M1653" s="65">
        <v>83483000</v>
      </c>
      <c r="N1653" s="66" t="s">
        <v>8</v>
      </c>
      <c r="O1653" s="66" t="s">
        <v>272</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c r="AE1653" s="1136" t="str">
        <f t="shared" si="198"/>
        <v>x</v>
      </c>
    </row>
    <row r="1654" spans="1:31" ht="15.75" customHeight="1">
      <c r="A1654" s="334" t="str">
        <f>IF(B1654&lt;&gt;"",IF(AND(B1654='IN-TC'!$S$4,OR(TH!N1654="1111",TH!O1654="1111")),TH!D1654,""),"")</f>
        <v/>
      </c>
      <c r="B1654" s="63">
        <f t="shared" si="196"/>
        <v>7</v>
      </c>
      <c r="C1654" s="64">
        <f t="shared" si="197"/>
        <v>42582</v>
      </c>
      <c r="D1654" s="64" t="s">
        <v>2235</v>
      </c>
      <c r="E1654" s="64">
        <v>42582</v>
      </c>
      <c r="F1654" s="72" t="s">
        <v>945</v>
      </c>
      <c r="G1654" s="67" t="s">
        <v>344</v>
      </c>
      <c r="H1654" s="342" t="s">
        <v>443</v>
      </c>
      <c r="I1654" s="439"/>
      <c r="J1654" s="439"/>
      <c r="K1654" s="430"/>
      <c r="L1654" s="439"/>
      <c r="M1654" s="65">
        <v>89590000</v>
      </c>
      <c r="N1654" s="66" t="s">
        <v>8</v>
      </c>
      <c r="O1654" s="66" t="s">
        <v>272</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c r="AE1654" s="1136" t="str">
        <f t="shared" si="198"/>
        <v>x</v>
      </c>
    </row>
    <row r="1655" spans="1:31" ht="15.75" customHeight="1">
      <c r="A1655" s="334" t="str">
        <f>IF(B1655&lt;&gt;"",IF(AND(B1655='IN-TC'!$S$4,OR(TH!N1655="1111",TH!O1655="1111")),TH!D1655,""),"")</f>
        <v/>
      </c>
      <c r="B1655" s="63">
        <f t="shared" si="196"/>
        <v>7</v>
      </c>
      <c r="C1655" s="64">
        <f t="shared" si="197"/>
        <v>42582</v>
      </c>
      <c r="D1655" s="64" t="s">
        <v>2235</v>
      </c>
      <c r="E1655" s="64">
        <v>42582</v>
      </c>
      <c r="F1655" s="72" t="s">
        <v>945</v>
      </c>
      <c r="G1655" s="67" t="s">
        <v>344</v>
      </c>
      <c r="H1655" s="342" t="s">
        <v>425</v>
      </c>
      <c r="I1655" s="437"/>
      <c r="J1655" s="437"/>
      <c r="K1655" s="428"/>
      <c r="L1655" s="437"/>
      <c r="M1655" s="65">
        <v>270550000</v>
      </c>
      <c r="N1655" s="66" t="s">
        <v>8</v>
      </c>
      <c r="O1655" s="66" t="s">
        <v>272</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c r="AE1655" s="1136" t="str">
        <f t="shared" si="198"/>
        <v>x</v>
      </c>
    </row>
    <row r="1656" spans="1:31" ht="15.75" customHeight="1">
      <c r="A1656" s="334" t="str">
        <f>IF(B1656&lt;&gt;"",IF(AND(B1656='IN-TC'!$S$4,OR(TH!N1656="1111",TH!O1656="1111")),TH!D1656,""),"")</f>
        <v/>
      </c>
      <c r="B1656" s="63">
        <f t="shared" si="196"/>
        <v>7</v>
      </c>
      <c r="C1656" s="64">
        <f t="shared" si="197"/>
        <v>42582</v>
      </c>
      <c r="D1656" s="64" t="s">
        <v>2235</v>
      </c>
      <c r="E1656" s="64">
        <v>42582</v>
      </c>
      <c r="F1656" s="72" t="s">
        <v>945</v>
      </c>
      <c r="G1656" s="67" t="s">
        <v>344</v>
      </c>
      <c r="H1656" s="342" t="s">
        <v>428</v>
      </c>
      <c r="I1656" s="437"/>
      <c r="J1656" s="437"/>
      <c r="K1656" s="428"/>
      <c r="L1656" s="437"/>
      <c r="M1656" s="65">
        <v>217360000</v>
      </c>
      <c r="N1656" s="66" t="s">
        <v>8</v>
      </c>
      <c r="O1656" s="66" t="s">
        <v>272</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c r="AE1656" s="1136" t="str">
        <f t="shared" si="198"/>
        <v>x</v>
      </c>
    </row>
    <row r="1657" spans="1:31" ht="15.75" customHeight="1">
      <c r="A1657" s="334" t="str">
        <f>IF(B1657&lt;&gt;"",IF(AND(B1657='IN-TC'!$S$4,OR(TH!N1657="1111",TH!O1657="1111")),TH!D1657,""),"")</f>
        <v/>
      </c>
      <c r="B1657" s="63">
        <f t="shared" si="196"/>
        <v>7</v>
      </c>
      <c r="C1657" s="64">
        <f t="shared" si="197"/>
        <v>42582</v>
      </c>
      <c r="D1657" s="64" t="s">
        <v>2236</v>
      </c>
      <c r="E1657" s="64">
        <v>42582</v>
      </c>
      <c r="F1657" s="72" t="s">
        <v>945</v>
      </c>
      <c r="G1657" s="67" t="s">
        <v>338</v>
      </c>
      <c r="H1657" s="342" t="s">
        <v>383</v>
      </c>
      <c r="I1657" s="437"/>
      <c r="J1657" s="437"/>
      <c r="K1657" s="428"/>
      <c r="L1657" s="437"/>
      <c r="M1657" s="65">
        <v>307387500</v>
      </c>
      <c r="N1657" s="66" t="s">
        <v>8</v>
      </c>
      <c r="O1657" s="66" t="s">
        <v>272</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c r="AE1657" s="1136" t="str">
        <f t="shared" si="198"/>
        <v>x</v>
      </c>
    </row>
    <row r="1658" spans="1:31" ht="15.75" customHeight="1">
      <c r="A1658" s="334" t="str">
        <f>IF(B1658&lt;&gt;"",IF(AND(B1658='IN-TC'!$S$4,OR(TH!N1658="1111",TH!O1658="1111")),TH!D1658,""),"")</f>
        <v/>
      </c>
      <c r="B1658" s="63">
        <f t="shared" si="196"/>
        <v>7</v>
      </c>
      <c r="C1658" s="64">
        <f t="shared" si="197"/>
        <v>42582</v>
      </c>
      <c r="D1658" s="64" t="s">
        <v>2236</v>
      </c>
      <c r="E1658" s="64">
        <v>42582</v>
      </c>
      <c r="F1658" s="72" t="s">
        <v>945</v>
      </c>
      <c r="G1658" s="67" t="s">
        <v>338</v>
      </c>
      <c r="H1658" s="342" t="s">
        <v>391</v>
      </c>
      <c r="I1658" s="437"/>
      <c r="J1658" s="437"/>
      <c r="K1658" s="428"/>
      <c r="L1658" s="437"/>
      <c r="M1658" s="65">
        <v>273227500</v>
      </c>
      <c r="N1658" s="66" t="s">
        <v>8</v>
      </c>
      <c r="O1658" s="66" t="s">
        <v>272</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c r="AE1658" s="1136" t="str">
        <f t="shared" si="198"/>
        <v>x</v>
      </c>
    </row>
    <row r="1659" spans="1:31" ht="15.75" customHeight="1">
      <c r="A1659" s="334" t="str">
        <f>IF(B1659&lt;&gt;"",IF(AND(B1659='IN-TC'!$S$4,OR(TH!N1659="1111",TH!O1659="1111")),TH!D1659,""),"")</f>
        <v/>
      </c>
      <c r="B1659" s="63">
        <f t="shared" si="196"/>
        <v>7</v>
      </c>
      <c r="C1659" s="64">
        <f t="shared" si="197"/>
        <v>42582</v>
      </c>
      <c r="D1659" s="64" t="s">
        <v>2236</v>
      </c>
      <c r="E1659" s="64">
        <v>42582</v>
      </c>
      <c r="F1659" s="72" t="s">
        <v>945</v>
      </c>
      <c r="G1659" s="67" t="s">
        <v>338</v>
      </c>
      <c r="H1659" s="342" t="s">
        <v>349</v>
      </c>
      <c r="I1659" s="439"/>
      <c r="J1659" s="439"/>
      <c r="K1659" s="430"/>
      <c r="L1659" s="439"/>
      <c r="M1659" s="65">
        <v>230000000</v>
      </c>
      <c r="N1659" s="66" t="s">
        <v>8</v>
      </c>
      <c r="O1659" s="66" t="s">
        <v>272</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c r="AE1659" s="1136" t="str">
        <f t="shared" si="198"/>
        <v>x</v>
      </c>
    </row>
    <row r="1660" spans="1:31" ht="15.75" customHeight="1">
      <c r="A1660" s="334" t="str">
        <f>IF(B1660&lt;&gt;"",IF(AND(B1660='IN-TC'!$S$4,OR(TH!N1660="1111",TH!O1660="1111")),TH!D1660,""),"")</f>
        <v/>
      </c>
      <c r="B1660" s="63">
        <f t="shared" si="196"/>
        <v>7</v>
      </c>
      <c r="C1660" s="64">
        <f t="shared" si="197"/>
        <v>42582</v>
      </c>
      <c r="D1660" s="64" t="s">
        <v>2236</v>
      </c>
      <c r="E1660" s="64">
        <v>42582</v>
      </c>
      <c r="F1660" s="72" t="s">
        <v>945</v>
      </c>
      <c r="G1660" s="67" t="s">
        <v>338</v>
      </c>
      <c r="H1660" s="342" t="s">
        <v>393</v>
      </c>
      <c r="I1660" s="437"/>
      <c r="J1660" s="437"/>
      <c r="K1660" s="428"/>
      <c r="L1660" s="437"/>
      <c r="M1660" s="65">
        <v>165375000</v>
      </c>
      <c r="N1660" s="66" t="s">
        <v>8</v>
      </c>
      <c r="O1660" s="66" t="s">
        <v>272</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c r="AE1660" s="1136" t="str">
        <f t="shared" si="198"/>
        <v>x</v>
      </c>
    </row>
    <row r="1661" spans="1:31" ht="15.75" customHeight="1">
      <c r="A1661" s="334" t="str">
        <f>IF(B1661&lt;&gt;"",IF(AND(B1661='IN-TC'!$S$4,OR(TH!N1661="1111",TH!O1661="1111")),TH!D1661,""),"")</f>
        <v/>
      </c>
      <c r="B1661" s="63">
        <f t="shared" si="196"/>
        <v>7</v>
      </c>
      <c r="C1661" s="64">
        <f t="shared" si="197"/>
        <v>42582</v>
      </c>
      <c r="D1661" s="64" t="s">
        <v>2236</v>
      </c>
      <c r="E1661" s="64">
        <v>42582</v>
      </c>
      <c r="F1661" s="72" t="s">
        <v>945</v>
      </c>
      <c r="G1661" s="67" t="s">
        <v>338</v>
      </c>
      <c r="H1661" s="342" t="s">
        <v>385</v>
      </c>
      <c r="I1661" s="439"/>
      <c r="J1661" s="439"/>
      <c r="K1661" s="430"/>
      <c r="L1661" s="439"/>
      <c r="M1661" s="65">
        <v>312200000</v>
      </c>
      <c r="N1661" s="66" t="s">
        <v>8</v>
      </c>
      <c r="O1661" s="66" t="s">
        <v>272</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c r="AE1661" s="1136" t="str">
        <f t="shared" si="198"/>
        <v>x</v>
      </c>
    </row>
    <row r="1662" spans="1:31" ht="15.75" customHeight="1">
      <c r="A1662" s="334" t="str">
        <f>IF(B1662&lt;&gt;"",IF(AND(B1662='IN-TC'!$S$4,OR(TH!N1662="1111",TH!O1662="1111")),TH!D1662,""),"")</f>
        <v/>
      </c>
      <c r="B1662" s="63">
        <f t="shared" si="196"/>
        <v>7</v>
      </c>
      <c r="C1662" s="64">
        <f t="shared" si="197"/>
        <v>42582</v>
      </c>
      <c r="D1662" s="64" t="s">
        <v>2236</v>
      </c>
      <c r="E1662" s="64">
        <v>42582</v>
      </c>
      <c r="F1662" s="72" t="s">
        <v>945</v>
      </c>
      <c r="G1662" s="67" t="s">
        <v>338</v>
      </c>
      <c r="H1662" s="342" t="s">
        <v>1970</v>
      </c>
      <c r="I1662" s="439"/>
      <c r="J1662" s="439"/>
      <c r="K1662" s="430"/>
      <c r="L1662" s="439"/>
      <c r="M1662" s="65">
        <v>306810000</v>
      </c>
      <c r="N1662" s="66" t="s">
        <v>8</v>
      </c>
      <c r="O1662" s="66" t="s">
        <v>272</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c r="AE1662" s="1136" t="str">
        <f t="shared" si="198"/>
        <v>x</v>
      </c>
    </row>
    <row r="1663" spans="1:31" ht="15.75" customHeight="1">
      <c r="A1663" s="334" t="str">
        <f>IF(B1663&lt;&gt;"",IF(AND(B1663='IN-TC'!$S$4,OR(TH!N1663="1111",TH!O1663="1111")),TH!D1663,""),"")</f>
        <v/>
      </c>
      <c r="B1663" s="63">
        <f t="shared" si="196"/>
        <v>8</v>
      </c>
      <c r="C1663" s="64">
        <v>42613</v>
      </c>
      <c r="D1663" s="64" t="s">
        <v>2237</v>
      </c>
      <c r="E1663" s="64">
        <v>42613</v>
      </c>
      <c r="F1663" s="72" t="s">
        <v>945</v>
      </c>
      <c r="G1663" s="67" t="s">
        <v>338</v>
      </c>
      <c r="H1663" s="342" t="s">
        <v>383</v>
      </c>
      <c r="I1663" s="437"/>
      <c r="J1663" s="437"/>
      <c r="K1663" s="428"/>
      <c r="L1663" s="437"/>
      <c r="M1663" s="65">
        <v>287000000</v>
      </c>
      <c r="N1663" s="66" t="s">
        <v>8</v>
      </c>
      <c r="O1663" s="66" t="s">
        <v>272</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c r="AE1663" s="1136" t="str">
        <f t="shared" si="198"/>
        <v>x</v>
      </c>
    </row>
    <row r="1664" spans="1:31" ht="15.75" customHeight="1">
      <c r="A1664" s="334" t="str">
        <f>IF(B1664&lt;&gt;"",IF(AND(B1664='IN-TC'!$S$4,OR(TH!N1664="1111",TH!O1664="1111")),TH!D1664,""),"")</f>
        <v/>
      </c>
      <c r="B1664" s="63">
        <f t="shared" si="196"/>
        <v>8</v>
      </c>
      <c r="C1664" s="64">
        <v>42613</v>
      </c>
      <c r="D1664" s="64" t="s">
        <v>2237</v>
      </c>
      <c r="E1664" s="64">
        <v>42613</v>
      </c>
      <c r="F1664" s="72" t="s">
        <v>945</v>
      </c>
      <c r="G1664" s="67" t="s">
        <v>338</v>
      </c>
      <c r="H1664" s="342" t="s">
        <v>1970</v>
      </c>
      <c r="I1664" s="437"/>
      <c r="J1664" s="437"/>
      <c r="K1664" s="428"/>
      <c r="L1664" s="437"/>
      <c r="M1664" s="65">
        <v>309645000</v>
      </c>
      <c r="N1664" s="66" t="s">
        <v>8</v>
      </c>
      <c r="O1664" s="66" t="s">
        <v>272</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c r="AE1664" s="1136" t="str">
        <f t="shared" si="198"/>
        <v>x</v>
      </c>
    </row>
    <row r="1665" spans="1:31" ht="15.75" customHeight="1">
      <c r="A1665" s="334" t="str">
        <f>IF(B1665&lt;&gt;"",IF(AND(B1665='IN-TC'!$S$4,OR(TH!N1665="1111",TH!O1665="1111")),TH!D1665,""),"")</f>
        <v/>
      </c>
      <c r="B1665" s="63">
        <f t="shared" si="196"/>
        <v>8</v>
      </c>
      <c r="C1665" s="64">
        <v>42613</v>
      </c>
      <c r="D1665" s="64" t="s">
        <v>2237</v>
      </c>
      <c r="E1665" s="64">
        <v>42613</v>
      </c>
      <c r="F1665" s="72" t="s">
        <v>945</v>
      </c>
      <c r="G1665" s="67" t="s">
        <v>338</v>
      </c>
      <c r="H1665" s="342" t="s">
        <v>391</v>
      </c>
      <c r="I1665" s="437"/>
      <c r="J1665" s="437"/>
      <c r="K1665" s="428"/>
      <c r="L1665" s="437"/>
      <c r="M1665" s="65">
        <v>303625000</v>
      </c>
      <c r="N1665" s="66" t="s">
        <v>8</v>
      </c>
      <c r="O1665" s="66" t="s">
        <v>272</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c r="AE1665" s="1136" t="str">
        <f t="shared" si="198"/>
        <v>x</v>
      </c>
    </row>
    <row r="1666" spans="1:31" ht="15.75" customHeight="1">
      <c r="A1666" s="334" t="str">
        <f>IF(B1666&lt;&gt;"",IF(AND(B1666='IN-TC'!$S$4,OR(TH!N1666="1111",TH!O1666="1111")),TH!D1666,""),"")</f>
        <v/>
      </c>
      <c r="B1666" s="63">
        <f t="shared" si="196"/>
        <v>8</v>
      </c>
      <c r="C1666" s="64">
        <v>42613</v>
      </c>
      <c r="D1666" s="64" t="s">
        <v>2237</v>
      </c>
      <c r="E1666" s="64">
        <v>42613</v>
      </c>
      <c r="F1666" s="72" t="s">
        <v>945</v>
      </c>
      <c r="G1666" s="67" t="s">
        <v>338</v>
      </c>
      <c r="H1666" s="342" t="s">
        <v>393</v>
      </c>
      <c r="I1666" s="439"/>
      <c r="J1666" s="439"/>
      <c r="K1666" s="430"/>
      <c r="L1666" s="439"/>
      <c r="M1666" s="65">
        <v>153125000</v>
      </c>
      <c r="N1666" s="66" t="s">
        <v>8</v>
      </c>
      <c r="O1666" s="66" t="s">
        <v>272</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c r="AE1666" s="1136" t="str">
        <f t="shared" si="198"/>
        <v>x</v>
      </c>
    </row>
    <row r="1667" spans="1:31" ht="15.75" customHeight="1">
      <c r="A1667" s="334" t="str">
        <f>IF(B1667&lt;&gt;"",IF(AND(B1667='IN-TC'!$S$4,OR(TH!N1667="1111",TH!O1667="1111")),TH!D1667,""),"")</f>
        <v/>
      </c>
      <c r="B1667" s="63">
        <f t="shared" si="196"/>
        <v>8</v>
      </c>
      <c r="C1667" s="64">
        <v>42613</v>
      </c>
      <c r="D1667" s="64" t="s">
        <v>2237</v>
      </c>
      <c r="E1667" s="64">
        <v>42613</v>
      </c>
      <c r="F1667" s="72" t="s">
        <v>945</v>
      </c>
      <c r="G1667" s="67" t="s">
        <v>338</v>
      </c>
      <c r="H1667" s="342" t="s">
        <v>385</v>
      </c>
      <c r="I1667" s="437"/>
      <c r="J1667" s="437"/>
      <c r="K1667" s="428"/>
      <c r="L1667" s="437"/>
      <c r="M1667" s="65">
        <v>311605000</v>
      </c>
      <c r="N1667" s="66" t="s">
        <v>8</v>
      </c>
      <c r="O1667" s="66" t="s">
        <v>272</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c r="AE1667" s="1136" t="str">
        <f t="shared" si="198"/>
        <v>x</v>
      </c>
    </row>
    <row r="1668" spans="1:31" ht="15.75" customHeight="1">
      <c r="A1668" s="334" t="str">
        <f>IF(B1668&lt;&gt;"",IF(AND(B1668='IN-TC'!$S$4,OR(TH!N1668="1111",TH!O1668="1111")),TH!D1668,""),"")</f>
        <v/>
      </c>
      <c r="B1668" s="63">
        <f t="shared" si="196"/>
        <v>8</v>
      </c>
      <c r="C1668" s="64">
        <v>42613</v>
      </c>
      <c r="D1668" s="64" t="s">
        <v>2238</v>
      </c>
      <c r="E1668" s="64">
        <v>42613</v>
      </c>
      <c r="F1668" s="72" t="s">
        <v>945</v>
      </c>
      <c r="G1668" s="67" t="s">
        <v>344</v>
      </c>
      <c r="H1668" s="72" t="s">
        <v>409</v>
      </c>
      <c r="I1668" s="437"/>
      <c r="J1668" s="437"/>
      <c r="K1668" s="428"/>
      <c r="L1668" s="437"/>
      <c r="M1668" s="65">
        <v>117500000</v>
      </c>
      <c r="N1668" s="66" t="s">
        <v>8</v>
      </c>
      <c r="O1668" s="66" t="s">
        <v>272</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c r="AE1668" s="1136" t="str">
        <f t="shared" si="198"/>
        <v>x</v>
      </c>
    </row>
    <row r="1669" spans="1:31" ht="15.75" customHeight="1">
      <c r="A1669" s="334" t="str">
        <f>IF(B1669&lt;&gt;"",IF(AND(B1669='IN-TC'!$S$4,OR(TH!N1669="1111",TH!O1669="1111")),TH!D1669,""),"")</f>
        <v/>
      </c>
      <c r="B1669" s="63">
        <v>9</v>
      </c>
      <c r="C1669" s="64">
        <v>42643</v>
      </c>
      <c r="D1669" s="64" t="s">
        <v>2299</v>
      </c>
      <c r="E1669" s="64">
        <v>42643</v>
      </c>
      <c r="F1669" s="72" t="s">
        <v>945</v>
      </c>
      <c r="G1669" s="67" t="s">
        <v>344</v>
      </c>
      <c r="H1669" s="72" t="s">
        <v>424</v>
      </c>
      <c r="I1669" s="437"/>
      <c r="J1669" s="437"/>
      <c r="K1669" s="428"/>
      <c r="L1669" s="437"/>
      <c r="M1669" s="65">
        <v>283177500</v>
      </c>
      <c r="N1669" s="66" t="s">
        <v>8</v>
      </c>
      <c r="O1669" s="66" t="s">
        <v>272</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c r="AE1669" s="1136" t="str">
        <f t="shared" si="198"/>
        <v>x</v>
      </c>
    </row>
    <row r="1670" spans="1:31" ht="15.75" customHeight="1">
      <c r="A1670" s="334" t="str">
        <f>IF(B1670&lt;&gt;"",IF(AND(B1670='IN-TC'!$S$4,OR(TH!N1670="1111",TH!O1670="1111")),TH!D1670,""),"")</f>
        <v/>
      </c>
      <c r="B1670" s="63">
        <v>9</v>
      </c>
      <c r="C1670" s="64">
        <v>42643</v>
      </c>
      <c r="D1670" s="64" t="s">
        <v>2299</v>
      </c>
      <c r="E1670" s="64">
        <v>42643</v>
      </c>
      <c r="F1670" s="72" t="s">
        <v>945</v>
      </c>
      <c r="G1670" s="67" t="s">
        <v>344</v>
      </c>
      <c r="H1670" s="72" t="s">
        <v>414</v>
      </c>
      <c r="I1670" s="437"/>
      <c r="J1670" s="437"/>
      <c r="K1670" s="428"/>
      <c r="L1670" s="437"/>
      <c r="M1670" s="65">
        <v>289425000</v>
      </c>
      <c r="N1670" s="66" t="s">
        <v>8</v>
      </c>
      <c r="O1670" s="66" t="s">
        <v>272</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c r="AE1670" s="1136" t="str">
        <f t="shared" si="198"/>
        <v>x</v>
      </c>
    </row>
    <row r="1671" spans="1:31" ht="15.75" customHeight="1">
      <c r="A1671" s="334" t="str">
        <f>IF(B1671&lt;&gt;"",IF(AND(B1671='IN-TC'!$S$4,OR(TH!N1671="1111",TH!O1671="1111")),TH!D1671,""),"")</f>
        <v/>
      </c>
      <c r="B1671" s="63">
        <v>9</v>
      </c>
      <c r="C1671" s="64">
        <v>42643</v>
      </c>
      <c r="D1671" s="64" t="s">
        <v>2299</v>
      </c>
      <c r="E1671" s="64">
        <v>42643</v>
      </c>
      <c r="F1671" s="72" t="s">
        <v>945</v>
      </c>
      <c r="G1671" s="67" t="s">
        <v>344</v>
      </c>
      <c r="H1671" s="72" t="s">
        <v>416</v>
      </c>
      <c r="I1671" s="439"/>
      <c r="J1671" s="439"/>
      <c r="K1671" s="430"/>
      <c r="L1671" s="439"/>
      <c r="M1671" s="65">
        <v>245055000</v>
      </c>
      <c r="N1671" s="66" t="s">
        <v>8</v>
      </c>
      <c r="O1671" s="66" t="s">
        <v>272</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c r="AE1671" s="1136" t="str">
        <f t="shared" si="198"/>
        <v>x</v>
      </c>
    </row>
    <row r="1672" spans="1:31" ht="15.75" customHeight="1">
      <c r="A1672" s="334" t="str">
        <f>IF(B1672&lt;&gt;"",IF(AND(B1672='IN-TC'!$S$4,OR(TH!N1672="1111",TH!O1672="1111")),TH!D1672,""),"")</f>
        <v/>
      </c>
      <c r="B1672" s="63">
        <v>9</v>
      </c>
      <c r="C1672" s="64">
        <v>42643</v>
      </c>
      <c r="D1672" s="64" t="s">
        <v>2299</v>
      </c>
      <c r="E1672" s="64">
        <v>42643</v>
      </c>
      <c r="F1672" s="72" t="s">
        <v>945</v>
      </c>
      <c r="G1672" s="67" t="s">
        <v>344</v>
      </c>
      <c r="H1672" s="342" t="s">
        <v>428</v>
      </c>
      <c r="I1672" s="437"/>
      <c r="J1672" s="437"/>
      <c r="K1672" s="428"/>
      <c r="L1672" s="437"/>
      <c r="M1672" s="65">
        <v>107580000</v>
      </c>
      <c r="N1672" s="66" t="s">
        <v>8</v>
      </c>
      <c r="O1672" s="66" t="s">
        <v>272</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c r="AE1672" s="1136" t="str">
        <f>IF(H1672&lt;&gt;VLOOKUP(H1672,DSKH,1,0),"","x")</f>
        <v>x</v>
      </c>
    </row>
    <row r="1673" spans="1:31" ht="15.75" customHeight="1">
      <c r="A1673" s="334" t="str">
        <f>IF(B1673&lt;&gt;"",IF(AND(B1673='IN-TC'!$S$4,OR(TH!N1673="1111",TH!O1673="1111")),TH!D1673,""),"")</f>
        <v/>
      </c>
      <c r="B1673" s="63">
        <v>9</v>
      </c>
      <c r="C1673" s="64">
        <v>42643</v>
      </c>
      <c r="D1673" s="64" t="s">
        <v>2299</v>
      </c>
      <c r="E1673" s="64">
        <v>42643</v>
      </c>
      <c r="F1673" s="72" t="s">
        <v>945</v>
      </c>
      <c r="G1673" s="67" t="s">
        <v>344</v>
      </c>
      <c r="H1673" s="342" t="s">
        <v>443</v>
      </c>
      <c r="I1673" s="437"/>
      <c r="J1673" s="437"/>
      <c r="K1673" s="428"/>
      <c r="L1673" s="437"/>
      <c r="M1673" s="65">
        <v>94050000</v>
      </c>
      <c r="N1673" s="66" t="s">
        <v>8</v>
      </c>
      <c r="O1673" s="66" t="s">
        <v>272</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c r="AE1673" s="1136" t="str">
        <f>IF(H1673&lt;&gt;VLOOKUP(H1673,DSKH,1,0),"","x")</f>
        <v>x</v>
      </c>
    </row>
    <row r="1674" spans="1:31" ht="15.75" customHeight="1">
      <c r="A1674" s="334" t="str">
        <f>IF(B1674&lt;&gt;"",IF(AND(B1674='IN-TC'!$S$4,OR(TH!N1674="1111",TH!O1674="1111")),TH!D1674,""),"")</f>
        <v/>
      </c>
      <c r="B1674" s="63">
        <v>9</v>
      </c>
      <c r="C1674" s="64">
        <v>42643</v>
      </c>
      <c r="D1674" s="64" t="s">
        <v>2299</v>
      </c>
      <c r="E1674" s="64">
        <v>42643</v>
      </c>
      <c r="F1674" s="72" t="s">
        <v>945</v>
      </c>
      <c r="G1674" s="67" t="s">
        <v>344</v>
      </c>
      <c r="H1674" s="342" t="s">
        <v>421</v>
      </c>
      <c r="I1674" s="437"/>
      <c r="J1674" s="437"/>
      <c r="K1674" s="428"/>
      <c r="L1674" s="437"/>
      <c r="M1674" s="65">
        <v>171870000</v>
      </c>
      <c r="N1674" s="66" t="s">
        <v>8</v>
      </c>
      <c r="O1674" s="66" t="s">
        <v>272</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c r="AE1674" s="1136" t="str">
        <f>IF(H1674&lt;&gt;VLOOKUP(H1674,DSKH,1,0),"","x")</f>
        <v>x</v>
      </c>
    </row>
    <row r="1675" spans="1:31" ht="15.75" customHeight="1">
      <c r="A1675" s="334" t="str">
        <f>IF(B1675&lt;&gt;"",IF(AND(B1675='IN-TC'!$S$4,OR(TH!N1675="1111",TH!O1675="1111")),TH!D1675,""),"")</f>
        <v/>
      </c>
      <c r="B1675" s="63">
        <v>9</v>
      </c>
      <c r="C1675" s="64">
        <v>42643</v>
      </c>
      <c r="D1675" s="64" t="s">
        <v>2299</v>
      </c>
      <c r="E1675" s="64">
        <v>42643</v>
      </c>
      <c r="F1675" s="72" t="s">
        <v>945</v>
      </c>
      <c r="G1675" s="67" t="s">
        <v>344</v>
      </c>
      <c r="H1675" s="342" t="s">
        <v>411</v>
      </c>
      <c r="I1675" s="437"/>
      <c r="J1675" s="437"/>
      <c r="K1675" s="428"/>
      <c r="L1675" s="437"/>
      <c r="M1675" s="65">
        <v>172380000</v>
      </c>
      <c r="N1675" s="66" t="s">
        <v>8</v>
      </c>
      <c r="O1675" s="66" t="s">
        <v>272</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c r="AE1675" s="1136" t="str">
        <f>IF(H1675&lt;&gt;VLOOKUP(H1675,DSKH,1,0),"","x")</f>
        <v>x</v>
      </c>
    </row>
    <row r="1676" spans="1:31" ht="15.75" customHeight="1">
      <c r="A1676" s="334" t="str">
        <f>IF(B1676&lt;&gt;"",IF(AND(B1676='IN-TC'!$S$4,OR(TH!N1676="1111",TH!O1676="1111")),TH!D1676,""),"")</f>
        <v/>
      </c>
      <c r="B1676" s="63">
        <v>9</v>
      </c>
      <c r="C1676" s="64">
        <v>42643</v>
      </c>
      <c r="D1676" s="64" t="s">
        <v>2299</v>
      </c>
      <c r="E1676" s="64">
        <v>42643</v>
      </c>
      <c r="F1676" s="72" t="s">
        <v>945</v>
      </c>
      <c r="G1676" s="67" t="s">
        <v>344</v>
      </c>
      <c r="H1676" s="342" t="s">
        <v>418</v>
      </c>
      <c r="I1676" s="437"/>
      <c r="J1676" s="437"/>
      <c r="K1676" s="428"/>
      <c r="L1676" s="437"/>
      <c r="M1676" s="65">
        <v>164985000</v>
      </c>
      <c r="N1676" s="66" t="s">
        <v>8</v>
      </c>
      <c r="O1676" s="66" t="s">
        <v>272</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c r="AE1676" s="1136" t="str">
        <f>IF(H1676&lt;&gt;VLOOKUP(H1676,DSKH,1,0),"","x")</f>
        <v>x</v>
      </c>
    </row>
    <row r="1677" spans="1:31" ht="15.75" customHeight="1">
      <c r="A1677" s="334" t="str">
        <f>IF(B1677&lt;&gt;"",IF(AND(B1677='IN-TC'!$S$4,OR(TH!N1677="1111",TH!O1677="1111")),TH!D1677,""),"")</f>
        <v/>
      </c>
      <c r="B1677" s="63">
        <v>9</v>
      </c>
      <c r="C1677" s="64">
        <v>42643</v>
      </c>
      <c r="D1677" s="64" t="s">
        <v>2300</v>
      </c>
      <c r="E1677" s="64">
        <v>42643</v>
      </c>
      <c r="F1677" s="72" t="s">
        <v>945</v>
      </c>
      <c r="G1677" s="67" t="s">
        <v>338</v>
      </c>
      <c r="H1677" s="72" t="s">
        <v>383</v>
      </c>
      <c r="I1677" s="437"/>
      <c r="J1677" s="437"/>
      <c r="K1677" s="428"/>
      <c r="L1677" s="437"/>
      <c r="M1677" s="65">
        <v>424400000</v>
      </c>
      <c r="N1677" s="66" t="s">
        <v>8</v>
      </c>
      <c r="O1677" s="66" t="s">
        <v>272</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c r="AE1677" s="1136" t="str">
        <f t="shared" si="198"/>
        <v>x</v>
      </c>
    </row>
    <row r="1678" spans="1:31" ht="15.75" customHeight="1">
      <c r="A1678" s="334" t="str">
        <f>IF(B1678&lt;&gt;"",IF(AND(B1678='IN-TC'!$S$4,OR(TH!N1678="1111",TH!O1678="1111")),TH!D1678,""),"")</f>
        <v/>
      </c>
      <c r="B1678" s="63">
        <v>9</v>
      </c>
      <c r="C1678" s="64">
        <v>42643</v>
      </c>
      <c r="D1678" s="64" t="s">
        <v>2300</v>
      </c>
      <c r="E1678" s="64">
        <v>42643</v>
      </c>
      <c r="F1678" s="72" t="s">
        <v>945</v>
      </c>
      <c r="G1678" s="67" t="s">
        <v>338</v>
      </c>
      <c r="H1678" s="72" t="s">
        <v>385</v>
      </c>
      <c r="I1678" s="439"/>
      <c r="J1678" s="439"/>
      <c r="K1678" s="430"/>
      <c r="L1678" s="439"/>
      <c r="M1678" s="65">
        <v>440860000</v>
      </c>
      <c r="N1678" s="66" t="s">
        <v>8</v>
      </c>
      <c r="O1678" s="66" t="s">
        <v>272</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c r="AE1678" s="1136" t="str">
        <f t="shared" si="198"/>
        <v>x</v>
      </c>
    </row>
    <row r="1679" spans="1:31" ht="15.75" customHeight="1">
      <c r="A1679" s="334" t="str">
        <f>IF(B1679&lt;&gt;"",IF(AND(B1679='IN-TC'!$S$4,OR(TH!N1679="1111",TH!O1679="1111")),TH!D1679,""),"")</f>
        <v/>
      </c>
      <c r="B1679" s="63">
        <v>9</v>
      </c>
      <c r="C1679" s="64">
        <v>42643</v>
      </c>
      <c r="D1679" s="64" t="s">
        <v>2300</v>
      </c>
      <c r="E1679" s="64">
        <v>42643</v>
      </c>
      <c r="F1679" s="72" t="s">
        <v>945</v>
      </c>
      <c r="G1679" s="67" t="s">
        <v>338</v>
      </c>
      <c r="H1679" s="72" t="s">
        <v>1970</v>
      </c>
      <c r="I1679" s="437"/>
      <c r="J1679" s="437"/>
      <c r="K1679" s="428"/>
      <c r="L1679" s="437"/>
      <c r="M1679" s="65">
        <v>435390000</v>
      </c>
      <c r="N1679" s="66" t="s">
        <v>8</v>
      </c>
      <c r="O1679" s="66" t="s">
        <v>272</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c r="AE1679" s="1136" t="str">
        <f t="shared" si="198"/>
        <v>x</v>
      </c>
    </row>
    <row r="1680" spans="1:31" ht="15.75" customHeight="1">
      <c r="A1680" s="334" t="str">
        <f>IF(B1680&lt;&gt;"",IF(AND(B1680='IN-TC'!$S$4,OR(TH!N1680="1111",TH!O1680="1111")),TH!D1680,""),"")</f>
        <v/>
      </c>
      <c r="B1680" s="63">
        <v>9</v>
      </c>
      <c r="C1680" s="64">
        <v>42643</v>
      </c>
      <c r="D1680" s="64" t="s">
        <v>2300</v>
      </c>
      <c r="E1680" s="64">
        <v>42643</v>
      </c>
      <c r="F1680" s="72" t="s">
        <v>945</v>
      </c>
      <c r="G1680" s="67" t="s">
        <v>338</v>
      </c>
      <c r="H1680" s="72" t="s">
        <v>391</v>
      </c>
      <c r="I1680" s="437"/>
      <c r="J1680" s="437"/>
      <c r="K1680" s="428"/>
      <c r="L1680" s="437"/>
      <c r="M1680" s="65">
        <v>429494000</v>
      </c>
      <c r="N1680" s="66" t="s">
        <v>8</v>
      </c>
      <c r="O1680" s="66" t="s">
        <v>272</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c r="AE1680" s="1136" t="str">
        <f t="shared" si="198"/>
        <v>x</v>
      </c>
    </row>
    <row r="1681" spans="1:31" ht="15.75" customHeight="1">
      <c r="A1681" s="334" t="str">
        <f>IF(B1681&lt;&gt;"",IF(AND(B1681='IN-TC'!$S$4,OR(TH!N1681="1111",TH!O1681="1111")),TH!D1681,""),"")</f>
        <v/>
      </c>
      <c r="B1681" s="63">
        <v>9</v>
      </c>
      <c r="C1681" s="64">
        <v>42643</v>
      </c>
      <c r="D1681" s="64" t="s">
        <v>2300</v>
      </c>
      <c r="E1681" s="64">
        <v>42643</v>
      </c>
      <c r="F1681" s="72" t="s">
        <v>945</v>
      </c>
      <c r="G1681" s="67" t="s">
        <v>338</v>
      </c>
      <c r="H1681" s="72" t="s">
        <v>393</v>
      </c>
      <c r="I1681" s="437"/>
      <c r="J1681" s="437"/>
      <c r="K1681" s="428"/>
      <c r="L1681" s="437"/>
      <c r="M1681" s="65">
        <v>290040000</v>
      </c>
      <c r="N1681" s="66" t="s">
        <v>8</v>
      </c>
      <c r="O1681" s="66" t="s">
        <v>272</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c r="AE1681" s="1136" t="str">
        <f t="shared" si="198"/>
        <v>x</v>
      </c>
    </row>
    <row r="1682" spans="1:31" ht="15.75" customHeight="1">
      <c r="A1682" s="334" t="str">
        <f>IF(B1682&lt;&gt;"",IF(AND(B1682='IN-TC'!$S$4,OR(TH!N1682="1111",TH!O1682="1111")),TH!D1682,""),"")</f>
        <v/>
      </c>
      <c r="B1682" s="63">
        <v>9</v>
      </c>
      <c r="C1682" s="64">
        <v>42643</v>
      </c>
      <c r="D1682" s="64" t="s">
        <v>2300</v>
      </c>
      <c r="E1682" s="64">
        <v>42643</v>
      </c>
      <c r="F1682" s="72" t="s">
        <v>945</v>
      </c>
      <c r="G1682" s="67" t="s">
        <v>338</v>
      </c>
      <c r="H1682" s="72" t="s">
        <v>378</v>
      </c>
      <c r="I1682" s="439"/>
      <c r="J1682" s="439"/>
      <c r="K1682" s="430"/>
      <c r="L1682" s="439"/>
      <c r="M1682" s="65">
        <v>160020000</v>
      </c>
      <c r="N1682" s="66" t="s">
        <v>8</v>
      </c>
      <c r="O1682" s="66" t="s">
        <v>272</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c r="AE1682" s="1136" t="str">
        <f t="shared" si="198"/>
        <v>x</v>
      </c>
    </row>
    <row r="1683" spans="1:31" ht="15.75" customHeight="1">
      <c r="A1683" s="334" t="str">
        <f>IF(B1683&lt;&gt;"",IF(AND(B1683='IN-TC'!$S$4,OR(TH!N1683="1111",TH!O1683="1111")),TH!D1683,""),"")</f>
        <v/>
      </c>
      <c r="B1683" s="63">
        <v>9</v>
      </c>
      <c r="C1683" s="64">
        <v>42643</v>
      </c>
      <c r="D1683" s="64" t="s">
        <v>2300</v>
      </c>
      <c r="E1683" s="64">
        <v>42643</v>
      </c>
      <c r="F1683" s="72" t="s">
        <v>945</v>
      </c>
      <c r="G1683" s="67" t="s">
        <v>338</v>
      </c>
      <c r="H1683" s="342" t="s">
        <v>349</v>
      </c>
      <c r="I1683" s="437"/>
      <c r="J1683" s="437"/>
      <c r="K1683" s="428"/>
      <c r="L1683" s="437"/>
      <c r="M1683" s="65">
        <v>383075000</v>
      </c>
      <c r="N1683" s="66" t="s">
        <v>8</v>
      </c>
      <c r="O1683" s="66" t="s">
        <v>272</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c r="AE1683" s="1136" t="str">
        <f t="shared" si="198"/>
        <v>x</v>
      </c>
    </row>
    <row r="1684" spans="1:31" ht="15.75" customHeight="1">
      <c r="A1684" s="334" t="str">
        <f>IF(B1684&lt;&gt;"",IF(AND(B1684='IN-TC'!$S$4,OR(TH!N1684="1111",TH!O1684="1111")),TH!D1684,""),"")</f>
        <v/>
      </c>
      <c r="B1684" s="63">
        <v>9</v>
      </c>
      <c r="C1684" s="64">
        <v>42643</v>
      </c>
      <c r="D1684" s="64" t="s">
        <v>2300</v>
      </c>
      <c r="E1684" s="64">
        <v>42643</v>
      </c>
      <c r="F1684" s="72" t="s">
        <v>945</v>
      </c>
      <c r="G1684" s="67" t="s">
        <v>338</v>
      </c>
      <c r="H1684" s="342" t="s">
        <v>388</v>
      </c>
      <c r="I1684" s="437"/>
      <c r="J1684" s="437"/>
      <c r="K1684" s="428"/>
      <c r="L1684" s="437"/>
      <c r="M1684" s="65">
        <v>141920000</v>
      </c>
      <c r="N1684" s="66" t="s">
        <v>8</v>
      </c>
      <c r="O1684" s="66" t="s">
        <v>272</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c r="AE1684" s="1136" t="str">
        <f t="shared" ref="AE1684:AE1710" si="199">IF(H1684&lt;&gt;VLOOKUP(H1684,DSKH,1,0),"","x")</f>
        <v>x</v>
      </c>
    </row>
    <row r="1685" spans="1:31" ht="15.75" customHeight="1">
      <c r="A1685" s="334" t="str">
        <f>IF(B1685&lt;&gt;"",IF(AND(B1685='IN-TC'!$S$4,OR(TH!N1685="1111",TH!O1685="1111")),TH!D1685,""),"")</f>
        <v/>
      </c>
      <c r="B1685" s="63">
        <v>9</v>
      </c>
      <c r="C1685" s="64">
        <v>42643</v>
      </c>
      <c r="D1685" s="64" t="s">
        <v>2300</v>
      </c>
      <c r="E1685" s="64">
        <v>42643</v>
      </c>
      <c r="F1685" s="72" t="s">
        <v>945</v>
      </c>
      <c r="G1685" s="67" t="s">
        <v>338</v>
      </c>
      <c r="H1685" s="342" t="s">
        <v>395</v>
      </c>
      <c r="I1685" s="437"/>
      <c r="J1685" s="437"/>
      <c r="K1685" s="428"/>
      <c r="L1685" s="437"/>
      <c r="M1685" s="65">
        <v>127680000</v>
      </c>
      <c r="N1685" s="66" t="s">
        <v>8</v>
      </c>
      <c r="O1685" s="66" t="s">
        <v>272</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c r="AE1685" s="1136" t="str">
        <f t="shared" si="199"/>
        <v>x</v>
      </c>
    </row>
    <row r="1686" spans="1:31" ht="15.75" customHeight="1">
      <c r="A1686" s="334" t="str">
        <f>IF(B1686&lt;&gt;"",IF(AND(B1686='IN-TC'!$S$4,OR(TH!N1686="1111",TH!O1686="1111")),TH!D1686,""),"")</f>
        <v/>
      </c>
      <c r="B1686" s="63">
        <v>9</v>
      </c>
      <c r="C1686" s="64">
        <v>42643</v>
      </c>
      <c r="D1686" s="64" t="s">
        <v>2300</v>
      </c>
      <c r="E1686" s="64">
        <v>42643</v>
      </c>
      <c r="F1686" s="72" t="s">
        <v>945</v>
      </c>
      <c r="G1686" s="67" t="s">
        <v>338</v>
      </c>
      <c r="H1686" s="342" t="s">
        <v>361</v>
      </c>
      <c r="I1686" s="437"/>
      <c r="J1686" s="437"/>
      <c r="K1686" s="428"/>
      <c r="L1686" s="437"/>
      <c r="M1686" s="65">
        <v>121175000</v>
      </c>
      <c r="N1686" s="66" t="s">
        <v>8</v>
      </c>
      <c r="O1686" s="66" t="s">
        <v>272</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c r="AE1686" s="1136" t="str">
        <f t="shared" si="199"/>
        <v>x</v>
      </c>
    </row>
    <row r="1687" spans="1:31" ht="15.75" customHeight="1">
      <c r="A1687" s="334" t="str">
        <f>IF(B1687&lt;&gt;"",IF(AND(B1687='IN-TC'!$S$4,OR(TH!N1687="1111",TH!O1687="1111")),TH!D1687,""),"")</f>
        <v/>
      </c>
      <c r="B1687" s="63">
        <v>9</v>
      </c>
      <c r="C1687" s="64">
        <v>42643</v>
      </c>
      <c r="D1687" s="64" t="s">
        <v>2300</v>
      </c>
      <c r="E1687" s="64">
        <v>42643</v>
      </c>
      <c r="F1687" s="72" t="s">
        <v>945</v>
      </c>
      <c r="G1687" s="67" t="s">
        <v>338</v>
      </c>
      <c r="H1687" s="342" t="s">
        <v>364</v>
      </c>
      <c r="I1687" s="437"/>
      <c r="J1687" s="437"/>
      <c r="K1687" s="428"/>
      <c r="L1687" s="437"/>
      <c r="M1687" s="65">
        <v>92500000</v>
      </c>
      <c r="N1687" s="66" t="s">
        <v>8</v>
      </c>
      <c r="O1687" s="66" t="s">
        <v>272</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c r="AE1687" s="1136" t="str">
        <f t="shared" si="199"/>
        <v>x</v>
      </c>
    </row>
    <row r="1688" spans="1:31" ht="15.75" customHeight="1">
      <c r="A1688" s="334" t="str">
        <f>IF(B1688&lt;&gt;"",IF(AND(B1688='IN-TC'!$S$4,OR(TH!N1688="1111",TH!O1688="1111")),TH!D1688,""),"")</f>
        <v/>
      </c>
      <c r="B1688" s="63">
        <v>9</v>
      </c>
      <c r="C1688" s="64">
        <v>42643</v>
      </c>
      <c r="D1688" s="64" t="s">
        <v>2300</v>
      </c>
      <c r="E1688" s="64">
        <v>42643</v>
      </c>
      <c r="F1688" s="72" t="s">
        <v>945</v>
      </c>
      <c r="G1688" s="67" t="s">
        <v>338</v>
      </c>
      <c r="H1688" s="342" t="s">
        <v>367</v>
      </c>
      <c r="I1688" s="437"/>
      <c r="J1688" s="437"/>
      <c r="K1688" s="428"/>
      <c r="L1688" s="437"/>
      <c r="M1688" s="65">
        <v>100825000</v>
      </c>
      <c r="N1688" s="66" t="s">
        <v>8</v>
      </c>
      <c r="O1688" s="66" t="s">
        <v>272</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c r="AE1688" s="1136" t="str">
        <f t="shared" si="199"/>
        <v>x</v>
      </c>
    </row>
    <row r="1689" spans="1:31" ht="15.75" customHeight="1">
      <c r="A1689" s="334" t="str">
        <f>IF(B1689&lt;&gt;"",IF(AND(B1689='IN-TC'!$S$4,OR(TH!N1689="1111",TH!O1689="1111")),TH!D1689,""),"")</f>
        <v/>
      </c>
      <c r="B1689" s="63">
        <v>10</v>
      </c>
      <c r="C1689" s="64">
        <v>42674</v>
      </c>
      <c r="D1689" s="64" t="s">
        <v>2301</v>
      </c>
      <c r="E1689" s="64">
        <v>42674</v>
      </c>
      <c r="F1689" s="72" t="s">
        <v>945</v>
      </c>
      <c r="G1689" s="67" t="s">
        <v>344</v>
      </c>
      <c r="H1689" s="342" t="s">
        <v>424</v>
      </c>
      <c r="I1689" s="437"/>
      <c r="J1689" s="437"/>
      <c r="K1689" s="428"/>
      <c r="L1689" s="437"/>
      <c r="M1689" s="65">
        <v>308805000</v>
      </c>
      <c r="N1689" s="66" t="s">
        <v>8</v>
      </c>
      <c r="O1689" s="66" t="s">
        <v>272</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c r="AE1689" s="1136" t="str">
        <f t="shared" si="199"/>
        <v>x</v>
      </c>
    </row>
    <row r="1690" spans="1:31" ht="15.75" customHeight="1">
      <c r="A1690" s="334" t="str">
        <f>IF(B1690&lt;&gt;"",IF(AND(B1690='IN-TC'!$S$4,OR(TH!N1690="1111",TH!O1690="1111")),TH!D1690,""),"")</f>
        <v/>
      </c>
      <c r="B1690" s="63">
        <v>10</v>
      </c>
      <c r="C1690" s="64">
        <v>42674</v>
      </c>
      <c r="D1690" s="64" t="s">
        <v>2301</v>
      </c>
      <c r="E1690" s="64">
        <v>42674</v>
      </c>
      <c r="F1690" s="72" t="s">
        <v>945</v>
      </c>
      <c r="G1690" s="67" t="s">
        <v>344</v>
      </c>
      <c r="H1690" s="342" t="s">
        <v>414</v>
      </c>
      <c r="I1690" s="437"/>
      <c r="J1690" s="437"/>
      <c r="K1690" s="428"/>
      <c r="L1690" s="437"/>
      <c r="M1690" s="65">
        <v>320535000</v>
      </c>
      <c r="N1690" s="66" t="s">
        <v>8</v>
      </c>
      <c r="O1690" s="66" t="s">
        <v>272</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c r="AE1690" s="1136" t="str">
        <f t="shared" si="199"/>
        <v>x</v>
      </c>
    </row>
    <row r="1691" spans="1:31" ht="15.75" customHeight="1">
      <c r="A1691" s="334" t="str">
        <f>IF(B1691&lt;&gt;"",IF(AND(B1691='IN-TC'!$S$4,OR(TH!N1691="1111",TH!O1691="1111")),TH!D1691,""),"")</f>
        <v/>
      </c>
      <c r="B1691" s="63">
        <v>10</v>
      </c>
      <c r="C1691" s="64">
        <v>42674</v>
      </c>
      <c r="D1691" s="64" t="s">
        <v>2301</v>
      </c>
      <c r="E1691" s="64">
        <v>42674</v>
      </c>
      <c r="F1691" s="72" t="s">
        <v>945</v>
      </c>
      <c r="G1691" s="67" t="s">
        <v>344</v>
      </c>
      <c r="H1691" s="342" t="s">
        <v>416</v>
      </c>
      <c r="I1691" s="437"/>
      <c r="J1691" s="437"/>
      <c r="K1691" s="428"/>
      <c r="L1691" s="437"/>
      <c r="M1691" s="65">
        <v>349860000</v>
      </c>
      <c r="N1691" s="66" t="s">
        <v>8</v>
      </c>
      <c r="O1691" s="66" t="s">
        <v>272</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c r="AE1691" s="1136" t="str">
        <f t="shared" si="199"/>
        <v>x</v>
      </c>
    </row>
    <row r="1692" spans="1:31" ht="15.75" customHeight="1">
      <c r="A1692" s="334" t="str">
        <f>IF(B1692&lt;&gt;"",IF(AND(B1692='IN-TC'!$S$4,OR(TH!N1692="1111",TH!O1692="1111")),TH!D1692,""),"")</f>
        <v/>
      </c>
      <c r="B1692" s="63">
        <v>10</v>
      </c>
      <c r="C1692" s="64">
        <v>42674</v>
      </c>
      <c r="D1692" s="64" t="s">
        <v>2301</v>
      </c>
      <c r="E1692" s="64">
        <v>42674</v>
      </c>
      <c r="F1692" s="72" t="s">
        <v>945</v>
      </c>
      <c r="G1692" s="67" t="s">
        <v>344</v>
      </c>
      <c r="H1692" s="342" t="s">
        <v>418</v>
      </c>
      <c r="I1692" s="437"/>
      <c r="J1692" s="437"/>
      <c r="K1692" s="428"/>
      <c r="L1692" s="437"/>
      <c r="M1692" s="65">
        <v>327930000</v>
      </c>
      <c r="N1692" s="66" t="s">
        <v>8</v>
      </c>
      <c r="O1692" s="66" t="s">
        <v>272</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c r="AE1692" s="1136" t="str">
        <f>IF(H1692&lt;&gt;VLOOKUP(H1692,DSKH,1,0),"","x")</f>
        <v>x</v>
      </c>
    </row>
    <row r="1693" spans="1:31" ht="15.75" customHeight="1">
      <c r="A1693" s="334" t="str">
        <f>IF(B1693&lt;&gt;"",IF(AND(B1693='IN-TC'!$S$4,OR(TH!N1693="1111",TH!O1693="1111")),TH!D1693,""),"")</f>
        <v/>
      </c>
      <c r="B1693" s="63">
        <v>10</v>
      </c>
      <c r="C1693" s="64">
        <v>42674</v>
      </c>
      <c r="D1693" s="64" t="s">
        <v>2301</v>
      </c>
      <c r="E1693" s="64">
        <v>42674</v>
      </c>
      <c r="F1693" s="72" t="s">
        <v>945</v>
      </c>
      <c r="G1693" s="67" t="s">
        <v>344</v>
      </c>
      <c r="H1693" s="342" t="s">
        <v>411</v>
      </c>
      <c r="I1693" s="437"/>
      <c r="J1693" s="437"/>
      <c r="K1693" s="428"/>
      <c r="L1693" s="437"/>
      <c r="M1693" s="65">
        <v>343485000</v>
      </c>
      <c r="N1693" s="66" t="s">
        <v>8</v>
      </c>
      <c r="O1693" s="66" t="s">
        <v>272</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c r="AE1693" s="1136" t="str">
        <f>IF(H1693&lt;&gt;VLOOKUP(H1693,DSKH,1,0),"","x")</f>
        <v>x</v>
      </c>
    </row>
    <row r="1694" spans="1:31" ht="15.75" customHeight="1">
      <c r="A1694" s="334" t="str">
        <f>IF(B1694&lt;&gt;"",IF(AND(B1694='IN-TC'!$S$4,OR(TH!N1694="1111",TH!O1694="1111")),TH!D1694,""),"")</f>
        <v/>
      </c>
      <c r="B1694" s="63">
        <v>10</v>
      </c>
      <c r="C1694" s="64">
        <v>42674</v>
      </c>
      <c r="D1694" s="64" t="s">
        <v>2301</v>
      </c>
      <c r="E1694" s="64">
        <v>42674</v>
      </c>
      <c r="F1694" s="72" t="s">
        <v>945</v>
      </c>
      <c r="G1694" s="67" t="s">
        <v>344</v>
      </c>
      <c r="H1694" s="342" t="s">
        <v>421</v>
      </c>
      <c r="I1694" s="437"/>
      <c r="J1694" s="437"/>
      <c r="K1694" s="428"/>
      <c r="L1694" s="437"/>
      <c r="M1694" s="65">
        <v>167535000</v>
      </c>
      <c r="N1694" s="66" t="s">
        <v>8</v>
      </c>
      <c r="O1694" s="66" t="s">
        <v>272</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c r="AE1694" s="1136" t="str">
        <f>IF(H1694&lt;&gt;VLOOKUP(H1694,DSKH,1,0),"","x")</f>
        <v>x</v>
      </c>
    </row>
    <row r="1695" spans="1:31" ht="15.75" customHeight="1">
      <c r="A1695" s="334" t="str">
        <f>IF(B1695&lt;&gt;"",IF(AND(B1695='IN-TC'!$S$4,OR(TH!N1695="1111",TH!O1695="1111")),TH!D1695,""),"")</f>
        <v/>
      </c>
      <c r="B1695" s="63">
        <v>10</v>
      </c>
      <c r="C1695" s="64">
        <v>42674</v>
      </c>
      <c r="D1695" s="64" t="s">
        <v>2301</v>
      </c>
      <c r="E1695" s="64">
        <v>42674</v>
      </c>
      <c r="F1695" s="72" t="s">
        <v>945</v>
      </c>
      <c r="G1695" s="67" t="s">
        <v>344</v>
      </c>
      <c r="H1695" s="342" t="s">
        <v>423</v>
      </c>
      <c r="I1695" s="437"/>
      <c r="J1695" s="437"/>
      <c r="K1695" s="428"/>
      <c r="L1695" s="437"/>
      <c r="M1695" s="65">
        <v>158865000</v>
      </c>
      <c r="N1695" s="66" t="s">
        <v>8</v>
      </c>
      <c r="O1695" s="66" t="s">
        <v>272</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c r="AE1695" s="1136" t="str">
        <f>IF(H1695&lt;&gt;VLOOKUP(H1695,DSKH,1,0),"","x")</f>
        <v>x</v>
      </c>
    </row>
    <row r="1696" spans="1:31" ht="15.75" customHeight="1">
      <c r="A1696" s="334" t="str">
        <f>IF(B1696&lt;&gt;"",IF(AND(B1696='IN-TC'!$S$4,OR(TH!N1696="1111",TH!O1696="1111")),TH!D1696,""),"")</f>
        <v/>
      </c>
      <c r="B1696" s="63">
        <v>10</v>
      </c>
      <c r="C1696" s="64">
        <v>42674</v>
      </c>
      <c r="D1696" s="64" t="s">
        <v>2302</v>
      </c>
      <c r="E1696" s="64">
        <v>42674</v>
      </c>
      <c r="F1696" s="72" t="s">
        <v>945</v>
      </c>
      <c r="G1696" s="67" t="s">
        <v>338</v>
      </c>
      <c r="H1696" s="342" t="s">
        <v>391</v>
      </c>
      <c r="I1696" s="437"/>
      <c r="J1696" s="437"/>
      <c r="K1696" s="428"/>
      <c r="L1696" s="437"/>
      <c r="M1696" s="65">
        <v>1677360000</v>
      </c>
      <c r="N1696" s="66" t="s">
        <v>8</v>
      </c>
      <c r="O1696" s="66" t="s">
        <v>272</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c r="AE1696" s="1136" t="str">
        <f t="shared" si="199"/>
        <v>x</v>
      </c>
    </row>
    <row r="1697" spans="1:31" ht="15.75" customHeight="1">
      <c r="A1697" s="334" t="str">
        <f>IF(B1697&lt;&gt;"",IF(AND(B1697='IN-TC'!$S$4,OR(TH!N1697="1111",TH!O1697="1111")),TH!D1697,""),"")</f>
        <v/>
      </c>
      <c r="B1697" s="63">
        <v>10</v>
      </c>
      <c r="C1697" s="64">
        <v>42674</v>
      </c>
      <c r="D1697" s="64" t="s">
        <v>2302</v>
      </c>
      <c r="E1697" s="64">
        <v>42674</v>
      </c>
      <c r="F1697" s="72" t="s">
        <v>945</v>
      </c>
      <c r="G1697" s="67" t="s">
        <v>338</v>
      </c>
      <c r="H1697" s="342" t="s">
        <v>393</v>
      </c>
      <c r="I1697" s="437"/>
      <c r="J1697" s="437"/>
      <c r="K1697" s="428"/>
      <c r="L1697" s="437"/>
      <c r="M1697" s="65">
        <v>1391770000</v>
      </c>
      <c r="N1697" s="66" t="s">
        <v>8</v>
      </c>
      <c r="O1697" s="66" t="s">
        <v>272</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c r="AE1697" s="1136" t="str">
        <f t="shared" si="199"/>
        <v>x</v>
      </c>
    </row>
    <row r="1698" spans="1:31" ht="15.75" customHeight="1">
      <c r="A1698" s="334" t="str">
        <f>IF(B1698&lt;&gt;"",IF(AND(B1698='IN-TC'!$S$4,OR(TH!N1698="1111",TH!O1698="1111")),TH!D1698,""),"")</f>
        <v/>
      </c>
      <c r="B1698" s="63">
        <v>10</v>
      </c>
      <c r="C1698" s="64">
        <v>42674</v>
      </c>
      <c r="D1698" s="64" t="s">
        <v>2302</v>
      </c>
      <c r="E1698" s="64">
        <v>42674</v>
      </c>
      <c r="F1698" s="72" t="s">
        <v>945</v>
      </c>
      <c r="G1698" s="67" t="s">
        <v>338</v>
      </c>
      <c r="H1698" s="342" t="s">
        <v>378</v>
      </c>
      <c r="I1698" s="437"/>
      <c r="J1698" s="437"/>
      <c r="K1698" s="428"/>
      <c r="L1698" s="437"/>
      <c r="M1698" s="65">
        <v>1249155000</v>
      </c>
      <c r="N1698" s="66" t="s">
        <v>8</v>
      </c>
      <c r="O1698" s="66" t="s">
        <v>272</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c r="AE1698" s="1136" t="str">
        <f t="shared" si="199"/>
        <v>x</v>
      </c>
    </row>
    <row r="1699" spans="1:31" ht="15.75" customHeight="1">
      <c r="A1699" s="334" t="str">
        <f>IF(B1699&lt;&gt;"",IF(AND(B1699='IN-TC'!$S$4,OR(TH!N1699="1111",TH!O1699="1111")),TH!D1699,""),"")</f>
        <v/>
      </c>
      <c r="B1699" s="63">
        <v>10</v>
      </c>
      <c r="C1699" s="64">
        <v>42674</v>
      </c>
      <c r="D1699" s="64" t="s">
        <v>2302</v>
      </c>
      <c r="E1699" s="64">
        <v>42674</v>
      </c>
      <c r="F1699" s="72" t="s">
        <v>945</v>
      </c>
      <c r="G1699" s="67" t="s">
        <v>338</v>
      </c>
      <c r="H1699" s="342" t="s">
        <v>395</v>
      </c>
      <c r="I1699" s="437"/>
      <c r="J1699" s="437"/>
      <c r="K1699" s="428"/>
      <c r="L1699" s="437"/>
      <c r="M1699" s="65">
        <v>1371515000</v>
      </c>
      <c r="N1699" s="66" t="s">
        <v>8</v>
      </c>
      <c r="O1699" s="66" t="s">
        <v>272</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c r="AE1699" s="1136" t="str">
        <f t="shared" si="199"/>
        <v>x</v>
      </c>
    </row>
    <row r="1700" spans="1:31" ht="15.75" customHeight="1">
      <c r="A1700" s="334" t="str">
        <f>IF(B1700&lt;&gt;"",IF(AND(B1700='IN-TC'!$S$4,OR(TH!N1700="1111",TH!O1700="1111")),TH!D1700,""),"")</f>
        <v/>
      </c>
      <c r="B1700" s="63">
        <v>10</v>
      </c>
      <c r="C1700" s="64">
        <v>42674</v>
      </c>
      <c r="D1700" s="64" t="s">
        <v>2302</v>
      </c>
      <c r="E1700" s="64">
        <v>42674</v>
      </c>
      <c r="F1700" s="72" t="s">
        <v>945</v>
      </c>
      <c r="G1700" s="67" t="s">
        <v>338</v>
      </c>
      <c r="H1700" s="342" t="s">
        <v>388</v>
      </c>
      <c r="I1700" s="437"/>
      <c r="J1700" s="437"/>
      <c r="K1700" s="428"/>
      <c r="L1700" s="437"/>
      <c r="M1700" s="65">
        <v>1235830000</v>
      </c>
      <c r="N1700" s="66" t="s">
        <v>8</v>
      </c>
      <c r="O1700" s="66" t="s">
        <v>272</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c r="AE1700" s="1136" t="str">
        <f t="shared" si="199"/>
        <v>x</v>
      </c>
    </row>
    <row r="1701" spans="1:31" ht="15.75" customHeight="1">
      <c r="A1701" s="334" t="str">
        <f>IF(B1701&lt;&gt;"",IF(AND(B1701='IN-TC'!$S$4,OR(TH!N1701="1111",TH!O1701="1111")),TH!D1701,""),"")</f>
        <v/>
      </c>
      <c r="B1701" s="63">
        <v>10</v>
      </c>
      <c r="C1701" s="64">
        <v>42674</v>
      </c>
      <c r="D1701" s="64" t="s">
        <v>2302</v>
      </c>
      <c r="E1701" s="64">
        <v>42674</v>
      </c>
      <c r="F1701" s="72" t="s">
        <v>945</v>
      </c>
      <c r="G1701" s="67" t="s">
        <v>338</v>
      </c>
      <c r="H1701" s="342" t="s">
        <v>383</v>
      </c>
      <c r="I1701" s="437"/>
      <c r="J1701" s="437"/>
      <c r="K1701" s="428"/>
      <c r="L1701" s="437"/>
      <c r="M1701" s="65">
        <v>1685020000</v>
      </c>
      <c r="N1701" s="66" t="s">
        <v>8</v>
      </c>
      <c r="O1701" s="66" t="s">
        <v>272</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c r="AE1701" s="1136" t="str">
        <f>IF(H1701&lt;&gt;VLOOKUP(H1701,DSKH,1,0),"","x")</f>
        <v>x</v>
      </c>
    </row>
    <row r="1702" spans="1:31" ht="15.75" customHeight="1">
      <c r="A1702" s="334" t="str">
        <f>IF(B1702&lt;&gt;"",IF(AND(B1702='IN-TC'!$S$4,OR(TH!N1702="1111",TH!O1702="1111")),TH!D1702,""),"")</f>
        <v/>
      </c>
      <c r="B1702" s="63">
        <v>10</v>
      </c>
      <c r="C1702" s="64">
        <v>42674</v>
      </c>
      <c r="D1702" s="64" t="s">
        <v>2302</v>
      </c>
      <c r="E1702" s="64">
        <v>42674</v>
      </c>
      <c r="F1702" s="72" t="s">
        <v>945</v>
      </c>
      <c r="G1702" s="67" t="s">
        <v>338</v>
      </c>
      <c r="H1702" s="342" t="s">
        <v>385</v>
      </c>
      <c r="I1702" s="437"/>
      <c r="J1702" s="437"/>
      <c r="K1702" s="428"/>
      <c r="L1702" s="437"/>
      <c r="M1702" s="65">
        <v>1521930000</v>
      </c>
      <c r="N1702" s="66" t="s">
        <v>8</v>
      </c>
      <c r="O1702" s="66" t="s">
        <v>272</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c r="AE1702" s="1136" t="str">
        <f>IF(H1702&lt;&gt;VLOOKUP(H1702,DSKH,1,0),"","x")</f>
        <v>x</v>
      </c>
    </row>
    <row r="1703" spans="1:31" ht="15.75" customHeight="1">
      <c r="A1703" s="334" t="str">
        <f>IF(B1703&lt;&gt;"",IF(AND(B1703='IN-TC'!$S$4,OR(TH!N1703="1111",TH!O1703="1111")),TH!D1703,""),"")</f>
        <v/>
      </c>
      <c r="B1703" s="63">
        <v>10</v>
      </c>
      <c r="C1703" s="64">
        <v>42674</v>
      </c>
      <c r="D1703" s="64" t="s">
        <v>2302</v>
      </c>
      <c r="E1703" s="64">
        <v>42674</v>
      </c>
      <c r="F1703" s="72" t="s">
        <v>945</v>
      </c>
      <c r="G1703" s="67" t="s">
        <v>338</v>
      </c>
      <c r="H1703" s="342" t="s">
        <v>1970</v>
      </c>
      <c r="I1703" s="437"/>
      <c r="J1703" s="437"/>
      <c r="K1703" s="428"/>
      <c r="L1703" s="437"/>
      <c r="M1703" s="65">
        <v>1535100000</v>
      </c>
      <c r="N1703" s="66" t="s">
        <v>8</v>
      </c>
      <c r="O1703" s="66" t="s">
        <v>272</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c r="AE1703" s="1136" t="str">
        <f>IF(H1703&lt;&gt;VLOOKUP(H1703,DSKH,1,0),"","x")</f>
        <v>x</v>
      </c>
    </row>
    <row r="1704" spans="1:31" ht="15.75" customHeight="1">
      <c r="A1704" s="334" t="str">
        <f>IF(B1704&lt;&gt;"",IF(AND(B1704='IN-TC'!$S$4,OR(TH!N1704="1111",TH!O1704="1111")),TH!D1704,""),"")</f>
        <v/>
      </c>
      <c r="B1704" s="63">
        <v>10</v>
      </c>
      <c r="C1704" s="64">
        <v>42674</v>
      </c>
      <c r="D1704" s="64" t="s">
        <v>2302</v>
      </c>
      <c r="E1704" s="64">
        <v>42674</v>
      </c>
      <c r="F1704" s="72" t="s">
        <v>945</v>
      </c>
      <c r="G1704" s="67" t="s">
        <v>338</v>
      </c>
      <c r="H1704" s="342" t="s">
        <v>349</v>
      </c>
      <c r="I1704" s="437"/>
      <c r="J1704" s="437"/>
      <c r="K1704" s="428"/>
      <c r="L1704" s="437"/>
      <c r="M1704" s="65">
        <v>163200000</v>
      </c>
      <c r="N1704" s="66" t="s">
        <v>8</v>
      </c>
      <c r="O1704" s="66" t="s">
        <v>272</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c r="AE1704" s="1136" t="str">
        <f t="shared" si="199"/>
        <v>x</v>
      </c>
    </row>
    <row r="1705" spans="1:31" ht="15.75" customHeight="1">
      <c r="A1705" s="334" t="str">
        <f>IF(B1705&lt;&gt;"",IF(AND(B1705='IN-TC'!$S$4,OR(TH!N1705="1111",TH!O1705="1111")),TH!D1705,""),"")</f>
        <v/>
      </c>
      <c r="B1705" s="63">
        <v>10</v>
      </c>
      <c r="C1705" s="64">
        <v>42674</v>
      </c>
      <c r="D1705" s="64" t="s">
        <v>2302</v>
      </c>
      <c r="E1705" s="64">
        <v>42674</v>
      </c>
      <c r="F1705" s="72" t="s">
        <v>945</v>
      </c>
      <c r="G1705" s="67" t="s">
        <v>338</v>
      </c>
      <c r="H1705" s="342" t="s">
        <v>367</v>
      </c>
      <c r="I1705" s="437"/>
      <c r="J1705" s="437"/>
      <c r="K1705" s="428"/>
      <c r="L1705" s="437"/>
      <c r="M1705" s="65">
        <v>161160000</v>
      </c>
      <c r="N1705" s="66" t="s">
        <v>8</v>
      </c>
      <c r="O1705" s="66" t="s">
        <v>272</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c r="AE1705" s="1136" t="str">
        <f t="shared" si="199"/>
        <v>x</v>
      </c>
    </row>
    <row r="1706" spans="1:31" ht="15.75" customHeight="1">
      <c r="A1706" s="334" t="str">
        <f>IF(B1706&lt;&gt;"",IF(AND(B1706='IN-TC'!$S$4,OR(TH!N1706="1111",TH!O1706="1111")),TH!D1706,""),"")</f>
        <v/>
      </c>
      <c r="B1706" s="63">
        <v>10</v>
      </c>
      <c r="C1706" s="64">
        <v>42674</v>
      </c>
      <c r="D1706" s="64" t="s">
        <v>2302</v>
      </c>
      <c r="E1706" s="64">
        <v>42674</v>
      </c>
      <c r="F1706" s="72" t="s">
        <v>945</v>
      </c>
      <c r="G1706" s="67" t="s">
        <v>338</v>
      </c>
      <c r="H1706" s="342" t="s">
        <v>361</v>
      </c>
      <c r="I1706" s="437"/>
      <c r="J1706" s="437"/>
      <c r="K1706" s="428"/>
      <c r="L1706" s="437"/>
      <c r="M1706" s="65">
        <v>168300000</v>
      </c>
      <c r="N1706" s="66" t="s">
        <v>8</v>
      </c>
      <c r="O1706" s="66" t="s">
        <v>272</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c r="AE1706" s="1136" t="str">
        <f t="shared" si="199"/>
        <v>x</v>
      </c>
    </row>
    <row r="1707" spans="1:31" ht="15.75" customHeight="1">
      <c r="A1707" s="334" t="str">
        <f>IF(B1707&lt;&gt;"",IF(AND(B1707='IN-TC'!$S$4,OR(TH!N1707="1111",TH!O1707="1111")),TH!D1707,""),"")</f>
        <v/>
      </c>
      <c r="B1707" s="63">
        <v>10</v>
      </c>
      <c r="C1707" s="64">
        <v>42674</v>
      </c>
      <c r="D1707" s="64" t="s">
        <v>2302</v>
      </c>
      <c r="E1707" s="64">
        <v>42674</v>
      </c>
      <c r="F1707" s="72" t="s">
        <v>945</v>
      </c>
      <c r="G1707" s="67" t="s">
        <v>338</v>
      </c>
      <c r="H1707" s="342" t="s">
        <v>346</v>
      </c>
      <c r="I1707" s="437"/>
      <c r="J1707" s="437"/>
      <c r="K1707" s="428"/>
      <c r="L1707" s="437"/>
      <c r="M1707" s="65">
        <v>79560000</v>
      </c>
      <c r="N1707" s="66" t="s">
        <v>8</v>
      </c>
      <c r="O1707" s="66" t="s">
        <v>272</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c r="AE1707" s="1136" t="str">
        <f t="shared" si="199"/>
        <v>x</v>
      </c>
    </row>
    <row r="1708" spans="1:31" ht="15.75" customHeight="1">
      <c r="A1708" s="334" t="str">
        <f>IF(B1708&lt;&gt;"",IF(AND(B1708='IN-TC'!$S$4,OR(TH!N1708="1111",TH!O1708="1111")),TH!D1708,""),"")</f>
        <v/>
      </c>
      <c r="B1708" s="63">
        <v>10</v>
      </c>
      <c r="C1708" s="64">
        <v>42674</v>
      </c>
      <c r="D1708" s="64" t="s">
        <v>2302</v>
      </c>
      <c r="E1708" s="64">
        <v>42674</v>
      </c>
      <c r="F1708" s="72" t="s">
        <v>945</v>
      </c>
      <c r="G1708" s="67" t="s">
        <v>338</v>
      </c>
      <c r="H1708" s="342" t="s">
        <v>364</v>
      </c>
      <c r="I1708" s="437"/>
      <c r="J1708" s="437"/>
      <c r="K1708" s="428"/>
      <c r="L1708" s="437"/>
      <c r="M1708" s="65">
        <v>80580000</v>
      </c>
      <c r="N1708" s="66" t="s">
        <v>8</v>
      </c>
      <c r="O1708" s="66" t="s">
        <v>272</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c r="AE1708" s="1136" t="str">
        <f t="shared" si="199"/>
        <v>x</v>
      </c>
    </row>
    <row r="1709" spans="1:31" ht="15.75" customHeight="1">
      <c r="A1709" s="334" t="str">
        <f>IF(B1709&lt;&gt;"",IF(AND(B1709='IN-TC'!$S$4,OR(TH!N1709="1111",TH!O1709="1111")),TH!D1709,""),"")</f>
        <v/>
      </c>
      <c r="B1709" s="63"/>
      <c r="C1709" s="64">
        <f t="shared" ref="C1709:C1710" si="200">E1709</f>
        <v>0</v>
      </c>
      <c r="D1709" s="64"/>
      <c r="E1709" s="64"/>
      <c r="F1709" s="72" t="s">
        <v>945</v>
      </c>
      <c r="G1709" s="67"/>
      <c r="H1709" s="342"/>
      <c r="I1709" s="437"/>
      <c r="J1709" s="437"/>
      <c r="K1709" s="428"/>
      <c r="L1709" s="437"/>
      <c r="M1709" s="65"/>
      <c r="N1709" s="66" t="s">
        <v>8</v>
      </c>
      <c r="O1709" s="66" t="s">
        <v>272</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c r="AE1709" s="1136" t="e">
        <f t="shared" si="199"/>
        <v>#N/A</v>
      </c>
    </row>
    <row r="1710" spans="1:31" ht="15.75" customHeight="1">
      <c r="A1710" s="334" t="str">
        <f>IF(B1710&lt;&gt;"",IF(AND(B1710='IN-TC'!$S$4,OR(TH!N1710="1111",TH!O1710="1111")),TH!D1710,""),"")</f>
        <v/>
      </c>
      <c r="B1710" s="63"/>
      <c r="C1710" s="64">
        <f t="shared" si="200"/>
        <v>0</v>
      </c>
      <c r="D1710" s="64"/>
      <c r="E1710" s="64"/>
      <c r="F1710" s="72" t="s">
        <v>945</v>
      </c>
      <c r="G1710" s="67"/>
      <c r="H1710" s="342"/>
      <c r="I1710" s="437"/>
      <c r="J1710" s="437"/>
      <c r="K1710" s="428"/>
      <c r="L1710" s="437"/>
      <c r="M1710" s="65"/>
      <c r="N1710" s="66" t="s">
        <v>8</v>
      </c>
      <c r="O1710" s="66" t="s">
        <v>272</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c r="AE1710" s="1136" t="e">
        <f t="shared" si="199"/>
        <v>#N/A</v>
      </c>
    </row>
    <row r="1711" spans="1:31" ht="15.75" customHeight="1">
      <c r="A1711" s="334" t="str">
        <f>IF(B1711&lt;&gt;"",IF(AND(B1711='IN-TC'!$S$4,OR(TH!N1711="1111",TH!O1711="1111")),TH!D1711,""),"")</f>
        <v/>
      </c>
      <c r="B1711" s="63"/>
      <c r="C1711" s="64">
        <f t="shared" ref="C1711:C1713" si="201">E1711</f>
        <v>0</v>
      </c>
      <c r="D1711" s="64"/>
      <c r="E1711" s="64"/>
      <c r="F1711" s="72" t="s">
        <v>945</v>
      </c>
      <c r="G1711" s="67"/>
      <c r="H1711" s="342"/>
      <c r="I1711" s="437"/>
      <c r="J1711" s="437"/>
      <c r="K1711" s="428"/>
      <c r="L1711" s="437"/>
      <c r="M1711" s="65"/>
      <c r="N1711" s="66" t="s">
        <v>8</v>
      </c>
      <c r="O1711" s="66" t="s">
        <v>272</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c r="AE1711" s="1136" t="e">
        <f t="shared" si="198"/>
        <v>#N/A</v>
      </c>
    </row>
    <row r="1712" spans="1:31" ht="15.75" customHeight="1">
      <c r="A1712" s="334" t="str">
        <f>IF(B1712&lt;&gt;"",IF(AND(B1712='IN-TC'!$S$4,OR(TH!N1712="1111",TH!O1712="1111")),TH!D1712,""),"")</f>
        <v/>
      </c>
      <c r="B1712" s="63"/>
      <c r="C1712" s="64">
        <f t="shared" si="201"/>
        <v>0</v>
      </c>
      <c r="D1712" s="64"/>
      <c r="E1712" s="64"/>
      <c r="F1712" s="72" t="s">
        <v>945</v>
      </c>
      <c r="G1712" s="67"/>
      <c r="H1712" s="342"/>
      <c r="I1712" s="437"/>
      <c r="J1712" s="437"/>
      <c r="K1712" s="428"/>
      <c r="L1712" s="437"/>
      <c r="M1712" s="65"/>
      <c r="N1712" s="66" t="s">
        <v>8</v>
      </c>
      <c r="O1712" s="66" t="s">
        <v>272</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c r="AE1712" s="1136" t="e">
        <f t="shared" si="198"/>
        <v>#N/A</v>
      </c>
    </row>
    <row r="1713" spans="1:32" ht="15.75" customHeight="1">
      <c r="A1713" s="334" t="str">
        <f>IF(B1713&lt;&gt;"",IF(AND(B1713='IN-TC'!$S$4,OR(TH!N1713="1111",TH!O1713="1111")),TH!D1713,""),"")</f>
        <v/>
      </c>
      <c r="B1713" s="63"/>
      <c r="C1713" s="64">
        <f t="shared" si="201"/>
        <v>0</v>
      </c>
      <c r="D1713" s="64"/>
      <c r="E1713" s="64"/>
      <c r="F1713" s="72" t="s">
        <v>945</v>
      </c>
      <c r="G1713" s="67"/>
      <c r="H1713" s="342"/>
      <c r="I1713" s="439"/>
      <c r="J1713" s="439"/>
      <c r="K1713" s="430"/>
      <c r="L1713" s="439"/>
      <c r="M1713" s="65"/>
      <c r="N1713" s="66" t="s">
        <v>8</v>
      </c>
      <c r="O1713" s="66" t="s">
        <v>272</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c r="AE1713" s="1136" t="e">
        <f t="shared" si="198"/>
        <v>#N/A</v>
      </c>
    </row>
    <row r="1714" spans="1:32" ht="15.75" customHeight="1">
      <c r="A1714" s="334" t="str">
        <f>IF(B1714&lt;&gt;"",IF(AND(B1714='IN-TC'!$S$4,OR(TH!N1716="1111",TH!O1716="1111")),TH!D1716,""),"")</f>
        <v/>
      </c>
      <c r="B1714" s="63">
        <f t="shared" si="196"/>
        <v>4</v>
      </c>
      <c r="C1714" s="64">
        <v>42464</v>
      </c>
      <c r="D1714" s="64" t="s">
        <v>867</v>
      </c>
      <c r="E1714" s="64">
        <f>C1714</f>
        <v>42464</v>
      </c>
      <c r="F1714" s="72" t="s">
        <v>1009</v>
      </c>
      <c r="G1714" s="972" t="s">
        <v>1387</v>
      </c>
      <c r="H1714" s="72" t="s">
        <v>1033</v>
      </c>
      <c r="I1714" s="437"/>
      <c r="J1714" s="437"/>
      <c r="K1714" s="428"/>
      <c r="L1714" s="437"/>
      <c r="M1714" s="65">
        <v>2100000</v>
      </c>
      <c r="N1714" s="66" t="s">
        <v>101</v>
      </c>
      <c r="O1714" s="66" t="s">
        <v>63</v>
      </c>
      <c r="P1714" s="82" t="str">
        <f>IF(AND('331-CT'!$E$7=TH!H1716,OR(N1714="331",O1714="331")),"x","")</f>
        <v/>
      </c>
      <c r="Q1714" s="82" t="str">
        <f>IF(AND(B1714='111'!$L$11,OR($N1714=$Q$7,$O1714=$Q$7)),"x","")</f>
        <v/>
      </c>
      <c r="R1714" s="82" t="str">
        <f>IF(AND($N1714=$Q$7,$B1714&lt;'111'!$L$11),"x","")</f>
        <v/>
      </c>
      <c r="S1714" s="82" t="str">
        <f>IF(AND($O1714=$Q$7,$B1714&lt;'111'!$L$11),"x","")</f>
        <v>x</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IF(OR(TH!N1716=TH!$X$7,O1714=TH!$X$7),"x","")</f>
        <v>x</v>
      </c>
      <c r="Y1714" s="82" t="str">
        <f>IF(AND(OR(N1714="131",O1714="131"),H1714='131-CT'!$H$9),"x","")</f>
        <v/>
      </c>
      <c r="Z1714" s="82"/>
      <c r="AA1714" s="82" t="str">
        <f>IF(AND(MONTH(E1714)='IN-NX'!$J$5,'IN-NX'!$D$7=D1714),"x","")</f>
        <v/>
      </c>
      <c r="AB1714" s="82" t="str">
        <f>IF(AND(OR(LEFT(TH!N1716,2)="15",LEFT(TH!O1716,2)="15"),LEFT(TH!O1716,3)&lt;&gt;"111",'152-CT'!$J$8=TH!F1716),"x","")</f>
        <v/>
      </c>
      <c r="AC1714" s="82" t="str">
        <f>IF(AND(OR(LEFT(TH!N1716,2)="15",LEFT(TH!O1716,2)="15"),TK!$E$7=TH!F1716),"x","")</f>
        <v/>
      </c>
      <c r="AD1714" s="82" t="str">
        <f>IF(AND(N1714="1521",MONTH(C1714)='BK-NL'!$M$11),"x","")</f>
        <v/>
      </c>
    </row>
    <row r="1715" spans="1:32" ht="15.75" customHeight="1">
      <c r="A1715" s="334" t="str">
        <f>IF(B1715&lt;&gt;"",IF(AND(B1715='IN-TC'!$S$4,OR(TH!N1717="1111",TH!O1717="1111")),TH!D1717,""),"")</f>
        <v/>
      </c>
      <c r="B1715" s="63">
        <f t="shared" si="196"/>
        <v>4</v>
      </c>
      <c r="C1715" s="64">
        <v>42464</v>
      </c>
      <c r="D1715" s="64" t="s">
        <v>867</v>
      </c>
      <c r="E1715" s="64">
        <f>C1715</f>
        <v>42464</v>
      </c>
      <c r="F1715" s="72" t="s">
        <v>773</v>
      </c>
      <c r="G1715" s="972" t="s">
        <v>1388</v>
      </c>
      <c r="H1715" s="72" t="s">
        <v>805</v>
      </c>
      <c r="I1715" s="437"/>
      <c r="J1715" s="437"/>
      <c r="K1715" s="428"/>
      <c r="L1715" s="437"/>
      <c r="M1715" s="65">
        <v>646036</v>
      </c>
      <c r="N1715" s="66" t="s">
        <v>101</v>
      </c>
      <c r="O1715" s="66" t="s">
        <v>63</v>
      </c>
      <c r="P1715" s="82" t="str">
        <f>IF(AND('331-CT'!$E$7=TH!H1717,OR(N1715="331",O1715="331")),"x","")</f>
        <v/>
      </c>
      <c r="Q1715" s="82" t="str">
        <f>IF(AND(B1715='111'!$L$11,OR($N1715=$Q$7,$O1715=$Q$7)),"x","")</f>
        <v/>
      </c>
      <c r="R1715" s="82" t="str">
        <f>IF(AND($N1715=$Q$7,$B1715&lt;'111'!$L$11),"x","")</f>
        <v/>
      </c>
      <c r="S1715" s="82" t="str">
        <f>IF(AND($O1715=$Q$7,$B1715&lt;'111'!$L$11),"x","")</f>
        <v>x</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IF(OR(TH!N1717=TH!$X$7,O1715=TH!$X$7),"x","")</f>
        <v/>
      </c>
      <c r="Y1715" s="82" t="str">
        <f>IF(AND(OR(N1715="131",O1715="131"),H1715='131-CT'!$H$9),"x","")</f>
        <v/>
      </c>
      <c r="Z1715" s="82"/>
      <c r="AA1715" s="82" t="str">
        <f>IF(AND(MONTH(E1715)='IN-NX'!$J$5,'IN-NX'!$D$7=D1715),"x","")</f>
        <v/>
      </c>
      <c r="AB1715" s="82" t="str">
        <f>IF(AND(OR(LEFT(TH!N1717,2)="15",LEFT(TH!O1717,2)="15"),LEFT(TH!O1717,3)&lt;&gt;"111",'152-CT'!$J$8=TH!F1717),"x","")</f>
        <v/>
      </c>
      <c r="AC1715" s="82" t="str">
        <f>IF(AND(OR(LEFT(TH!N1717,2)="15",LEFT(TH!O1717,2)="15"),TK!$E$7=TH!F1717),"x","")</f>
        <v/>
      </c>
      <c r="AD1715" s="82" t="str">
        <f>IF(AND(N1715="1521",MONTH(C1715)='BK-NL'!$M$11),"x","")</f>
        <v/>
      </c>
    </row>
    <row r="1716" spans="1:32" ht="15.75" customHeight="1">
      <c r="A1716" s="334" t="str">
        <f>IF(B1716&lt;&gt;"",IF(AND(B1716='IN-TC'!$S$4,OR(TH!N1718="1111",TH!O1718="1111")),TH!D1718,""),"")</f>
        <v/>
      </c>
      <c r="B1716" s="63">
        <f t="shared" si="196"/>
        <v>4</v>
      </c>
      <c r="C1716" s="64">
        <v>42464</v>
      </c>
      <c r="D1716" s="64" t="s">
        <v>868</v>
      </c>
      <c r="E1716" s="64">
        <f>C1716</f>
        <v>42464</v>
      </c>
      <c r="F1716" s="72" t="s">
        <v>774</v>
      </c>
      <c r="G1716" s="972" t="s">
        <v>1388</v>
      </c>
      <c r="H1716" s="72" t="s">
        <v>805</v>
      </c>
      <c r="I1716" s="437"/>
      <c r="J1716" s="437"/>
      <c r="K1716" s="428"/>
      <c r="L1716" s="437"/>
      <c r="M1716" s="65">
        <v>64604</v>
      </c>
      <c r="N1716" s="66" t="s">
        <v>9</v>
      </c>
      <c r="O1716" s="66" t="s">
        <v>63</v>
      </c>
      <c r="P1716" s="82" t="str">
        <f>IF(AND('331-CT'!$E$7=TH!H1718,OR(N1716="331",O1716="331")),"x","")</f>
        <v/>
      </c>
      <c r="Q1716" s="82" t="str">
        <f>IF(AND(B1716='111'!$L$11,OR($N1716=$Q$7,$O1716=$Q$7)),"x","")</f>
        <v/>
      </c>
      <c r="R1716" s="82" t="str">
        <f>IF(AND($N1716=$Q$7,$B1716&lt;'111'!$L$11),"x","")</f>
        <v/>
      </c>
      <c r="S1716" s="82" t="str">
        <f>IF(AND($O1716=$Q$7,$B1716&lt;'111'!$L$11),"x","")</f>
        <v>x</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IF(OR(TH!N1718=TH!$X$7,O1716=TH!$X$7),"x","")</f>
        <v>x</v>
      </c>
      <c r="Y1716" s="82" t="str">
        <f>IF(AND(OR(N1716="131",O1716="131"),H1716='131-CT'!$H$9),"x","")</f>
        <v/>
      </c>
      <c r="Z1716" s="82"/>
      <c r="AA1716" s="82" t="str">
        <f>IF(AND(MONTH(E1716)='IN-NX'!$J$5,'IN-NX'!$D$7=D1716),"x","")</f>
        <v/>
      </c>
      <c r="AB1716" s="82" t="str">
        <f>IF(AND(OR(LEFT(TH!N1718,2)="15",LEFT(TH!O1718,2)="15"),LEFT(TH!O1718,3)&lt;&gt;"111",'152-CT'!$J$8=TH!F1718),"x","")</f>
        <v/>
      </c>
      <c r="AC1716" s="82" t="str">
        <f>IF(AND(OR(LEFT(TH!N1718,2)="15",LEFT(TH!O1718,2)="15"),TK!$E$7=TH!F1718),"x","")</f>
        <v/>
      </c>
      <c r="AD1716" s="82" t="str">
        <f>IF(AND(N1716="1521",MONTH(C1716)='BK-NL'!$M$11),"x","")</f>
        <v/>
      </c>
    </row>
    <row r="1717" spans="1:32" ht="15.75" customHeight="1">
      <c r="A1717" s="334" t="str">
        <f>IF(B1717&lt;&gt;"",IF(AND(B1717='IN-TC'!$S$4,OR(TH!N1719="1111",TH!O1719="1111")),TH!D1719,""),"")</f>
        <v/>
      </c>
      <c r="B1717" s="63">
        <f t="shared" si="196"/>
        <v>4</v>
      </c>
      <c r="C1717" s="64">
        <v>42465</v>
      </c>
      <c r="D1717" s="64" t="s">
        <v>869</v>
      </c>
      <c r="E1717" s="64">
        <f>C1717</f>
        <v>42465</v>
      </c>
      <c r="F1717" s="72" t="s">
        <v>1389</v>
      </c>
      <c r="G1717" s="972" t="s">
        <v>1390</v>
      </c>
      <c r="H1717" s="72" t="s">
        <v>843</v>
      </c>
      <c r="I1717" s="437"/>
      <c r="J1717" s="437"/>
      <c r="K1717" s="428"/>
      <c r="L1717" s="437"/>
      <c r="M1717" s="65">
        <v>1981538</v>
      </c>
      <c r="N1717" s="66" t="s">
        <v>101</v>
      </c>
      <c r="O1717" s="66" t="s">
        <v>63</v>
      </c>
      <c r="P1717" s="82" t="str">
        <f>IF(AND('331-CT'!$E$7=TH!H1719,OR(N1717="331",O1717="331")),"x","")</f>
        <v/>
      </c>
      <c r="Q1717" s="82" t="str">
        <f>IF(AND(B1717='111'!$L$11,OR($N1717=$Q$7,$O1717=$Q$7)),"x","")</f>
        <v/>
      </c>
      <c r="R1717" s="82" t="str">
        <f>IF(AND($N1717=$Q$7,$B1717&lt;'111'!$L$11),"x","")</f>
        <v/>
      </c>
      <c r="S1717" s="82" t="str">
        <f>IF(AND($O1717=$Q$7,$B1717&lt;'111'!$L$11),"x","")</f>
        <v>x</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IF(OR(TH!N1719=TH!$X$7,O1717=TH!$X$7),"x","")</f>
        <v/>
      </c>
      <c r="Y1717" s="82" t="str">
        <f>IF(AND(OR(N1717="131",O1717="131"),H1717='131-CT'!$H$9),"x","")</f>
        <v/>
      </c>
      <c r="Z1717" s="82"/>
      <c r="AA1717" s="82" t="str">
        <f>IF(AND(MONTH(E1717)='IN-NX'!$J$5,'IN-NX'!$D$7=D1717),"x","")</f>
        <v/>
      </c>
      <c r="AB1717" s="82" t="str">
        <f>IF(AND(OR(LEFT(TH!N1719,2)="15",LEFT(TH!O1719,2)="15"),LEFT(TH!O1719,3)&lt;&gt;"111",'152-CT'!$J$8=TH!F1719),"x","")</f>
        <v/>
      </c>
      <c r="AC1717" s="82" t="str">
        <f>IF(AND(OR(LEFT(TH!N1719,2)="15",LEFT(TH!O1719,2)="15"),TK!$E$7=TH!F1719),"x","")</f>
        <v/>
      </c>
      <c r="AD1717" s="82" t="str">
        <f>IF(AND(N1717="1521",MONTH(C1717)='BK-NL'!$M$11),"x","")</f>
        <v/>
      </c>
    </row>
    <row r="1718" spans="1:32" ht="15.75" customHeight="1">
      <c r="A1718" s="334" t="str">
        <f>IF(B1718&lt;&gt;"",IF(AND(B1718='IN-TC'!$S$4,OR(TH!N1720="1111",TH!O1720="1111")),TH!D1720,""),"")</f>
        <v/>
      </c>
      <c r="B1718" s="63">
        <f t="shared" si="196"/>
        <v>4</v>
      </c>
      <c r="C1718" s="64">
        <v>42465</v>
      </c>
      <c r="D1718" s="64" t="s">
        <v>869</v>
      </c>
      <c r="E1718" s="64">
        <f>C1718</f>
        <v>42465</v>
      </c>
      <c r="F1718" s="72" t="s">
        <v>1391</v>
      </c>
      <c r="G1718" s="972" t="s">
        <v>1390</v>
      </c>
      <c r="H1718" s="72" t="s">
        <v>843</v>
      </c>
      <c r="I1718" s="437"/>
      <c r="J1718" s="437"/>
      <c r="K1718" s="428"/>
      <c r="L1718" s="437"/>
      <c r="M1718" s="65">
        <v>198154</v>
      </c>
      <c r="N1718" s="66" t="s">
        <v>9</v>
      </c>
      <c r="O1718" s="66" t="s">
        <v>63</v>
      </c>
      <c r="P1718" s="82" t="str">
        <f>IF(AND('331-CT'!$E$7=TH!H1720,OR(N1718="331",O1718="331")),"x","")</f>
        <v/>
      </c>
      <c r="Q1718" s="82" t="str">
        <f>IF(AND(B1718='111'!$L$11,OR($N1718=$Q$7,$O1718=$Q$7)),"x","")</f>
        <v/>
      </c>
      <c r="R1718" s="82" t="str">
        <f>IF(AND($N1718=$Q$7,$B1718&lt;'111'!$L$11),"x","")</f>
        <v/>
      </c>
      <c r="S1718" s="82" t="str">
        <f>IF(AND($O1718=$Q$7,$B1718&lt;'111'!$L$11),"x","")</f>
        <v>x</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IF(OR(TH!N1720=TH!$X$7,O1718=TH!$X$7),"x","")</f>
        <v/>
      </c>
      <c r="Y1718" s="82" t="str">
        <f>IF(AND(OR(N1718="131",O1718="131"),H1718='131-CT'!$H$9),"x","")</f>
        <v/>
      </c>
      <c r="Z1718" s="82"/>
      <c r="AA1718" s="82" t="str">
        <f>IF(AND(MONTH(E1718)='IN-NX'!$J$5,'IN-NX'!$D$7=D1718),"x","")</f>
        <v/>
      </c>
      <c r="AB1718" s="82" t="str">
        <f>IF(AND(OR(LEFT(TH!N1720,2)="15",LEFT(TH!O1720,2)="15"),LEFT(TH!O1720,3)&lt;&gt;"111",'152-CT'!$J$8=TH!F1720),"x","")</f>
        <v/>
      </c>
      <c r="AC1718" s="82" t="str">
        <f>IF(AND(OR(LEFT(TH!N1720,2)="15",LEFT(TH!O1720,2)="15"),TK!$E$7=TH!F1720),"x","")</f>
        <v/>
      </c>
      <c r="AD1718" s="82" t="str">
        <f>IF(AND(N1718="1521",MONTH(C1718)='BK-NL'!$M$11),"x","")</f>
        <v/>
      </c>
    </row>
    <row r="1719" spans="1:32" ht="15.75" customHeight="1">
      <c r="A1719" s="334" t="str">
        <f>IF(B1719&lt;&gt;"",IF(AND(B1719='IN-TC'!$S$4,OR(TH!N1721="1111",TH!O1721="1111")),TH!D1721,""),"")</f>
        <v/>
      </c>
      <c r="B1719" s="63">
        <f t="shared" si="196"/>
        <v>4</v>
      </c>
      <c r="C1719" s="64">
        <f>E1719</f>
        <v>42468</v>
      </c>
      <c r="D1719" s="64" t="s">
        <v>871</v>
      </c>
      <c r="E1719" s="64">
        <v>42468</v>
      </c>
      <c r="F1719" s="72" t="s">
        <v>1100</v>
      </c>
      <c r="G1719" s="972" t="s">
        <v>915</v>
      </c>
      <c r="H1719" s="72" t="s">
        <v>1356</v>
      </c>
      <c r="I1719" s="437"/>
      <c r="J1719" s="437"/>
      <c r="K1719" s="428"/>
      <c r="L1719" s="437"/>
      <c r="M1719" s="65">
        <v>20000000</v>
      </c>
      <c r="N1719" s="66" t="s">
        <v>26</v>
      </c>
      <c r="O1719" s="66" t="s">
        <v>63</v>
      </c>
      <c r="P1719" s="82" t="str">
        <f>IF(AND('331-CT'!$E$7=TH!H1721,OR(N1719="331",O1719="331")),"x","")</f>
        <v/>
      </c>
      <c r="Q1719" s="82" t="str">
        <f>IF(AND(B1719='111'!$L$11,OR($N1719=$Q$7,$O1719=$Q$7)),"x","")</f>
        <v/>
      </c>
      <c r="R1719" s="82" t="str">
        <f>IF(AND($N1719=$Q$7,$B1719&lt;'111'!$L$11),"x","")</f>
        <v/>
      </c>
      <c r="S1719" s="82" t="str">
        <f>IF(AND($O1719=$Q$7,$B1719&lt;'111'!$L$11),"x","")</f>
        <v>x</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IF(OR(TH!N1721=TH!$X$7,O1719=TH!$X$7),"x","")</f>
        <v/>
      </c>
      <c r="Y1719" s="82" t="str">
        <f>IF(AND(OR(N1719="131",O1719="131"),H1719='131-CT'!$H$9),"x","")</f>
        <v/>
      </c>
      <c r="Z1719" s="82"/>
      <c r="AA1719" s="82" t="str">
        <f>IF(AND(MONTH(E1719)='IN-NX'!$J$5,'IN-NX'!$D$7=D1719),"x","")</f>
        <v/>
      </c>
      <c r="AB1719" s="82" t="str">
        <f>IF(AND(OR(LEFT(TH!N1721,2)="15",LEFT(TH!O1721,2)="15"),LEFT(TH!O1721,3)&lt;&gt;"111",'152-CT'!$J$8=TH!F1721),"x","")</f>
        <v/>
      </c>
      <c r="AC1719" s="82" t="str">
        <f>IF(AND(OR(LEFT(TH!N1721,2)="15",LEFT(TH!O1721,2)="15"),TK!$E$7=TH!F1721),"x","")</f>
        <v/>
      </c>
      <c r="AD1719" s="82" t="str">
        <f>IF(AND(N1719="1521",MONTH(C1719)='BK-NL'!$M$11),"x","")</f>
        <v/>
      </c>
    </row>
    <row r="1720" spans="1:32" ht="15.75" customHeight="1">
      <c r="A1720" s="334" t="str">
        <f>IF(B1720&lt;&gt;"",IF(AND(B1720='IN-TC'!$S$4,OR(TH!N1722="1111",TH!O1722="1111")),TH!D1722,""),"")</f>
        <v/>
      </c>
      <c r="B1720" s="63">
        <f t="shared" si="196"/>
        <v>4</v>
      </c>
      <c r="C1720" s="64">
        <v>42471</v>
      </c>
      <c r="D1720" s="64" t="s">
        <v>872</v>
      </c>
      <c r="E1720" s="64">
        <f t="shared" ref="E1720:E1727" si="202">C1720</f>
        <v>42471</v>
      </c>
      <c r="F1720" s="72" t="s">
        <v>1408</v>
      </c>
      <c r="G1720" s="972" t="s">
        <v>1403</v>
      </c>
      <c r="H1720" s="72" t="s">
        <v>1404</v>
      </c>
      <c r="I1720" s="437"/>
      <c r="J1720" s="437"/>
      <c r="K1720" s="428"/>
      <c r="L1720" s="437"/>
      <c r="M1720" s="65">
        <v>1400080</v>
      </c>
      <c r="N1720" s="66" t="s">
        <v>8</v>
      </c>
      <c r="O1720" s="66" t="s">
        <v>63</v>
      </c>
      <c r="P1720" s="82" t="str">
        <f>IF(AND('331-CT'!$E$7=TH!H1722,OR(N1720="331",O1720="331")),"x","")</f>
        <v/>
      </c>
      <c r="Q1720" s="82" t="str">
        <f>IF(AND(B1720='111'!$L$11,OR($N1720=$Q$7,$O1720=$Q$7)),"x","")</f>
        <v/>
      </c>
      <c r="R1720" s="82" t="str">
        <f>IF(AND($N1720=$Q$7,$B1720&lt;'111'!$L$11),"x","")</f>
        <v/>
      </c>
      <c r="S1720" s="82" t="str">
        <f>IF(AND($O1720=$Q$7,$B1720&lt;'111'!$L$11),"x","")</f>
        <v>x</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IF(OR(TH!N1722=TH!$X$7,O1720=TH!$X$7),"x","")</f>
        <v>x</v>
      </c>
      <c r="Y1720" s="82" t="str">
        <f>IF(AND(OR(N1720="131",O1720="131"),H1720='131-CT'!$H$9),"x","")</f>
        <v/>
      </c>
      <c r="Z1720" s="82"/>
      <c r="AA1720" s="82" t="str">
        <f>IF(AND(MONTH(E1720)='IN-NX'!$J$5,'IN-NX'!$D$7=D1720),"x","")</f>
        <v/>
      </c>
      <c r="AB1720" s="82" t="str">
        <f>IF(AND(OR(LEFT(TH!N1722,2)="15",LEFT(TH!O1722,2)="15"),LEFT(TH!O1722,3)&lt;&gt;"111",'152-CT'!$J$8=TH!F1722),"x","")</f>
        <v/>
      </c>
      <c r="AC1720" s="82" t="str">
        <f>IF(AND(OR(LEFT(TH!N1722,2)="15",LEFT(TH!O1722,2)="15"),TK!$E$7=TH!F1722),"x","")</f>
        <v/>
      </c>
      <c r="AD1720" s="82" t="str">
        <f>IF(AND(N1720="1521",MONTH(C1720)='BK-NL'!$M$11),"x","")</f>
        <v/>
      </c>
      <c r="AE1720" s="1136" t="str">
        <f>IF(H1720&lt;&gt;VLOOKUP(H1720,DSKH,1,0),"","x")</f>
        <v>x</v>
      </c>
    </row>
    <row r="1721" spans="1:32" ht="15.75" customHeight="1">
      <c r="A1721" s="334" t="str">
        <f>IF(B1721&lt;&gt;"",IF(AND(B1721='IN-TC'!$S$4,OR(TH!N1723="1111",TH!O1723="1111")),TH!D1723,""),"")</f>
        <v/>
      </c>
      <c r="B1721" s="63">
        <f t="shared" si="196"/>
        <v>4</v>
      </c>
      <c r="C1721" s="64">
        <v>42475</v>
      </c>
      <c r="D1721" s="64" t="s">
        <v>873</v>
      </c>
      <c r="E1721" s="64">
        <f t="shared" si="202"/>
        <v>42475</v>
      </c>
      <c r="F1721" s="72" t="s">
        <v>1010</v>
      </c>
      <c r="G1721" s="972" t="s">
        <v>1392</v>
      </c>
      <c r="H1721" s="72" t="s">
        <v>805</v>
      </c>
      <c r="I1721" s="437"/>
      <c r="J1721" s="437"/>
      <c r="K1721" s="428"/>
      <c r="L1721" s="437"/>
      <c r="M1721" s="65">
        <v>2879537</v>
      </c>
      <c r="N1721" s="66" t="s">
        <v>101</v>
      </c>
      <c r="O1721" s="66" t="s">
        <v>63</v>
      </c>
      <c r="P1721" s="82" t="str">
        <f>IF(AND('331-CT'!$E$7=TH!H1723,OR(N1721="331",O1721="331")),"x","")</f>
        <v/>
      </c>
      <c r="Q1721" s="82" t="str">
        <f>IF(AND(B1721='111'!$L$11,OR($N1721=$Q$7,$O1721=$Q$7)),"x","")</f>
        <v/>
      </c>
      <c r="R1721" s="82" t="str">
        <f>IF(AND($N1721=$Q$7,$B1721&lt;'111'!$L$11),"x","")</f>
        <v/>
      </c>
      <c r="S1721" s="82" t="str">
        <f>IF(AND($O1721=$Q$7,$B1721&lt;'111'!$L$11),"x","")</f>
        <v>x</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IF(OR(TH!N1723=TH!$X$7,O1721=TH!$X$7),"x","")</f>
        <v/>
      </c>
      <c r="Y1721" s="82" t="str">
        <f>IF(AND(OR(N1721="131",O1721="131"),H1721='131-CT'!$H$9),"x","")</f>
        <v/>
      </c>
      <c r="Z1721" s="82"/>
      <c r="AA1721" s="82" t="str">
        <f>IF(AND(MONTH(E1721)='IN-NX'!$J$5,'IN-NX'!$D$7=D1721),"x","")</f>
        <v/>
      </c>
      <c r="AB1721" s="82" t="str">
        <f>IF(AND(OR(LEFT(TH!N1723,2)="15",LEFT(TH!O1723,2)="15"),LEFT(TH!O1723,3)&lt;&gt;"111",'152-CT'!$J$8=TH!F1723),"x","")</f>
        <v/>
      </c>
      <c r="AC1721" s="82" t="str">
        <f>IF(AND(OR(LEFT(TH!N1723,2)="15",LEFT(TH!O1723,2)="15"),TK!$E$7=TH!F1723),"x","")</f>
        <v/>
      </c>
      <c r="AD1721" s="82" t="str">
        <f>IF(AND(N1721="1521",MONTH(C1721)='BK-NL'!$M$11),"x","")</f>
        <v/>
      </c>
    </row>
    <row r="1722" spans="1:32" ht="15.75" customHeight="1">
      <c r="A1722" s="334" t="str">
        <f>IF(B1722&lt;&gt;"",IF(AND(B1722='IN-TC'!$S$4,OR(TH!N1724="1111",TH!O1724="1111")),TH!D1724,""),"")</f>
        <v/>
      </c>
      <c r="B1722" s="63">
        <f t="shared" si="196"/>
        <v>4</v>
      </c>
      <c r="C1722" s="64">
        <v>42475</v>
      </c>
      <c r="D1722" s="64" t="s">
        <v>873</v>
      </c>
      <c r="E1722" s="64">
        <f t="shared" si="202"/>
        <v>42475</v>
      </c>
      <c r="F1722" s="72" t="s">
        <v>1386</v>
      </c>
      <c r="G1722" s="972" t="s">
        <v>1392</v>
      </c>
      <c r="H1722" s="72" t="s">
        <v>805</v>
      </c>
      <c r="I1722" s="437"/>
      <c r="J1722" s="437"/>
      <c r="K1722" s="428"/>
      <c r="L1722" s="437"/>
      <c r="M1722" s="65">
        <v>287953</v>
      </c>
      <c r="N1722" s="66" t="s">
        <v>9</v>
      </c>
      <c r="O1722" s="66" t="s">
        <v>63</v>
      </c>
      <c r="P1722" s="82" t="str">
        <f>IF(AND('331-CT'!$E$7=TH!H1724,OR(N1722="331",O1722="331")),"x","")</f>
        <v/>
      </c>
      <c r="Q1722" s="82" t="str">
        <f>IF(AND(B1722='111'!$L$11,OR($N1722=$Q$7,$O1722=$Q$7)),"x","")</f>
        <v/>
      </c>
      <c r="R1722" s="82" t="str">
        <f>IF(AND($N1722=$Q$7,$B1722&lt;'111'!$L$11),"x","")</f>
        <v/>
      </c>
      <c r="S1722" s="82" t="str">
        <f>IF(AND($O1722=$Q$7,$B1722&lt;'111'!$L$11),"x","")</f>
        <v>x</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IF(OR(TH!N1724=TH!$X$7,O1722=TH!$X$7),"x","")</f>
        <v/>
      </c>
      <c r="Y1722" s="82" t="str">
        <f>IF(AND(OR(N1722="131",O1722="131"),H1722='131-CT'!$H$9),"x","")</f>
        <v/>
      </c>
      <c r="Z1722" s="82"/>
      <c r="AA1722" s="82" t="str">
        <f>IF(AND(MONTH(E1722)='IN-NX'!$J$5,'IN-NX'!$D$7=D1722),"x","")</f>
        <v/>
      </c>
      <c r="AB1722" s="82" t="str">
        <f>IF(AND(OR(LEFT(TH!N1724,2)="15",LEFT(TH!O1724,2)="15"),LEFT(TH!O1724,3)&lt;&gt;"111",'152-CT'!$J$8=TH!F1724),"x","")</f>
        <v/>
      </c>
      <c r="AC1722" s="82" t="str">
        <f>IF(AND(OR(LEFT(TH!N1724,2)="15",LEFT(TH!O1724,2)="15"),TK!$E$7=TH!F1724),"x","")</f>
        <v/>
      </c>
      <c r="AD1722" s="82" t="str">
        <f>IF(AND(N1722="1521",MONTH(C1722)='BK-NL'!$M$11),"x","")</f>
        <v/>
      </c>
    </row>
    <row r="1723" spans="1:32" ht="15.75" customHeight="1">
      <c r="A1723" s="334" t="str">
        <f>IF(B1723&lt;&gt;"",IF(AND(B1723='IN-TC'!$S$4,OR(TH!N1725="1111",TH!O1725="1111")),TH!D1725,""),"")</f>
        <v/>
      </c>
      <c r="B1723" s="63">
        <f t="shared" si="196"/>
        <v>4</v>
      </c>
      <c r="C1723" s="64">
        <v>42475</v>
      </c>
      <c r="D1723" s="64" t="s">
        <v>874</v>
      </c>
      <c r="E1723" s="64">
        <f t="shared" si="202"/>
        <v>42475</v>
      </c>
      <c r="F1723" s="72" t="s">
        <v>1393</v>
      </c>
      <c r="G1723" s="972" t="s">
        <v>1394</v>
      </c>
      <c r="H1723" s="72" t="s">
        <v>1395</v>
      </c>
      <c r="I1723" s="437"/>
      <c r="J1723" s="437"/>
      <c r="K1723" s="428"/>
      <c r="L1723" s="437"/>
      <c r="M1723" s="65">
        <v>1935000</v>
      </c>
      <c r="N1723" s="66" t="s">
        <v>101</v>
      </c>
      <c r="O1723" s="66" t="s">
        <v>63</v>
      </c>
      <c r="P1723" s="82" t="str">
        <f>IF(AND('331-CT'!$E$7=TH!H1725,OR(N1723="331",O1723="331")),"x","")</f>
        <v/>
      </c>
      <c r="Q1723" s="82" t="str">
        <f>IF(AND(B1723='111'!$L$11,OR($N1723=$Q$7,$O1723=$Q$7)),"x","")</f>
        <v/>
      </c>
      <c r="R1723" s="82" t="str">
        <f>IF(AND($N1723=$Q$7,$B1723&lt;'111'!$L$11),"x","")</f>
        <v/>
      </c>
      <c r="S1723" s="82" t="str">
        <f>IF(AND($O1723=$Q$7,$B1723&lt;'111'!$L$11),"x","")</f>
        <v>x</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IF(OR(TH!N1725=TH!$X$7,O1723=TH!$X$7),"x","")</f>
        <v>x</v>
      </c>
      <c r="Y1723" s="82" t="str">
        <f>IF(AND(OR(N1723="131",O1723="131"),H1723='131-CT'!$H$9),"x","")</f>
        <v/>
      </c>
      <c r="Z1723" s="82"/>
      <c r="AA1723" s="82" t="str">
        <f>IF(AND(MONTH(E1723)='IN-NX'!$J$5,'IN-NX'!$D$7=D1723),"x","")</f>
        <v/>
      </c>
      <c r="AB1723" s="82" t="str">
        <f>IF(AND(OR(LEFT(TH!N1725,2)="15",LEFT(TH!O1725,2)="15"),LEFT(TH!O1725,3)&lt;&gt;"111",'152-CT'!$J$8=TH!F1725),"x","")</f>
        <v/>
      </c>
      <c r="AC1723" s="82" t="str">
        <f>IF(AND(OR(LEFT(TH!N1725,2)="15",LEFT(TH!O1725,2)="15"),TK!$E$7=TH!F1725),"x","")</f>
        <v/>
      </c>
      <c r="AD1723" s="82" t="str">
        <f>IF(AND(N1723="1521",MONTH(C1723)='BK-NL'!$M$11),"x","")</f>
        <v/>
      </c>
    </row>
    <row r="1724" spans="1:32" ht="15.75" customHeight="1">
      <c r="A1724" s="334" t="str">
        <f>IF(B1724&lt;&gt;"",IF(AND(B1724='IN-TC'!$S$4,OR(TH!N1726="1111",TH!O1726="1111")),TH!D1726,""),"")</f>
        <v/>
      </c>
      <c r="B1724" s="63">
        <f t="shared" si="196"/>
        <v>4</v>
      </c>
      <c r="C1724" s="64">
        <v>42477</v>
      </c>
      <c r="D1724" s="64" t="s">
        <v>875</v>
      </c>
      <c r="E1724" s="64">
        <f t="shared" si="202"/>
        <v>42477</v>
      </c>
      <c r="F1724" s="72" t="s">
        <v>768</v>
      </c>
      <c r="G1724" s="972" t="s">
        <v>1396</v>
      </c>
      <c r="H1724" s="72" t="s">
        <v>805</v>
      </c>
      <c r="I1724" s="437"/>
      <c r="J1724" s="437"/>
      <c r="K1724" s="428"/>
      <c r="L1724" s="437"/>
      <c r="M1724" s="65">
        <v>484527</v>
      </c>
      <c r="N1724" s="66" t="s">
        <v>101</v>
      </c>
      <c r="O1724" s="66" t="s">
        <v>63</v>
      </c>
      <c r="P1724" s="82" t="str">
        <f>IF(AND('331-CT'!$E$7=TH!H1726,OR(N1724="331",O1724="331")),"x","")</f>
        <v/>
      </c>
      <c r="Q1724" s="82" t="str">
        <f>IF(AND(B1724='111'!$L$11,OR($N1724=$Q$7,$O1724=$Q$7)),"x","")</f>
        <v/>
      </c>
      <c r="R1724" s="82" t="str">
        <f>IF(AND($N1724=$Q$7,$B1724&lt;'111'!$L$11),"x","")</f>
        <v/>
      </c>
      <c r="S1724" s="82" t="str">
        <f>IF(AND($O1724=$Q$7,$B1724&lt;'111'!$L$11),"x","")</f>
        <v>x</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IF(OR(TH!N1726=TH!$X$7,O1724=TH!$X$7),"x","")</f>
        <v/>
      </c>
      <c r="Y1724" s="82" t="str">
        <f>IF(AND(OR(N1724="131",O1724="131"),H1724='131-CT'!$H$9),"x","")</f>
        <v/>
      </c>
      <c r="Z1724" s="82"/>
      <c r="AA1724" s="82" t="str">
        <f>IF(AND(MONTH(E1724)='IN-NX'!$J$5,'IN-NX'!$D$7=D1724),"x","")</f>
        <v/>
      </c>
      <c r="AB1724" s="82" t="str">
        <f>IF(AND(OR(LEFT(TH!N1726,2)="15",LEFT(TH!O1726,2)="15"),LEFT(TH!O1726,3)&lt;&gt;"111",'152-CT'!$J$8=TH!F1726),"x","")</f>
        <v/>
      </c>
      <c r="AC1724" s="82" t="str">
        <f>IF(AND(OR(LEFT(TH!N1726,2)="15",LEFT(TH!O1726,2)="15"),TK!$E$7=TH!F1726),"x","")</f>
        <v/>
      </c>
      <c r="AD1724" s="82" t="str">
        <f>IF(AND(N1724="1521",MONTH(C1724)='BK-NL'!$M$11),"x","")</f>
        <v/>
      </c>
    </row>
    <row r="1725" spans="1:32" ht="15.75" customHeight="1">
      <c r="A1725" s="334" t="str">
        <f>IF(B1725&lt;&gt;"",IF(AND(B1725='IN-TC'!$S$4,OR(TH!N1727="1111",TH!O1727="1111")),TH!D1727,""),"")</f>
        <v/>
      </c>
      <c r="B1725" s="63">
        <f t="shared" si="196"/>
        <v>4</v>
      </c>
      <c r="C1725" s="64">
        <v>42477</v>
      </c>
      <c r="D1725" s="64" t="s">
        <v>876</v>
      </c>
      <c r="E1725" s="64">
        <f t="shared" si="202"/>
        <v>42477</v>
      </c>
      <c r="F1725" s="72" t="s">
        <v>769</v>
      </c>
      <c r="G1725" s="972" t="s">
        <v>1396</v>
      </c>
      <c r="H1725" s="72" t="s">
        <v>805</v>
      </c>
      <c r="I1725" s="437"/>
      <c r="J1725" s="437"/>
      <c r="K1725" s="428"/>
      <c r="L1725" s="437"/>
      <c r="M1725" s="65">
        <v>48453</v>
      </c>
      <c r="N1725" s="66" t="s">
        <v>9</v>
      </c>
      <c r="O1725" s="66" t="s">
        <v>63</v>
      </c>
      <c r="P1725" s="82" t="str">
        <f>IF(AND('331-CT'!$E$7=TH!H1727,OR(N1725="331",O1725="331")),"x","")</f>
        <v/>
      </c>
      <c r="Q1725" s="82" t="str">
        <f>IF(AND(B1725='111'!$L$11,OR($N1725=$Q$7,$O1725=$Q$7)),"x","")</f>
        <v/>
      </c>
      <c r="R1725" s="82" t="str">
        <f>IF(AND($N1725=$Q$7,$B1725&lt;'111'!$L$11),"x","")</f>
        <v/>
      </c>
      <c r="S1725" s="82" t="str">
        <f>IF(AND($O1725=$Q$7,$B1725&lt;'111'!$L$11),"x","")</f>
        <v>x</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IF(OR(TH!N1727=TH!$X$7,O1725=TH!$X$7),"x","")</f>
        <v/>
      </c>
      <c r="Y1725" s="82" t="str">
        <f>IF(AND(OR(N1725="131",O1725="131"),H1725='131-CT'!$H$9),"x","")</f>
        <v/>
      </c>
      <c r="Z1725" s="82"/>
      <c r="AA1725" s="82" t="str">
        <f>IF(AND(MONTH(E1725)='IN-NX'!$J$5,'IN-NX'!$D$7=D1725),"x","")</f>
        <v/>
      </c>
      <c r="AB1725" s="82" t="str">
        <f>IF(AND(OR(LEFT(TH!N1727,2)="15",LEFT(TH!O1727,2)="15"),LEFT(TH!O1727,3)&lt;&gt;"111",'152-CT'!$J$8=TH!F1727),"x","")</f>
        <v/>
      </c>
      <c r="AC1725" s="82" t="str">
        <f>IF(AND(OR(LEFT(TH!N1727,2)="15",LEFT(TH!O1727,2)="15"),TK!$E$7=TH!F1727),"x","")</f>
        <v/>
      </c>
      <c r="AD1725" s="82" t="str">
        <f>IF(AND(N1725="1521",MONTH(C1725)='BK-NL'!$M$11),"x","")</f>
        <v/>
      </c>
    </row>
    <row r="1726" spans="1:32" ht="15.75" customHeight="1">
      <c r="A1726" s="334" t="str">
        <f>IF(B1726&lt;&gt;"",IF(AND(B1726='IN-TC'!$S$4,OR(TH!N1551="1111",TH!O1551="1111")),TH!D1551,""),"")</f>
        <v/>
      </c>
      <c r="B1726" s="1148">
        <f t="shared" si="196"/>
        <v>4</v>
      </c>
      <c r="C1726" s="1149">
        <v>42478</v>
      </c>
      <c r="D1726" s="1149" t="s">
        <v>877</v>
      </c>
      <c r="E1726" s="1149">
        <f t="shared" si="202"/>
        <v>42478</v>
      </c>
      <c r="F1726" s="512" t="s">
        <v>960</v>
      </c>
      <c r="G1726" s="1151"/>
      <c r="H1726" s="1150" t="s">
        <v>959</v>
      </c>
      <c r="I1726" s="1152"/>
      <c r="J1726" s="1152"/>
      <c r="K1726" s="1153"/>
      <c r="L1726" s="1152"/>
      <c r="M1726" s="1154">
        <v>430000000</v>
      </c>
      <c r="N1726" s="1155" t="s">
        <v>272</v>
      </c>
      <c r="O1726" s="1155" t="s">
        <v>63</v>
      </c>
      <c r="P1726" s="1155" t="str">
        <f>IF(AND('331-CT'!$E$7=TH!H1551,OR(N1726="331",O1726="331")),"x","")</f>
        <v/>
      </c>
      <c r="Q1726" s="1155" t="str">
        <f>IF(AND(B1726='111'!$L$11,OR($N1726=$Q$7,$O1726=$Q$7)),"x","")</f>
        <v/>
      </c>
      <c r="R1726" s="1155" t="str">
        <f>IF(AND($N1726=$Q$7,$B1726&lt;'111'!$L$11),"x","")</f>
        <v/>
      </c>
      <c r="S1726" s="1155" t="str">
        <f>IF(AND($O1726=$Q$7,$B1726&lt;'111'!$L$11),"x","")</f>
        <v>x</v>
      </c>
      <c r="T1726" s="1155" t="str">
        <f>IF(ISERROR(FIND('112'!$M$9,G1726,1)),"",IF((AND(FIND('112'!$M$9,G1726,1)&gt;=1,B1726='112'!$K$9,OR($N1726='112'!$I$6,$O1726='112'!$I$6))),"x",""))</f>
        <v/>
      </c>
      <c r="U1726" s="1155" t="str">
        <f>IF(ISERROR(FIND('112'!$M$9,G1726,1)),"",IF((AND(LEFT(G1726,2)=LEFT('112'!$M$9,2),B1726&lt;'112'!$K$9,$N1726='112'!$I$6)),"x",""))</f>
        <v/>
      </c>
      <c r="V1726" s="1155" t="str">
        <f>IF(ISERROR(FIND('112'!$M$9,G1726,1)),"",IF((AND(RIGHT(G1726,2)=RIGHT('112'!$M$9,2),B1726&lt;'112'!$K$9,$O1726='112'!$I$6)),"x",""))</f>
        <v/>
      </c>
      <c r="W1726" s="1155" t="str">
        <f>IF(AND('341-CT'!$H$9=H1726,OR(LEFT(N1726,3)=$W$7,LEFT(O1726,3)=$W$7)),"x","")</f>
        <v/>
      </c>
      <c r="X1726" s="1155" t="str">
        <f>IF(OR(TH!N1551=TH!$X$7,O1726=TH!$X$7),"x","")</f>
        <v>x</v>
      </c>
      <c r="Y1726" s="1155" t="str">
        <f>IF(AND(OR(N1726="131",O1726="131"),H1726='131-CT'!$H$9),"x","")</f>
        <v/>
      </c>
      <c r="Z1726" s="1155"/>
      <c r="AA1726" s="1155" t="str">
        <f>IF(AND(MONTH(E1726)='IN-NX'!$J$5,'IN-NX'!$D$7=D1726),"x","")</f>
        <v/>
      </c>
      <c r="AB1726" s="1155" t="str">
        <f>IF(AND(OR(LEFT(TH!N1551,2)="15",LEFT(TH!O1551,2)="15"),LEFT(TH!O1551,3)&lt;&gt;"111",'152-CT'!$J$8=TH!F1551),"x","")</f>
        <v/>
      </c>
      <c r="AC1726" s="1155" t="str">
        <f>IF(AND(OR(LEFT(TH!N1551,2)="15",LEFT(TH!O1551,2)="15"),TK!$E$7=TH!F1551),"x","")</f>
        <v/>
      </c>
      <c r="AD1726" s="1155" t="str">
        <f>IF(AND(N1726="1521",MONTH(C1726)='BK-NL'!$M$11),"x","")</f>
        <v/>
      </c>
      <c r="AE1726" s="1156"/>
      <c r="AF1726" s="1156"/>
    </row>
    <row r="1727" spans="1:32" ht="15.75" customHeight="1">
      <c r="A1727" s="334" t="str">
        <f>IF(B1727&lt;&gt;"",IF(AND(B1727='IN-TC'!$S$4,OR(TH!N1553="1111",TH!O1553="1111")),TH!D1553,""),"")</f>
        <v/>
      </c>
      <c r="B1727" s="1148">
        <f t="shared" si="196"/>
        <v>4</v>
      </c>
      <c r="C1727" s="1149">
        <v>42478</v>
      </c>
      <c r="D1727" s="1149" t="s">
        <v>878</v>
      </c>
      <c r="E1727" s="1149">
        <f t="shared" si="202"/>
        <v>42478</v>
      </c>
      <c r="F1727" s="512" t="s">
        <v>960</v>
      </c>
      <c r="G1727" s="1151"/>
      <c r="H1727" s="1150" t="s">
        <v>2239</v>
      </c>
      <c r="I1727" s="1152"/>
      <c r="J1727" s="1152"/>
      <c r="K1727" s="1153"/>
      <c r="L1727" s="1152"/>
      <c r="M1727" s="1154">
        <v>375000000</v>
      </c>
      <c r="N1727" s="1155" t="s">
        <v>272</v>
      </c>
      <c r="O1727" s="1155" t="s">
        <v>63</v>
      </c>
      <c r="P1727" s="1155" t="str">
        <f>IF(AND('331-CT'!$E$7=TH!H1553,OR(N1727="331",O1727="331")),"x","")</f>
        <v/>
      </c>
      <c r="Q1727" s="1155" t="str">
        <f>IF(AND(B1727='111'!$L$11,OR($N1727=$Q$7,$O1727=$Q$7)),"x","")</f>
        <v/>
      </c>
      <c r="R1727" s="1155" t="str">
        <f>IF(AND($N1727=$Q$7,$B1727&lt;'111'!$L$11),"x","")</f>
        <v/>
      </c>
      <c r="S1727" s="1155" t="str">
        <f>IF(AND($O1727=$Q$7,$B1727&lt;'111'!$L$11),"x","")</f>
        <v>x</v>
      </c>
      <c r="T1727" s="1155" t="str">
        <f>IF(ISERROR(FIND('112'!$M$9,G1727,1)),"",IF((AND(FIND('112'!$M$9,G1727,1)&gt;=1,B1727='112'!$K$9,OR($N1727='112'!$I$6,$O1727='112'!$I$6))),"x",""))</f>
        <v/>
      </c>
      <c r="U1727" s="1155" t="str">
        <f>IF(ISERROR(FIND('112'!$M$9,G1727,1)),"",IF((AND(LEFT(G1727,2)=LEFT('112'!$M$9,2),B1727&lt;'112'!$K$9,$N1727='112'!$I$6)),"x",""))</f>
        <v/>
      </c>
      <c r="V1727" s="1155" t="str">
        <f>IF(ISERROR(FIND('112'!$M$9,G1727,1)),"",IF((AND(RIGHT(G1727,2)=RIGHT('112'!$M$9,2),B1727&lt;'112'!$K$9,$O1727='112'!$I$6)),"x",""))</f>
        <v/>
      </c>
      <c r="W1727" s="1155" t="str">
        <f>IF(AND('341-CT'!$H$9=H1727,OR(LEFT(N1727,3)=$W$7,LEFT(O1727,3)=$W$7)),"x","")</f>
        <v/>
      </c>
      <c r="X1727" s="1155" t="str">
        <f>IF(OR(TH!N1553=TH!$X$7,O1727=TH!$X$7),"x","")</f>
        <v/>
      </c>
      <c r="Y1727" s="1155" t="str">
        <f>IF(AND(OR(N1727="131",O1727="131"),H1727='131-CT'!$H$9),"x","")</f>
        <v/>
      </c>
      <c r="Z1727" s="1155"/>
      <c r="AA1727" s="1155" t="str">
        <f>IF(AND(MONTH(E1727)='IN-NX'!$J$5,'IN-NX'!$D$7=D1727),"x","")</f>
        <v/>
      </c>
      <c r="AB1727" s="1155" t="str">
        <f>IF(AND(OR(LEFT(TH!N1553,2)="15",LEFT(TH!O1553,2)="15"),LEFT(TH!O1553,3)&lt;&gt;"111",'152-CT'!$J$8=TH!F1553),"x","")</f>
        <v/>
      </c>
      <c r="AC1727" s="1155" t="str">
        <f>IF(AND(OR(LEFT(TH!N1553,2)="15",LEFT(TH!O1553,2)="15"),TK!$E$7=TH!F1553),"x","")</f>
        <v/>
      </c>
      <c r="AD1727" s="1155" t="str">
        <f>IF(AND(N1727="1521",MONTH(C1727)='BK-NL'!$M$11),"x","")</f>
        <v/>
      </c>
      <c r="AE1727" s="1156"/>
      <c r="AF1727" s="1156"/>
    </row>
    <row r="1728" spans="1:32" ht="15.75" customHeight="1">
      <c r="A1728" s="334" t="str">
        <f>IF(B1728&lt;&gt;"",IF(AND(B1728='IN-TC'!$S$4,OR(TH!N1728="1111",TH!O1728="1111")),TH!D1728,""),"")</f>
        <v/>
      </c>
      <c r="B1728" s="63">
        <f t="shared" si="196"/>
        <v>4</v>
      </c>
      <c r="C1728" s="64">
        <v>42484</v>
      </c>
      <c r="D1728" s="64" t="s">
        <v>879</v>
      </c>
      <c r="E1728" s="64">
        <v>42484</v>
      </c>
      <c r="F1728" s="72" t="s">
        <v>1009</v>
      </c>
      <c r="G1728" s="972" t="s">
        <v>1414</v>
      </c>
      <c r="H1728" s="72" t="s">
        <v>1033</v>
      </c>
      <c r="I1728" s="437"/>
      <c r="J1728" s="437"/>
      <c r="K1728" s="428"/>
      <c r="L1728" s="437"/>
      <c r="M1728" s="65">
        <v>2100000</v>
      </c>
      <c r="N1728" s="66" t="s">
        <v>101</v>
      </c>
      <c r="O1728" s="66" t="s">
        <v>63</v>
      </c>
      <c r="P1728" s="82" t="str">
        <f>IF(AND('331-CT'!$E$7=TH!H1728,OR(N1728="331",O1728="331")),"x","")</f>
        <v/>
      </c>
      <c r="Q1728" s="82" t="str">
        <f>IF(AND(B1728='111'!$L$11,OR($N1728=$Q$7,$O1728=$Q$7)),"x","")</f>
        <v/>
      </c>
      <c r="R1728" s="82" t="str">
        <f>IF(AND($N1728=$Q$7,$B1728&lt;'111'!$L$11),"x","")</f>
        <v/>
      </c>
      <c r="S1728" s="82" t="str">
        <f>IF(AND($O1728=$Q$7,$B1728&lt;'111'!$L$11),"x","")</f>
        <v>x</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row>
    <row r="1729" spans="1:31" ht="15.75" customHeight="1">
      <c r="A1729" s="334" t="str">
        <f>IF(B1729&lt;&gt;"",IF(AND(B1729='IN-TC'!$S$4,OR(TH!N1729="1111",TH!O1729="1111")),TH!D1729,""),"")</f>
        <v/>
      </c>
      <c r="B1729" s="63">
        <f t="shared" si="196"/>
        <v>4</v>
      </c>
      <c r="C1729" s="64">
        <v>42485</v>
      </c>
      <c r="D1729" s="64" t="s">
        <v>880</v>
      </c>
      <c r="E1729" s="64">
        <v>42485</v>
      </c>
      <c r="F1729" s="72" t="s">
        <v>788</v>
      </c>
      <c r="G1729" s="972" t="s">
        <v>1432</v>
      </c>
      <c r="H1729" s="72" t="s">
        <v>805</v>
      </c>
      <c r="I1729" s="437"/>
      <c r="J1729" s="437"/>
      <c r="K1729" s="428"/>
      <c r="L1729" s="437"/>
      <c r="M1729" s="65">
        <v>1660746</v>
      </c>
      <c r="N1729" s="66" t="s">
        <v>101</v>
      </c>
      <c r="O1729" s="66" t="s">
        <v>63</v>
      </c>
      <c r="P1729" s="82" t="str">
        <f>IF(AND('331-CT'!$E$7=TH!H1729,OR(N1729="331",O1729="331")),"x","")</f>
        <v/>
      </c>
      <c r="Q1729" s="82" t="str">
        <f>IF(AND(B1729='111'!$L$11,OR($N1729=$Q$7,$O1729=$Q$7)),"x","")</f>
        <v/>
      </c>
      <c r="R1729" s="82" t="str">
        <f>IF(AND($N1729=$Q$7,$B1729&lt;'111'!$L$11),"x","")</f>
        <v/>
      </c>
      <c r="S1729" s="82" t="str">
        <f>IF(AND($O1729=$Q$7,$B1729&lt;'111'!$L$11),"x","")</f>
        <v>x</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1" ht="15.75" customHeight="1">
      <c r="A1730" s="334" t="str">
        <f>IF(B1730&lt;&gt;"",IF(AND(B1730='IN-TC'!$S$4,OR(TH!N1730="1111",TH!O1730="1111")),TH!D1730,""),"")</f>
        <v/>
      </c>
      <c r="B1730" s="63">
        <f t="shared" si="196"/>
        <v>4</v>
      </c>
      <c r="C1730" s="64">
        <v>42485</v>
      </c>
      <c r="D1730" s="64" t="s">
        <v>880</v>
      </c>
      <c r="E1730" s="64">
        <v>42485</v>
      </c>
      <c r="F1730" s="72" t="s">
        <v>789</v>
      </c>
      <c r="G1730" s="972" t="s">
        <v>1432</v>
      </c>
      <c r="H1730" s="72" t="s">
        <v>805</v>
      </c>
      <c r="I1730" s="437"/>
      <c r="J1730" s="437"/>
      <c r="K1730" s="428"/>
      <c r="L1730" s="437"/>
      <c r="M1730" s="65">
        <v>166074</v>
      </c>
      <c r="N1730" s="66" t="s">
        <v>9</v>
      </c>
      <c r="O1730" s="66" t="s">
        <v>63</v>
      </c>
      <c r="P1730" s="82" t="str">
        <f>IF(AND('331-CT'!$E$7=TH!H1730,OR(N1730="331",O1730="331")),"x","")</f>
        <v/>
      </c>
      <c r="Q1730" s="82" t="str">
        <f>IF(AND(B1730='111'!$L$11,OR($N1730=$Q$7,$O1730=$Q$7)),"x","")</f>
        <v/>
      </c>
      <c r="R1730" s="82" t="str">
        <f>IF(AND($N1730=$Q$7,$B1730&lt;'111'!$L$11),"x","")</f>
        <v/>
      </c>
      <c r="S1730" s="82" t="str">
        <f>IF(AND($O1730=$Q$7,$B1730&lt;'111'!$L$11),"x","")</f>
        <v>x</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x</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row>
    <row r="1731" spans="1:31" ht="15.75" customHeight="1">
      <c r="A1731" s="334" t="str">
        <f>IF(B1731&lt;&gt;"",IF(AND(B1731='IN-TC'!$S$4,OR(TH!N1731="1111",TH!O1731="1111")),TH!D1731,""),"")</f>
        <v/>
      </c>
      <c r="B1731" s="63">
        <f t="shared" si="196"/>
        <v>4</v>
      </c>
      <c r="C1731" s="64">
        <f>E1731</f>
        <v>42485</v>
      </c>
      <c r="D1731" s="64" t="s">
        <v>881</v>
      </c>
      <c r="E1731" s="64">
        <v>42485</v>
      </c>
      <c r="F1731" s="72" t="s">
        <v>1100</v>
      </c>
      <c r="G1731" s="972" t="s">
        <v>915</v>
      </c>
      <c r="H1731" s="318" t="s">
        <v>1412</v>
      </c>
      <c r="I1731" s="437"/>
      <c r="J1731" s="437"/>
      <c r="K1731" s="428"/>
      <c r="L1731" s="437"/>
      <c r="M1731" s="65">
        <v>80000000</v>
      </c>
      <c r="N1731" s="66" t="s">
        <v>26</v>
      </c>
      <c r="O1731" s="66" t="s">
        <v>63</v>
      </c>
      <c r="P1731" s="82" t="str">
        <f>IF(AND('331-CT'!$E$7=TH!H1731,OR(N1731="331",O1731="331")),"x","")</f>
        <v/>
      </c>
      <c r="Q1731" s="82" t="str">
        <f>IF(AND(B1731='111'!$L$11,OR($N1731=$Q$7,$O1731=$Q$7)),"x","")</f>
        <v/>
      </c>
      <c r="R1731" s="82" t="str">
        <f>IF(AND($N1731=$Q$7,$B1731&lt;'111'!$L$11),"x","")</f>
        <v/>
      </c>
      <c r="S1731" s="82" t="str">
        <f>IF(AND($O1731=$Q$7,$B1731&lt;'111'!$L$11),"x","")</f>
        <v>x</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row>
    <row r="1732" spans="1:31" ht="15.75" customHeight="1">
      <c r="A1732" s="334" t="str">
        <f>IF(B1732&lt;&gt;"",IF(AND(B1732='IN-TC'!$S$4,OR(TH!N1732="1111",TH!O1732="1111")),TH!D1732,""),"")</f>
        <v/>
      </c>
      <c r="B1732" s="63">
        <f t="shared" si="196"/>
        <v>4</v>
      </c>
      <c r="C1732" s="64">
        <f>E1732</f>
        <v>42486</v>
      </c>
      <c r="D1732" s="64" t="s">
        <v>882</v>
      </c>
      <c r="E1732" s="64">
        <v>42486</v>
      </c>
      <c r="F1732" s="72" t="s">
        <v>1100</v>
      </c>
      <c r="G1732" s="972" t="s">
        <v>915</v>
      </c>
      <c r="H1732" s="318" t="s">
        <v>761</v>
      </c>
      <c r="I1732" s="437"/>
      <c r="J1732" s="437"/>
      <c r="K1732" s="428"/>
      <c r="L1732" s="437"/>
      <c r="M1732" s="65">
        <v>20000000</v>
      </c>
      <c r="N1732" s="66" t="s">
        <v>26</v>
      </c>
      <c r="O1732" s="66" t="s">
        <v>63</v>
      </c>
      <c r="P1732" s="82" t="str">
        <f>IF(AND('331-CT'!$E$7=TH!H1732,OR(N1732="331",O1732="331")),"x","")</f>
        <v/>
      </c>
      <c r="Q1732" s="82" t="str">
        <f>IF(AND(B1732='111'!$L$11,OR($N1732=$Q$7,$O1732=$Q$7)),"x","")</f>
        <v/>
      </c>
      <c r="R1732" s="82" t="str">
        <f>IF(AND($N1732=$Q$7,$B1732&lt;'111'!$L$11),"x","")</f>
        <v/>
      </c>
      <c r="S1732" s="82" t="str">
        <f>IF(AND($O1732=$Q$7,$B1732&lt;'111'!$L$11),"x","")</f>
        <v>x</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row>
    <row r="1733" spans="1:31" ht="15.75" customHeight="1">
      <c r="A1733" s="334" t="str">
        <f>IF(B1733&lt;&gt;"",IF(AND(B1733='IN-TC'!$S$4,OR(TH!N1733="1111",TH!O1733="1111")),TH!D1733,""),"")</f>
        <v/>
      </c>
      <c r="B1733" s="63">
        <f t="shared" si="196"/>
        <v>4</v>
      </c>
      <c r="C1733" s="64">
        <v>42487</v>
      </c>
      <c r="D1733" s="64" t="s">
        <v>883</v>
      </c>
      <c r="E1733" s="64">
        <v>42487</v>
      </c>
      <c r="F1733" s="72" t="s">
        <v>1417</v>
      </c>
      <c r="G1733" s="972" t="s">
        <v>1419</v>
      </c>
      <c r="H1733" s="72" t="s">
        <v>836</v>
      </c>
      <c r="I1733" s="437"/>
      <c r="J1733" s="437"/>
      <c r="K1733" s="428"/>
      <c r="L1733" s="437"/>
      <c r="M1733" s="65">
        <v>16050000</v>
      </c>
      <c r="N1733" s="66" t="s">
        <v>101</v>
      </c>
      <c r="O1733" s="66" t="s">
        <v>63</v>
      </c>
      <c r="P1733" s="82" t="str">
        <f>IF(AND('331-CT'!$E$7=TH!H1733,OR(N1733="331",O1733="331")),"x","")</f>
        <v/>
      </c>
      <c r="Q1733" s="82" t="str">
        <f>IF(AND(B1733='111'!$L$11,OR($N1733=$Q$7,$O1733=$Q$7)),"x","")</f>
        <v/>
      </c>
      <c r="R1733" s="82" t="str">
        <f>IF(AND($N1733=$Q$7,$B1733&lt;'111'!$L$11),"x","")</f>
        <v/>
      </c>
      <c r="S1733" s="82" t="str">
        <f>IF(AND($O1733=$Q$7,$B1733&lt;'111'!$L$11),"x","")</f>
        <v>x</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1" ht="15.75" customHeight="1">
      <c r="A1734" s="334" t="str">
        <f>IF(B1734&lt;&gt;"",IF(AND(B1734='IN-TC'!$S$4,OR(TH!N1734="1111",TH!O1734="1111")),TH!D1734,""),"")</f>
        <v/>
      </c>
      <c r="B1734" s="63">
        <f t="shared" si="196"/>
        <v>4</v>
      </c>
      <c r="C1734" s="64">
        <v>42487</v>
      </c>
      <c r="D1734" s="64" t="s">
        <v>883</v>
      </c>
      <c r="E1734" s="64">
        <v>42487</v>
      </c>
      <c r="F1734" s="72" t="s">
        <v>1418</v>
      </c>
      <c r="G1734" s="972" t="s">
        <v>1419</v>
      </c>
      <c r="H1734" s="72" t="s">
        <v>836</v>
      </c>
      <c r="I1734" s="437"/>
      <c r="J1734" s="437"/>
      <c r="K1734" s="428"/>
      <c r="L1734" s="437"/>
      <c r="M1734" s="65">
        <v>1605000</v>
      </c>
      <c r="N1734" s="66" t="s">
        <v>9</v>
      </c>
      <c r="O1734" s="66" t="s">
        <v>63</v>
      </c>
      <c r="P1734" s="82" t="str">
        <f>IF(AND('331-CT'!$E$7=TH!H1734,OR(N1734="331",O1734="331")),"x","")</f>
        <v/>
      </c>
      <c r="Q1734" s="82" t="str">
        <f>IF(AND(B1734='111'!$L$11,OR($N1734=$Q$7,$O1734=$Q$7)),"x","")</f>
        <v/>
      </c>
      <c r="R1734" s="82" t="str">
        <f>IF(AND($N1734=$Q$7,$B1734&lt;'111'!$L$11),"x","")</f>
        <v/>
      </c>
      <c r="S1734" s="82" t="str">
        <f>IF(AND($O1734=$Q$7,$B1734&lt;'111'!$L$11),"x","")</f>
        <v>x</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x</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row>
    <row r="1735" spans="1:31" ht="15.75" customHeight="1">
      <c r="A1735" s="334" t="str">
        <f>IF(B1735&lt;&gt;"",IF(AND(B1735='IN-TC'!$S$4,OR(TH!N1735="1111",TH!O1735="1111")),TH!D1735,""),"")</f>
        <v/>
      </c>
      <c r="B1735" s="63">
        <f t="shared" si="196"/>
        <v>4</v>
      </c>
      <c r="C1735" s="64">
        <v>42487</v>
      </c>
      <c r="D1735" s="64" t="s">
        <v>884</v>
      </c>
      <c r="E1735" s="64">
        <v>42487</v>
      </c>
      <c r="F1735" s="72" t="s">
        <v>1428</v>
      </c>
      <c r="G1735" s="972" t="s">
        <v>1430</v>
      </c>
      <c r="H1735" s="72" t="s">
        <v>1431</v>
      </c>
      <c r="I1735" s="437"/>
      <c r="J1735" s="437"/>
      <c r="K1735" s="428"/>
      <c r="L1735" s="437"/>
      <c r="M1735" s="65">
        <v>2638000</v>
      </c>
      <c r="N1735" s="66" t="s">
        <v>101</v>
      </c>
      <c r="O1735" s="66" t="s">
        <v>63</v>
      </c>
      <c r="P1735" s="82" t="str">
        <f>IF(AND('331-CT'!$E$7=TH!H1735,OR(N1735="331",O1735="331")),"x","")</f>
        <v/>
      </c>
      <c r="Q1735" s="82" t="str">
        <f>IF(AND(B1735='111'!$L$11,OR($N1735=$Q$7,$O1735=$Q$7)),"x","")</f>
        <v/>
      </c>
      <c r="R1735" s="82" t="str">
        <f>IF(AND($N1735=$Q$7,$B1735&lt;'111'!$L$11),"x","")</f>
        <v/>
      </c>
      <c r="S1735" s="82" t="str">
        <f>IF(AND($O1735=$Q$7,$B1735&lt;'111'!$L$11),"x","")</f>
        <v>x</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1" ht="15.75" customHeight="1">
      <c r="A1736" s="334" t="str">
        <f>IF(B1736&lt;&gt;"",IF(AND(B1736='IN-TC'!$S$4,OR(TH!N1736="1111",TH!O1736="1111")),TH!D1736,""),"")</f>
        <v/>
      </c>
      <c r="B1736" s="63">
        <f t="shared" si="196"/>
        <v>4</v>
      </c>
      <c r="C1736" s="64">
        <v>42487</v>
      </c>
      <c r="D1736" s="64" t="s">
        <v>884</v>
      </c>
      <c r="E1736" s="64">
        <v>42487</v>
      </c>
      <c r="F1736" s="72" t="s">
        <v>1429</v>
      </c>
      <c r="G1736" s="972" t="s">
        <v>1430</v>
      </c>
      <c r="H1736" s="72" t="s">
        <v>1431</v>
      </c>
      <c r="I1736" s="437"/>
      <c r="J1736" s="437"/>
      <c r="K1736" s="428"/>
      <c r="L1736" s="437"/>
      <c r="M1736" s="65">
        <v>263800</v>
      </c>
      <c r="N1736" s="66" t="s">
        <v>9</v>
      </c>
      <c r="O1736" s="66" t="s">
        <v>63</v>
      </c>
      <c r="P1736" s="82" t="str">
        <f>IF(AND('331-CT'!$E$7=TH!H1736,OR(N1736="331",O1736="331")),"x","")</f>
        <v/>
      </c>
      <c r="Q1736" s="82" t="str">
        <f>IF(AND(B1736='111'!$L$11,OR($N1736=$Q$7,$O1736=$Q$7)),"x","")</f>
        <v/>
      </c>
      <c r="R1736" s="82" t="str">
        <f>IF(AND($N1736=$Q$7,$B1736&lt;'111'!$L$11),"x","")</f>
        <v/>
      </c>
      <c r="S1736" s="82" t="str">
        <f>IF(AND($O1736=$Q$7,$B1736&lt;'111'!$L$11),"x","")</f>
        <v>x</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x</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row>
    <row r="1737" spans="1:31" ht="15.75" customHeight="1">
      <c r="A1737" s="334" t="str">
        <f>IF(B1737&lt;&gt;"",IF(AND(B1737='IN-TC'!$S$4,OR(TH!N1737="1111",TH!O1737="1111")),TH!D1737,""),"")</f>
        <v/>
      </c>
      <c r="B1737" s="63">
        <f t="shared" si="196"/>
        <v>4</v>
      </c>
      <c r="C1737" s="64">
        <v>42489</v>
      </c>
      <c r="D1737" s="64" t="s">
        <v>885</v>
      </c>
      <c r="E1737" s="64">
        <f>C1737</f>
        <v>42489</v>
      </c>
      <c r="F1737" s="72" t="s">
        <v>1354</v>
      </c>
      <c r="G1737" s="972"/>
      <c r="H1737" s="318" t="s">
        <v>1356</v>
      </c>
      <c r="I1737" s="437"/>
      <c r="J1737" s="437"/>
      <c r="K1737" s="428"/>
      <c r="L1737" s="437"/>
      <c r="M1737" s="65">
        <v>818182</v>
      </c>
      <c r="N1737" s="66" t="s">
        <v>101</v>
      </c>
      <c r="O1737" s="66" t="s">
        <v>63</v>
      </c>
      <c r="P1737" s="82" t="str">
        <f>IF(AND('331-CT'!$E$7=TH!H1737,OR(N1737="331",O1737="331")),"x","")</f>
        <v/>
      </c>
      <c r="Q1737" s="82" t="str">
        <f>IF(AND(B1737='111'!$L$11,OR($N1737=$Q$7,$O1737=$Q$7)),"x","")</f>
        <v/>
      </c>
      <c r="R1737" s="82" t="str">
        <f>IF(AND($N1737=$Q$7,$B1737&lt;'111'!$L$11),"x","")</f>
        <v/>
      </c>
      <c r="S1737" s="82" t="str">
        <f>IF(AND($O1737=$Q$7,$B1737&lt;'111'!$L$11),"x","")</f>
        <v>x</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row>
    <row r="1738" spans="1:31" ht="15.75" customHeight="1">
      <c r="A1738" s="334" t="str">
        <f>IF(B1738&lt;&gt;"",IF(AND(B1738='IN-TC'!$S$4,OR(TH!N1738="1111",TH!O1738="1111")),TH!D1738,""),"")</f>
        <v/>
      </c>
      <c r="B1738" s="63">
        <f t="shared" si="196"/>
        <v>4</v>
      </c>
      <c r="C1738" s="64">
        <v>42489</v>
      </c>
      <c r="D1738" s="64" t="s">
        <v>885</v>
      </c>
      <c r="E1738" s="64">
        <f>C1738</f>
        <v>42489</v>
      </c>
      <c r="F1738" s="72" t="s">
        <v>1355</v>
      </c>
      <c r="G1738" s="972"/>
      <c r="H1738" s="318" t="s">
        <v>1356</v>
      </c>
      <c r="I1738" s="437"/>
      <c r="J1738" s="437"/>
      <c r="K1738" s="428"/>
      <c r="L1738" s="437"/>
      <c r="M1738" s="65">
        <v>81818</v>
      </c>
      <c r="N1738" s="66" t="s">
        <v>9</v>
      </c>
      <c r="O1738" s="66" t="s">
        <v>63</v>
      </c>
      <c r="P1738" s="82" t="str">
        <f>IF(AND('331-CT'!$E$7=TH!H1738,OR(N1738="331",O1738="331")),"x","")</f>
        <v/>
      </c>
      <c r="Q1738" s="82" t="str">
        <f>IF(AND(B1738='111'!$L$11,OR($N1738=$Q$7,$O1738=$Q$7)),"x","")</f>
        <v/>
      </c>
      <c r="R1738" s="82" t="str">
        <f>IF(AND($N1738=$Q$7,$B1738&lt;'111'!$L$11),"x","")</f>
        <v/>
      </c>
      <c r="S1738" s="82" t="str">
        <f>IF(AND($O1738=$Q$7,$B1738&lt;'111'!$L$11),"x","")</f>
        <v>x</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x</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row>
    <row r="1739" spans="1:31" ht="15.75" customHeight="1">
      <c r="A1739" s="334" t="str">
        <f>IF(B1739&lt;&gt;"",IF(AND(B1739='IN-TC'!$S$4,OR(TH!N1739="1111",TH!O1739="1111")),TH!D1739,""),"")</f>
        <v/>
      </c>
      <c r="B1739" s="63">
        <f t="shared" si="196"/>
        <v>4</v>
      </c>
      <c r="C1739" s="64">
        <v>42489</v>
      </c>
      <c r="D1739" s="64" t="s">
        <v>886</v>
      </c>
      <c r="E1739" s="64">
        <f>C1739</f>
        <v>42489</v>
      </c>
      <c r="F1739" s="72" t="s">
        <v>768</v>
      </c>
      <c r="G1739" s="972" t="s">
        <v>1433</v>
      </c>
      <c r="H1739" s="72" t="s">
        <v>805</v>
      </c>
      <c r="I1739" s="437"/>
      <c r="J1739" s="437"/>
      <c r="K1739" s="428"/>
      <c r="L1739" s="437"/>
      <c r="M1739" s="65">
        <v>546782</v>
      </c>
      <c r="N1739" s="66" t="s">
        <v>101</v>
      </c>
      <c r="O1739" s="66" t="s">
        <v>63</v>
      </c>
      <c r="P1739" s="82" t="str">
        <f>IF(AND('331-CT'!$E$7=TH!H1739,OR(N1739="331",O1739="331")),"x","")</f>
        <v/>
      </c>
      <c r="Q1739" s="82" t="str">
        <f>IF(AND(B1739='111'!$L$11,OR($N1739=$Q$7,$O1739=$Q$7)),"x","")</f>
        <v/>
      </c>
      <c r="R1739" s="82" t="str">
        <f>IF(AND($N1739=$Q$7,$B1739&lt;'111'!$L$11),"x","")</f>
        <v/>
      </c>
      <c r="S1739" s="82" t="str">
        <f>IF(AND($O1739=$Q$7,$B1739&lt;'111'!$L$11),"x","")</f>
        <v>x</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row>
    <row r="1740" spans="1:31" ht="15.75" customHeight="1">
      <c r="A1740" s="334" t="str">
        <f>IF(B1740&lt;&gt;"",IF(AND(B1740='IN-TC'!$S$4,OR(TH!N1740="1111",TH!O1740="1111")),TH!D1740,""),"")</f>
        <v/>
      </c>
      <c r="B1740" s="63">
        <f t="shared" si="196"/>
        <v>4</v>
      </c>
      <c r="C1740" s="64">
        <v>42489</v>
      </c>
      <c r="D1740" s="64" t="s">
        <v>886</v>
      </c>
      <c r="E1740" s="64">
        <f>C1740</f>
        <v>42489</v>
      </c>
      <c r="F1740" s="72" t="s">
        <v>769</v>
      </c>
      <c r="G1740" s="972" t="s">
        <v>1433</v>
      </c>
      <c r="H1740" s="72" t="s">
        <v>805</v>
      </c>
      <c r="I1740" s="437"/>
      <c r="J1740" s="437"/>
      <c r="K1740" s="428"/>
      <c r="L1740" s="437"/>
      <c r="M1740" s="65">
        <v>54678</v>
      </c>
      <c r="N1740" s="66" t="s">
        <v>9</v>
      </c>
      <c r="O1740" s="66" t="s">
        <v>63</v>
      </c>
      <c r="P1740" s="82" t="str">
        <f>IF(AND('331-CT'!$E$7=TH!H1740,OR(N1740="331",O1740="331")),"x","")</f>
        <v/>
      </c>
      <c r="Q1740" s="82" t="str">
        <f>IF(AND(B1740='111'!$L$11,OR($N1740=$Q$7,$O1740=$Q$7)),"x","")</f>
        <v/>
      </c>
      <c r="R1740" s="82" t="str">
        <f>IF(AND($N1740=$Q$7,$B1740&lt;'111'!$L$11),"x","")</f>
        <v/>
      </c>
      <c r="S1740" s="82" t="str">
        <f>IF(AND($O1740=$Q$7,$B1740&lt;'111'!$L$11),"x","")</f>
        <v>x</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x</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1" s="348" customFormat="1" ht="17.25" customHeight="1">
      <c r="A1741" s="1229" t="str">
        <f>IF(B1741&lt;&gt;"",IF(AND(B1741='IN-TC'!$S$4,OR(TH!N1741="1111",TH!O1741="1111")),TH!D1741,""),"")</f>
        <v/>
      </c>
      <c r="B1741" s="1134">
        <f t="shared" ref="B1741:B1804" si="203">IF(C1741&lt;&gt;"",MONTH(C1741),"")</f>
        <v>4</v>
      </c>
      <c r="C1741" s="92">
        <v>42489</v>
      </c>
      <c r="D1741" s="92" t="s">
        <v>887</v>
      </c>
      <c r="E1741" s="92">
        <f>C1741</f>
        <v>42489</v>
      </c>
      <c r="F1741" s="94" t="s">
        <v>1397</v>
      </c>
      <c r="G1741" s="1138"/>
      <c r="H1741" s="94" t="s">
        <v>845</v>
      </c>
      <c r="I1741" s="443"/>
      <c r="J1741" s="443"/>
      <c r="K1741" s="434"/>
      <c r="L1741" s="443"/>
      <c r="M1741" s="95">
        <v>133705785</v>
      </c>
      <c r="N1741" s="1226" t="s">
        <v>589</v>
      </c>
      <c r="O1741" s="83" t="s">
        <v>63</v>
      </c>
      <c r="P1741" s="82" t="str">
        <f>IF(AND('331-CT'!$E$7=TH!H1741,OR(N1741="331",O1741="331")),"x","")</f>
        <v/>
      </c>
      <c r="Q1741" s="82" t="str">
        <f>IF(AND(B1741='111'!$L$11,OR($N1741=$Q$7,$O1741=$Q$7)),"x","")</f>
        <v/>
      </c>
      <c r="R1741" s="82" t="str">
        <f>IF(AND($N1741=$Q$7,$B1741&lt;'111'!$L$11),"x","")</f>
        <v/>
      </c>
      <c r="S1741" s="82" t="str">
        <f>IF(AND($O1741=$Q$7,$B1741&lt;'111'!$L$11),"x","")</f>
        <v>x</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1" s="345" customFormat="1" ht="15.75" customHeight="1">
      <c r="A1742" s="334" t="str">
        <f>IF(B1742&lt;&gt;"",IF(AND(B1742='IN-TC'!$S$4,OR(TH!N1742="1111",TH!O1742="1111")),TH!D1742,""),"")</f>
        <v/>
      </c>
      <c r="B1742" s="993">
        <f t="shared" si="203"/>
        <v>4</v>
      </c>
      <c r="C1742" s="78">
        <v>42490</v>
      </c>
      <c r="D1742" s="78" t="s">
        <v>579</v>
      </c>
      <c r="E1742" s="78">
        <v>42466</v>
      </c>
      <c r="F1742" s="72" t="s">
        <v>636</v>
      </c>
      <c r="G1742" s="975" t="s">
        <v>1409</v>
      </c>
      <c r="H1742" s="80" t="s">
        <v>627</v>
      </c>
      <c r="I1742" s="435"/>
      <c r="J1742" s="435"/>
      <c r="K1742" s="426"/>
      <c r="L1742" s="435"/>
      <c r="M1742" s="81">
        <v>2000000</v>
      </c>
      <c r="N1742" s="82" t="s">
        <v>588</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c r="AE1742" s="341" t="str">
        <f t="shared" ref="AE1742:AE1757" si="204">IF(H1742&lt;&gt;VLOOKUP(H1742,DSKH,1,0),"","x")</f>
        <v>x</v>
      </c>
    </row>
    <row r="1743" spans="1:31" s="345" customFormat="1" ht="15.75" customHeight="1">
      <c r="A1743" s="334" t="str">
        <f>IF(B1743&lt;&gt;"",IF(AND(B1743='IN-TC'!$S$4,OR(TH!N1743="1111",TH!O1743="1111")),TH!D1743,""),"")</f>
        <v/>
      </c>
      <c r="B1743" s="993">
        <f t="shared" si="203"/>
        <v>4</v>
      </c>
      <c r="C1743" s="78">
        <v>42490</v>
      </c>
      <c r="D1743" s="78" t="s">
        <v>579</v>
      </c>
      <c r="E1743" s="78">
        <v>42466</v>
      </c>
      <c r="F1743" s="72" t="s">
        <v>637</v>
      </c>
      <c r="G1743" s="975" t="s">
        <v>1409</v>
      </c>
      <c r="H1743" s="80" t="s">
        <v>627</v>
      </c>
      <c r="I1743" s="435"/>
      <c r="J1743" s="435"/>
      <c r="K1743" s="426"/>
      <c r="L1743" s="435"/>
      <c r="M1743" s="81">
        <v>200000</v>
      </c>
      <c r="N1743" s="82" t="s">
        <v>9</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x</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c r="AE1743" s="341" t="str">
        <f t="shared" si="204"/>
        <v>x</v>
      </c>
    </row>
    <row r="1744" spans="1:31" s="345" customFormat="1" ht="15.75" customHeight="1">
      <c r="A1744" s="334" t="str">
        <f>IF(B1744&lt;&gt;"",IF(AND(B1744='IN-TC'!$S$4,OR(TH!N1744="1111",TH!O1744="1111")),TH!D1744,""),"")</f>
        <v/>
      </c>
      <c r="B1744" s="993">
        <f t="shared" si="203"/>
        <v>4</v>
      </c>
      <c r="C1744" s="78">
        <v>42490</v>
      </c>
      <c r="D1744" s="78" t="s">
        <v>579</v>
      </c>
      <c r="E1744" s="78">
        <v>42475</v>
      </c>
      <c r="F1744" s="72" t="s">
        <v>632</v>
      </c>
      <c r="G1744" s="975" t="s">
        <v>1410</v>
      </c>
      <c r="H1744" s="80" t="s">
        <v>628</v>
      </c>
      <c r="I1744" s="435"/>
      <c r="J1744" s="435"/>
      <c r="K1744" s="426"/>
      <c r="L1744" s="435"/>
      <c r="M1744" s="81">
        <v>11856100</v>
      </c>
      <c r="N1744" s="82" t="s">
        <v>588</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c r="AE1744" s="341" t="str">
        <f t="shared" si="204"/>
        <v>x</v>
      </c>
    </row>
    <row r="1745" spans="1:31" s="345" customFormat="1" ht="15.75" customHeight="1">
      <c r="A1745" s="334" t="str">
        <f>IF(B1745&lt;&gt;"",IF(AND(B1745='IN-TC'!$S$4,OR(TH!N1745="1111",TH!O1745="1111")),TH!D1745,""),"")</f>
        <v/>
      </c>
      <c r="B1745" s="993">
        <f t="shared" si="203"/>
        <v>4</v>
      </c>
      <c r="C1745" s="78">
        <v>42490</v>
      </c>
      <c r="D1745" s="78" t="s">
        <v>579</v>
      </c>
      <c r="E1745" s="78">
        <v>42475</v>
      </c>
      <c r="F1745" s="72" t="s">
        <v>1075</v>
      </c>
      <c r="G1745" s="975" t="s">
        <v>1411</v>
      </c>
      <c r="H1745" s="80" t="s">
        <v>628</v>
      </c>
      <c r="I1745" s="435"/>
      <c r="J1745" s="435"/>
      <c r="K1745" s="426"/>
      <c r="L1745" s="435"/>
      <c r="M1745" s="81">
        <v>6218860</v>
      </c>
      <c r="N1745" s="82" t="s">
        <v>588</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c r="AE1745" s="341" t="str">
        <f t="shared" si="204"/>
        <v>x</v>
      </c>
    </row>
    <row r="1746" spans="1:31" s="345" customFormat="1" ht="15.75" customHeight="1">
      <c r="A1746" s="334" t="str">
        <f>IF(B1746&lt;&gt;"",IF(AND(B1746='IN-TC'!$S$4,OR(TH!N1746="1111",TH!O1746="1111")),TH!D1746,""),"")</f>
        <v/>
      </c>
      <c r="B1746" s="993">
        <f t="shared" si="203"/>
        <v>4</v>
      </c>
      <c r="C1746" s="78">
        <v>42490</v>
      </c>
      <c r="D1746" s="78" t="s">
        <v>579</v>
      </c>
      <c r="E1746" s="78">
        <v>42475</v>
      </c>
      <c r="F1746" s="72" t="s">
        <v>1076</v>
      </c>
      <c r="G1746" s="975" t="s">
        <v>1411</v>
      </c>
      <c r="H1746" s="80" t="s">
        <v>628</v>
      </c>
      <c r="I1746" s="435"/>
      <c r="J1746" s="435"/>
      <c r="K1746" s="426"/>
      <c r="L1746" s="435"/>
      <c r="M1746" s="81">
        <v>621886</v>
      </c>
      <c r="N1746" s="1118" t="s">
        <v>9</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x</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c r="AE1746" s="341" t="str">
        <f t="shared" si="204"/>
        <v>x</v>
      </c>
    </row>
    <row r="1747" spans="1:31" s="345" customFormat="1" ht="15.75" customHeight="1">
      <c r="A1747" s="334" t="str">
        <f>IF(B1747&lt;&gt;"",IF(AND(B1747='IN-TC'!$S$4,OR(TH!N1747="1111",TH!O1747="1111")),TH!D1747,""),"")</f>
        <v/>
      </c>
      <c r="B1747" s="993">
        <f t="shared" si="203"/>
        <v>4</v>
      </c>
      <c r="C1747" s="78">
        <v>42490</v>
      </c>
      <c r="D1747" s="78" t="s">
        <v>579</v>
      </c>
      <c r="E1747" s="78">
        <v>42488</v>
      </c>
      <c r="F1747" s="72" t="s">
        <v>1424</v>
      </c>
      <c r="G1747" s="975" t="s">
        <v>1426</v>
      </c>
      <c r="H1747" s="80" t="s">
        <v>1427</v>
      </c>
      <c r="I1747" s="435"/>
      <c r="J1747" s="435"/>
      <c r="K1747" s="426"/>
      <c r="L1747" s="435"/>
      <c r="M1747" s="81">
        <v>7200000</v>
      </c>
      <c r="N1747" s="1118" t="s">
        <v>101</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c r="AE1747" s="341" t="str">
        <f t="shared" si="204"/>
        <v>x</v>
      </c>
    </row>
    <row r="1748" spans="1:31" s="345" customFormat="1" ht="15.75" customHeight="1">
      <c r="A1748" s="334" t="str">
        <f>IF(B1748&lt;&gt;"",IF(AND(B1748='IN-TC'!$S$4,OR(TH!N1748="1111",TH!O1748="1111")),TH!D1748,""),"")</f>
        <v/>
      </c>
      <c r="B1748" s="993">
        <f t="shared" si="203"/>
        <v>4</v>
      </c>
      <c r="C1748" s="78">
        <v>42490</v>
      </c>
      <c r="D1748" s="78" t="s">
        <v>579</v>
      </c>
      <c r="E1748" s="78">
        <v>42488</v>
      </c>
      <c r="F1748" s="72" t="s">
        <v>1425</v>
      </c>
      <c r="G1748" s="975" t="s">
        <v>1426</v>
      </c>
      <c r="H1748" s="80" t="s">
        <v>1427</v>
      </c>
      <c r="I1748" s="435"/>
      <c r="J1748" s="435"/>
      <c r="K1748" s="426"/>
      <c r="L1748" s="435"/>
      <c r="M1748" s="81">
        <v>720000</v>
      </c>
      <c r="N1748" s="1118" t="s">
        <v>9</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x</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c r="AE1748" s="341" t="str">
        <f t="shared" si="204"/>
        <v>x</v>
      </c>
    </row>
    <row r="1749" spans="1:31" s="345" customFormat="1" ht="15.75" customHeight="1">
      <c r="A1749" s="334" t="str">
        <f>IF(B1749&lt;&gt;"",IF(AND(B1749='IN-TC'!$S$4,OR(TH!N1749="1111",TH!O1749="1111")),TH!D1749,""),"")</f>
        <v/>
      </c>
      <c r="B1749" s="993">
        <f t="shared" si="203"/>
        <v>4</v>
      </c>
      <c r="C1749" s="78">
        <v>42490</v>
      </c>
      <c r="D1749" s="78" t="s">
        <v>579</v>
      </c>
      <c r="E1749" s="78">
        <v>42485</v>
      </c>
      <c r="F1749" s="72" t="s">
        <v>635</v>
      </c>
      <c r="G1749" s="975" t="s">
        <v>1454</v>
      </c>
      <c r="H1749" s="80" t="s">
        <v>626</v>
      </c>
      <c r="I1749" s="435"/>
      <c r="J1749" s="435"/>
      <c r="K1749" s="426"/>
      <c r="L1749" s="435"/>
      <c r="M1749" s="81">
        <v>1095000</v>
      </c>
      <c r="N1749" s="82" t="s">
        <v>588</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c r="AE1749" s="341" t="str">
        <f t="shared" si="204"/>
        <v>x</v>
      </c>
    </row>
    <row r="1750" spans="1:31" s="345" customFormat="1" ht="15.75" customHeight="1">
      <c r="A1750" s="334" t="str">
        <f>IF(B1750&lt;&gt;"",IF(AND(B1750='IN-TC'!$S$4,OR(TH!N1750="1111",TH!O1750="1111")),TH!D1750,""),"")</f>
        <v/>
      </c>
      <c r="B1750" s="993">
        <f t="shared" si="203"/>
        <v>4</v>
      </c>
      <c r="C1750" s="78">
        <v>42490</v>
      </c>
      <c r="D1750" s="78" t="s">
        <v>579</v>
      </c>
      <c r="E1750" s="78">
        <v>42485</v>
      </c>
      <c r="F1750" s="72" t="s">
        <v>635</v>
      </c>
      <c r="G1750" s="975" t="s">
        <v>1455</v>
      </c>
      <c r="H1750" s="80" t="s">
        <v>626</v>
      </c>
      <c r="I1750" s="435"/>
      <c r="J1750" s="435"/>
      <c r="K1750" s="426"/>
      <c r="L1750" s="435"/>
      <c r="M1750" s="81">
        <v>780000</v>
      </c>
      <c r="N1750" s="82" t="s">
        <v>588</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c r="AE1750" s="341" t="str">
        <f t="shared" si="204"/>
        <v>x</v>
      </c>
    </row>
    <row r="1751" spans="1:31" s="345" customFormat="1" ht="15.75" customHeight="1">
      <c r="A1751" s="334" t="str">
        <f>IF(B1751&lt;&gt;"",IF(AND(B1751='IN-TC'!$S$4,OR(TH!N1751="1111",TH!O1751="1111")),TH!D1751,""),"")</f>
        <v/>
      </c>
      <c r="B1751" s="993">
        <f t="shared" si="203"/>
        <v>4</v>
      </c>
      <c r="C1751" s="78">
        <v>42490</v>
      </c>
      <c r="D1751" s="78" t="s">
        <v>579</v>
      </c>
      <c r="E1751" s="78">
        <v>42482</v>
      </c>
      <c r="F1751" s="72" t="s">
        <v>635</v>
      </c>
      <c r="G1751" s="975" t="s">
        <v>1456</v>
      </c>
      <c r="H1751" s="80" t="s">
        <v>626</v>
      </c>
      <c r="I1751" s="435"/>
      <c r="J1751" s="435"/>
      <c r="K1751" s="426"/>
      <c r="L1751" s="435"/>
      <c r="M1751" s="81">
        <v>1110000</v>
      </c>
      <c r="N1751" s="82" t="s">
        <v>588</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c r="AE1751" s="341" t="str">
        <f t="shared" si="204"/>
        <v>x</v>
      </c>
    </row>
    <row r="1752" spans="1:31" s="345" customFormat="1" ht="15.75" customHeight="1">
      <c r="A1752" s="334" t="str">
        <f>IF(B1752&lt;&gt;"",IF(AND(B1752='IN-TC'!$S$4,OR(TH!N1752="1111",TH!O1752="1111")),TH!D1752,""),"")</f>
        <v/>
      </c>
      <c r="B1752" s="993">
        <f t="shared" si="203"/>
        <v>4</v>
      </c>
      <c r="C1752" s="78">
        <v>42490</v>
      </c>
      <c r="D1752" s="1124" t="s">
        <v>579</v>
      </c>
      <c r="E1752" s="1124">
        <v>42466</v>
      </c>
      <c r="F1752" s="72" t="s">
        <v>1457</v>
      </c>
      <c r="G1752" s="994" t="s">
        <v>1463</v>
      </c>
      <c r="H1752" s="320" t="s">
        <v>629</v>
      </c>
      <c r="I1752" s="435"/>
      <c r="J1752" s="435"/>
      <c r="K1752" s="426"/>
      <c r="L1752" s="435"/>
      <c r="M1752" s="81">
        <v>23841200</v>
      </c>
      <c r="N1752" s="1118" t="s">
        <v>282</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c r="AE1752" s="341" t="str">
        <f t="shared" si="204"/>
        <v>x</v>
      </c>
    </row>
    <row r="1753" spans="1:31" s="345" customFormat="1" ht="15.75" customHeight="1">
      <c r="A1753" s="334" t="str">
        <f>IF(B1753&lt;&gt;"",IF(AND(B1753='IN-TC'!$S$4,OR(TH!N1753="1111",TH!O1753="1111")),TH!D1753,""),"")</f>
        <v/>
      </c>
      <c r="B1753" s="993">
        <f t="shared" si="203"/>
        <v>4</v>
      </c>
      <c r="C1753" s="78">
        <v>42490</v>
      </c>
      <c r="D1753" s="1124" t="s">
        <v>579</v>
      </c>
      <c r="E1753" s="1124">
        <v>42466</v>
      </c>
      <c r="F1753" s="72" t="s">
        <v>1458</v>
      </c>
      <c r="G1753" s="994" t="s">
        <v>1463</v>
      </c>
      <c r="H1753" s="320" t="s">
        <v>629</v>
      </c>
      <c r="I1753" s="435"/>
      <c r="J1753" s="435"/>
      <c r="K1753" s="426"/>
      <c r="L1753" s="435"/>
      <c r="M1753" s="81">
        <v>2384120</v>
      </c>
      <c r="N1753" s="1118" t="s">
        <v>9</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x</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c r="AE1753" s="341" t="str">
        <f t="shared" si="204"/>
        <v>x</v>
      </c>
    </row>
    <row r="1754" spans="1:31" s="345" customFormat="1" ht="15.75" customHeight="1">
      <c r="A1754" s="334" t="str">
        <f>IF(B1754&lt;&gt;"",IF(AND(B1754='IN-TC'!$S$4,OR(TH!N1754="1111",TH!O1754="1111")),TH!D1754,""),"")</f>
        <v/>
      </c>
      <c r="B1754" s="993">
        <f t="shared" si="203"/>
        <v>4</v>
      </c>
      <c r="C1754" s="78">
        <v>42490</v>
      </c>
      <c r="D1754" s="1124" t="s">
        <v>579</v>
      </c>
      <c r="E1754" s="1124">
        <v>42476</v>
      </c>
      <c r="F1754" s="72" t="s">
        <v>1459</v>
      </c>
      <c r="G1754" s="994" t="s">
        <v>1464</v>
      </c>
      <c r="H1754" s="320" t="s">
        <v>629</v>
      </c>
      <c r="I1754" s="435"/>
      <c r="J1754" s="435"/>
      <c r="K1754" s="426"/>
      <c r="L1754" s="435"/>
      <c r="M1754" s="81">
        <v>28369800</v>
      </c>
      <c r="N1754" s="1118" t="s">
        <v>282</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c r="AE1754" s="341" t="str">
        <f t="shared" si="204"/>
        <v>x</v>
      </c>
    </row>
    <row r="1755" spans="1:31" s="345" customFormat="1" ht="15.75" customHeight="1">
      <c r="A1755" s="334" t="str">
        <f>IF(B1755&lt;&gt;"",IF(AND(B1755='IN-TC'!$S$4,OR(TH!N1755="1111",TH!O1755="1111")),TH!D1755,""),"")</f>
        <v/>
      </c>
      <c r="B1755" s="993">
        <f t="shared" si="203"/>
        <v>4</v>
      </c>
      <c r="C1755" s="78">
        <v>42490</v>
      </c>
      <c r="D1755" s="1124" t="s">
        <v>579</v>
      </c>
      <c r="E1755" s="1124">
        <v>42476</v>
      </c>
      <c r="F1755" s="72" t="s">
        <v>1460</v>
      </c>
      <c r="G1755" s="994" t="s">
        <v>1464</v>
      </c>
      <c r="H1755" s="320" t="s">
        <v>629</v>
      </c>
      <c r="I1755" s="435"/>
      <c r="J1755" s="435"/>
      <c r="K1755" s="426"/>
      <c r="L1755" s="435"/>
      <c r="M1755" s="81">
        <v>2836980</v>
      </c>
      <c r="N1755" s="1118" t="s">
        <v>9</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x</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c r="AE1755" s="341" t="str">
        <f t="shared" si="204"/>
        <v>x</v>
      </c>
    </row>
    <row r="1756" spans="1:31" s="345" customFormat="1" ht="15.75" customHeight="1">
      <c r="A1756" s="334" t="str">
        <f>IF(B1756&lt;&gt;"",IF(AND(B1756='IN-TC'!$S$4,OR(TH!N1756="1111",TH!O1756="1111")),TH!D1756,""),"")</f>
        <v/>
      </c>
      <c r="B1756" s="993">
        <f t="shared" si="203"/>
        <v>4</v>
      </c>
      <c r="C1756" s="78">
        <v>42490</v>
      </c>
      <c r="D1756" s="1124" t="s">
        <v>579</v>
      </c>
      <c r="E1756" s="1124">
        <v>42486</v>
      </c>
      <c r="F1756" s="72" t="s">
        <v>1461</v>
      </c>
      <c r="G1756" s="994" t="s">
        <v>1488</v>
      </c>
      <c r="H1756" s="320" t="s">
        <v>629</v>
      </c>
      <c r="I1756" s="435"/>
      <c r="J1756" s="435"/>
      <c r="K1756" s="426"/>
      <c r="L1756" s="435"/>
      <c r="M1756" s="81">
        <v>24348800</v>
      </c>
      <c r="N1756" s="1118" t="s">
        <v>282</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c r="AE1756" s="341" t="str">
        <f t="shared" si="204"/>
        <v>x</v>
      </c>
    </row>
    <row r="1757" spans="1:31" s="345" customFormat="1" ht="15.75" customHeight="1">
      <c r="A1757" s="334" t="str">
        <f>IF(B1757&lt;&gt;"",IF(AND(B1757='IN-TC'!$S$4,OR(TH!N1757="1111",TH!O1757="1111")),TH!D1757,""),"")</f>
        <v/>
      </c>
      <c r="B1757" s="993">
        <f t="shared" si="203"/>
        <v>4</v>
      </c>
      <c r="C1757" s="78">
        <v>42490</v>
      </c>
      <c r="D1757" s="1124" t="s">
        <v>579</v>
      </c>
      <c r="E1757" s="1124">
        <v>42486</v>
      </c>
      <c r="F1757" s="72" t="s">
        <v>1462</v>
      </c>
      <c r="G1757" s="994" t="s">
        <v>1488</v>
      </c>
      <c r="H1757" s="320" t="s">
        <v>629</v>
      </c>
      <c r="I1757" s="435"/>
      <c r="J1757" s="435"/>
      <c r="K1757" s="426"/>
      <c r="L1757" s="435"/>
      <c r="M1757" s="81">
        <v>2434880</v>
      </c>
      <c r="N1757" s="1118" t="s">
        <v>9</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x</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c r="AE1757" s="341" t="str">
        <f t="shared" si="204"/>
        <v>x</v>
      </c>
    </row>
    <row r="1758" spans="1:31" ht="15.75" customHeight="1">
      <c r="A1758" s="334" t="str">
        <f>IF(B1758&lt;&gt;"",IF(AND(B1758='IN-TC'!$S$4,OR(TH!N1758="1111",TH!O1758="1111")),TH!D1758,""),"")</f>
        <v/>
      </c>
      <c r="B1758" s="63">
        <f t="shared" si="203"/>
        <v>4</v>
      </c>
      <c r="C1758" s="64">
        <f t="shared" ref="C1758:C1789" si="205">E1758</f>
        <v>42468</v>
      </c>
      <c r="D1758" s="64" t="s">
        <v>702</v>
      </c>
      <c r="E1758" s="64">
        <v>42468</v>
      </c>
      <c r="F1758" s="72" t="s">
        <v>1436</v>
      </c>
      <c r="G1758" s="972" t="s">
        <v>915</v>
      </c>
      <c r="H1758" s="72"/>
      <c r="I1758" s="437"/>
      <c r="J1758" s="437"/>
      <c r="K1758" s="428">
        <v>5</v>
      </c>
      <c r="L1758" s="437">
        <v>22260</v>
      </c>
      <c r="M1758" s="65">
        <f t="shared" ref="M1758:M1767" si="206">ROUND(K1758*L1758,0)</f>
        <v>111300</v>
      </c>
      <c r="N1758" s="66" t="s">
        <v>101</v>
      </c>
      <c r="O1758" s="66" t="s">
        <v>266</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row>
    <row r="1759" spans="1:31" ht="15.75" customHeight="1">
      <c r="A1759" s="334" t="str">
        <f>IF(B1759&lt;&gt;"",IF(AND(B1759='IN-TC'!$S$4,OR(TH!N1759="1111",TH!O1759="1111")),TH!D1759,""),"")</f>
        <v/>
      </c>
      <c r="B1759" s="63">
        <f t="shared" si="203"/>
        <v>4</v>
      </c>
      <c r="C1759" s="64">
        <f t="shared" si="205"/>
        <v>42468</v>
      </c>
      <c r="D1759" s="64" t="s">
        <v>702</v>
      </c>
      <c r="E1759" s="64">
        <v>42468</v>
      </c>
      <c r="F1759" s="72" t="s">
        <v>1437</v>
      </c>
      <c r="G1759" s="972" t="s">
        <v>915</v>
      </c>
      <c r="H1759" s="72"/>
      <c r="I1759" s="437"/>
      <c r="J1759" s="437"/>
      <c r="K1759" s="428">
        <v>0.5</v>
      </c>
      <c r="L1759" s="437">
        <v>22260</v>
      </c>
      <c r="M1759" s="65">
        <f t="shared" si="206"/>
        <v>11130</v>
      </c>
      <c r="N1759" s="66" t="s">
        <v>9</v>
      </c>
      <c r="O1759" s="66" t="s">
        <v>266</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x</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row>
    <row r="1760" spans="1:31" ht="15.75" customHeight="1">
      <c r="A1760" s="334" t="str">
        <f>IF(B1760&lt;&gt;"",IF(AND(B1760='IN-TC'!$S$4,OR(TH!N1760="1111",TH!O1760="1111")),TH!D1760,""),"")</f>
        <v/>
      </c>
      <c r="B1760" s="63">
        <f t="shared" si="203"/>
        <v>4</v>
      </c>
      <c r="C1760" s="64">
        <f t="shared" si="205"/>
        <v>42475</v>
      </c>
      <c r="D1760" s="64" t="s">
        <v>702</v>
      </c>
      <c r="E1760" s="64">
        <v>42475</v>
      </c>
      <c r="F1760" s="72" t="s">
        <v>1436</v>
      </c>
      <c r="G1760" s="972" t="s">
        <v>915</v>
      </c>
      <c r="H1760" s="72"/>
      <c r="I1760" s="437"/>
      <c r="J1760" s="437"/>
      <c r="K1760" s="428">
        <v>5</v>
      </c>
      <c r="L1760" s="437">
        <v>22260</v>
      </c>
      <c r="M1760" s="65">
        <f t="shared" si="206"/>
        <v>111300</v>
      </c>
      <c r="N1760" s="66" t="s">
        <v>101</v>
      </c>
      <c r="O1760" s="66" t="s">
        <v>266</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row>
    <row r="1761" spans="1:31" ht="15.75" customHeight="1">
      <c r="A1761" s="334" t="str">
        <f>IF(B1761&lt;&gt;"",IF(AND(B1761='IN-TC'!$S$4,OR(TH!N1761="1111",TH!O1761="1111")),TH!D1761,""),"")</f>
        <v/>
      </c>
      <c r="B1761" s="63">
        <f t="shared" si="203"/>
        <v>4</v>
      </c>
      <c r="C1761" s="64">
        <f t="shared" si="205"/>
        <v>42475</v>
      </c>
      <c r="D1761" s="64" t="s">
        <v>702</v>
      </c>
      <c r="E1761" s="64">
        <v>42475</v>
      </c>
      <c r="F1761" s="72" t="s">
        <v>1437</v>
      </c>
      <c r="G1761" s="972" t="s">
        <v>915</v>
      </c>
      <c r="H1761" s="72"/>
      <c r="I1761" s="437"/>
      <c r="J1761" s="437"/>
      <c r="K1761" s="428">
        <v>0.5</v>
      </c>
      <c r="L1761" s="437">
        <v>22260</v>
      </c>
      <c r="M1761" s="65">
        <f t="shared" si="206"/>
        <v>11130</v>
      </c>
      <c r="N1761" s="66" t="s">
        <v>9</v>
      </c>
      <c r="O1761" s="66" t="s">
        <v>266</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x</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1" ht="15.75" customHeight="1">
      <c r="A1762" s="334" t="str">
        <f>IF(B1762&lt;&gt;"",IF(AND(B1762='IN-TC'!$S$4,OR(TH!N1762="1111",TH!O1762="1111")),TH!D1762,""),"")</f>
        <v/>
      </c>
      <c r="B1762" s="63">
        <f t="shared" si="203"/>
        <v>4</v>
      </c>
      <c r="C1762" s="64">
        <f t="shared" si="205"/>
        <v>42475</v>
      </c>
      <c r="D1762" s="64" t="s">
        <v>702</v>
      </c>
      <c r="E1762" s="64">
        <v>42475</v>
      </c>
      <c r="F1762" s="343" t="s">
        <v>754</v>
      </c>
      <c r="G1762" s="972" t="s">
        <v>914</v>
      </c>
      <c r="H1762" s="72" t="s">
        <v>726</v>
      </c>
      <c r="I1762" s="439"/>
      <c r="J1762" s="439"/>
      <c r="K1762" s="430">
        <v>244.21</v>
      </c>
      <c r="L1762" s="437">
        <v>22260</v>
      </c>
      <c r="M1762" s="65">
        <f t="shared" si="206"/>
        <v>5436115</v>
      </c>
      <c r="N1762" s="66" t="s">
        <v>99</v>
      </c>
      <c r="O1762" s="66" t="s">
        <v>266</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1" ht="15.75" customHeight="1">
      <c r="A1763" s="334" t="str">
        <f>IF(B1763&lt;&gt;"",IF(AND(B1763='IN-TC'!$S$4,OR(TH!N1763="1111",TH!O1763="1111")),TH!D1763,""),"")</f>
        <v/>
      </c>
      <c r="B1763" s="63">
        <f t="shared" si="203"/>
        <v>4</v>
      </c>
      <c r="C1763" s="64">
        <f t="shared" si="205"/>
        <v>42475</v>
      </c>
      <c r="D1763" s="64" t="s">
        <v>702</v>
      </c>
      <c r="E1763" s="64">
        <v>42475</v>
      </c>
      <c r="F1763" s="512" t="s">
        <v>755</v>
      </c>
      <c r="G1763" s="972" t="s">
        <v>914</v>
      </c>
      <c r="H1763" s="72" t="s">
        <v>727</v>
      </c>
      <c r="I1763" s="437"/>
      <c r="J1763" s="437"/>
      <c r="K1763" s="428">
        <v>213.56</v>
      </c>
      <c r="L1763" s="437">
        <v>22260</v>
      </c>
      <c r="M1763" s="65">
        <f t="shared" si="206"/>
        <v>4753846</v>
      </c>
      <c r="N1763" s="66" t="s">
        <v>99</v>
      </c>
      <c r="O1763" s="66" t="s">
        <v>266</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1" ht="15.75" customHeight="1">
      <c r="A1764" s="334" t="str">
        <f>IF(B1764&lt;&gt;"",IF(AND(B1764='IN-TC'!$S$4,OR(TH!N1764="1111",TH!O1764="1111")),TH!D1764,""),"")</f>
        <v/>
      </c>
      <c r="B1764" s="63">
        <f t="shared" si="203"/>
        <v>4</v>
      </c>
      <c r="C1764" s="64">
        <f t="shared" si="205"/>
        <v>42475</v>
      </c>
      <c r="D1764" s="64" t="s">
        <v>702</v>
      </c>
      <c r="E1764" s="64">
        <v>42475</v>
      </c>
      <c r="F1764" s="512" t="s">
        <v>756</v>
      </c>
      <c r="G1764" s="972" t="s">
        <v>914</v>
      </c>
      <c r="H1764" s="72" t="s">
        <v>728</v>
      </c>
      <c r="I1764" s="437"/>
      <c r="J1764" s="437"/>
      <c r="K1764" s="428">
        <v>113.67</v>
      </c>
      <c r="L1764" s="437">
        <v>22260</v>
      </c>
      <c r="M1764" s="65">
        <f t="shared" si="206"/>
        <v>2530294</v>
      </c>
      <c r="N1764" s="66" t="s">
        <v>99</v>
      </c>
      <c r="O1764" s="66" t="s">
        <v>266</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1" ht="15.75" customHeight="1">
      <c r="A1765" s="334" t="str">
        <f>IF(B1765&lt;&gt;"",IF(AND(B1765='IN-TC'!$S$4,OR(TH!N1765="1111",TH!O1765="1111")),TH!D1765,""),"")</f>
        <v/>
      </c>
      <c r="B1765" s="63">
        <f t="shared" si="203"/>
        <v>4</v>
      </c>
      <c r="C1765" s="64">
        <f t="shared" si="205"/>
        <v>42475</v>
      </c>
      <c r="D1765" s="64" t="s">
        <v>702</v>
      </c>
      <c r="E1765" s="64">
        <v>42475</v>
      </c>
      <c r="F1765" s="512" t="s">
        <v>1057</v>
      </c>
      <c r="G1765" s="972" t="s">
        <v>914</v>
      </c>
      <c r="H1765" s="72" t="s">
        <v>729</v>
      </c>
      <c r="I1765" s="437"/>
      <c r="J1765" s="437"/>
      <c r="K1765" s="428">
        <v>148.11000000000001</v>
      </c>
      <c r="L1765" s="437">
        <v>22260</v>
      </c>
      <c r="M1765" s="65">
        <f t="shared" si="206"/>
        <v>3296929</v>
      </c>
      <c r="N1765" s="66" t="s">
        <v>99</v>
      </c>
      <c r="O1765" s="66" t="s">
        <v>266</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1" ht="15.75" customHeight="1">
      <c r="A1766" s="334" t="str">
        <f>IF(B1766&lt;&gt;"",IF(AND(B1766='IN-TC'!$S$4,OR(TH!N1766="1111",TH!O1766="1111")),TH!D1766,""),"")</f>
        <v/>
      </c>
      <c r="B1766" s="63">
        <f t="shared" si="203"/>
        <v>4</v>
      </c>
      <c r="C1766" s="64">
        <f t="shared" si="205"/>
        <v>42475</v>
      </c>
      <c r="D1766" s="64" t="s">
        <v>702</v>
      </c>
      <c r="E1766" s="64">
        <v>42475</v>
      </c>
      <c r="F1766" s="512" t="s">
        <v>1697</v>
      </c>
      <c r="G1766" s="972" t="s">
        <v>914</v>
      </c>
      <c r="H1766" s="72" t="s">
        <v>739</v>
      </c>
      <c r="I1766" s="437"/>
      <c r="J1766" s="437"/>
      <c r="K1766" s="428">
        <v>180.14</v>
      </c>
      <c r="L1766" s="437">
        <v>22260</v>
      </c>
      <c r="M1766" s="65">
        <f t="shared" si="206"/>
        <v>4009916</v>
      </c>
      <c r="N1766" s="66" t="s">
        <v>99</v>
      </c>
      <c r="O1766" s="66" t="s">
        <v>266</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row>
    <row r="1767" spans="1:31" ht="15.75" customHeight="1">
      <c r="A1767" s="334" t="str">
        <f>IF(B1767&lt;&gt;"",IF(AND(B1767='IN-TC'!$S$4,OR(TH!N1767="1111",TH!O1767="1111")),TH!D1767,""),"")</f>
        <v/>
      </c>
      <c r="B1767" s="63">
        <f t="shared" si="203"/>
        <v>4</v>
      </c>
      <c r="C1767" s="64">
        <f t="shared" si="205"/>
        <v>42481</v>
      </c>
      <c r="D1767" s="64" t="s">
        <v>702</v>
      </c>
      <c r="E1767" s="64">
        <v>42481</v>
      </c>
      <c r="F1767" s="72" t="s">
        <v>1438</v>
      </c>
      <c r="G1767" s="972" t="s">
        <v>916</v>
      </c>
      <c r="H1767" s="72"/>
      <c r="I1767" s="437"/>
      <c r="J1767" s="437"/>
      <c r="K1767" s="428">
        <v>3900</v>
      </c>
      <c r="L1767" s="437">
        <v>22260</v>
      </c>
      <c r="M1767" s="65">
        <f t="shared" si="206"/>
        <v>86814000</v>
      </c>
      <c r="N1767" s="66" t="s">
        <v>26</v>
      </c>
      <c r="O1767" s="66" t="s">
        <v>266</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1" ht="15.75" customHeight="1">
      <c r="A1768" s="334" t="str">
        <f>IF(B1768&lt;&gt;"",IF(AND(B1768='IN-TC'!$S$4,OR(TH!N1768="1111",TH!O1768="1111")),TH!D1768,""),"")</f>
        <v/>
      </c>
      <c r="B1768" s="63">
        <f t="shared" si="203"/>
        <v>4</v>
      </c>
      <c r="C1768" s="64">
        <f t="shared" si="205"/>
        <v>42468</v>
      </c>
      <c r="D1768" s="64" t="s">
        <v>702</v>
      </c>
      <c r="E1768" s="64">
        <v>42468</v>
      </c>
      <c r="F1768" s="72" t="s">
        <v>1439</v>
      </c>
      <c r="G1768" s="972" t="s">
        <v>914</v>
      </c>
      <c r="H1768" s="72" t="s">
        <v>1423</v>
      </c>
      <c r="I1768" s="437"/>
      <c r="J1768" s="437"/>
      <c r="K1768" s="428"/>
      <c r="L1768" s="437"/>
      <c r="M1768" s="65">
        <v>1000000</v>
      </c>
      <c r="N1768" s="319" t="s">
        <v>8</v>
      </c>
      <c r="O1768" s="66" t="s">
        <v>26</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c r="AE1768" s="1136" t="str">
        <f>IF(H1768&lt;&gt;VLOOKUP(H1768,DSKH,1,0),"","x")</f>
        <v>x</v>
      </c>
    </row>
    <row r="1769" spans="1:31" ht="15.75" customHeight="1">
      <c r="A1769" s="334" t="str">
        <f>IF(B1769&lt;&gt;"",IF(AND(B1769='IN-TC'!$S$4,OR(TH!N1769="1111",TH!O1769="1111")),TH!D1769,""),"")</f>
        <v/>
      </c>
      <c r="B1769" s="63">
        <f t="shared" si="203"/>
        <v>4</v>
      </c>
      <c r="C1769" s="64">
        <f t="shared" si="205"/>
        <v>42468</v>
      </c>
      <c r="D1769" s="64" t="s">
        <v>702</v>
      </c>
      <c r="E1769" s="64">
        <v>42468</v>
      </c>
      <c r="F1769" s="72" t="s">
        <v>1192</v>
      </c>
      <c r="G1769" s="972" t="s">
        <v>914</v>
      </c>
      <c r="H1769" s="72"/>
      <c r="I1769" s="437"/>
      <c r="J1769" s="437"/>
      <c r="K1769" s="428"/>
      <c r="L1769" s="437"/>
      <c r="M1769" s="65">
        <v>20000</v>
      </c>
      <c r="N1769" s="66" t="s">
        <v>101</v>
      </c>
      <c r="O1769" s="66" t="s">
        <v>26</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1" ht="15.75" customHeight="1">
      <c r="A1770" s="334" t="str">
        <f>IF(B1770&lt;&gt;"",IF(AND(B1770='IN-TC'!$S$4,OR(TH!N1770="1111",TH!O1770="1111")),TH!D1770,""),"")</f>
        <v/>
      </c>
      <c r="B1770" s="63">
        <f t="shared" si="203"/>
        <v>4</v>
      </c>
      <c r="C1770" s="64">
        <f t="shared" si="205"/>
        <v>42468</v>
      </c>
      <c r="D1770" s="64" t="s">
        <v>702</v>
      </c>
      <c r="E1770" s="64">
        <v>42468</v>
      </c>
      <c r="F1770" s="72" t="s">
        <v>1193</v>
      </c>
      <c r="G1770" s="972" t="s">
        <v>914</v>
      </c>
      <c r="H1770" s="72"/>
      <c r="I1770" s="437"/>
      <c r="J1770" s="437"/>
      <c r="K1770" s="428"/>
      <c r="L1770" s="437"/>
      <c r="M1770" s="65">
        <v>2000</v>
      </c>
      <c r="N1770" s="66" t="s">
        <v>9</v>
      </c>
      <c r="O1770" s="66" t="s">
        <v>26</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x</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1" ht="15.75" customHeight="1">
      <c r="A1771" s="334" t="str">
        <f>IF(B1771&lt;&gt;"",IF(AND(B1771='IN-TC'!$S$4,OR(TH!N1771="1111",TH!O1771="1111")),TH!D1771,""),"")</f>
        <v/>
      </c>
      <c r="B1771" s="63">
        <f t="shared" si="203"/>
        <v>4</v>
      </c>
      <c r="C1771" s="64">
        <f t="shared" si="205"/>
        <v>42466</v>
      </c>
      <c r="D1771" s="64" t="s">
        <v>702</v>
      </c>
      <c r="E1771" s="64">
        <v>42466</v>
      </c>
      <c r="F1771" s="72" t="s">
        <v>1185</v>
      </c>
      <c r="G1771" s="972" t="s">
        <v>915</v>
      </c>
      <c r="H1771" s="72"/>
      <c r="I1771" s="437"/>
      <c r="J1771" s="437"/>
      <c r="K1771" s="428"/>
      <c r="L1771" s="437"/>
      <c r="M1771" s="65">
        <v>333900</v>
      </c>
      <c r="N1771" s="66" t="s">
        <v>101</v>
      </c>
      <c r="O1771" s="66" t="s">
        <v>26</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1" ht="15.75" customHeight="1">
      <c r="A1772" s="334" t="str">
        <f>IF(B1772&lt;&gt;"",IF(AND(B1772='IN-TC'!$S$4,OR(TH!N1772="1111",TH!O1772="1111")),TH!D1772,""),"")</f>
        <v/>
      </c>
      <c r="B1772" s="63">
        <f t="shared" si="203"/>
        <v>4</v>
      </c>
      <c r="C1772" s="64">
        <f t="shared" si="205"/>
        <v>42466</v>
      </c>
      <c r="D1772" s="64" t="s">
        <v>702</v>
      </c>
      <c r="E1772" s="64">
        <v>42466</v>
      </c>
      <c r="F1772" s="72" t="s">
        <v>1186</v>
      </c>
      <c r="G1772" s="972" t="s">
        <v>915</v>
      </c>
      <c r="H1772" s="72"/>
      <c r="I1772" s="437"/>
      <c r="J1772" s="437"/>
      <c r="K1772" s="428"/>
      <c r="L1772" s="437"/>
      <c r="M1772" s="65">
        <v>33390</v>
      </c>
      <c r="N1772" s="66" t="s">
        <v>9</v>
      </c>
      <c r="O1772" s="66" t="s">
        <v>26</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x</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row>
    <row r="1773" spans="1:31" ht="15.75" customHeight="1">
      <c r="A1773" s="334" t="str">
        <f>IF(B1773&lt;&gt;"",IF(AND(B1773='IN-TC'!$S$4,OR(TH!N1773="1111",TH!O1773="1111")),TH!D1773,""),"")</f>
        <v/>
      </c>
      <c r="B1773" s="63">
        <f t="shared" si="203"/>
        <v>4</v>
      </c>
      <c r="C1773" s="64">
        <f t="shared" si="205"/>
        <v>42466</v>
      </c>
      <c r="D1773" s="64" t="s">
        <v>702</v>
      </c>
      <c r="E1773" s="64">
        <v>42466</v>
      </c>
      <c r="F1773" s="72" t="s">
        <v>1042</v>
      </c>
      <c r="G1773" s="972" t="s">
        <v>915</v>
      </c>
      <c r="H1773" s="342" t="s">
        <v>717</v>
      </c>
      <c r="I1773" s="437"/>
      <c r="J1773" s="437"/>
      <c r="K1773" s="428"/>
      <c r="L1773" s="437"/>
      <c r="M1773" s="65">
        <v>1203494</v>
      </c>
      <c r="N1773" s="66" t="s">
        <v>99</v>
      </c>
      <c r="O1773" s="66" t="s">
        <v>26</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1" ht="15.75" customHeight="1">
      <c r="A1774" s="334" t="str">
        <f>IF(B1774&lt;&gt;"",IF(AND(B1774='IN-TC'!$S$4,OR(TH!N1774="1111",TH!O1774="1111")),TH!D1774,""),"")</f>
        <v/>
      </c>
      <c r="B1774" s="63">
        <f t="shared" si="203"/>
        <v>4</v>
      </c>
      <c r="C1774" s="64">
        <f t="shared" si="205"/>
        <v>42466</v>
      </c>
      <c r="D1774" s="64" t="s">
        <v>702</v>
      </c>
      <c r="E1774" s="64">
        <v>42466</v>
      </c>
      <c r="F1774" s="72" t="s">
        <v>1043</v>
      </c>
      <c r="G1774" s="972" t="s">
        <v>915</v>
      </c>
      <c r="H1774" s="342" t="s">
        <v>710</v>
      </c>
      <c r="I1774" s="437"/>
      <c r="J1774" s="437"/>
      <c r="K1774" s="428"/>
      <c r="L1774" s="437"/>
      <c r="M1774" s="65">
        <v>2881735</v>
      </c>
      <c r="N1774" s="66" t="s">
        <v>99</v>
      </c>
      <c r="O1774" s="66" t="s">
        <v>26</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1" ht="15.75" customHeight="1">
      <c r="A1775" s="334" t="str">
        <f>IF(B1775&lt;&gt;"",IF(AND(B1775='IN-TC'!$S$4,OR(TH!N1775="1111",TH!O1775="1111")),TH!D1775,""),"")</f>
        <v/>
      </c>
      <c r="B1775" s="63">
        <f t="shared" si="203"/>
        <v>4</v>
      </c>
      <c r="C1775" s="64">
        <f t="shared" si="205"/>
        <v>42466</v>
      </c>
      <c r="D1775" s="64" t="s">
        <v>702</v>
      </c>
      <c r="E1775" s="64">
        <v>42466</v>
      </c>
      <c r="F1775" s="72" t="s">
        <v>1044</v>
      </c>
      <c r="G1775" s="972" t="s">
        <v>915</v>
      </c>
      <c r="H1775" s="342" t="s">
        <v>711</v>
      </c>
      <c r="I1775" s="437"/>
      <c r="J1775" s="437"/>
      <c r="K1775" s="428"/>
      <c r="L1775" s="437"/>
      <c r="M1775" s="65">
        <v>1774440</v>
      </c>
      <c r="N1775" s="66" t="s">
        <v>99</v>
      </c>
      <c r="O1775" s="66" t="s">
        <v>26</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1" ht="15.75" customHeight="1">
      <c r="A1776" s="334" t="str">
        <f>IF(B1776&lt;&gt;"",IF(AND(B1776='IN-TC'!$S$4,OR(TH!N1776="1111",TH!O1776="1111")),TH!D1776,""),"")</f>
        <v/>
      </c>
      <c r="B1776" s="63">
        <f t="shared" si="203"/>
        <v>4</v>
      </c>
      <c r="C1776" s="64">
        <f t="shared" si="205"/>
        <v>42466</v>
      </c>
      <c r="D1776" s="64" t="s">
        <v>702</v>
      </c>
      <c r="E1776" s="64">
        <v>42466</v>
      </c>
      <c r="F1776" s="72" t="s">
        <v>1045</v>
      </c>
      <c r="G1776" s="972" t="s">
        <v>915</v>
      </c>
      <c r="H1776" s="342" t="s">
        <v>718</v>
      </c>
      <c r="I1776" s="437"/>
      <c r="J1776" s="437"/>
      <c r="K1776" s="428"/>
      <c r="L1776" s="437"/>
      <c r="M1776" s="65">
        <v>2483993</v>
      </c>
      <c r="N1776" s="66" t="s">
        <v>99</v>
      </c>
      <c r="O1776" s="66" t="s">
        <v>26</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1" ht="15.75" customHeight="1">
      <c r="A1777" s="334" t="str">
        <f>IF(B1777&lt;&gt;"",IF(AND(B1777='IN-TC'!$S$4,OR(TH!N1777="1111",TH!O1777="1111")),TH!D1777,""),"")</f>
        <v/>
      </c>
      <c r="B1777" s="63">
        <f t="shared" si="203"/>
        <v>4</v>
      </c>
      <c r="C1777" s="64">
        <f t="shared" si="205"/>
        <v>42468</v>
      </c>
      <c r="D1777" s="64" t="s">
        <v>702</v>
      </c>
      <c r="E1777" s="64">
        <v>42468</v>
      </c>
      <c r="F1777" s="72" t="s">
        <v>1440</v>
      </c>
      <c r="G1777" s="972" t="s">
        <v>915</v>
      </c>
      <c r="H1777" s="342" t="s">
        <v>629</v>
      </c>
      <c r="I1777" s="437"/>
      <c r="J1777" s="437"/>
      <c r="K1777" s="428"/>
      <c r="L1777" s="437"/>
      <c r="M1777" s="65">
        <v>22186560</v>
      </c>
      <c r="N1777" s="319" t="s">
        <v>8</v>
      </c>
      <c r="O1777" s="66" t="s">
        <v>26</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c r="AE1777" s="1136" t="str">
        <f>IF(H1777&lt;&gt;VLOOKUP(H1777,DSKH,1,0),"","x")</f>
        <v>x</v>
      </c>
    </row>
    <row r="1778" spans="1:31" ht="15.75" customHeight="1">
      <c r="A1778" s="334" t="str">
        <f>IF(B1778&lt;&gt;"",IF(AND(B1778='IN-TC'!$S$4,OR(TH!N1778="1111",TH!O1778="1111")),TH!D1778,""),"")</f>
        <v/>
      </c>
      <c r="B1778" s="63">
        <f t="shared" si="203"/>
        <v>4</v>
      </c>
      <c r="C1778" s="64">
        <f t="shared" si="205"/>
        <v>42468</v>
      </c>
      <c r="D1778" s="64" t="s">
        <v>702</v>
      </c>
      <c r="E1778" s="64">
        <v>42468</v>
      </c>
      <c r="F1778" s="72" t="s">
        <v>1192</v>
      </c>
      <c r="G1778" s="972" t="s">
        <v>915</v>
      </c>
      <c r="H1778" s="72"/>
      <c r="I1778" s="437"/>
      <c r="J1778" s="437"/>
      <c r="K1778" s="428"/>
      <c r="L1778" s="437"/>
      <c r="M1778" s="65">
        <v>45000</v>
      </c>
      <c r="N1778" s="66" t="s">
        <v>101</v>
      </c>
      <c r="O1778" s="66" t="s">
        <v>26</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1" ht="15.75" customHeight="1">
      <c r="A1779" s="334" t="str">
        <f>IF(B1779&lt;&gt;"",IF(AND(B1779='IN-TC'!$S$4,OR(TH!N1779="1111",TH!O1779="1111")),TH!D1779,""),"")</f>
        <v/>
      </c>
      <c r="B1779" s="63">
        <f t="shared" si="203"/>
        <v>4</v>
      </c>
      <c r="C1779" s="64">
        <f t="shared" si="205"/>
        <v>42468</v>
      </c>
      <c r="D1779" s="64" t="s">
        <v>702</v>
      </c>
      <c r="E1779" s="64">
        <v>42468</v>
      </c>
      <c r="F1779" s="72" t="s">
        <v>1193</v>
      </c>
      <c r="G1779" s="972" t="s">
        <v>915</v>
      </c>
      <c r="H1779" s="72"/>
      <c r="I1779" s="437"/>
      <c r="J1779" s="437"/>
      <c r="K1779" s="428"/>
      <c r="L1779" s="437"/>
      <c r="M1779" s="65">
        <v>4500</v>
      </c>
      <c r="N1779" s="66" t="s">
        <v>9</v>
      </c>
      <c r="O1779" s="66" t="s">
        <v>26</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x</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row>
    <row r="1780" spans="1:31" ht="15.75" customHeight="1">
      <c r="A1780" s="334" t="str">
        <f>IF(B1780&lt;&gt;"",IF(AND(B1780='IN-TC'!$S$4,OR(TH!N1780="1111",TH!O1780="1111")),TH!D1780,""),"")</f>
        <v/>
      </c>
      <c r="B1780" s="63">
        <f t="shared" si="203"/>
        <v>4</v>
      </c>
      <c r="C1780" s="64">
        <f t="shared" si="205"/>
        <v>42475</v>
      </c>
      <c r="D1780" s="64" t="s">
        <v>702</v>
      </c>
      <c r="E1780" s="64">
        <v>42475</v>
      </c>
      <c r="F1780" s="72" t="s">
        <v>1441</v>
      </c>
      <c r="G1780" s="972" t="s">
        <v>915</v>
      </c>
      <c r="H1780" s="72" t="s">
        <v>1442</v>
      </c>
      <c r="I1780" s="437"/>
      <c r="J1780" s="437"/>
      <c r="K1780" s="428"/>
      <c r="L1780" s="437"/>
      <c r="M1780" s="65">
        <v>19958000</v>
      </c>
      <c r="N1780" s="66" t="s">
        <v>26</v>
      </c>
      <c r="O1780" s="66" t="s">
        <v>590</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row>
    <row r="1781" spans="1:31" s="349" customFormat="1" ht="15.75" customHeight="1">
      <c r="A1781" s="334" t="str">
        <f>IF(B1781&lt;&gt;"",IF(AND(B1781='IN-TC'!$S$4,OR(TH!N1781="1111",TH!O1781="1111")),TH!D1781,""),"")</f>
        <v/>
      </c>
      <c r="B1781" s="63">
        <f t="shared" si="203"/>
        <v>4</v>
      </c>
      <c r="C1781" s="64">
        <f t="shared" si="205"/>
        <v>42475</v>
      </c>
      <c r="D1781" s="64" t="s">
        <v>702</v>
      </c>
      <c r="E1781" s="64">
        <v>42475</v>
      </c>
      <c r="F1781" s="72" t="s">
        <v>1184</v>
      </c>
      <c r="G1781" s="972" t="s">
        <v>915</v>
      </c>
      <c r="H1781" s="1164" t="s">
        <v>1449</v>
      </c>
      <c r="I1781" s="437"/>
      <c r="J1781" s="437"/>
      <c r="K1781" s="428"/>
      <c r="L1781" s="437"/>
      <c r="M1781" s="65">
        <v>1600000000</v>
      </c>
      <c r="N1781" s="66" t="s">
        <v>26</v>
      </c>
      <c r="O1781" s="66" t="s">
        <v>260</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1" s="349" customFormat="1" ht="15.75" customHeight="1">
      <c r="A1782" s="334" t="str">
        <f>IF(B1782&lt;&gt;"",IF(AND(B1782='IN-TC'!$S$4,OR(TH!N1782="1111",TH!O1782="1111")),TH!D1782,""),"")</f>
        <v/>
      </c>
      <c r="B1782" s="63">
        <f t="shared" si="203"/>
        <v>4</v>
      </c>
      <c r="C1782" s="64">
        <f t="shared" si="205"/>
        <v>42475</v>
      </c>
      <c r="D1782" s="64" t="s">
        <v>702</v>
      </c>
      <c r="E1782" s="64">
        <v>42475</v>
      </c>
      <c r="F1782" s="72" t="s">
        <v>611</v>
      </c>
      <c r="G1782" s="972" t="s">
        <v>915</v>
      </c>
      <c r="H1782" s="1164"/>
      <c r="I1782" s="437"/>
      <c r="J1782" s="437"/>
      <c r="K1782" s="428"/>
      <c r="L1782" s="437"/>
      <c r="M1782" s="65">
        <v>222800</v>
      </c>
      <c r="N1782" s="66" t="s">
        <v>101</v>
      </c>
      <c r="O1782" s="66" t="s">
        <v>26</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1" s="349" customFormat="1" ht="15.75" customHeight="1">
      <c r="A1783" s="334" t="str">
        <f>IF(B1783&lt;&gt;"",IF(AND(B1783='IN-TC'!$S$4,OR(TH!N1783="1111",TH!O1783="1111")),TH!D1783,""),"")</f>
        <v/>
      </c>
      <c r="B1783" s="63">
        <f t="shared" si="203"/>
        <v>4</v>
      </c>
      <c r="C1783" s="64">
        <f t="shared" si="205"/>
        <v>42475</v>
      </c>
      <c r="D1783" s="64" t="s">
        <v>702</v>
      </c>
      <c r="E1783" s="64">
        <v>42475</v>
      </c>
      <c r="F1783" s="72" t="s">
        <v>1187</v>
      </c>
      <c r="G1783" s="972" t="s">
        <v>915</v>
      </c>
      <c r="H1783" s="1164"/>
      <c r="I1783" s="437"/>
      <c r="J1783" s="437"/>
      <c r="K1783" s="428"/>
      <c r="L1783" s="437"/>
      <c r="M1783" s="65">
        <v>22280</v>
      </c>
      <c r="N1783" s="66" t="s">
        <v>9</v>
      </c>
      <c r="O1783" s="66" t="s">
        <v>26</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x</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row>
    <row r="1784" spans="1:31" s="349" customFormat="1" ht="15.75" customHeight="1">
      <c r="A1784" s="334" t="str">
        <f>IF(B1784&lt;&gt;"",IF(AND(B1784='IN-TC'!$S$4,OR(TH!N1784="1111",TH!O1784="1111")),TH!D1784,""),"")</f>
        <v/>
      </c>
      <c r="B1784" s="63">
        <f t="shared" si="203"/>
        <v>4</v>
      </c>
      <c r="C1784" s="64">
        <f t="shared" si="205"/>
        <v>42475</v>
      </c>
      <c r="D1784" s="64" t="s">
        <v>702</v>
      </c>
      <c r="E1784" s="64">
        <v>42475</v>
      </c>
      <c r="F1784" s="72" t="s">
        <v>612</v>
      </c>
      <c r="G1784" s="972" t="s">
        <v>915</v>
      </c>
      <c r="H1784" s="1164"/>
      <c r="I1784" s="437"/>
      <c r="J1784" s="437"/>
      <c r="K1784" s="428"/>
      <c r="L1784" s="437"/>
      <c r="M1784" s="65">
        <v>615374</v>
      </c>
      <c r="N1784" s="66" t="s">
        <v>101</v>
      </c>
      <c r="O1784" s="66" t="s">
        <v>26</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1" s="349" customFormat="1" ht="15.75" customHeight="1">
      <c r="A1785" s="334" t="str">
        <f>IF(B1785&lt;&gt;"",IF(AND(B1785='IN-TC'!$S$4,OR(TH!N1785="1111",TH!O1785="1111")),TH!D1785,""),"")</f>
        <v/>
      </c>
      <c r="B1785" s="63">
        <f t="shared" si="203"/>
        <v>4</v>
      </c>
      <c r="C1785" s="64">
        <f t="shared" si="205"/>
        <v>42475</v>
      </c>
      <c r="D1785" s="64" t="s">
        <v>702</v>
      </c>
      <c r="E1785" s="64">
        <v>42475</v>
      </c>
      <c r="F1785" s="72" t="s">
        <v>1311</v>
      </c>
      <c r="G1785" s="972" t="s">
        <v>915</v>
      </c>
      <c r="H1785" s="1164"/>
      <c r="I1785" s="437"/>
      <c r="J1785" s="437"/>
      <c r="K1785" s="428"/>
      <c r="L1785" s="437"/>
      <c r="M1785" s="65">
        <v>61493</v>
      </c>
      <c r="N1785" s="66" t="s">
        <v>9</v>
      </c>
      <c r="O1785" s="66" t="s">
        <v>26</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x</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1" s="349" customFormat="1" ht="15.75" customHeight="1">
      <c r="A1786" s="334" t="str">
        <f>IF(B1786&lt;&gt;"",IF(AND(B1786='IN-TC'!$S$4,OR(TH!N1786="1111",TH!O1786="1111")),TH!D1786,""),"")</f>
        <v/>
      </c>
      <c r="B1786" s="63">
        <f t="shared" si="203"/>
        <v>4</v>
      </c>
      <c r="C1786" s="64">
        <f t="shared" si="205"/>
        <v>42475</v>
      </c>
      <c r="D1786" s="64" t="s">
        <v>870</v>
      </c>
      <c r="E1786" s="64">
        <v>42475</v>
      </c>
      <c r="F1786" s="72" t="s">
        <v>1139</v>
      </c>
      <c r="G1786" s="972" t="s">
        <v>915</v>
      </c>
      <c r="H1786" s="72" t="s">
        <v>760</v>
      </c>
      <c r="I1786" s="437"/>
      <c r="J1786" s="437"/>
      <c r="K1786" s="428"/>
      <c r="L1786" s="437"/>
      <c r="M1786" s="65">
        <v>1600000000</v>
      </c>
      <c r="N1786" s="66" t="s">
        <v>63</v>
      </c>
      <c r="O1786" s="66" t="s">
        <v>26</v>
      </c>
      <c r="P1786" s="82" t="str">
        <f>IF(AND('331-CT'!$E$7=TH!H1786,OR(N1786="331",O1786="331")),"x","")</f>
        <v/>
      </c>
      <c r="Q1786" s="82" t="str">
        <f>IF(AND(B1786='111'!$L$11,OR($N1786=$Q$7,$O1786=$Q$7)),"x","")</f>
        <v/>
      </c>
      <c r="R1786" s="82" t="str">
        <f>IF(AND($N1786=$Q$7,$B1786&lt;'111'!$L$11),"x","")</f>
        <v>x</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row>
    <row r="1787" spans="1:31" ht="15.75" customHeight="1">
      <c r="A1787" s="334" t="str">
        <f>IF(B1787&lt;&gt;"",IF(AND(B1787='IN-TC'!$S$4,OR(TH!N1787="1111",TH!O1787="1111")),TH!D1787,""),"")</f>
        <v/>
      </c>
      <c r="B1787" s="63">
        <f t="shared" si="203"/>
        <v>4</v>
      </c>
      <c r="C1787" s="64">
        <f t="shared" si="205"/>
        <v>42479</v>
      </c>
      <c r="D1787" s="64" t="s">
        <v>702</v>
      </c>
      <c r="E1787" s="64">
        <v>42479</v>
      </c>
      <c r="F1787" s="72" t="s">
        <v>1051</v>
      </c>
      <c r="G1787" s="972" t="s">
        <v>915</v>
      </c>
      <c r="H1787" s="342" t="s">
        <v>722</v>
      </c>
      <c r="I1787" s="437"/>
      <c r="J1787" s="437"/>
      <c r="K1787" s="428"/>
      <c r="L1787" s="437"/>
      <c r="M1787" s="65">
        <v>6883892</v>
      </c>
      <c r="N1787" s="66" t="s">
        <v>99</v>
      </c>
      <c r="O1787" s="66" t="s">
        <v>26</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row>
    <row r="1788" spans="1:31" ht="15.75" customHeight="1">
      <c r="A1788" s="334" t="str">
        <f>IF(B1788&lt;&gt;"",IF(AND(B1788='IN-TC'!$S$4,OR(TH!N1788="1111",TH!O1788="1111")),TH!D1788,""),"")</f>
        <v/>
      </c>
      <c r="B1788" s="63">
        <f t="shared" si="203"/>
        <v>4</v>
      </c>
      <c r="C1788" s="64">
        <f t="shared" si="205"/>
        <v>42479</v>
      </c>
      <c r="D1788" s="64" t="s">
        <v>702</v>
      </c>
      <c r="E1788" s="64">
        <v>42479</v>
      </c>
      <c r="F1788" s="72" t="s">
        <v>749</v>
      </c>
      <c r="G1788" s="972" t="s">
        <v>915</v>
      </c>
      <c r="H1788" s="342" t="s">
        <v>723</v>
      </c>
      <c r="I1788" s="437"/>
      <c r="J1788" s="437"/>
      <c r="K1788" s="428"/>
      <c r="L1788" s="437"/>
      <c r="M1788" s="65">
        <v>6845485</v>
      </c>
      <c r="N1788" s="66" t="s">
        <v>99</v>
      </c>
      <c r="O1788" s="66" t="s">
        <v>26</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1" ht="15.75" customHeight="1">
      <c r="A1789" s="334" t="str">
        <f>IF(B1789&lt;&gt;"",IF(AND(B1789='IN-TC'!$S$4,OR(TH!N1789="1111",TH!O1789="1111")),TH!D1789,""),"")</f>
        <v/>
      </c>
      <c r="B1789" s="63">
        <f t="shared" si="203"/>
        <v>4</v>
      </c>
      <c r="C1789" s="64">
        <f t="shared" si="205"/>
        <v>42479</v>
      </c>
      <c r="D1789" s="64" t="s">
        <v>702</v>
      </c>
      <c r="E1789" s="64">
        <v>42479</v>
      </c>
      <c r="F1789" s="72" t="s">
        <v>1054</v>
      </c>
      <c r="G1789" s="972" t="s">
        <v>915</v>
      </c>
      <c r="H1789" s="342" t="s">
        <v>730</v>
      </c>
      <c r="I1789" s="437"/>
      <c r="J1789" s="437"/>
      <c r="K1789" s="428"/>
      <c r="L1789" s="437"/>
      <c r="M1789" s="65">
        <v>4691756</v>
      </c>
      <c r="N1789" s="66" t="s">
        <v>99</v>
      </c>
      <c r="O1789" s="66" t="s">
        <v>26</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row>
    <row r="1790" spans="1:31" ht="15.75" customHeight="1">
      <c r="A1790" s="334" t="str">
        <f>IF(B1790&lt;&gt;"",IF(AND(B1790='IN-TC'!$S$4,OR(TH!N1790="1111",TH!O1790="1111")),TH!D1790,""),"")</f>
        <v/>
      </c>
      <c r="B1790" s="63">
        <f t="shared" si="203"/>
        <v>4</v>
      </c>
      <c r="C1790" s="64">
        <f t="shared" ref="C1790:C1819" si="207">E1790</f>
        <v>42481</v>
      </c>
      <c r="D1790" s="64" t="s">
        <v>702</v>
      </c>
      <c r="E1790" s="64">
        <v>42481</v>
      </c>
      <c r="F1790" s="72" t="s">
        <v>1443</v>
      </c>
      <c r="G1790" s="972" t="s">
        <v>915</v>
      </c>
      <c r="H1790" s="342" t="s">
        <v>1211</v>
      </c>
      <c r="I1790" s="439"/>
      <c r="J1790" s="439"/>
      <c r="K1790" s="430"/>
      <c r="L1790" s="439"/>
      <c r="M1790" s="65">
        <v>40000000</v>
      </c>
      <c r="N1790" s="66" t="s">
        <v>72</v>
      </c>
      <c r="O1790" s="66" t="s">
        <v>26</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1" ht="15.75" customHeight="1">
      <c r="A1791" s="334" t="str">
        <f>IF(B1791&lt;&gt;"",IF(AND(B1791='IN-TC'!$S$4,OR(TH!N1791="1111",TH!O1791="1111")),TH!D1791,""),"")</f>
        <v/>
      </c>
      <c r="B1791" s="63">
        <f t="shared" si="203"/>
        <v>4</v>
      </c>
      <c r="C1791" s="64">
        <f t="shared" si="207"/>
        <v>42481</v>
      </c>
      <c r="D1791" s="64" t="s">
        <v>702</v>
      </c>
      <c r="E1791" s="64">
        <v>42481</v>
      </c>
      <c r="F1791" s="72" t="s">
        <v>751</v>
      </c>
      <c r="G1791" s="972" t="s">
        <v>915</v>
      </c>
      <c r="H1791" s="342" t="s">
        <v>724</v>
      </c>
      <c r="I1791" s="437"/>
      <c r="J1791" s="437"/>
      <c r="K1791" s="428"/>
      <c r="L1791" s="437"/>
      <c r="M1791" s="65">
        <v>6845767</v>
      </c>
      <c r="N1791" s="66" t="s">
        <v>99</v>
      </c>
      <c r="O1791" s="66" t="s">
        <v>26</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1" ht="15.75" customHeight="1">
      <c r="A1792" s="334" t="str">
        <f>IF(B1792&lt;&gt;"",IF(AND(B1792='IN-TC'!$S$4,OR(TH!N1792="1111",TH!O1792="1111")),TH!D1792,""),"")</f>
        <v/>
      </c>
      <c r="B1792" s="63">
        <f t="shared" si="203"/>
        <v>4</v>
      </c>
      <c r="C1792" s="64">
        <f t="shared" si="207"/>
        <v>42481</v>
      </c>
      <c r="D1792" s="64" t="s">
        <v>702</v>
      </c>
      <c r="E1792" s="64">
        <v>42481</v>
      </c>
      <c r="F1792" s="72" t="s">
        <v>1055</v>
      </c>
      <c r="G1792" s="972" t="s">
        <v>915</v>
      </c>
      <c r="H1792" s="342" t="s">
        <v>725</v>
      </c>
      <c r="I1792" s="437"/>
      <c r="J1792" s="437"/>
      <c r="K1792" s="428"/>
      <c r="L1792" s="437"/>
      <c r="M1792" s="65">
        <v>6768763</v>
      </c>
      <c r="N1792" s="66" t="s">
        <v>99</v>
      </c>
      <c r="O1792" s="66" t="s">
        <v>26</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row>
    <row r="1793" spans="1:31" ht="15.75" customHeight="1">
      <c r="A1793" s="334" t="str">
        <f>IF(B1793&lt;&gt;"",IF(AND(B1793='IN-TC'!$S$4,OR(TH!N1793="1111",TH!O1793="1111")),TH!D1793,""),"")</f>
        <v/>
      </c>
      <c r="B1793" s="63">
        <f t="shared" si="203"/>
        <v>4</v>
      </c>
      <c r="C1793" s="64">
        <f t="shared" si="207"/>
        <v>42481</v>
      </c>
      <c r="D1793" s="64" t="s">
        <v>702</v>
      </c>
      <c r="E1793" s="64">
        <v>42481</v>
      </c>
      <c r="F1793" s="72" t="s">
        <v>1644</v>
      </c>
      <c r="G1793" s="972" t="s">
        <v>915</v>
      </c>
      <c r="H1793" s="342" t="s">
        <v>733</v>
      </c>
      <c r="I1793" s="439"/>
      <c r="J1793" s="439"/>
      <c r="K1793" s="430"/>
      <c r="L1793" s="439"/>
      <c r="M1793" s="65">
        <v>7461130</v>
      </c>
      <c r="N1793" s="66" t="s">
        <v>99</v>
      </c>
      <c r="O1793" s="66" t="s">
        <v>26</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row>
    <row r="1794" spans="1:31" ht="15.75" customHeight="1">
      <c r="A1794" s="334" t="str">
        <f>IF(B1794&lt;&gt;"",IF(AND(B1794='IN-TC'!$S$4,OR(TH!N1794="1111",TH!O1794="1111")),TH!D1794,""),"")</f>
        <v/>
      </c>
      <c r="B1794" s="63">
        <f t="shared" si="203"/>
        <v>4</v>
      </c>
      <c r="C1794" s="64">
        <f t="shared" si="207"/>
        <v>42481</v>
      </c>
      <c r="D1794" s="64" t="s">
        <v>702</v>
      </c>
      <c r="E1794" s="64">
        <v>42481</v>
      </c>
      <c r="F1794" s="72" t="s">
        <v>1645</v>
      </c>
      <c r="G1794" s="972" t="s">
        <v>915</v>
      </c>
      <c r="H1794" s="72" t="s">
        <v>1181</v>
      </c>
      <c r="I1794" s="437"/>
      <c r="J1794" s="437"/>
      <c r="K1794" s="428"/>
      <c r="L1794" s="437"/>
      <c r="M1794" s="65">
        <v>8545435</v>
      </c>
      <c r="N1794" s="66" t="s">
        <v>99</v>
      </c>
      <c r="O1794" s="66" t="s">
        <v>26</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row>
    <row r="1795" spans="1:31" ht="15.75" customHeight="1">
      <c r="A1795" s="334" t="str">
        <f>IF(B1795&lt;&gt;"",IF(AND(B1795='IN-TC'!$S$4,OR(TH!N1795="1111",TH!O1795="1111")),TH!D1795,""),"")</f>
        <v/>
      </c>
      <c r="B1795" s="63">
        <f t="shared" si="203"/>
        <v>4</v>
      </c>
      <c r="C1795" s="64">
        <f t="shared" si="207"/>
        <v>42481</v>
      </c>
      <c r="D1795" s="64" t="s">
        <v>702</v>
      </c>
      <c r="E1795" s="64">
        <v>42481</v>
      </c>
      <c r="F1795" s="72" t="s">
        <v>1646</v>
      </c>
      <c r="G1795" s="972" t="s">
        <v>915</v>
      </c>
      <c r="H1795" s="72" t="s">
        <v>1182</v>
      </c>
      <c r="I1795" s="437"/>
      <c r="J1795" s="437"/>
      <c r="K1795" s="428"/>
      <c r="L1795" s="437"/>
      <c r="M1795" s="65">
        <v>9155887</v>
      </c>
      <c r="N1795" s="66" t="s">
        <v>99</v>
      </c>
      <c r="O1795" s="66" t="s">
        <v>26</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row>
    <row r="1796" spans="1:31" ht="15.75" customHeight="1">
      <c r="A1796" s="334" t="str">
        <f>IF(B1796&lt;&gt;"",IF(AND(B1796='IN-TC'!$S$4,OR(TH!N1796="1111",TH!O1796="1111")),TH!D1796,""),"")</f>
        <v/>
      </c>
      <c r="B1796" s="63">
        <f t="shared" si="203"/>
        <v>4</v>
      </c>
      <c r="C1796" s="64">
        <f t="shared" si="207"/>
        <v>42482</v>
      </c>
      <c r="D1796" s="64" t="s">
        <v>702</v>
      </c>
      <c r="E1796" s="64">
        <v>42482</v>
      </c>
      <c r="F1796" s="72" t="s">
        <v>1444</v>
      </c>
      <c r="G1796" s="972" t="s">
        <v>915</v>
      </c>
      <c r="H1796" s="318" t="s">
        <v>1353</v>
      </c>
      <c r="I1796" s="437"/>
      <c r="J1796" s="437"/>
      <c r="K1796" s="428"/>
      <c r="L1796" s="437"/>
      <c r="M1796" s="65">
        <v>136832</v>
      </c>
      <c r="N1796" s="66" t="s">
        <v>105</v>
      </c>
      <c r="O1796" s="66" t="s">
        <v>26</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1" ht="15.75" customHeight="1">
      <c r="A1797" s="334" t="str">
        <f>IF(B1797&lt;&gt;"",IF(AND(B1797='IN-TC'!$S$4,OR(TH!N1797="1111",TH!O1797="1111")),TH!D1797,""),"")</f>
        <v/>
      </c>
      <c r="B1797" s="63">
        <f t="shared" si="203"/>
        <v>4</v>
      </c>
      <c r="C1797" s="64">
        <f t="shared" si="207"/>
        <v>42485</v>
      </c>
      <c r="D1797" s="64" t="s">
        <v>702</v>
      </c>
      <c r="E1797" s="64">
        <v>42485</v>
      </c>
      <c r="F1797" s="72" t="s">
        <v>1445</v>
      </c>
      <c r="G1797" s="972" t="s">
        <v>915</v>
      </c>
      <c r="H1797" s="342" t="s">
        <v>626</v>
      </c>
      <c r="I1797" s="437"/>
      <c r="J1797" s="437"/>
      <c r="K1797" s="428"/>
      <c r="L1797" s="437"/>
      <c r="M1797" s="65">
        <v>780000</v>
      </c>
      <c r="N1797" s="66" t="s">
        <v>8</v>
      </c>
      <c r="O1797" s="66" t="s">
        <v>26</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c r="AE1797" s="1136" t="str">
        <f>IF(H1797&lt;&gt;VLOOKUP(H1797,DSKH,1,0),"","x")</f>
        <v>x</v>
      </c>
    </row>
    <row r="1798" spans="1:31" ht="15.75" customHeight="1">
      <c r="A1798" s="334" t="str">
        <f>IF(B1798&lt;&gt;"",IF(AND(B1798='IN-TC'!$S$4,OR(TH!N1798="1111",TH!O1798="1111")),TH!D1798,""),"")</f>
        <v/>
      </c>
      <c r="B1798" s="63">
        <f t="shared" si="203"/>
        <v>4</v>
      </c>
      <c r="C1798" s="64">
        <f t="shared" si="207"/>
        <v>42485</v>
      </c>
      <c r="D1798" s="64" t="s">
        <v>702</v>
      </c>
      <c r="E1798" s="64">
        <v>42485</v>
      </c>
      <c r="F1798" s="72" t="s">
        <v>1192</v>
      </c>
      <c r="G1798" s="972" t="s">
        <v>915</v>
      </c>
      <c r="H1798" s="318"/>
      <c r="I1798" s="437"/>
      <c r="J1798" s="437"/>
      <c r="K1798" s="428"/>
      <c r="L1798" s="437"/>
      <c r="M1798" s="65">
        <v>20000</v>
      </c>
      <c r="N1798" s="319" t="s">
        <v>101</v>
      </c>
      <c r="O1798" s="66" t="s">
        <v>26</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row>
    <row r="1799" spans="1:31" ht="15.75" customHeight="1">
      <c r="A1799" s="334" t="str">
        <f>IF(B1799&lt;&gt;"",IF(AND(B1799='IN-TC'!$S$4,OR(TH!N1799="1111",TH!O1799="1111")),TH!D1799,""),"")</f>
        <v/>
      </c>
      <c r="B1799" s="63">
        <f t="shared" si="203"/>
        <v>4</v>
      </c>
      <c r="C1799" s="64">
        <f t="shared" si="207"/>
        <v>42485</v>
      </c>
      <c r="D1799" s="64" t="s">
        <v>702</v>
      </c>
      <c r="E1799" s="64">
        <v>42485</v>
      </c>
      <c r="F1799" s="72" t="s">
        <v>1193</v>
      </c>
      <c r="G1799" s="972" t="s">
        <v>915</v>
      </c>
      <c r="H1799" s="318"/>
      <c r="I1799" s="437"/>
      <c r="J1799" s="437"/>
      <c r="K1799" s="428"/>
      <c r="L1799" s="437"/>
      <c r="M1799" s="65">
        <v>2000</v>
      </c>
      <c r="N1799" s="319" t="s">
        <v>9</v>
      </c>
      <c r="O1799" s="66" t="s">
        <v>26</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x</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1" ht="15.75" customHeight="1">
      <c r="A1800" s="334" t="str">
        <f>IF(B1800&lt;&gt;"",IF(AND(B1800='IN-TC'!$S$4,OR(TH!N1800="1111",TH!O1800="1111")),TH!D1800,""),"")</f>
        <v/>
      </c>
      <c r="B1800" s="63">
        <f t="shared" si="203"/>
        <v>4</v>
      </c>
      <c r="C1800" s="64">
        <f t="shared" si="207"/>
        <v>42485</v>
      </c>
      <c r="D1800" s="64" t="s">
        <v>702</v>
      </c>
      <c r="E1800" s="64">
        <v>42485</v>
      </c>
      <c r="F1800" s="72" t="s">
        <v>1446</v>
      </c>
      <c r="G1800" s="972" t="s">
        <v>915</v>
      </c>
      <c r="H1800" s="342" t="s">
        <v>626</v>
      </c>
      <c r="I1800" s="437"/>
      <c r="J1800" s="437"/>
      <c r="K1800" s="428"/>
      <c r="L1800" s="437"/>
      <c r="M1800" s="65">
        <v>2205000</v>
      </c>
      <c r="N1800" s="66" t="s">
        <v>8</v>
      </c>
      <c r="O1800" s="66" t="s">
        <v>26</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c r="AE1800" s="1136" t="str">
        <f>IF(H1800&lt;&gt;VLOOKUP(H1800,DSKH,1,0),"","x")</f>
        <v>x</v>
      </c>
    </row>
    <row r="1801" spans="1:31" ht="15.75" customHeight="1">
      <c r="A1801" s="334" t="str">
        <f>IF(B1801&lt;&gt;"",IF(AND(B1801='IN-TC'!$S$4,OR(TH!N1801="1111",TH!O1801="1111")),TH!D1801,""),"")</f>
        <v/>
      </c>
      <c r="B1801" s="63">
        <f t="shared" si="203"/>
        <v>4</v>
      </c>
      <c r="C1801" s="64">
        <f t="shared" si="207"/>
        <v>42485</v>
      </c>
      <c r="D1801" s="64" t="s">
        <v>702</v>
      </c>
      <c r="E1801" s="64">
        <v>42485</v>
      </c>
      <c r="F1801" s="72" t="s">
        <v>1192</v>
      </c>
      <c r="G1801" s="972" t="s">
        <v>915</v>
      </c>
      <c r="H1801" s="342"/>
      <c r="I1801" s="439"/>
      <c r="J1801" s="439"/>
      <c r="K1801" s="430"/>
      <c r="L1801" s="439"/>
      <c r="M1801" s="65">
        <v>20000</v>
      </c>
      <c r="N1801" s="319" t="s">
        <v>101</v>
      </c>
      <c r="O1801" s="66" t="s">
        <v>26</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1" ht="15.75" customHeight="1">
      <c r="A1802" s="334" t="str">
        <f>IF(B1802&lt;&gt;"",IF(AND(B1802='IN-TC'!$S$4,OR(TH!N1802="1111",TH!O1802="1111")),TH!D1802,""),"")</f>
        <v/>
      </c>
      <c r="B1802" s="63">
        <f t="shared" si="203"/>
        <v>4</v>
      </c>
      <c r="C1802" s="64">
        <f t="shared" si="207"/>
        <v>42485</v>
      </c>
      <c r="D1802" s="64" t="s">
        <v>702</v>
      </c>
      <c r="E1802" s="64">
        <v>42485</v>
      </c>
      <c r="F1802" s="72" t="s">
        <v>1193</v>
      </c>
      <c r="G1802" s="972" t="s">
        <v>915</v>
      </c>
      <c r="H1802" s="342"/>
      <c r="I1802" s="439"/>
      <c r="J1802" s="439"/>
      <c r="K1802" s="430"/>
      <c r="L1802" s="439"/>
      <c r="M1802" s="65">
        <v>2000</v>
      </c>
      <c r="N1802" s="319" t="s">
        <v>9</v>
      </c>
      <c r="O1802" s="66" t="s">
        <v>26</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x</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1" ht="15.75" customHeight="1">
      <c r="A1803" s="334" t="str">
        <f>IF(B1803&lt;&gt;"",IF(AND(B1803='IN-TC'!$S$4,OR(TH!N1803="1111",TH!O1803="1111")),TH!D1803,""),"")</f>
        <v/>
      </c>
      <c r="B1803" s="63">
        <f t="shared" si="203"/>
        <v>4</v>
      </c>
      <c r="C1803" s="64">
        <f t="shared" si="207"/>
        <v>42485</v>
      </c>
      <c r="D1803" s="64" t="s">
        <v>702</v>
      </c>
      <c r="E1803" s="64">
        <v>42485</v>
      </c>
      <c r="F1803" s="72" t="s">
        <v>1209</v>
      </c>
      <c r="G1803" s="972" t="s">
        <v>915</v>
      </c>
      <c r="H1803" s="75" t="s">
        <v>623</v>
      </c>
      <c r="I1803" s="437"/>
      <c r="J1803" s="437"/>
      <c r="K1803" s="428"/>
      <c r="L1803" s="437"/>
      <c r="M1803" s="65">
        <v>35536000</v>
      </c>
      <c r="N1803" s="66" t="s">
        <v>8</v>
      </c>
      <c r="O1803" s="66" t="s">
        <v>26</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c r="AE1803" s="1136" t="str">
        <f>IF(H1803&lt;&gt;VLOOKUP(H1803,DSKH,1,0),"","x")</f>
        <v>x</v>
      </c>
    </row>
    <row r="1804" spans="1:31" ht="15.75" customHeight="1">
      <c r="A1804" s="334" t="str">
        <f>IF(B1804&lt;&gt;"",IF(AND(B1804='IN-TC'!$S$4,OR(TH!N1804="1111",TH!O1804="1111")),TH!D1804,""),"")</f>
        <v/>
      </c>
      <c r="B1804" s="63">
        <f t="shared" si="203"/>
        <v>4</v>
      </c>
      <c r="C1804" s="64">
        <f t="shared" si="207"/>
        <v>42485</v>
      </c>
      <c r="D1804" s="64" t="s">
        <v>702</v>
      </c>
      <c r="E1804" s="64">
        <v>42485</v>
      </c>
      <c r="F1804" s="72" t="s">
        <v>1192</v>
      </c>
      <c r="G1804" s="972" t="s">
        <v>915</v>
      </c>
      <c r="H1804" s="318"/>
      <c r="I1804" s="437"/>
      <c r="J1804" s="437"/>
      <c r="K1804" s="428"/>
      <c r="L1804" s="437"/>
      <c r="M1804" s="65">
        <v>40000</v>
      </c>
      <c r="N1804" s="319" t="s">
        <v>101</v>
      </c>
      <c r="O1804" s="66" t="s">
        <v>26</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1" ht="15.75" customHeight="1">
      <c r="A1805" s="334" t="str">
        <f>IF(B1805&lt;&gt;"",IF(AND(B1805='IN-TC'!$S$4,OR(TH!N1805="1111",TH!O1805="1111")),TH!D1805,""),"")</f>
        <v/>
      </c>
      <c r="B1805" s="63">
        <f t="shared" ref="B1805:B1868" si="208">IF(C1805&lt;&gt;"",MONTH(C1805),"")</f>
        <v>4</v>
      </c>
      <c r="C1805" s="64">
        <f t="shared" si="207"/>
        <v>42485</v>
      </c>
      <c r="D1805" s="64" t="s">
        <v>702</v>
      </c>
      <c r="E1805" s="64">
        <v>42485</v>
      </c>
      <c r="F1805" s="72" t="s">
        <v>1193</v>
      </c>
      <c r="G1805" s="972" t="s">
        <v>915</v>
      </c>
      <c r="H1805" s="318"/>
      <c r="I1805" s="437"/>
      <c r="J1805" s="437"/>
      <c r="K1805" s="428"/>
      <c r="L1805" s="437"/>
      <c r="M1805" s="65">
        <v>4000</v>
      </c>
      <c r="N1805" s="319" t="s">
        <v>9</v>
      </c>
      <c r="O1805" s="66" t="s">
        <v>26</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x</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1" ht="15.75" customHeight="1">
      <c r="A1806" s="334" t="str">
        <f>IF(B1806&lt;&gt;"",IF(AND(B1806='IN-TC'!$S$4,OR(TH!N1806="1111",TH!O1806="1111")),TH!D1806,""),"")</f>
        <v/>
      </c>
      <c r="B1806" s="63">
        <f t="shared" si="208"/>
        <v>4</v>
      </c>
      <c r="C1806" s="64">
        <f t="shared" si="207"/>
        <v>42485</v>
      </c>
      <c r="D1806" s="64" t="s">
        <v>702</v>
      </c>
      <c r="E1806" s="64">
        <v>42485</v>
      </c>
      <c r="F1806" s="72" t="s">
        <v>1447</v>
      </c>
      <c r="G1806" s="972" t="s">
        <v>915</v>
      </c>
      <c r="H1806" s="72" t="s">
        <v>1168</v>
      </c>
      <c r="I1806" s="437"/>
      <c r="J1806" s="437"/>
      <c r="K1806" s="428"/>
      <c r="L1806" s="437"/>
      <c r="M1806" s="65">
        <v>36900000</v>
      </c>
      <c r="N1806" s="66" t="s">
        <v>8</v>
      </c>
      <c r="O1806" s="66" t="s">
        <v>26</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c r="AE1806" s="1136" t="str">
        <f>IF(H1806&lt;&gt;VLOOKUP(H1806,DSKH,1,0),"","x")</f>
        <v>x</v>
      </c>
    </row>
    <row r="1807" spans="1:31" ht="15.75" customHeight="1">
      <c r="A1807" s="334" t="str">
        <f>IF(B1807&lt;&gt;"",IF(AND(B1807='IN-TC'!$S$4,OR(TH!N1807="1111",TH!O1807="1111")),TH!D1807,""),"")</f>
        <v/>
      </c>
      <c r="B1807" s="63">
        <f t="shared" si="208"/>
        <v>4</v>
      </c>
      <c r="C1807" s="64">
        <f t="shared" si="207"/>
        <v>42485</v>
      </c>
      <c r="D1807" s="64" t="s">
        <v>702</v>
      </c>
      <c r="E1807" s="64">
        <v>42485</v>
      </c>
      <c r="F1807" s="72" t="s">
        <v>1192</v>
      </c>
      <c r="G1807" s="972" t="s">
        <v>915</v>
      </c>
      <c r="H1807" s="318"/>
      <c r="I1807" s="437"/>
      <c r="J1807" s="437"/>
      <c r="K1807" s="428"/>
      <c r="L1807" s="437"/>
      <c r="M1807" s="65">
        <v>40000</v>
      </c>
      <c r="N1807" s="319" t="s">
        <v>101</v>
      </c>
      <c r="O1807" s="66" t="s">
        <v>26</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1" ht="15.75" customHeight="1">
      <c r="A1808" s="334" t="str">
        <f>IF(B1808&lt;&gt;"",IF(AND(B1808='IN-TC'!$S$4,OR(TH!N1808="1111",TH!O1808="1111")),TH!D1808,""),"")</f>
        <v/>
      </c>
      <c r="B1808" s="63">
        <f t="shared" si="208"/>
        <v>4</v>
      </c>
      <c r="C1808" s="64">
        <f t="shared" si="207"/>
        <v>42485</v>
      </c>
      <c r="D1808" s="64" t="s">
        <v>702</v>
      </c>
      <c r="E1808" s="64">
        <v>42485</v>
      </c>
      <c r="F1808" s="72" t="s">
        <v>1193</v>
      </c>
      <c r="G1808" s="972" t="s">
        <v>915</v>
      </c>
      <c r="H1808" s="318"/>
      <c r="I1808" s="437"/>
      <c r="J1808" s="437"/>
      <c r="K1808" s="428"/>
      <c r="L1808" s="437"/>
      <c r="M1808" s="65">
        <v>4000</v>
      </c>
      <c r="N1808" s="319" t="s">
        <v>9</v>
      </c>
      <c r="O1808" s="66" t="s">
        <v>26</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x</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2" ht="15.75" customHeight="1">
      <c r="A1809" s="334" t="str">
        <f>IF(B1809&lt;&gt;"",IF(AND(B1809='IN-TC'!$S$4,OR(TH!N1809="1111",TH!O1809="1111")),TH!D1809,""),"")</f>
        <v/>
      </c>
      <c r="B1809" s="63">
        <f t="shared" si="208"/>
        <v>4</v>
      </c>
      <c r="C1809" s="64">
        <f t="shared" si="207"/>
        <v>42486</v>
      </c>
      <c r="D1809" s="64" t="s">
        <v>702</v>
      </c>
      <c r="E1809" s="64">
        <v>42486</v>
      </c>
      <c r="F1809" s="72" t="s">
        <v>1448</v>
      </c>
      <c r="G1809" s="972" t="s">
        <v>915</v>
      </c>
      <c r="H1809" s="342" t="s">
        <v>629</v>
      </c>
      <c r="I1809" s="437"/>
      <c r="J1809" s="437"/>
      <c r="K1809" s="428"/>
      <c r="L1809" s="437"/>
      <c r="M1809" s="65">
        <v>26225320</v>
      </c>
      <c r="N1809" s="66" t="s">
        <v>8</v>
      </c>
      <c r="O1809" s="66" t="s">
        <v>26</v>
      </c>
      <c r="P1809" s="82" t="str">
        <f>IF(AND('331-CT'!$E$7=TH!H1809,OR(N1809="331",O1809="331")),"x","")</f>
        <v/>
      </c>
      <c r="Q1809" s="82" t="str">
        <f>IF(AND(B1809='111'!$L$11,OR($N1809=$Q$7,$O1809=$Q$7)),"x","")</f>
        <v/>
      </c>
      <c r="R1809" s="82" t="str">
        <f>IF(AND($N1809=$Q$7,$B1809&lt;'111'!$L$11),"x","")</f>
        <v/>
      </c>
      <c r="S1809" s="82" t="str">
        <f>IF(AND($O1809=$Q$7,$B1809&lt;'111'!$L$11),"x","")</f>
        <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c r="AE1809" s="1136" t="str">
        <f>IF(H1809&lt;&gt;VLOOKUP(H1809,DSKH,1,0),"","x")</f>
        <v>x</v>
      </c>
    </row>
    <row r="1810" spans="1:32" ht="15.75" customHeight="1">
      <c r="A1810" s="334" t="str">
        <f>IF(B1810&lt;&gt;"",IF(AND(B1810='IN-TC'!$S$4,OR(TH!N1810="1111",TH!O1810="1111")),TH!D1810,""),"")</f>
        <v/>
      </c>
      <c r="B1810" s="63">
        <f t="shared" si="208"/>
        <v>4</v>
      </c>
      <c r="C1810" s="64">
        <f t="shared" si="207"/>
        <v>42486</v>
      </c>
      <c r="D1810" s="64" t="s">
        <v>702</v>
      </c>
      <c r="E1810" s="64">
        <v>42486</v>
      </c>
      <c r="F1810" s="72" t="s">
        <v>1192</v>
      </c>
      <c r="G1810" s="972" t="s">
        <v>915</v>
      </c>
      <c r="H1810" s="72"/>
      <c r="I1810" s="437"/>
      <c r="J1810" s="437"/>
      <c r="K1810" s="428"/>
      <c r="L1810" s="437"/>
      <c r="M1810" s="65">
        <v>45000</v>
      </c>
      <c r="N1810" s="319" t="s">
        <v>101</v>
      </c>
      <c r="O1810" s="66" t="s">
        <v>26</v>
      </c>
      <c r="P1810" s="82" t="str">
        <f>IF(AND('331-CT'!$E$7=TH!H1810,OR(N1810="331",O1810="331")),"x","")</f>
        <v/>
      </c>
      <c r="Q1810" s="82" t="str">
        <f>IF(AND(B1810='111'!$L$11,OR($N1810=$Q$7,$O1810=$Q$7)),"x","")</f>
        <v/>
      </c>
      <c r="R1810" s="82" t="str">
        <f>IF(AND($N1810=$Q$7,$B1810&lt;'111'!$L$11),"x","")</f>
        <v/>
      </c>
      <c r="S1810" s="82" t="str">
        <f>IF(AND($O1810=$Q$7,$B1810&lt;'111'!$L$11),"x","")</f>
        <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row>
    <row r="1811" spans="1:32" ht="15.75" customHeight="1">
      <c r="A1811" s="334" t="str">
        <f>IF(B1811&lt;&gt;"",IF(AND(B1811='IN-TC'!$S$4,OR(TH!N1811="1111",TH!O1811="1111")),TH!D1811,""),"")</f>
        <v/>
      </c>
      <c r="B1811" s="63">
        <f t="shared" si="208"/>
        <v>4</v>
      </c>
      <c r="C1811" s="64">
        <f t="shared" si="207"/>
        <v>42486</v>
      </c>
      <c r="D1811" s="64" t="s">
        <v>702</v>
      </c>
      <c r="E1811" s="64">
        <v>42486</v>
      </c>
      <c r="F1811" s="72" t="s">
        <v>1193</v>
      </c>
      <c r="G1811" s="972" t="s">
        <v>915</v>
      </c>
      <c r="H1811" s="72"/>
      <c r="I1811" s="437"/>
      <c r="J1811" s="437"/>
      <c r="K1811" s="428"/>
      <c r="L1811" s="437"/>
      <c r="M1811" s="65">
        <v>4500</v>
      </c>
      <c r="N1811" s="319" t="s">
        <v>9</v>
      </c>
      <c r="O1811" s="66" t="s">
        <v>26</v>
      </c>
      <c r="P1811" s="82" t="str">
        <f>IF(AND('331-CT'!$E$7=TH!H1811,OR(N1811="331",O1811="331")),"x","")</f>
        <v/>
      </c>
      <c r="Q1811" s="82" t="str">
        <f>IF(AND(B1811='111'!$L$11,OR($N1811=$Q$7,$O1811=$Q$7)),"x","")</f>
        <v/>
      </c>
      <c r="R1811" s="82" t="str">
        <f>IF(AND($N1811=$Q$7,$B1811&lt;'111'!$L$11),"x","")</f>
        <v/>
      </c>
      <c r="S1811" s="82" t="str">
        <f>IF(AND($O1811=$Q$7,$B1811&lt;'111'!$L$11),"x","")</f>
        <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x</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row>
    <row r="1812" spans="1:32" ht="15.75" customHeight="1">
      <c r="A1812" s="334" t="str">
        <f>IF(B1812&lt;&gt;"",IF(AND(B1812='IN-TC'!$S$4,OR(TH!N1812="1111",TH!O1812="1111")),TH!D1812,""),"")</f>
        <v/>
      </c>
      <c r="B1812" s="63">
        <f t="shared" si="208"/>
        <v>4</v>
      </c>
      <c r="C1812" s="64">
        <f t="shared" si="207"/>
        <v>42488</v>
      </c>
      <c r="D1812" s="64" t="s">
        <v>702</v>
      </c>
      <c r="E1812" s="64">
        <v>42488</v>
      </c>
      <c r="F1812" s="72" t="s">
        <v>1444</v>
      </c>
      <c r="G1812" s="972" t="s">
        <v>915</v>
      </c>
      <c r="H1812" s="318" t="s">
        <v>1353</v>
      </c>
      <c r="I1812" s="437"/>
      <c r="J1812" s="437"/>
      <c r="K1812" s="428"/>
      <c r="L1812" s="437"/>
      <c r="M1812" s="65">
        <v>304272</v>
      </c>
      <c r="N1812" s="66" t="s">
        <v>105</v>
      </c>
      <c r="O1812" s="66" t="s">
        <v>26</v>
      </c>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row>
    <row r="1813" spans="1:32" ht="15.75" customHeight="1">
      <c r="A1813" s="334" t="str">
        <f>IF(B1813&lt;&gt;"",IF(AND(B1813='IN-TC'!$S$4,OR(TH!N1813="1111",TH!O1813="1111")),TH!D1813,""),"")</f>
        <v/>
      </c>
      <c r="B1813" s="63">
        <f t="shared" si="208"/>
        <v>4</v>
      </c>
      <c r="C1813" s="64">
        <f t="shared" si="207"/>
        <v>42489</v>
      </c>
      <c r="D1813" s="64" t="s">
        <v>702</v>
      </c>
      <c r="E1813" s="64">
        <v>42489</v>
      </c>
      <c r="F1813" s="72" t="s">
        <v>1450</v>
      </c>
      <c r="G1813" s="972" t="s">
        <v>915</v>
      </c>
      <c r="H1813" s="1164" t="s">
        <v>1363</v>
      </c>
      <c r="I1813" s="437"/>
      <c r="J1813" s="437"/>
      <c r="K1813" s="428">
        <f>M1813/L1813</f>
        <v>76081.644384546278</v>
      </c>
      <c r="L1813" s="437">
        <v>22260</v>
      </c>
      <c r="M1813" s="65">
        <v>1693577404</v>
      </c>
      <c r="N1813" s="66" t="s">
        <v>26</v>
      </c>
      <c r="O1813" s="66" t="s">
        <v>585</v>
      </c>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row>
    <row r="1814" spans="1:32" ht="15.75" customHeight="1">
      <c r="A1814" s="334" t="str">
        <f>IF(B1814&lt;&gt;"",IF(AND(B1814='IN-TC'!$S$4,OR(TH!N1814="1111",TH!O1814="1111")),TH!D1814,""),"")</f>
        <v/>
      </c>
      <c r="B1814" s="63">
        <f t="shared" si="208"/>
        <v>4</v>
      </c>
      <c r="C1814" s="64">
        <f t="shared" si="207"/>
        <v>42489</v>
      </c>
      <c r="D1814" s="64" t="s">
        <v>702</v>
      </c>
      <c r="E1814" s="64">
        <v>42489</v>
      </c>
      <c r="F1814" s="72" t="s">
        <v>1452</v>
      </c>
      <c r="G1814" s="972" t="s">
        <v>915</v>
      </c>
      <c r="H1814" s="1164" t="s">
        <v>1363</v>
      </c>
      <c r="I1814" s="437"/>
      <c r="J1814" s="437"/>
      <c r="K1814" s="428">
        <v>170</v>
      </c>
      <c r="L1814" s="437">
        <v>22260</v>
      </c>
      <c r="M1814" s="65">
        <f>ROUND(K1814*L1814,0)</f>
        <v>3784200</v>
      </c>
      <c r="N1814" s="319" t="s">
        <v>101</v>
      </c>
      <c r="O1814" s="66" t="s">
        <v>585</v>
      </c>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row>
    <row r="1815" spans="1:32" ht="15.75" customHeight="1">
      <c r="A1815" s="334" t="str">
        <f>IF(B1815&lt;&gt;"",IF(AND(B1815='IN-TC'!$S$4,OR(TH!N1815="1111",TH!O1815="1111")),TH!D1815,""),"")</f>
        <v/>
      </c>
      <c r="B1815" s="63">
        <f t="shared" si="208"/>
        <v>4</v>
      </c>
      <c r="C1815" s="64">
        <f t="shared" si="207"/>
        <v>42489</v>
      </c>
      <c r="D1815" s="64" t="s">
        <v>702</v>
      </c>
      <c r="E1815" s="64">
        <v>42489</v>
      </c>
      <c r="F1815" s="72" t="s">
        <v>1453</v>
      </c>
      <c r="G1815" s="972" t="s">
        <v>915</v>
      </c>
      <c r="H1815" s="1164" t="s">
        <v>1363</v>
      </c>
      <c r="I1815" s="437"/>
      <c r="J1815" s="437"/>
      <c r="K1815" s="428">
        <f>M1815/L1815</f>
        <v>181.69110512129379</v>
      </c>
      <c r="L1815" s="437">
        <v>22260</v>
      </c>
      <c r="M1815" s="65">
        <v>4044444</v>
      </c>
      <c r="N1815" s="66" t="s">
        <v>99</v>
      </c>
      <c r="O1815" s="66" t="s">
        <v>585</v>
      </c>
      <c r="P1815" s="82" t="str">
        <f>IF(AND('331-CT'!$E$7=TH!H1815,OR(N1815="331",O1815="331")),"x","")</f>
        <v/>
      </c>
      <c r="Q1815" s="82" t="str">
        <f>IF(AND(B1815='111'!$L$11,OR($N1815=$Q$7,$O1815=$Q$7)),"x","")</f>
        <v/>
      </c>
      <c r="R1815" s="82" t="str">
        <f>IF(AND($N1815=$Q$7,$B1815&lt;'111'!$L$11),"x","")</f>
        <v/>
      </c>
      <c r="S1815" s="82" t="str">
        <f>IF(AND($O1815=$Q$7,$B1815&lt;'111'!$L$11),"x","")</f>
        <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row>
    <row r="1816" spans="1:32" ht="15.75" customHeight="1">
      <c r="A1816" s="334" t="str">
        <f>IF(B1816&lt;&gt;"",IF(AND(B1816='IN-TC'!$S$4,OR(TH!N1816="1111",TH!O1816="1111")),TH!D1816,""),"")</f>
        <v/>
      </c>
      <c r="B1816" s="63">
        <f t="shared" si="208"/>
        <v>4</v>
      </c>
      <c r="C1816" s="64">
        <f t="shared" si="207"/>
        <v>42489</v>
      </c>
      <c r="D1816" s="64" t="s">
        <v>702</v>
      </c>
      <c r="E1816" s="64">
        <v>42489</v>
      </c>
      <c r="F1816" s="72" t="s">
        <v>1452</v>
      </c>
      <c r="G1816" s="972" t="s">
        <v>915</v>
      </c>
      <c r="H1816" s="1164" t="s">
        <v>1363</v>
      </c>
      <c r="I1816" s="437"/>
      <c r="J1816" s="437"/>
      <c r="K1816" s="428">
        <f>M1816/L1816</f>
        <v>115.14955076370171</v>
      </c>
      <c r="L1816" s="437">
        <v>22260</v>
      </c>
      <c r="M1816" s="65">
        <v>2563229</v>
      </c>
      <c r="N1816" s="319" t="s">
        <v>101</v>
      </c>
      <c r="O1816" s="66" t="s">
        <v>585</v>
      </c>
      <c r="P1816" s="82" t="str">
        <f>IF(AND('331-CT'!$E$7=TH!H1816,OR(N1816="331",O1816="331")),"x","")</f>
        <v/>
      </c>
      <c r="Q1816" s="82" t="str">
        <f>IF(AND(B1816='111'!$L$11,OR($N1816=$Q$7,$O1816=$Q$7)),"x","")</f>
        <v/>
      </c>
      <c r="R1816" s="82" t="str">
        <f>IF(AND($N1816=$Q$7,$B1816&lt;'111'!$L$11),"x","")</f>
        <v/>
      </c>
      <c r="S1816" s="82" t="str">
        <f>IF(AND($O1816=$Q$7,$B1816&lt;'111'!$L$11),"x","")</f>
        <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row>
    <row r="1817" spans="1:32" ht="15.75" customHeight="1">
      <c r="A1817" s="334" t="str">
        <f>IF(B1817&lt;&gt;"",IF(AND(B1817='IN-TC'!$S$4,OR(TH!N1817="1111",TH!O1817="1111")),TH!D1817,""),"")</f>
        <v/>
      </c>
      <c r="B1817" s="63">
        <f t="shared" si="208"/>
        <v>4</v>
      </c>
      <c r="C1817" s="64">
        <f t="shared" si="207"/>
        <v>42489</v>
      </c>
      <c r="D1817" s="64" t="s">
        <v>702</v>
      </c>
      <c r="E1817" s="64">
        <v>42489</v>
      </c>
      <c r="F1817" s="72" t="s">
        <v>1465</v>
      </c>
      <c r="G1817" s="972" t="s">
        <v>915</v>
      </c>
      <c r="H1817" s="1164" t="s">
        <v>1363</v>
      </c>
      <c r="I1817" s="437"/>
      <c r="J1817" s="437"/>
      <c r="K1817" s="428">
        <f>M1817/L1817</f>
        <v>11.514959568733154</v>
      </c>
      <c r="L1817" s="437">
        <v>22260</v>
      </c>
      <c r="M1817" s="65">
        <v>256323</v>
      </c>
      <c r="N1817" s="319" t="s">
        <v>9</v>
      </c>
      <c r="O1817" s="66" t="s">
        <v>585</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x</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2" ht="15.75" customHeight="1">
      <c r="A1818" s="334" t="str">
        <f>IF(B1818&lt;&gt;"",IF(AND(B1818='IN-TC'!$S$4,OR(TH!N1818="1111",TH!O1818="1111")),TH!D1818,""),"")</f>
        <v/>
      </c>
      <c r="B1818" s="63">
        <f t="shared" si="208"/>
        <v>4</v>
      </c>
      <c r="C1818" s="64">
        <f t="shared" si="207"/>
        <v>42489</v>
      </c>
      <c r="D1818" s="64" t="s">
        <v>702</v>
      </c>
      <c r="E1818" s="64">
        <v>42489</v>
      </c>
      <c r="F1818" s="72" t="s">
        <v>1062</v>
      </c>
      <c r="G1818" s="972" t="s">
        <v>915</v>
      </c>
      <c r="H1818" s="1164" t="s">
        <v>1363</v>
      </c>
      <c r="I1818" s="437"/>
      <c r="J1818" s="437"/>
      <c r="K1818" s="428"/>
      <c r="L1818" s="437"/>
      <c r="M1818" s="65">
        <v>765600</v>
      </c>
      <c r="N1818" s="319" t="s">
        <v>585</v>
      </c>
      <c r="O1818" s="66" t="s">
        <v>43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2" ht="15.75" customHeight="1">
      <c r="A1819" s="334" t="str">
        <f>IF(B1819&lt;&gt;"",IF(AND(B1819='IN-TC'!$S$4,OR(TH!N1819="1111",TH!O1819="1111")),TH!D1819,""),"")</f>
        <v/>
      </c>
      <c r="B1819" s="63">
        <f t="shared" si="208"/>
        <v>4</v>
      </c>
      <c r="C1819" s="64">
        <f t="shared" si="207"/>
        <v>42489</v>
      </c>
      <c r="D1819" s="64" t="s">
        <v>702</v>
      </c>
      <c r="E1819" s="64">
        <v>42489</v>
      </c>
      <c r="F1819" s="72" t="s">
        <v>1451</v>
      </c>
      <c r="G1819" s="972" t="s">
        <v>915</v>
      </c>
      <c r="H1819" s="1164" t="s">
        <v>1449</v>
      </c>
      <c r="I1819" s="437"/>
      <c r="J1819" s="437"/>
      <c r="K1819" s="428"/>
      <c r="L1819" s="437"/>
      <c r="M1819" s="65">
        <v>1600000000</v>
      </c>
      <c r="N1819" s="319" t="s">
        <v>260</v>
      </c>
      <c r="O1819" s="66" t="s">
        <v>26</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2" ht="15.75" customHeight="1">
      <c r="A1820" s="334" t="str">
        <f>IF(B1820&lt;&gt;"",IF(AND(B1820='IN-TC'!$S$4,OR(TH!N1826="1111",TH!O1826="1111")),TH!D1826,""),"")</f>
        <v/>
      </c>
      <c r="B1820" s="63">
        <f t="shared" si="208"/>
        <v>5</v>
      </c>
      <c r="C1820" s="316">
        <v>42495</v>
      </c>
      <c r="D1820" s="64" t="s">
        <v>868</v>
      </c>
      <c r="E1820" s="316">
        <v>42495</v>
      </c>
      <c r="F1820" s="72" t="s">
        <v>1467</v>
      </c>
      <c r="G1820" s="976" t="s">
        <v>1473</v>
      </c>
      <c r="H1820" s="318" t="s">
        <v>843</v>
      </c>
      <c r="I1820" s="439"/>
      <c r="J1820" s="439"/>
      <c r="K1820" s="430"/>
      <c r="L1820" s="439"/>
      <c r="M1820" s="65">
        <v>192782</v>
      </c>
      <c r="N1820" s="319" t="s">
        <v>9</v>
      </c>
      <c r="O1820" s="66" t="s">
        <v>63</v>
      </c>
      <c r="P1820" s="82" t="str">
        <f>IF(AND('331-CT'!$E$7=TH!H1826,OR(N1820="331",O1820="331")),"x","")</f>
        <v/>
      </c>
      <c r="Q1820" s="82" t="str">
        <f>IF(AND(B1820='111'!$L$11,OR($N1820=$Q$7,$O1820=$Q$7)),"x","")</f>
        <v/>
      </c>
      <c r="R1820" s="82" t="str">
        <f>IF(AND($N1820=$Q$7,$B1820&lt;'111'!$L$11),"x","")</f>
        <v/>
      </c>
      <c r="S1820" s="82" t="str">
        <f>IF(AND($O1820=$Q$7,$B1820&lt;'111'!$L$11),"x","")</f>
        <v>x</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IF(OR(TH!N1826=TH!$X$7,O1820=TH!$X$7),"x","")</f>
        <v/>
      </c>
      <c r="Y1820" s="82" t="str">
        <f>IF(AND(OR(N1820="131",O1820="131"),H1820='131-CT'!$H$9),"x","")</f>
        <v/>
      </c>
      <c r="Z1820" s="82"/>
      <c r="AA1820" s="82" t="str">
        <f>IF(AND(MONTH(E1820)='IN-NX'!$J$5,'IN-NX'!$D$7=D1820),"x","")</f>
        <v/>
      </c>
      <c r="AB1820" s="82" t="str">
        <f>IF(AND(OR(LEFT(TH!N1826,2)="15",LEFT(TH!O1826,2)="15"),LEFT(TH!O1826,3)&lt;&gt;"111",'152-CT'!$J$8=TH!F1826),"x","")</f>
        <v/>
      </c>
      <c r="AC1820" s="82" t="str">
        <f>IF(AND(OR(LEFT(TH!N1826,2)="15",LEFT(TH!O1826,2)="15"),TK!$E$7=TH!F1826),"x","")</f>
        <v/>
      </c>
      <c r="AD1820" s="82" t="str">
        <f>IF(AND(N1820="1521",MONTH(C1820)='BK-NL'!$M$11),"x","")</f>
        <v/>
      </c>
    </row>
    <row r="1821" spans="1:32" ht="15.75" customHeight="1">
      <c r="A1821" s="334" t="str">
        <f>IF(B1821&lt;&gt;"",IF(AND(B1821='IN-TC'!$S$4,OR(TH!N1555="1111",TH!O1555="1111")),TH!D1555,""),"")</f>
        <v/>
      </c>
      <c r="B1821" s="1148">
        <f t="shared" si="208"/>
        <v>5</v>
      </c>
      <c r="C1821" s="1149">
        <v>42499</v>
      </c>
      <c r="D1821" s="1149" t="s">
        <v>868</v>
      </c>
      <c r="E1821" s="1149">
        <f>C1821</f>
        <v>42499</v>
      </c>
      <c r="F1821" s="512" t="s">
        <v>960</v>
      </c>
      <c r="G1821" s="1151"/>
      <c r="H1821" s="1150" t="s">
        <v>959</v>
      </c>
      <c r="I1821" s="1152"/>
      <c r="J1821" s="1152"/>
      <c r="K1821" s="1153"/>
      <c r="L1821" s="1152"/>
      <c r="M1821" s="1154">
        <v>500000000</v>
      </c>
      <c r="N1821" s="1155" t="s">
        <v>272</v>
      </c>
      <c r="O1821" s="1155" t="s">
        <v>63</v>
      </c>
      <c r="P1821" s="1155" t="str">
        <f>IF(AND('331-CT'!$E$7=TH!H1555,OR(N1821="331",O1821="331")),"x","")</f>
        <v/>
      </c>
      <c r="Q1821" s="1155" t="str">
        <f>IF(AND(B1821='111'!$L$11,OR($N1821=$Q$7,$O1821=$Q$7)),"x","")</f>
        <v/>
      </c>
      <c r="R1821" s="1155" t="str">
        <f>IF(AND($N1821=$Q$7,$B1821&lt;'111'!$L$11),"x","")</f>
        <v/>
      </c>
      <c r="S1821" s="1155" t="str">
        <f>IF(AND($O1821=$Q$7,$B1821&lt;'111'!$L$11),"x","")</f>
        <v>x</v>
      </c>
      <c r="T1821" s="1155" t="str">
        <f>IF(ISERROR(FIND('112'!$M$9,G1821,1)),"",IF((AND(FIND('112'!$M$9,G1821,1)&gt;=1,B1821='112'!$K$9,OR($N1821='112'!$I$6,$O1821='112'!$I$6))),"x",""))</f>
        <v/>
      </c>
      <c r="U1821" s="1155" t="str">
        <f>IF(ISERROR(FIND('112'!$M$9,G1821,1)),"",IF((AND(LEFT(G1821,2)=LEFT('112'!$M$9,2),B1821&lt;'112'!$K$9,$N1821='112'!$I$6)),"x",""))</f>
        <v/>
      </c>
      <c r="V1821" s="1155" t="str">
        <f>IF(ISERROR(FIND('112'!$M$9,G1821,1)),"",IF((AND(RIGHT(G1821,2)=RIGHT('112'!$M$9,2),B1821&lt;'112'!$K$9,$O1821='112'!$I$6)),"x",""))</f>
        <v/>
      </c>
      <c r="W1821" s="1155" t="str">
        <f>IF(AND('341-CT'!$H$9=H1821,OR(LEFT(N1821,3)=$W$7,LEFT(O1821,3)=$W$7)),"x","")</f>
        <v/>
      </c>
      <c r="X1821" s="1155" t="str">
        <f>IF(OR(TH!N1555=TH!$X$7,O1821=TH!$X$7),"x","")</f>
        <v/>
      </c>
      <c r="Y1821" s="1155" t="str">
        <f>IF(AND(OR(N1821="131",O1821="131"),H1821='131-CT'!$H$9),"x","")</f>
        <v/>
      </c>
      <c r="Z1821" s="1155"/>
      <c r="AA1821" s="1155" t="str">
        <f>IF(AND(MONTH(E1821)='IN-NX'!$J$5,'IN-NX'!$D$7=D1821),"x","")</f>
        <v/>
      </c>
      <c r="AB1821" s="1155" t="str">
        <f>IF(AND(OR(LEFT(TH!N1555,2)="15",LEFT(TH!O1555,2)="15"),LEFT(TH!O1555,3)&lt;&gt;"111",'152-CT'!$J$8=TH!F1555),"x","")</f>
        <v/>
      </c>
      <c r="AC1821" s="1155" t="str">
        <f>IF(AND(OR(LEFT(TH!N1555,2)="15",LEFT(TH!O1555,2)="15"),TK!$E$7=TH!F1555),"x","")</f>
        <v/>
      </c>
      <c r="AD1821" s="1155" t="str">
        <f>IF(AND(N1821="1521",MONTH(C1821)='BK-NL'!$M$11),"x","")</f>
        <v/>
      </c>
      <c r="AE1821" s="1156"/>
      <c r="AF1821" s="1156"/>
    </row>
    <row r="1822" spans="1:32" ht="15.75" customHeight="1">
      <c r="A1822" s="334" t="str">
        <f>IF(B1822&lt;&gt;"",IF(AND(B1822='IN-TC'!$S$4,OR(TH!N1558="1111",TH!O1558="1111")),TH!D1558,""),"")</f>
        <v/>
      </c>
      <c r="B1822" s="1148">
        <f t="shared" si="208"/>
        <v>5</v>
      </c>
      <c r="C1822" s="1149">
        <v>42499</v>
      </c>
      <c r="D1822" s="1149" t="s">
        <v>869</v>
      </c>
      <c r="E1822" s="1149">
        <f>C1822</f>
        <v>42499</v>
      </c>
      <c r="F1822" s="512" t="s">
        <v>960</v>
      </c>
      <c r="G1822" s="1151"/>
      <c r="H1822" s="1150" t="s">
        <v>2239</v>
      </c>
      <c r="I1822" s="1152"/>
      <c r="J1822" s="1152"/>
      <c r="K1822" s="1153"/>
      <c r="L1822" s="1152"/>
      <c r="M1822" s="1154">
        <v>400000000</v>
      </c>
      <c r="N1822" s="1155" t="s">
        <v>272</v>
      </c>
      <c r="O1822" s="1155" t="s">
        <v>63</v>
      </c>
      <c r="P1822" s="1155" t="str">
        <f>IF(AND('331-CT'!$E$7=TH!H1558,OR(N1822="331",O1822="331")),"x","")</f>
        <v/>
      </c>
      <c r="Q1822" s="1155" t="str">
        <f>IF(AND(B1822='111'!$L$11,OR($N1822=$Q$7,$O1822=$Q$7)),"x","")</f>
        <v/>
      </c>
      <c r="R1822" s="1155" t="str">
        <f>IF(AND($N1822=$Q$7,$B1822&lt;'111'!$L$11),"x","")</f>
        <v/>
      </c>
      <c r="S1822" s="1155" t="str">
        <f>IF(AND($O1822=$Q$7,$B1822&lt;'111'!$L$11),"x","")</f>
        <v>x</v>
      </c>
      <c r="T1822" s="1155" t="str">
        <f>IF(ISERROR(FIND('112'!$M$9,G1822,1)),"",IF((AND(FIND('112'!$M$9,G1822,1)&gt;=1,B1822='112'!$K$9,OR($N1822='112'!$I$6,$O1822='112'!$I$6))),"x",""))</f>
        <v/>
      </c>
      <c r="U1822" s="1155" t="str">
        <f>IF(ISERROR(FIND('112'!$M$9,G1822,1)),"",IF((AND(LEFT(G1822,2)=LEFT('112'!$M$9,2),B1822&lt;'112'!$K$9,$N1822='112'!$I$6)),"x",""))</f>
        <v/>
      </c>
      <c r="V1822" s="1155" t="str">
        <f>IF(ISERROR(FIND('112'!$M$9,G1822,1)),"",IF((AND(RIGHT(G1822,2)=RIGHT('112'!$M$9,2),B1822&lt;'112'!$K$9,$O1822='112'!$I$6)),"x",""))</f>
        <v/>
      </c>
      <c r="W1822" s="1155" t="str">
        <f>IF(AND('341-CT'!$H$9=H1822,OR(LEFT(N1822,3)=$W$7,LEFT(O1822,3)=$W$7)),"x","")</f>
        <v/>
      </c>
      <c r="X1822" s="1155" t="str">
        <f>IF(OR(TH!N1558=TH!$X$7,O1822=TH!$X$7),"x","")</f>
        <v/>
      </c>
      <c r="Y1822" s="1155" t="str">
        <f>IF(AND(OR(N1822="131",O1822="131"),H1822='131-CT'!$H$9),"x","")</f>
        <v/>
      </c>
      <c r="Z1822" s="1155"/>
      <c r="AA1822" s="1155" t="str">
        <f>IF(AND(MONTH(E1822)='IN-NX'!$J$5,'IN-NX'!$D$7=D1822),"x","")</f>
        <v/>
      </c>
      <c r="AB1822" s="1155" t="str">
        <f>IF(AND(OR(LEFT(TH!N1558,2)="15",LEFT(TH!O1558,2)="15"),LEFT(TH!O1558,3)&lt;&gt;"111",'152-CT'!$J$8=TH!F1558),"x","")</f>
        <v/>
      </c>
      <c r="AC1822" s="1155" t="str">
        <f>IF(AND(OR(LEFT(TH!N1558,2)="15",LEFT(TH!O1558,2)="15"),TK!$E$7=TH!F1558),"x","")</f>
        <v/>
      </c>
      <c r="AD1822" s="1155" t="str">
        <f>IF(AND(N1822="1521",MONTH(C1822)='BK-NL'!$M$11),"x","")</f>
        <v/>
      </c>
      <c r="AE1822" s="1156"/>
      <c r="AF1822" s="1156"/>
    </row>
    <row r="1823" spans="1:32" ht="15.75" customHeight="1">
      <c r="A1823" s="334" t="str">
        <f>IF(B1823&lt;&gt;"",IF(AND(B1823='IN-TC'!$S$4,OR(TH!N1827="1111",TH!O1827="1111")),TH!D1827,""),"")</f>
        <v/>
      </c>
      <c r="B1823" s="63">
        <f t="shared" si="208"/>
        <v>5</v>
      </c>
      <c r="C1823" s="64">
        <v>42499</v>
      </c>
      <c r="D1823" s="64" t="s">
        <v>871</v>
      </c>
      <c r="E1823" s="64">
        <v>42499</v>
      </c>
      <c r="F1823" s="72" t="s">
        <v>1468</v>
      </c>
      <c r="G1823" s="972" t="s">
        <v>1474</v>
      </c>
      <c r="H1823" s="72" t="s">
        <v>1033</v>
      </c>
      <c r="I1823" s="439"/>
      <c r="J1823" s="439"/>
      <c r="K1823" s="430"/>
      <c r="L1823" s="439"/>
      <c r="M1823" s="65">
        <v>2320000</v>
      </c>
      <c r="N1823" s="319" t="s">
        <v>101</v>
      </c>
      <c r="O1823" s="66" t="s">
        <v>63</v>
      </c>
      <c r="P1823" s="82" t="str">
        <f>IF(AND('331-CT'!$E$7=TH!H1827,OR(N1823="331",O1823="331")),"x","")</f>
        <v/>
      </c>
      <c r="Q1823" s="82" t="str">
        <f>IF(AND(B1823='111'!$L$11,OR($N1823=$Q$7,$O1823=$Q$7)),"x","")</f>
        <v/>
      </c>
      <c r="R1823" s="82" t="str">
        <f>IF(AND($N1823=$Q$7,$B1823&lt;'111'!$L$11),"x","")</f>
        <v/>
      </c>
      <c r="S1823" s="82" t="str">
        <f>IF(AND($O1823=$Q$7,$B1823&lt;'111'!$L$11),"x","")</f>
        <v>x</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IF(OR(TH!N1827=TH!$X$7,O1823=TH!$X$7),"x","")</f>
        <v>x</v>
      </c>
      <c r="Y1823" s="82" t="str">
        <f>IF(AND(OR(N1823="131",O1823="131"),H1823='131-CT'!$H$9),"x","")</f>
        <v/>
      </c>
      <c r="Z1823" s="82"/>
      <c r="AA1823" s="82" t="str">
        <f>IF(AND(MONTH(E1823)='IN-NX'!$J$5,'IN-NX'!$D$7=D1823),"x","")</f>
        <v/>
      </c>
      <c r="AB1823" s="82" t="str">
        <f>IF(AND(OR(LEFT(TH!N1827,2)="15",LEFT(TH!O1827,2)="15"),LEFT(TH!O1827,3)&lt;&gt;"111",'152-CT'!$J$8=TH!F1827),"x","")</f>
        <v/>
      </c>
      <c r="AC1823" s="82" t="str">
        <f>IF(AND(OR(LEFT(TH!N1827,2)="15",LEFT(TH!O1827,2)="15"),TK!$E$7=TH!F1827),"x","")</f>
        <v/>
      </c>
      <c r="AD1823" s="82" t="str">
        <f>IF(AND(N1823="1521",MONTH(C1823)='BK-NL'!$M$11),"x","")</f>
        <v/>
      </c>
    </row>
    <row r="1824" spans="1:32" ht="15.75" customHeight="1">
      <c r="A1824" s="334" t="str">
        <f>IF(B1824&lt;&gt;"",IF(AND(B1824='IN-TC'!$S$4,OR(TH!N1873="1111",TH!O1873="1111")),TH!D1873,""),"")</f>
        <v/>
      </c>
      <c r="B1824" s="63">
        <f t="shared" si="208"/>
        <v>5</v>
      </c>
      <c r="C1824" s="64">
        <f>E1824</f>
        <v>42502</v>
      </c>
      <c r="D1824" s="316" t="s">
        <v>872</v>
      </c>
      <c r="E1824" s="64">
        <v>42502</v>
      </c>
      <c r="F1824" s="72" t="s">
        <v>224</v>
      </c>
      <c r="G1824" s="972" t="s">
        <v>1480</v>
      </c>
      <c r="H1824" s="342" t="s">
        <v>618</v>
      </c>
      <c r="I1824" s="439">
        <v>450</v>
      </c>
      <c r="J1824" s="439">
        <v>19565.650000000001</v>
      </c>
      <c r="K1824" s="430"/>
      <c r="L1824" s="439"/>
      <c r="M1824" s="65">
        <f>ROUND(I1824*J1824,0)</f>
        <v>8804543</v>
      </c>
      <c r="N1824" s="319" t="s">
        <v>282</v>
      </c>
      <c r="O1824" s="66" t="s">
        <v>63</v>
      </c>
      <c r="P1824" s="82" t="str">
        <f>IF(AND('331-CT'!$E$7=TH!H1873,OR(N1824="331",O1824="331")),"x","")</f>
        <v/>
      </c>
      <c r="Q1824" s="82" t="str">
        <f>IF(AND(B1824='111'!$L$11,OR($N1824=$Q$7,$O1824=$Q$7)),"x","")</f>
        <v/>
      </c>
      <c r="R1824" s="82" t="str">
        <f>IF(AND($N1824=$Q$7,$B1824&lt;'111'!$L$11),"x","")</f>
        <v/>
      </c>
      <c r="S1824" s="82" t="str">
        <f>IF(AND($O1824=$Q$7,$B1824&lt;'111'!$L$11),"x","")</f>
        <v>x</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IF(OR(TH!N1873=TH!$X$7,O1824=TH!$X$7),"x","")</f>
        <v/>
      </c>
      <c r="Y1824" s="82" t="str">
        <f>IF(AND(OR(N1824="131",O1824="131"),H1824='131-CT'!$H$9),"x","")</f>
        <v/>
      </c>
      <c r="Z1824" s="82"/>
      <c r="AA1824" s="82" t="str">
        <f>IF(AND(MONTH(E1824)='IN-NX'!$J$5,'IN-NX'!$D$7=D1824),"x","")</f>
        <v/>
      </c>
      <c r="AB1824" s="82" t="str">
        <f>IF(AND(OR(LEFT(TH!N1873,2)="15",LEFT(TH!O1873,2)="15"),LEFT(TH!O1873,3)&lt;&gt;"111",'152-CT'!$J$8=TH!F1873),"x","")</f>
        <v/>
      </c>
      <c r="AC1824" s="82" t="str">
        <f>IF(AND(OR(LEFT(TH!N1873,2)="15",LEFT(TH!O1873,2)="15"),TK!$E$7=TH!F1873),"x","")</f>
        <v/>
      </c>
      <c r="AD1824" s="82" t="str">
        <f>IF(AND(N1824="1521",MONTH(C1824)='BK-NL'!$M$11),"x","")</f>
        <v/>
      </c>
    </row>
    <row r="1825" spans="1:32" ht="15.75" customHeight="1">
      <c r="A1825" s="334" t="str">
        <f>IF(B1825&lt;&gt;"",IF(AND(B1825='IN-TC'!$S$4,OR(TH!N1874="1111",TH!O1874="1111")),TH!D1874,""),"")</f>
        <v/>
      </c>
      <c r="B1825" s="63">
        <f t="shared" si="208"/>
        <v>5</v>
      </c>
      <c r="C1825" s="64">
        <f>E1825</f>
        <v>42502</v>
      </c>
      <c r="D1825" s="316" t="s">
        <v>872</v>
      </c>
      <c r="E1825" s="64">
        <v>42502</v>
      </c>
      <c r="F1825" s="72" t="s">
        <v>1348</v>
      </c>
      <c r="G1825" s="972" t="s">
        <v>1480</v>
      </c>
      <c r="H1825" s="342" t="s">
        <v>618</v>
      </c>
      <c r="I1825" s="439"/>
      <c r="J1825" s="439"/>
      <c r="K1825" s="430"/>
      <c r="L1825" s="439"/>
      <c r="M1825" s="65">
        <v>880454</v>
      </c>
      <c r="N1825" s="319" t="s">
        <v>9</v>
      </c>
      <c r="O1825" s="66" t="s">
        <v>63</v>
      </c>
      <c r="P1825" s="82" t="str">
        <f>IF(AND('331-CT'!$E$7=TH!H1874,OR(N1825="331",O1825="331")),"x","")</f>
        <v/>
      </c>
      <c r="Q1825" s="82" t="str">
        <f>IF(AND(B1825='111'!$L$11,OR($N1825=$Q$7,$O1825=$Q$7)),"x","")</f>
        <v/>
      </c>
      <c r="R1825" s="82" t="str">
        <f>IF(AND($N1825=$Q$7,$B1825&lt;'111'!$L$11),"x","")</f>
        <v/>
      </c>
      <c r="S1825" s="82" t="str">
        <f>IF(AND($O1825=$Q$7,$B1825&lt;'111'!$L$11),"x","")</f>
        <v>x</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IF(OR(TH!N1874=TH!$X$7,O1825=TH!$X$7),"x","")</f>
        <v/>
      </c>
      <c r="Y1825" s="82" t="str">
        <f>IF(AND(OR(N1825="131",O1825="131"),H1825='131-CT'!$H$9),"x","")</f>
        <v/>
      </c>
      <c r="Z1825" s="82"/>
      <c r="AA1825" s="82" t="str">
        <f>IF(AND(MONTH(E1825)='IN-NX'!$J$5,'IN-NX'!$D$7=D1825),"x","")</f>
        <v/>
      </c>
      <c r="AB1825" s="82" t="str">
        <f>IF(AND(OR(LEFT(TH!N1874,2)="15",LEFT(TH!O1874,2)="15"),LEFT(TH!O1874,3)&lt;&gt;"111",'152-CT'!$J$8=TH!F1874),"x","")</f>
        <v/>
      </c>
      <c r="AC1825" s="82" t="str">
        <f>IF(AND(OR(LEFT(TH!N1874,2)="15",LEFT(TH!O1874,2)="15"),TK!$E$7=TH!F1874),"x","")</f>
        <v/>
      </c>
      <c r="AD1825" s="82" t="str">
        <f>IF(AND(N1825="1521",MONTH(C1825)='BK-NL'!$M$11),"x","")</f>
        <v/>
      </c>
    </row>
    <row r="1826" spans="1:32" ht="15.75" customHeight="1">
      <c r="A1826" s="334" t="str">
        <f>IF(B1826&lt;&gt;"",IF(AND(B1826='IN-TC'!$S$4,OR(TH!N1828="1111",TH!O1828="1111")),TH!D1828,""),"")</f>
        <v/>
      </c>
      <c r="B1826" s="63">
        <f t="shared" si="208"/>
        <v>5</v>
      </c>
      <c r="C1826" s="316">
        <v>42503</v>
      </c>
      <c r="D1826" s="316" t="s">
        <v>873</v>
      </c>
      <c r="E1826" s="316">
        <v>42503</v>
      </c>
      <c r="F1826" s="72" t="s">
        <v>1469</v>
      </c>
      <c r="G1826" s="976" t="s">
        <v>1475</v>
      </c>
      <c r="H1826" s="318" t="s">
        <v>1470</v>
      </c>
      <c r="I1826" s="437"/>
      <c r="J1826" s="437"/>
      <c r="K1826" s="428"/>
      <c r="L1826" s="437"/>
      <c r="M1826" s="65">
        <v>354533</v>
      </c>
      <c r="N1826" s="319" t="s">
        <v>101</v>
      </c>
      <c r="O1826" s="66" t="s">
        <v>63</v>
      </c>
      <c r="P1826" s="82" t="str">
        <f>IF(AND('331-CT'!$E$7=TH!H1828,OR(N1826="331",O1826="331")),"x","")</f>
        <v/>
      </c>
      <c r="Q1826" s="82" t="str">
        <f>IF(AND(B1826='111'!$L$11,OR($N1826=$Q$7,$O1826=$Q$7)),"x","")</f>
        <v/>
      </c>
      <c r="R1826" s="82" t="str">
        <f>IF(AND($N1826=$Q$7,$B1826&lt;'111'!$L$11),"x","")</f>
        <v/>
      </c>
      <c r="S1826" s="82" t="str">
        <f>IF(AND($O1826=$Q$7,$B1826&lt;'111'!$L$11),"x","")</f>
        <v>x</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IF(OR(TH!N1828=TH!$X$7,O1826=TH!$X$7),"x","")</f>
        <v/>
      </c>
      <c r="Y1826" s="82" t="str">
        <f>IF(AND(OR(N1826="131",O1826="131"),H1826='131-CT'!$H$9),"x","")</f>
        <v/>
      </c>
      <c r="Z1826" s="82"/>
      <c r="AA1826" s="82" t="str">
        <f>IF(AND(MONTH(E1826)='IN-NX'!$J$5,'IN-NX'!$D$7=D1826),"x","")</f>
        <v/>
      </c>
      <c r="AB1826" s="82" t="str">
        <f>IF(AND(OR(LEFT(TH!N1828,2)="15",LEFT(TH!O1828,2)="15"),LEFT(TH!O1828,3)&lt;&gt;"111",'152-CT'!$J$8=TH!F1828),"x","")</f>
        <v/>
      </c>
      <c r="AC1826" s="82" t="str">
        <f>IF(AND(OR(LEFT(TH!N1828,2)="15",LEFT(TH!O1828,2)="15"),TK!$E$7=TH!F1828),"x","")</f>
        <v/>
      </c>
      <c r="AD1826" s="82" t="str">
        <f>IF(AND(N1826="1521",MONTH(C1826)='BK-NL'!$M$11),"x","")</f>
        <v/>
      </c>
    </row>
    <row r="1827" spans="1:32" ht="15.75" customHeight="1">
      <c r="A1827" s="334" t="str">
        <f>IF(B1827&lt;&gt;"",IF(AND(B1827='IN-TC'!$S$4,OR(TH!N1829="1111",TH!O1829="1111")),TH!D1829,""),"")</f>
        <v/>
      </c>
      <c r="B1827" s="63">
        <f t="shared" si="208"/>
        <v>5</v>
      </c>
      <c r="C1827" s="316">
        <v>42503</v>
      </c>
      <c r="D1827" s="316" t="s">
        <v>873</v>
      </c>
      <c r="E1827" s="316">
        <v>42503</v>
      </c>
      <c r="F1827" s="72" t="s">
        <v>1471</v>
      </c>
      <c r="G1827" s="976" t="s">
        <v>1475</v>
      </c>
      <c r="H1827" s="318" t="s">
        <v>1470</v>
      </c>
      <c r="I1827" s="437"/>
      <c r="J1827" s="437"/>
      <c r="K1827" s="428"/>
      <c r="L1827" s="437"/>
      <c r="M1827" s="65">
        <v>35453</v>
      </c>
      <c r="N1827" s="319" t="s">
        <v>9</v>
      </c>
      <c r="O1827" s="66" t="s">
        <v>63</v>
      </c>
      <c r="P1827" s="82" t="str">
        <f>IF(AND('331-CT'!$E$7=TH!H1829,OR(N1827="331",O1827="331")),"x","")</f>
        <v/>
      </c>
      <c r="Q1827" s="82" t="str">
        <f>IF(AND(B1827='111'!$L$11,OR($N1827=$Q$7,$O1827=$Q$7)),"x","")</f>
        <v/>
      </c>
      <c r="R1827" s="82" t="str">
        <f>IF(AND($N1827=$Q$7,$B1827&lt;'111'!$L$11),"x","")</f>
        <v/>
      </c>
      <c r="S1827" s="82" t="str">
        <f>IF(AND($O1827=$Q$7,$B1827&lt;'111'!$L$11),"x","")</f>
        <v>x</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IF(OR(TH!N1829=TH!$X$7,O1827=TH!$X$7),"x","")</f>
        <v/>
      </c>
      <c r="Y1827" s="82" t="str">
        <f>IF(AND(OR(N1827="131",O1827="131"),H1827='131-CT'!$H$9),"x","")</f>
        <v/>
      </c>
      <c r="Z1827" s="82"/>
      <c r="AA1827" s="82" t="str">
        <f>IF(AND(MONTH(E1827)='IN-NX'!$J$5,'IN-NX'!$D$7=D1827),"x","")</f>
        <v/>
      </c>
      <c r="AB1827" s="82" t="str">
        <f>IF(AND(OR(LEFT(TH!N1829,2)="15",LEFT(TH!O1829,2)="15"),LEFT(TH!O1829,3)&lt;&gt;"111",'152-CT'!$J$8=TH!F1829),"x","")</f>
        <v/>
      </c>
      <c r="AC1827" s="82" t="str">
        <f>IF(AND(OR(LEFT(TH!N1829,2)="15",LEFT(TH!O1829,2)="15"),TK!$E$7=TH!F1829),"x","")</f>
        <v/>
      </c>
      <c r="AD1827" s="82" t="str">
        <f>IF(AND(N1827="1521",MONTH(C1827)='BK-NL'!$M$11),"x","")</f>
        <v/>
      </c>
    </row>
    <row r="1828" spans="1:32" ht="15.75" customHeight="1">
      <c r="A1828" s="334" t="str">
        <f>IF(B1828&lt;&gt;"",IF(AND(B1828='IN-TC'!$S$4,OR(TH!N1556="1111",TH!O1556="1111")),TH!D1556,""),"")</f>
        <v/>
      </c>
      <c r="B1828" s="1148">
        <f t="shared" si="208"/>
        <v>5</v>
      </c>
      <c r="C1828" s="1149">
        <v>42506</v>
      </c>
      <c r="D1828" s="1149" t="s">
        <v>874</v>
      </c>
      <c r="E1828" s="1149">
        <f>C1828</f>
        <v>42506</v>
      </c>
      <c r="F1828" s="512" t="s">
        <v>960</v>
      </c>
      <c r="G1828" s="1151"/>
      <c r="H1828" s="1150" t="s">
        <v>959</v>
      </c>
      <c r="I1828" s="1152"/>
      <c r="J1828" s="1152"/>
      <c r="K1828" s="1153"/>
      <c r="L1828" s="1152"/>
      <c r="M1828" s="1154">
        <v>400000000</v>
      </c>
      <c r="N1828" s="1155" t="s">
        <v>272</v>
      </c>
      <c r="O1828" s="1155" t="s">
        <v>63</v>
      </c>
      <c r="P1828" s="1155" t="str">
        <f>IF(AND('331-CT'!$E$7=TH!H1556,OR(N1828="331",O1828="331")),"x","")</f>
        <v/>
      </c>
      <c r="Q1828" s="1155" t="str">
        <f>IF(AND(B1828='111'!$L$11,OR($N1828=$Q$7,$O1828=$Q$7)),"x","")</f>
        <v/>
      </c>
      <c r="R1828" s="1155" t="str">
        <f>IF(AND($N1828=$Q$7,$B1828&lt;'111'!$L$11),"x","")</f>
        <v/>
      </c>
      <c r="S1828" s="1155" t="str">
        <f>IF(AND($O1828=$Q$7,$B1828&lt;'111'!$L$11),"x","")</f>
        <v>x</v>
      </c>
      <c r="T1828" s="1155" t="str">
        <f>IF(ISERROR(FIND('112'!$M$9,G1828,1)),"",IF((AND(FIND('112'!$M$9,G1828,1)&gt;=1,B1828='112'!$K$9,OR($N1828='112'!$I$6,$O1828='112'!$I$6))),"x",""))</f>
        <v/>
      </c>
      <c r="U1828" s="1155" t="str">
        <f>IF(ISERROR(FIND('112'!$M$9,G1828,1)),"",IF((AND(LEFT(G1828,2)=LEFT('112'!$M$9,2),B1828&lt;'112'!$K$9,$N1828='112'!$I$6)),"x",""))</f>
        <v/>
      </c>
      <c r="V1828" s="1155" t="str">
        <f>IF(ISERROR(FIND('112'!$M$9,G1828,1)),"",IF((AND(RIGHT(G1828,2)=RIGHT('112'!$M$9,2),B1828&lt;'112'!$K$9,$O1828='112'!$I$6)),"x",""))</f>
        <v/>
      </c>
      <c r="W1828" s="1155" t="str">
        <f>IF(AND('341-CT'!$H$9=H1828,OR(LEFT(N1828,3)=$W$7,LEFT(O1828,3)=$W$7)),"x","")</f>
        <v/>
      </c>
      <c r="X1828" s="1155" t="str">
        <f>IF(OR(TH!N1556=TH!$X$7,O1828=TH!$X$7),"x","")</f>
        <v>x</v>
      </c>
      <c r="Y1828" s="1155" t="str">
        <f>IF(AND(OR(N1828="131",O1828="131"),H1828='131-CT'!$H$9),"x","")</f>
        <v/>
      </c>
      <c r="Z1828" s="1155"/>
      <c r="AA1828" s="1155" t="str">
        <f>IF(AND(MONTH(E1828)='IN-NX'!$J$5,'IN-NX'!$D$7=D1828),"x","")</f>
        <v/>
      </c>
      <c r="AB1828" s="1155" t="str">
        <f>IF(AND(OR(LEFT(TH!N1556,2)="15",LEFT(TH!O1556,2)="15"),LEFT(TH!O1556,3)&lt;&gt;"111",'152-CT'!$J$8=TH!F1556),"x","")</f>
        <v/>
      </c>
      <c r="AC1828" s="1155" t="str">
        <f>IF(AND(OR(LEFT(TH!N1556,2)="15",LEFT(TH!O1556,2)="15"),TK!$E$7=TH!F1556),"x","")</f>
        <v/>
      </c>
      <c r="AD1828" s="1155" t="str">
        <f>IF(AND(N1828="1521",MONTH(C1828)='BK-NL'!$M$11),"x","")</f>
        <v/>
      </c>
      <c r="AE1828" s="1156"/>
      <c r="AF1828" s="1156"/>
    </row>
    <row r="1829" spans="1:32" ht="15.75" customHeight="1">
      <c r="A1829" s="334" t="str">
        <f>IF(B1829&lt;&gt;"",IF(AND(B1829='IN-TC'!$S$4,OR(TH!N1559="1111",TH!O1559="1111")),TH!D1559,""),"")</f>
        <v/>
      </c>
      <c r="B1829" s="1148">
        <f t="shared" si="208"/>
        <v>5</v>
      </c>
      <c r="C1829" s="1149">
        <v>42506</v>
      </c>
      <c r="D1829" s="1149" t="s">
        <v>875</v>
      </c>
      <c r="E1829" s="1149">
        <f>C1829</f>
        <v>42506</v>
      </c>
      <c r="F1829" s="512" t="s">
        <v>960</v>
      </c>
      <c r="G1829" s="1151"/>
      <c r="H1829" s="1150" t="s">
        <v>2239</v>
      </c>
      <c r="I1829" s="1152"/>
      <c r="J1829" s="1152"/>
      <c r="K1829" s="1153"/>
      <c r="L1829" s="1152"/>
      <c r="M1829" s="1154">
        <v>400000000</v>
      </c>
      <c r="N1829" s="1155" t="s">
        <v>272</v>
      </c>
      <c r="O1829" s="1155" t="s">
        <v>63</v>
      </c>
      <c r="P1829" s="1155" t="str">
        <f>IF(AND('331-CT'!$E$7=TH!H1559,OR(N1829="331",O1829="331")),"x","")</f>
        <v/>
      </c>
      <c r="Q1829" s="1155" t="str">
        <f>IF(AND(B1829='111'!$L$11,OR($N1829=$Q$7,$O1829=$Q$7)),"x","")</f>
        <v/>
      </c>
      <c r="R1829" s="1155" t="str">
        <f>IF(AND($N1829=$Q$7,$B1829&lt;'111'!$L$11),"x","")</f>
        <v/>
      </c>
      <c r="S1829" s="1155" t="str">
        <f>IF(AND($O1829=$Q$7,$B1829&lt;'111'!$L$11),"x","")</f>
        <v>x</v>
      </c>
      <c r="T1829" s="1155" t="str">
        <f>IF(ISERROR(FIND('112'!$M$9,G1829,1)),"",IF((AND(FIND('112'!$M$9,G1829,1)&gt;=1,B1829='112'!$K$9,OR($N1829='112'!$I$6,$O1829='112'!$I$6))),"x",""))</f>
        <v/>
      </c>
      <c r="U1829" s="1155" t="str">
        <f>IF(ISERROR(FIND('112'!$M$9,G1829,1)),"",IF((AND(LEFT(G1829,2)=LEFT('112'!$M$9,2),B1829&lt;'112'!$K$9,$N1829='112'!$I$6)),"x",""))</f>
        <v/>
      </c>
      <c r="V1829" s="1155" t="str">
        <f>IF(ISERROR(FIND('112'!$M$9,G1829,1)),"",IF((AND(RIGHT(G1829,2)=RIGHT('112'!$M$9,2),B1829&lt;'112'!$K$9,$O1829='112'!$I$6)),"x",""))</f>
        <v/>
      </c>
      <c r="W1829" s="1155" t="str">
        <f>IF(AND('341-CT'!$H$9=H1829,OR(LEFT(N1829,3)=$W$7,LEFT(O1829,3)=$W$7)),"x","")</f>
        <v/>
      </c>
      <c r="X1829" s="1155" t="str">
        <f>IF(OR(TH!N1559=TH!$X$7,O1829=TH!$X$7),"x","")</f>
        <v>x</v>
      </c>
      <c r="Y1829" s="1155" t="str">
        <f>IF(AND(OR(N1829="131",O1829="131"),H1829='131-CT'!$H$9),"x","")</f>
        <v/>
      </c>
      <c r="Z1829" s="1155"/>
      <c r="AA1829" s="1155" t="str">
        <f>IF(AND(MONTH(E1829)='IN-NX'!$J$5,'IN-NX'!$D$7=D1829),"x","")</f>
        <v/>
      </c>
      <c r="AB1829" s="1155" t="str">
        <f>IF(AND(OR(LEFT(TH!N1559,2)="15",LEFT(TH!O1559,2)="15"),LEFT(TH!O1559,3)&lt;&gt;"111",'152-CT'!$J$8=TH!F1559),"x","")</f>
        <v/>
      </c>
      <c r="AC1829" s="1155" t="str">
        <f>IF(AND(OR(LEFT(TH!N1559,2)="15",LEFT(TH!O1559,2)="15"),TK!$E$7=TH!F1559),"x","")</f>
        <v/>
      </c>
      <c r="AD1829" s="1155" t="str">
        <f>IF(AND(N1829="1521",MONTH(C1829)='BK-NL'!$M$11),"x","")</f>
        <v/>
      </c>
      <c r="AE1829" s="1156"/>
      <c r="AF1829" s="1156"/>
    </row>
    <row r="1830" spans="1:32" ht="15.75" customHeight="1">
      <c r="A1830" s="334" t="str">
        <f>IF(B1830&lt;&gt;"",IF(AND(B1830='IN-TC'!$S$4,OR(TH!N1830="1111",TH!O1830="1111")),TH!D1830,""),"")</f>
        <v/>
      </c>
      <c r="B1830" s="63">
        <f t="shared" si="208"/>
        <v>5</v>
      </c>
      <c r="C1830" s="316">
        <v>42506</v>
      </c>
      <c r="D1830" s="316" t="s">
        <v>876</v>
      </c>
      <c r="E1830" s="316">
        <v>42506</v>
      </c>
      <c r="F1830" s="72" t="s">
        <v>1010</v>
      </c>
      <c r="G1830" s="976" t="s">
        <v>1476</v>
      </c>
      <c r="H1830" s="318" t="s">
        <v>805</v>
      </c>
      <c r="I1830" s="437"/>
      <c r="J1830" s="437"/>
      <c r="K1830" s="428"/>
      <c r="L1830" s="437"/>
      <c r="M1830" s="65">
        <v>2679909</v>
      </c>
      <c r="N1830" s="319" t="s">
        <v>101</v>
      </c>
      <c r="O1830" s="66" t="s">
        <v>63</v>
      </c>
      <c r="P1830" s="82" t="str">
        <f>IF(AND('331-CT'!$E$7=TH!H1830,OR(N1830="331",O1830="331")),"x","")</f>
        <v/>
      </c>
      <c r="Q1830" s="82" t="str">
        <f>IF(AND(B1830='111'!$L$11,OR($N1830=$Q$7,$O1830=$Q$7)),"x","")</f>
        <v/>
      </c>
      <c r="R1830" s="82" t="str">
        <f>IF(AND($N1830=$Q$7,$B1830&lt;'111'!$L$11),"x","")</f>
        <v/>
      </c>
      <c r="S1830" s="82" t="str">
        <f>IF(AND($O1830=$Q$7,$B1830&lt;'111'!$L$11),"x","")</f>
        <v>x</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2" ht="15.75" customHeight="1">
      <c r="A1831" s="334" t="str">
        <f>IF(B1831&lt;&gt;"",IF(AND(B1831='IN-TC'!$S$4,OR(TH!N1831="1111",TH!O1831="1111")),TH!D1831,""),"")</f>
        <v/>
      </c>
      <c r="B1831" s="63">
        <f t="shared" si="208"/>
        <v>5</v>
      </c>
      <c r="C1831" s="316">
        <v>42506</v>
      </c>
      <c r="D1831" s="316" t="s">
        <v>876</v>
      </c>
      <c r="E1831" s="316">
        <v>42506</v>
      </c>
      <c r="F1831" s="72" t="s">
        <v>1011</v>
      </c>
      <c r="G1831" s="976" t="s">
        <v>1476</v>
      </c>
      <c r="H1831" s="318" t="s">
        <v>805</v>
      </c>
      <c r="I1831" s="437"/>
      <c r="J1831" s="437"/>
      <c r="K1831" s="428"/>
      <c r="L1831" s="437"/>
      <c r="M1831" s="65">
        <v>267991</v>
      </c>
      <c r="N1831" s="319" t="s">
        <v>9</v>
      </c>
      <c r="O1831" s="66" t="s">
        <v>63</v>
      </c>
      <c r="P1831" s="82" t="str">
        <f>IF(AND('331-CT'!$E$7=TH!H1831,OR(N1831="331",O1831="331")),"x","")</f>
        <v/>
      </c>
      <c r="Q1831" s="82" t="str">
        <f>IF(AND(B1831='111'!$L$11,OR($N1831=$Q$7,$O1831=$Q$7)),"x","")</f>
        <v/>
      </c>
      <c r="R1831" s="82" t="str">
        <f>IF(AND($N1831=$Q$7,$B1831&lt;'111'!$L$11),"x","")</f>
        <v/>
      </c>
      <c r="S1831" s="82" t="str">
        <f>IF(AND($O1831=$Q$7,$B1831&lt;'111'!$L$11),"x","")</f>
        <v>x</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x</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2" ht="15.75" customHeight="1">
      <c r="A1832" s="334" t="str">
        <f>IF(B1832&lt;&gt;"",IF(AND(B1832='IN-TC'!$S$4,OR(TH!N1832="1111",TH!O1832="1111")),TH!D1832,""),"")</f>
        <v/>
      </c>
      <c r="B1832" s="63">
        <f t="shared" si="208"/>
        <v>5</v>
      </c>
      <c r="C1832" s="316">
        <f>E1832</f>
        <v>42510</v>
      </c>
      <c r="D1832" s="316" t="s">
        <v>877</v>
      </c>
      <c r="E1832" s="316">
        <v>42510</v>
      </c>
      <c r="F1832" s="72" t="s">
        <v>1010</v>
      </c>
      <c r="G1832" s="976" t="s">
        <v>1535</v>
      </c>
      <c r="H1832" s="318" t="s">
        <v>805</v>
      </c>
      <c r="I1832" s="437"/>
      <c r="J1832" s="437"/>
      <c r="K1832" s="428"/>
      <c r="L1832" s="437"/>
      <c r="M1832" s="65">
        <v>871582</v>
      </c>
      <c r="N1832" s="319" t="s">
        <v>101</v>
      </c>
      <c r="O1832" s="66" t="s">
        <v>63</v>
      </c>
      <c r="P1832" s="82" t="str">
        <f>IF(AND('331-CT'!$E$7=TH!H1832,OR(N1832="331",O1832="331")),"x","")</f>
        <v/>
      </c>
      <c r="Q1832" s="82" t="str">
        <f>IF(AND(B1832='111'!$L$11,OR($N1832=$Q$7,$O1832=$Q$7)),"x","")</f>
        <v/>
      </c>
      <c r="R1832" s="82" t="str">
        <f>IF(AND($N1832=$Q$7,$B1832&lt;'111'!$L$11),"x","")</f>
        <v/>
      </c>
      <c r="S1832" s="82" t="str">
        <f>IF(AND($O1832=$Q$7,$B1832&lt;'111'!$L$11),"x","")</f>
        <v>x</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2" ht="15.75" customHeight="1">
      <c r="A1833" s="334" t="str">
        <f>IF(B1833&lt;&gt;"",IF(AND(B1833='IN-TC'!$S$4,OR(TH!N1833="1111",TH!O1833="1111")),TH!D1833,""),"")</f>
        <v/>
      </c>
      <c r="B1833" s="63">
        <f t="shared" si="208"/>
        <v>5</v>
      </c>
      <c r="C1833" s="316">
        <f>E1833</f>
        <v>42510</v>
      </c>
      <c r="D1833" s="316" t="s">
        <v>877</v>
      </c>
      <c r="E1833" s="316">
        <v>42510</v>
      </c>
      <c r="F1833" s="72" t="s">
        <v>1011</v>
      </c>
      <c r="G1833" s="976" t="s">
        <v>1535</v>
      </c>
      <c r="H1833" s="318" t="s">
        <v>805</v>
      </c>
      <c r="I1833" s="437"/>
      <c r="J1833" s="437"/>
      <c r="K1833" s="428"/>
      <c r="L1833" s="437"/>
      <c r="M1833" s="65">
        <v>87158</v>
      </c>
      <c r="N1833" s="319" t="s">
        <v>9</v>
      </c>
      <c r="O1833" s="66" t="s">
        <v>63</v>
      </c>
      <c r="P1833" s="82" t="str">
        <f>IF(AND('331-CT'!$E$7=TH!H1833,OR(N1833="331",O1833="331")),"x","")</f>
        <v/>
      </c>
      <c r="Q1833" s="82" t="str">
        <f>IF(AND(B1833='111'!$L$11,OR($N1833=$Q$7,$O1833=$Q$7)),"x","")</f>
        <v/>
      </c>
      <c r="R1833" s="82" t="str">
        <f>IF(AND($N1833=$Q$7,$B1833&lt;'111'!$L$11),"x","")</f>
        <v/>
      </c>
      <c r="S1833" s="82" t="str">
        <f>IF(AND($O1833=$Q$7,$B1833&lt;'111'!$L$11),"x","")</f>
        <v>x</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x</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2" ht="15.75" customHeight="1">
      <c r="A1834" s="334" t="str">
        <f>IF(B1834&lt;&gt;"",IF(AND(B1834='IN-TC'!$S$4,OR(TH!N1557="1111",TH!O1557="1111")),TH!D1557,""),"")</f>
        <v/>
      </c>
      <c r="B1834" s="1148">
        <f t="shared" si="208"/>
        <v>5</v>
      </c>
      <c r="C1834" s="1149">
        <v>42513</v>
      </c>
      <c r="D1834" s="1149" t="s">
        <v>878</v>
      </c>
      <c r="E1834" s="1149">
        <f>C1834</f>
        <v>42513</v>
      </c>
      <c r="F1834" s="512" t="s">
        <v>960</v>
      </c>
      <c r="G1834" s="1151"/>
      <c r="H1834" s="1150" t="s">
        <v>959</v>
      </c>
      <c r="I1834" s="1152"/>
      <c r="J1834" s="1152"/>
      <c r="K1834" s="1153"/>
      <c r="L1834" s="1152"/>
      <c r="M1834" s="1154">
        <v>500000000</v>
      </c>
      <c r="N1834" s="1155" t="s">
        <v>272</v>
      </c>
      <c r="O1834" s="1155" t="s">
        <v>63</v>
      </c>
      <c r="P1834" s="1155" t="str">
        <f>IF(AND('331-CT'!$E$7=TH!H1557,OR(N1834="331",O1834="331")),"x","")</f>
        <v/>
      </c>
      <c r="Q1834" s="1155" t="str">
        <f>IF(AND(B1834='111'!$L$11,OR($N1834=$Q$7,$O1834=$Q$7)),"x","")</f>
        <v/>
      </c>
      <c r="R1834" s="1155" t="str">
        <f>IF(AND($N1834=$Q$7,$B1834&lt;'111'!$L$11),"x","")</f>
        <v/>
      </c>
      <c r="S1834" s="1155" t="str">
        <f>IF(AND($O1834=$Q$7,$B1834&lt;'111'!$L$11),"x","")</f>
        <v>x</v>
      </c>
      <c r="T1834" s="1155" t="str">
        <f>IF(ISERROR(FIND('112'!$M$9,G1834,1)),"",IF((AND(FIND('112'!$M$9,G1834,1)&gt;=1,B1834='112'!$K$9,OR($N1834='112'!$I$6,$O1834='112'!$I$6))),"x",""))</f>
        <v/>
      </c>
      <c r="U1834" s="1155" t="str">
        <f>IF(ISERROR(FIND('112'!$M$9,G1834,1)),"",IF((AND(LEFT(G1834,2)=LEFT('112'!$M$9,2),B1834&lt;'112'!$K$9,$N1834='112'!$I$6)),"x",""))</f>
        <v/>
      </c>
      <c r="V1834" s="1155" t="str">
        <f>IF(ISERROR(FIND('112'!$M$9,G1834,1)),"",IF((AND(RIGHT(G1834,2)=RIGHT('112'!$M$9,2),B1834&lt;'112'!$K$9,$O1834='112'!$I$6)),"x",""))</f>
        <v/>
      </c>
      <c r="W1834" s="1155" t="str">
        <f>IF(AND('341-CT'!$H$9=H1834,OR(LEFT(N1834,3)=$W$7,LEFT(O1834,3)=$W$7)),"x","")</f>
        <v/>
      </c>
      <c r="X1834" s="1155" t="str">
        <f>IF(OR(TH!N1557=TH!$X$7,O1834=TH!$X$7),"x","")</f>
        <v/>
      </c>
      <c r="Y1834" s="1155" t="str">
        <f>IF(AND(OR(N1834="131",O1834="131"),H1834='131-CT'!$H$9),"x","")</f>
        <v/>
      </c>
      <c r="Z1834" s="1155"/>
      <c r="AA1834" s="1155" t="str">
        <f>IF(AND(MONTH(E1834)='IN-NX'!$J$5,'IN-NX'!$D$7=D1834),"x","")</f>
        <v/>
      </c>
      <c r="AB1834" s="1155" t="str">
        <f>IF(AND(OR(LEFT(TH!N1557,2)="15",LEFT(TH!O1557,2)="15"),LEFT(TH!O1557,3)&lt;&gt;"111",'152-CT'!$J$8=TH!F1557),"x","")</f>
        <v/>
      </c>
      <c r="AC1834" s="1155" t="str">
        <f>IF(AND(OR(LEFT(TH!N1557,2)="15",LEFT(TH!O1557,2)="15"),TK!$E$7=TH!F1557),"x","")</f>
        <v/>
      </c>
      <c r="AD1834" s="1155" t="str">
        <f>IF(AND(N1834="1521",MONTH(C1834)='BK-NL'!$M$11),"x","")</f>
        <v/>
      </c>
      <c r="AE1834" s="1156"/>
      <c r="AF1834" s="1156"/>
    </row>
    <row r="1835" spans="1:32" ht="15.75" customHeight="1">
      <c r="A1835" s="334" t="str">
        <f>IF(B1835&lt;&gt;"",IF(AND(B1835='IN-TC'!$S$4,OR(TH!N1560="1111",TH!O1560="1111")),TH!D1560,""),"")</f>
        <v/>
      </c>
      <c r="B1835" s="1148">
        <f t="shared" si="208"/>
        <v>5</v>
      </c>
      <c r="C1835" s="1149">
        <v>42513</v>
      </c>
      <c r="D1835" s="1149" t="s">
        <v>879</v>
      </c>
      <c r="E1835" s="1149">
        <f>C1835</f>
        <v>42513</v>
      </c>
      <c r="F1835" s="512" t="s">
        <v>960</v>
      </c>
      <c r="G1835" s="1151"/>
      <c r="H1835" s="1150" t="s">
        <v>2239</v>
      </c>
      <c r="I1835" s="1152"/>
      <c r="J1835" s="1152"/>
      <c r="K1835" s="1153"/>
      <c r="L1835" s="1152"/>
      <c r="M1835" s="1154">
        <v>300000000</v>
      </c>
      <c r="N1835" s="1155" t="s">
        <v>272</v>
      </c>
      <c r="O1835" s="1155" t="s">
        <v>63</v>
      </c>
      <c r="P1835" s="1155" t="str">
        <f>IF(AND('331-CT'!$E$7=TH!H1560,OR(N1835="331",O1835="331")),"x","")</f>
        <v/>
      </c>
      <c r="Q1835" s="1155" t="str">
        <f>IF(AND(B1835='111'!$L$11,OR($N1835=$Q$7,$O1835=$Q$7)),"x","")</f>
        <v/>
      </c>
      <c r="R1835" s="1155" t="str">
        <f>IF(AND($N1835=$Q$7,$B1835&lt;'111'!$L$11),"x","")</f>
        <v/>
      </c>
      <c r="S1835" s="1155" t="str">
        <f>IF(AND($O1835=$Q$7,$B1835&lt;'111'!$L$11),"x","")</f>
        <v>x</v>
      </c>
      <c r="T1835" s="1155" t="str">
        <f>IF(ISERROR(FIND('112'!$M$9,G1835,1)),"",IF((AND(FIND('112'!$M$9,G1835,1)&gt;=1,B1835='112'!$K$9,OR($N1835='112'!$I$6,$O1835='112'!$I$6))),"x",""))</f>
        <v/>
      </c>
      <c r="U1835" s="1155" t="str">
        <f>IF(ISERROR(FIND('112'!$M$9,G1835,1)),"",IF((AND(LEFT(G1835,2)=LEFT('112'!$M$9,2),B1835&lt;'112'!$K$9,$N1835='112'!$I$6)),"x",""))</f>
        <v/>
      </c>
      <c r="V1835" s="1155" t="str">
        <f>IF(ISERROR(FIND('112'!$M$9,G1835,1)),"",IF((AND(RIGHT(G1835,2)=RIGHT('112'!$M$9,2),B1835&lt;'112'!$K$9,$O1835='112'!$I$6)),"x",""))</f>
        <v/>
      </c>
      <c r="W1835" s="1155" t="str">
        <f>IF(AND('341-CT'!$H$9=H1835,OR(LEFT(N1835,3)=$W$7,LEFT(O1835,3)=$W$7)),"x","")</f>
        <v/>
      </c>
      <c r="X1835" s="1155" t="str">
        <f>IF(OR(TH!N1560=TH!$X$7,O1835=TH!$X$7),"x","")</f>
        <v/>
      </c>
      <c r="Y1835" s="1155" t="str">
        <f>IF(AND(OR(N1835="131",O1835="131"),H1835='131-CT'!$H$9),"x","")</f>
        <v/>
      </c>
      <c r="Z1835" s="1155"/>
      <c r="AA1835" s="1155" t="str">
        <f>IF(AND(MONTH(E1835)='IN-NX'!$J$5,'IN-NX'!$D$7=D1835),"x","")</f>
        <v/>
      </c>
      <c r="AB1835" s="1155" t="str">
        <f>IF(AND(OR(LEFT(TH!N1560,2)="15",LEFT(TH!O1560,2)="15"),LEFT(TH!O1560,3)&lt;&gt;"111",'152-CT'!$J$8=TH!F1560),"x","")</f>
        <v/>
      </c>
      <c r="AC1835" s="1155" t="str">
        <f>IF(AND(OR(LEFT(TH!N1560,2)="15",LEFT(TH!O1560,2)="15"),TK!$E$7=TH!F1560),"x","")</f>
        <v/>
      </c>
      <c r="AD1835" s="1155" t="str">
        <f>IF(AND(N1835="1521",MONTH(C1835)='BK-NL'!$M$11),"x","")</f>
        <v/>
      </c>
      <c r="AE1835" s="1156"/>
      <c r="AF1835" s="1156"/>
    </row>
    <row r="1836" spans="1:32" ht="15.75" customHeight="1">
      <c r="A1836" s="334" t="str">
        <f>IF(B1836&lt;&gt;"",IF(AND(B1836='IN-TC'!$S$4,OR(TH!N1834="1111",TH!O1834="1111")),TH!D1834,""),"")</f>
        <v/>
      </c>
      <c r="B1836" s="63">
        <f t="shared" si="208"/>
        <v>5</v>
      </c>
      <c r="C1836" s="316">
        <f t="shared" ref="C1836:C1841" si="209">E1836</f>
        <v>42513</v>
      </c>
      <c r="D1836" s="316" t="s">
        <v>880</v>
      </c>
      <c r="E1836" s="316">
        <v>42513</v>
      </c>
      <c r="F1836" s="72" t="s">
        <v>635</v>
      </c>
      <c r="G1836" s="976" t="s">
        <v>1531</v>
      </c>
      <c r="H1836" s="317" t="s">
        <v>1528</v>
      </c>
      <c r="I1836" s="437"/>
      <c r="J1836" s="437"/>
      <c r="K1836" s="428"/>
      <c r="L1836" s="437"/>
      <c r="M1836" s="65">
        <v>480000</v>
      </c>
      <c r="N1836" s="319" t="s">
        <v>101</v>
      </c>
      <c r="O1836" s="66" t="s">
        <v>63</v>
      </c>
      <c r="P1836" s="82" t="str">
        <f>IF(AND('331-CT'!$E$7=TH!H1834,OR(N1836="331",O1836="331")),"x","")</f>
        <v/>
      </c>
      <c r="Q1836" s="82" t="str">
        <f>IF(AND(B1836='111'!$L$11,OR($N1836=$Q$7,$O1836=$Q$7)),"x","")</f>
        <v/>
      </c>
      <c r="R1836" s="82" t="str">
        <f>IF(AND($N1836=$Q$7,$B1836&lt;'111'!$L$11),"x","")</f>
        <v/>
      </c>
      <c r="S1836" s="82" t="str">
        <f>IF(AND($O1836=$Q$7,$B1836&lt;'111'!$L$11),"x","")</f>
        <v>x</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IF(OR(TH!N1834=TH!$X$7,O1836=TH!$X$7),"x","")</f>
        <v/>
      </c>
      <c r="Y1836" s="82" t="str">
        <f>IF(AND(OR(N1836="131",O1836="131"),H1836='131-CT'!$H$9),"x","")</f>
        <v/>
      </c>
      <c r="Z1836" s="82"/>
      <c r="AA1836" s="82" t="str">
        <f>IF(AND(MONTH(E1836)='IN-NX'!$J$5,'IN-NX'!$D$7=D1836),"x","")</f>
        <v/>
      </c>
      <c r="AB1836" s="82" t="str">
        <f>IF(AND(OR(LEFT(TH!N1834,2)="15",LEFT(TH!O1834,2)="15"),LEFT(TH!O1834,3)&lt;&gt;"111",'152-CT'!$J$8=TH!F1834),"x","")</f>
        <v/>
      </c>
      <c r="AC1836" s="82" t="str">
        <f>IF(AND(OR(LEFT(TH!N1834,2)="15",LEFT(TH!O1834,2)="15"),TK!$E$7=TH!F1834),"x","")</f>
        <v/>
      </c>
      <c r="AD1836" s="82" t="str">
        <f>IF(AND(N1836="1521",MONTH(C1836)='BK-NL'!$M$11),"x","")</f>
        <v/>
      </c>
    </row>
    <row r="1837" spans="1:32" ht="15.75" customHeight="1">
      <c r="A1837" s="334" t="str">
        <f>IF(B1837&lt;&gt;"",IF(AND(B1837='IN-TC'!$S$4,OR(TH!N1835="1111",TH!O1835="1111")),TH!D1835,""),"")</f>
        <v/>
      </c>
      <c r="B1837" s="63">
        <f t="shared" si="208"/>
        <v>5</v>
      </c>
      <c r="C1837" s="316">
        <f t="shared" si="209"/>
        <v>42513</v>
      </c>
      <c r="D1837" s="316" t="s">
        <v>880</v>
      </c>
      <c r="E1837" s="316">
        <v>42513</v>
      </c>
      <c r="F1837" s="72" t="s">
        <v>1529</v>
      </c>
      <c r="G1837" s="976" t="s">
        <v>1531</v>
      </c>
      <c r="H1837" s="317" t="s">
        <v>1528</v>
      </c>
      <c r="I1837" s="435"/>
      <c r="J1837" s="435"/>
      <c r="K1837" s="426"/>
      <c r="L1837" s="435"/>
      <c r="M1837" s="65">
        <v>24000</v>
      </c>
      <c r="N1837" s="319" t="s">
        <v>9</v>
      </c>
      <c r="O1837" s="66" t="s">
        <v>63</v>
      </c>
      <c r="P1837" s="82" t="str">
        <f>IF(AND('331-CT'!$E$7=TH!H1835,OR(N1837="331",O1837="331")),"x","")</f>
        <v/>
      </c>
      <c r="Q1837" s="82" t="str">
        <f>IF(AND(B1837='111'!$L$11,OR($N1837=$Q$7,$O1837=$Q$7)),"x","")</f>
        <v/>
      </c>
      <c r="R1837" s="82" t="str">
        <f>IF(AND($N1837=$Q$7,$B1837&lt;'111'!$L$11),"x","")</f>
        <v/>
      </c>
      <c r="S1837" s="82" t="str">
        <f>IF(AND($O1837=$Q$7,$B1837&lt;'111'!$L$11),"x","")</f>
        <v>x</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IF(OR(TH!N1835=TH!$X$7,O1837=TH!$X$7),"x","")</f>
        <v/>
      </c>
      <c r="Y1837" s="82" t="str">
        <f>IF(AND(OR(N1837="131",O1837="131"),H1837='131-CT'!$H$9),"x","")</f>
        <v/>
      </c>
      <c r="Z1837" s="82"/>
      <c r="AA1837" s="82" t="str">
        <f>IF(AND(MONTH(E1837)='IN-NX'!$J$5,'IN-NX'!$D$7=D1837),"x","")</f>
        <v/>
      </c>
      <c r="AB1837" s="82" t="str">
        <f>IF(AND(OR(LEFT(TH!N1835,2)="15",LEFT(TH!O1835,2)="15"),LEFT(TH!O1835,3)&lt;&gt;"111",'152-CT'!$J$8=TH!F1835),"x","")</f>
        <v/>
      </c>
      <c r="AC1837" s="82" t="str">
        <f>IF(AND(OR(LEFT(TH!N1835,2)="15",LEFT(TH!O1835,2)="15"),TK!$E$7=TH!F1835),"x","")</f>
        <v/>
      </c>
      <c r="AD1837" s="82" t="str">
        <f>IF(AND(N1837="1521",MONTH(C1837)='BK-NL'!$M$11),"x","")</f>
        <v/>
      </c>
    </row>
    <row r="1838" spans="1:32" ht="15.75" customHeight="1">
      <c r="A1838" s="334" t="str">
        <f>IF(B1838&lt;&gt;"",IF(AND(B1838='IN-TC'!$S$4,OR(TH!N1836="1111",TH!O1836="1111")),TH!D1836,""),"")</f>
        <v/>
      </c>
      <c r="B1838" s="63">
        <f t="shared" si="208"/>
        <v>5</v>
      </c>
      <c r="C1838" s="316">
        <f t="shared" si="209"/>
        <v>42513</v>
      </c>
      <c r="D1838" s="316" t="s">
        <v>881</v>
      </c>
      <c r="E1838" s="316">
        <v>42513</v>
      </c>
      <c r="F1838" s="72" t="s">
        <v>635</v>
      </c>
      <c r="G1838" s="976" t="s">
        <v>1532</v>
      </c>
      <c r="H1838" s="317" t="s">
        <v>1528</v>
      </c>
      <c r="I1838" s="437"/>
      <c r="J1838" s="437"/>
      <c r="K1838" s="428"/>
      <c r="L1838" s="437"/>
      <c r="M1838" s="65">
        <v>300000</v>
      </c>
      <c r="N1838" s="319" t="s">
        <v>101</v>
      </c>
      <c r="O1838" s="66" t="s">
        <v>63</v>
      </c>
      <c r="P1838" s="82" t="str">
        <f>IF(AND('331-CT'!$E$7=TH!H1836,OR(N1838="331",O1838="331")),"x","")</f>
        <v/>
      </c>
      <c r="Q1838" s="82" t="str">
        <f>IF(AND(B1838='111'!$L$11,OR($N1838=$Q$7,$O1838=$Q$7)),"x","")</f>
        <v/>
      </c>
      <c r="R1838" s="82" t="str">
        <f>IF(AND($N1838=$Q$7,$B1838&lt;'111'!$L$11),"x","")</f>
        <v/>
      </c>
      <c r="S1838" s="82" t="str">
        <f>IF(AND($O1838=$Q$7,$B1838&lt;'111'!$L$11),"x","")</f>
        <v>x</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IF(OR(TH!N1836=TH!$X$7,O1838=TH!$X$7),"x","")</f>
        <v/>
      </c>
      <c r="Y1838" s="82" t="str">
        <f>IF(AND(OR(N1838="131",O1838="131"),H1838='131-CT'!$H$9),"x","")</f>
        <v/>
      </c>
      <c r="Z1838" s="82"/>
      <c r="AA1838" s="82" t="str">
        <f>IF(AND(MONTH(E1838)='IN-NX'!$J$5,'IN-NX'!$D$7=D1838),"x","")</f>
        <v/>
      </c>
      <c r="AB1838" s="82" t="str">
        <f>IF(AND(OR(LEFT(TH!N1836,2)="15",LEFT(TH!O1836,2)="15"),LEFT(TH!O1836,3)&lt;&gt;"111",'152-CT'!$J$8=TH!F1836),"x","")</f>
        <v/>
      </c>
      <c r="AC1838" s="82" t="str">
        <f>IF(AND(OR(LEFT(TH!N1836,2)="15",LEFT(TH!O1836,2)="15"),TK!$E$7=TH!F1836),"x","")</f>
        <v/>
      </c>
      <c r="AD1838" s="82" t="str">
        <f>IF(AND(N1838="1521",MONTH(C1838)='BK-NL'!$M$11),"x","")</f>
        <v/>
      </c>
    </row>
    <row r="1839" spans="1:32" ht="15.75" customHeight="1">
      <c r="A1839" s="334" t="str">
        <f>IF(B1839&lt;&gt;"",IF(AND(B1839='IN-TC'!$S$4,OR(TH!N1837="1111",TH!O1837="1111")),TH!D1837,""),"")</f>
        <v/>
      </c>
      <c r="B1839" s="63">
        <f t="shared" si="208"/>
        <v>5</v>
      </c>
      <c r="C1839" s="316">
        <f t="shared" si="209"/>
        <v>42513</v>
      </c>
      <c r="D1839" s="316" t="s">
        <v>881</v>
      </c>
      <c r="E1839" s="316">
        <v>42513</v>
      </c>
      <c r="F1839" s="72" t="s">
        <v>1529</v>
      </c>
      <c r="G1839" s="976" t="s">
        <v>1532</v>
      </c>
      <c r="H1839" s="317" t="s">
        <v>1528</v>
      </c>
      <c r="I1839" s="435"/>
      <c r="J1839" s="435"/>
      <c r="K1839" s="426"/>
      <c r="L1839" s="435"/>
      <c r="M1839" s="65">
        <v>15000</v>
      </c>
      <c r="N1839" s="319" t="s">
        <v>9</v>
      </c>
      <c r="O1839" s="66" t="s">
        <v>63</v>
      </c>
      <c r="P1839" s="82" t="str">
        <f>IF(AND('331-CT'!$E$7=TH!H1837,OR(N1839="331",O1839="331")),"x","")</f>
        <v/>
      </c>
      <c r="Q1839" s="82" t="str">
        <f>IF(AND(B1839='111'!$L$11,OR($N1839=$Q$7,$O1839=$Q$7)),"x","")</f>
        <v/>
      </c>
      <c r="R1839" s="82" t="str">
        <f>IF(AND($N1839=$Q$7,$B1839&lt;'111'!$L$11),"x","")</f>
        <v/>
      </c>
      <c r="S1839" s="82" t="str">
        <f>IF(AND($O1839=$Q$7,$B1839&lt;'111'!$L$11),"x","")</f>
        <v>x</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IF(OR(TH!N1837=TH!$X$7,O1839=TH!$X$7),"x","")</f>
        <v>x</v>
      </c>
      <c r="Y1839" s="82" t="str">
        <f>IF(AND(OR(N1839="131",O1839="131"),H1839='131-CT'!$H$9),"x","")</f>
        <v/>
      </c>
      <c r="Z1839" s="82"/>
      <c r="AA1839" s="82" t="str">
        <f>IF(AND(MONTH(E1839)='IN-NX'!$J$5,'IN-NX'!$D$7=D1839),"x","")</f>
        <v/>
      </c>
      <c r="AB1839" s="82" t="str">
        <f>IF(AND(OR(LEFT(TH!N1837,2)="15",LEFT(TH!O1837,2)="15"),LEFT(TH!O1837,3)&lt;&gt;"111",'152-CT'!$J$8=TH!F1837),"x","")</f>
        <v/>
      </c>
      <c r="AC1839" s="82" t="str">
        <f>IF(AND(OR(LEFT(TH!N1837,2)="15",LEFT(TH!O1837,2)="15"),TK!$E$7=TH!F1837),"x","")</f>
        <v/>
      </c>
      <c r="AD1839" s="82" t="str">
        <f>IF(AND(N1839="1521",MONTH(C1839)='BK-NL'!$M$11),"x","")</f>
        <v/>
      </c>
    </row>
    <row r="1840" spans="1:32" ht="15.75" customHeight="1">
      <c r="A1840" s="334" t="str">
        <f>IF(B1840&lt;&gt;"",IF(AND(B1840='IN-TC'!$S$4,OR(TH!N1838="1111",TH!O1838="1111")),TH!D1838,""),"")</f>
        <v/>
      </c>
      <c r="B1840" s="63">
        <f t="shared" si="208"/>
        <v>5</v>
      </c>
      <c r="C1840" s="316">
        <f t="shared" si="209"/>
        <v>42514</v>
      </c>
      <c r="D1840" s="316" t="s">
        <v>882</v>
      </c>
      <c r="E1840" s="316">
        <v>42514</v>
      </c>
      <c r="F1840" s="72" t="s">
        <v>1010</v>
      </c>
      <c r="G1840" s="976" t="s">
        <v>1536</v>
      </c>
      <c r="H1840" s="318" t="s">
        <v>805</v>
      </c>
      <c r="I1840" s="437"/>
      <c r="J1840" s="437"/>
      <c r="K1840" s="428"/>
      <c r="L1840" s="437"/>
      <c r="M1840" s="65">
        <v>1310382</v>
      </c>
      <c r="N1840" s="319" t="s">
        <v>101</v>
      </c>
      <c r="O1840" s="66" t="s">
        <v>63</v>
      </c>
      <c r="P1840" s="82" t="str">
        <f>IF(AND('331-CT'!$E$7=TH!H1838,OR(N1840="331",O1840="331")),"x","")</f>
        <v/>
      </c>
      <c r="Q1840" s="82" t="str">
        <f>IF(AND(B1840='111'!$L$11,OR($N1840=$Q$7,$O1840=$Q$7)),"x","")</f>
        <v/>
      </c>
      <c r="R1840" s="82" t="str">
        <f>IF(AND($N1840=$Q$7,$B1840&lt;'111'!$L$11),"x","")</f>
        <v/>
      </c>
      <c r="S1840" s="82" t="str">
        <f>IF(AND($O1840=$Q$7,$B1840&lt;'111'!$L$11),"x","")</f>
        <v>x</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IF(OR(TH!N1838=TH!$X$7,O1840=TH!$X$7),"x","")</f>
        <v/>
      </c>
      <c r="Y1840" s="82" t="str">
        <f>IF(AND(OR(N1840="131",O1840="131"),H1840='131-CT'!$H$9),"x","")</f>
        <v/>
      </c>
      <c r="Z1840" s="82"/>
      <c r="AA1840" s="82" t="str">
        <f>IF(AND(MONTH(E1840)='IN-NX'!$J$5,'IN-NX'!$D$7=D1840),"x","")</f>
        <v/>
      </c>
      <c r="AB1840" s="82" t="str">
        <f>IF(AND(OR(LEFT(TH!N1838,2)="15",LEFT(TH!O1838,2)="15"),LEFT(TH!O1838,3)&lt;&gt;"111",'152-CT'!$J$8=TH!F1838),"x","")</f>
        <v/>
      </c>
      <c r="AC1840" s="82" t="str">
        <f>IF(AND(OR(LEFT(TH!N1838,2)="15",LEFT(TH!O1838,2)="15"),TK!$E$7=TH!F1838),"x","")</f>
        <v/>
      </c>
      <c r="AD1840" s="82" t="str">
        <f>IF(AND(N1840="1521",MONTH(C1840)='BK-NL'!$M$11),"x","")</f>
        <v/>
      </c>
    </row>
    <row r="1841" spans="1:30" ht="15.75" customHeight="1">
      <c r="A1841" s="334" t="str">
        <f>IF(B1841&lt;&gt;"",IF(AND(B1841='IN-TC'!$S$4,OR(TH!N1839="1111",TH!O1839="1111")),TH!D1839,""),"")</f>
        <v/>
      </c>
      <c r="B1841" s="63">
        <f t="shared" si="208"/>
        <v>5</v>
      </c>
      <c r="C1841" s="316">
        <f t="shared" si="209"/>
        <v>42514</v>
      </c>
      <c r="D1841" s="316" t="s">
        <v>882</v>
      </c>
      <c r="E1841" s="316">
        <v>42514</v>
      </c>
      <c r="F1841" s="72" t="s">
        <v>1011</v>
      </c>
      <c r="G1841" s="976" t="s">
        <v>1536</v>
      </c>
      <c r="H1841" s="318" t="s">
        <v>805</v>
      </c>
      <c r="I1841" s="437"/>
      <c r="J1841" s="437"/>
      <c r="K1841" s="428"/>
      <c r="L1841" s="437"/>
      <c r="M1841" s="65">
        <v>131038</v>
      </c>
      <c r="N1841" s="319" t="s">
        <v>9</v>
      </c>
      <c r="O1841" s="66" t="s">
        <v>63</v>
      </c>
      <c r="P1841" s="82" t="str">
        <f>IF(AND('331-CT'!$E$7=TH!H1839,OR(N1841="331",O1841="331")),"x","")</f>
        <v/>
      </c>
      <c r="Q1841" s="82" t="str">
        <f>IF(AND(B1841='111'!$L$11,OR($N1841=$Q$7,$O1841=$Q$7)),"x","")</f>
        <v/>
      </c>
      <c r="R1841" s="82" t="str">
        <f>IF(AND($N1841=$Q$7,$B1841&lt;'111'!$L$11),"x","")</f>
        <v/>
      </c>
      <c r="S1841" s="82" t="str">
        <f>IF(AND($O1841=$Q$7,$B1841&lt;'111'!$L$11),"x","")</f>
        <v>x</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IF(OR(TH!N1839=TH!$X$7,O1841=TH!$X$7),"x","")</f>
        <v>x</v>
      </c>
      <c r="Y1841" s="82" t="str">
        <f>IF(AND(OR(N1841="131",O1841="131"),H1841='131-CT'!$H$9),"x","")</f>
        <v/>
      </c>
      <c r="Z1841" s="82"/>
      <c r="AA1841" s="82" t="str">
        <f>IF(AND(MONTH(E1841)='IN-NX'!$J$5,'IN-NX'!$D$7=D1841),"x","")</f>
        <v/>
      </c>
      <c r="AB1841" s="82" t="str">
        <f>IF(AND(OR(LEFT(TH!N1839,2)="15",LEFT(TH!O1839,2)="15"),LEFT(TH!O1839,3)&lt;&gt;"111",'152-CT'!$J$8=TH!F1839),"x","")</f>
        <v/>
      </c>
      <c r="AC1841" s="82" t="str">
        <f>IF(AND(OR(LEFT(TH!N1839,2)="15",LEFT(TH!O1839,2)="15"),TK!$E$7=TH!F1839),"x","")</f>
        <v/>
      </c>
      <c r="AD1841" s="82" t="str">
        <f>IF(AND(N1841="1521",MONTH(C1841)='BK-NL'!$M$11),"x","")</f>
        <v/>
      </c>
    </row>
    <row r="1842" spans="1:30" ht="15.75" customHeight="1">
      <c r="A1842" s="334" t="str">
        <f>IF(B1842&lt;&gt;"",IF(AND(B1842='IN-TC'!$S$4,OR(TH!N1840="1111",TH!O1840="1111")),TH!D1840,""),"")</f>
        <v/>
      </c>
      <c r="B1842" s="63">
        <f t="shared" si="208"/>
        <v>5</v>
      </c>
      <c r="C1842" s="316">
        <v>42515</v>
      </c>
      <c r="D1842" s="316" t="s">
        <v>883</v>
      </c>
      <c r="E1842" s="316">
        <v>42515</v>
      </c>
      <c r="F1842" s="72" t="s">
        <v>1135</v>
      </c>
      <c r="G1842" s="976" t="s">
        <v>1477</v>
      </c>
      <c r="H1842" s="318" t="s">
        <v>1138</v>
      </c>
      <c r="I1842" s="437"/>
      <c r="J1842" s="437"/>
      <c r="K1842" s="428"/>
      <c r="L1842" s="437"/>
      <c r="M1842" s="65">
        <v>1526660</v>
      </c>
      <c r="N1842" s="319" t="s">
        <v>101</v>
      </c>
      <c r="O1842" s="66" t="s">
        <v>63</v>
      </c>
      <c r="P1842" s="82" t="str">
        <f>IF(AND('331-CT'!$E$7=TH!H1840,OR(N1842="331",O1842="331")),"x","")</f>
        <v/>
      </c>
      <c r="Q1842" s="82" t="str">
        <f>IF(AND(B1842='111'!$L$11,OR($N1842=$Q$7,$O1842=$Q$7)),"x","")</f>
        <v/>
      </c>
      <c r="R1842" s="82" t="str">
        <f>IF(AND($N1842=$Q$7,$B1842&lt;'111'!$L$11),"x","")</f>
        <v/>
      </c>
      <c r="S1842" s="82" t="str">
        <f>IF(AND($O1842=$Q$7,$B1842&lt;'111'!$L$11),"x","")</f>
        <v>x</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IF(OR(TH!N1840=TH!$X$7,O1842=TH!$X$7),"x","")</f>
        <v/>
      </c>
      <c r="Y1842" s="82" t="str">
        <f>IF(AND(OR(N1842="131",O1842="131"),H1842='131-CT'!$H$9),"x","")</f>
        <v/>
      </c>
      <c r="Z1842" s="82"/>
      <c r="AA1842" s="82" t="str">
        <f>IF(AND(MONTH(E1842)='IN-NX'!$J$5,'IN-NX'!$D$7=D1842),"x","")</f>
        <v/>
      </c>
      <c r="AB1842" s="82" t="str">
        <f>IF(AND(OR(LEFT(TH!N1840,2)="15",LEFT(TH!O1840,2)="15"),LEFT(TH!O1840,3)&lt;&gt;"111",'152-CT'!$J$8=TH!F1840),"x","")</f>
        <v/>
      </c>
      <c r="AC1842" s="82" t="str">
        <f>IF(AND(OR(LEFT(TH!N1840,2)="15",LEFT(TH!O1840,2)="15"),TK!$E$7=TH!F1840),"x","")</f>
        <v/>
      </c>
      <c r="AD1842" s="82" t="str">
        <f>IF(AND(N1842="1521",MONTH(C1842)='BK-NL'!$M$11),"x","")</f>
        <v/>
      </c>
    </row>
    <row r="1843" spans="1:30" ht="15.75" customHeight="1">
      <c r="A1843" s="334" t="str">
        <f>IF(B1843&lt;&gt;"",IF(AND(B1843='IN-TC'!$S$4,OR(TH!N1841="1111",TH!O1841="1111")),TH!D1841,""),"")</f>
        <v/>
      </c>
      <c r="B1843" s="63">
        <f t="shared" si="208"/>
        <v>5</v>
      </c>
      <c r="C1843" s="316">
        <v>42515</v>
      </c>
      <c r="D1843" s="316" t="s">
        <v>883</v>
      </c>
      <c r="E1843" s="316">
        <v>42515</v>
      </c>
      <c r="F1843" s="72" t="s">
        <v>1136</v>
      </c>
      <c r="G1843" s="976" t="s">
        <v>1477</v>
      </c>
      <c r="H1843" s="318" t="s">
        <v>1138</v>
      </c>
      <c r="I1843" s="437"/>
      <c r="J1843" s="437"/>
      <c r="K1843" s="428"/>
      <c r="L1843" s="437"/>
      <c r="M1843" s="65">
        <v>152666</v>
      </c>
      <c r="N1843" s="319" t="s">
        <v>9</v>
      </c>
      <c r="O1843" s="66" t="s">
        <v>63</v>
      </c>
      <c r="P1843" s="82" t="str">
        <f>IF(AND('331-CT'!$E$7=TH!H1841,OR(N1843="331",O1843="331")),"x","")</f>
        <v/>
      </c>
      <c r="Q1843" s="82" t="str">
        <f>IF(AND(B1843='111'!$L$11,OR($N1843=$Q$7,$O1843=$Q$7)),"x","")</f>
        <v/>
      </c>
      <c r="R1843" s="82" t="str">
        <f>IF(AND($N1843=$Q$7,$B1843&lt;'111'!$L$11),"x","")</f>
        <v/>
      </c>
      <c r="S1843" s="82" t="str">
        <f>IF(AND($O1843=$Q$7,$B1843&lt;'111'!$L$11),"x","")</f>
        <v>x</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IF(OR(TH!N1841=TH!$X$7,O1843=TH!$X$7),"x","")</f>
        <v>x</v>
      </c>
      <c r="Y1843" s="82" t="str">
        <f>IF(AND(OR(N1843="131",O1843="131"),H1843='131-CT'!$H$9),"x","")</f>
        <v/>
      </c>
      <c r="Z1843" s="82"/>
      <c r="AA1843" s="82" t="str">
        <f>IF(AND(MONTH(E1843)='IN-NX'!$J$5,'IN-NX'!$D$7=D1843),"x","")</f>
        <v/>
      </c>
      <c r="AB1843" s="82" t="str">
        <f>IF(AND(OR(LEFT(TH!N1841,2)="15",LEFT(TH!O1841,2)="15"),LEFT(TH!O1841,3)&lt;&gt;"111",'152-CT'!$J$8=TH!F1841),"x","")</f>
        <v/>
      </c>
      <c r="AC1843" s="82" t="str">
        <f>IF(AND(OR(LEFT(TH!N1841,2)="15",LEFT(TH!O1841,2)="15"),TK!$E$7=TH!F1841),"x","")</f>
        <v/>
      </c>
      <c r="AD1843" s="82" t="str">
        <f>IF(AND(N1843="1521",MONTH(C1843)='BK-NL'!$M$11),"x","")</f>
        <v/>
      </c>
    </row>
    <row r="1844" spans="1:30" ht="15.75" customHeight="1">
      <c r="A1844" s="334" t="str">
        <f>IF(B1844&lt;&gt;"",IF(AND(B1844='IN-TC'!$S$4,OR(TH!N1842="1111",TH!O1842="1111")),TH!D1842,""),"")</f>
        <v/>
      </c>
      <c r="B1844" s="63">
        <f t="shared" si="208"/>
        <v>5</v>
      </c>
      <c r="C1844" s="316">
        <f>E1844</f>
        <v>42516</v>
      </c>
      <c r="D1844" s="316" t="s">
        <v>884</v>
      </c>
      <c r="E1844" s="316">
        <v>42516</v>
      </c>
      <c r="F1844" s="72" t="s">
        <v>1524</v>
      </c>
      <c r="G1844" s="976" t="s">
        <v>1526</v>
      </c>
      <c r="H1844" s="318" t="s">
        <v>1527</v>
      </c>
      <c r="I1844" s="437"/>
      <c r="J1844" s="437"/>
      <c r="K1844" s="428"/>
      <c r="L1844" s="437"/>
      <c r="M1844" s="65">
        <v>462727</v>
      </c>
      <c r="N1844" s="319" t="s">
        <v>101</v>
      </c>
      <c r="O1844" s="66" t="s">
        <v>63</v>
      </c>
      <c r="P1844" s="82" t="str">
        <f>IF(AND('331-CT'!$E$7=TH!H1842,OR(N1844="331",O1844="331")),"x","")</f>
        <v/>
      </c>
      <c r="Q1844" s="82" t="str">
        <f>IF(AND(B1844='111'!$L$11,OR($N1844=$Q$7,$O1844=$Q$7)),"x","")</f>
        <v/>
      </c>
      <c r="R1844" s="82" t="str">
        <f>IF(AND($N1844=$Q$7,$B1844&lt;'111'!$L$11),"x","")</f>
        <v/>
      </c>
      <c r="S1844" s="82" t="str">
        <f>IF(AND($O1844=$Q$7,$B1844&lt;'111'!$L$11),"x","")</f>
        <v>x</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IF(OR(TH!N1842=TH!$X$7,O1844=TH!$X$7),"x","")</f>
        <v/>
      </c>
      <c r="Y1844" s="82" t="str">
        <f>IF(AND(OR(N1844="131",O1844="131"),H1844='131-CT'!$H$9),"x","")</f>
        <v/>
      </c>
      <c r="Z1844" s="82"/>
      <c r="AA1844" s="82" t="str">
        <f>IF(AND(MONTH(E1844)='IN-NX'!$J$5,'IN-NX'!$D$7=D1844),"x","")</f>
        <v/>
      </c>
      <c r="AB1844" s="82" t="str">
        <f>IF(AND(OR(LEFT(TH!N1842,2)="15",LEFT(TH!O1842,2)="15"),LEFT(TH!O1842,3)&lt;&gt;"111",'152-CT'!$J$8=TH!F1842),"x","")</f>
        <v/>
      </c>
      <c r="AC1844" s="82" t="str">
        <f>IF(AND(OR(LEFT(TH!N1842,2)="15",LEFT(TH!O1842,2)="15"),TK!$E$7=TH!F1842),"x","")</f>
        <v/>
      </c>
      <c r="AD1844" s="82" t="str">
        <f>IF(AND(N1844="1521",MONTH(C1844)='BK-NL'!$M$11),"x","")</f>
        <v/>
      </c>
    </row>
    <row r="1845" spans="1:30" ht="15.75" customHeight="1">
      <c r="A1845" s="334" t="str">
        <f>IF(B1845&lt;&gt;"",IF(AND(B1845='IN-TC'!$S$4,OR(TH!N1843="1111",TH!O1843="1111")),TH!D1843,""),"")</f>
        <v/>
      </c>
      <c r="B1845" s="63">
        <f t="shared" si="208"/>
        <v>5</v>
      </c>
      <c r="C1845" s="316">
        <f>E1845</f>
        <v>42516</v>
      </c>
      <c r="D1845" s="316" t="s">
        <v>884</v>
      </c>
      <c r="E1845" s="316">
        <v>42516</v>
      </c>
      <c r="F1845" s="72" t="s">
        <v>1525</v>
      </c>
      <c r="G1845" s="976" t="s">
        <v>1526</v>
      </c>
      <c r="H1845" s="318" t="s">
        <v>1527</v>
      </c>
      <c r="I1845" s="437"/>
      <c r="J1845" s="437"/>
      <c r="K1845" s="428"/>
      <c r="L1845" s="437"/>
      <c r="M1845" s="65">
        <v>46273</v>
      </c>
      <c r="N1845" s="319" t="s">
        <v>9</v>
      </c>
      <c r="O1845" s="66" t="s">
        <v>63</v>
      </c>
      <c r="P1845" s="82" t="str">
        <f>IF(AND('331-CT'!$E$7=TH!H1843,OR(N1845="331",O1845="331")),"x","")</f>
        <v/>
      </c>
      <c r="Q1845" s="82" t="str">
        <f>IF(AND(B1845='111'!$L$11,OR($N1845=$Q$7,$O1845=$Q$7)),"x","")</f>
        <v/>
      </c>
      <c r="R1845" s="82" t="str">
        <f>IF(AND($N1845=$Q$7,$B1845&lt;'111'!$L$11),"x","")</f>
        <v/>
      </c>
      <c r="S1845" s="82" t="str">
        <f>IF(AND($O1845=$Q$7,$B1845&lt;'111'!$L$11),"x","")</f>
        <v>x</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IF(OR(TH!N1843=TH!$X$7,O1845=TH!$X$7),"x","")</f>
        <v>x</v>
      </c>
      <c r="Y1845" s="82" t="str">
        <f>IF(AND(OR(N1845="131",O1845="131"),H1845='131-CT'!$H$9),"x","")</f>
        <v/>
      </c>
      <c r="Z1845" s="82"/>
      <c r="AA1845" s="82" t="str">
        <f>IF(AND(MONTH(E1845)='IN-NX'!$J$5,'IN-NX'!$D$7=D1845),"x","")</f>
        <v/>
      </c>
      <c r="AB1845" s="82" t="str">
        <f>IF(AND(OR(LEFT(TH!N1843,2)="15",LEFT(TH!O1843,2)="15"),LEFT(TH!O1843,3)&lt;&gt;"111",'152-CT'!$J$8=TH!F1843),"x","")</f>
        <v/>
      </c>
      <c r="AC1845" s="82" t="str">
        <f>IF(AND(OR(LEFT(TH!N1843,2)="15",LEFT(TH!O1843,2)="15"),TK!$E$7=TH!F1843),"x","")</f>
        <v/>
      </c>
      <c r="AD1845" s="82" t="str">
        <f>IF(AND(N1845="1521",MONTH(C1845)='BK-NL'!$M$11),"x","")</f>
        <v/>
      </c>
    </row>
    <row r="1846" spans="1:30" ht="15.75" customHeight="1">
      <c r="A1846" s="334" t="str">
        <f>IF(B1846&lt;&gt;"",IF(AND(B1846='IN-TC'!$S$4,OR(TH!N1844="1111",TH!O1844="1111")),TH!D1844,""),"")</f>
        <v/>
      </c>
      <c r="B1846" s="63">
        <f t="shared" si="208"/>
        <v>5</v>
      </c>
      <c r="C1846" s="316">
        <v>42517</v>
      </c>
      <c r="D1846" s="316" t="s">
        <v>885</v>
      </c>
      <c r="E1846" s="316">
        <v>42517</v>
      </c>
      <c r="F1846" s="72" t="s">
        <v>1481</v>
      </c>
      <c r="G1846" s="976" t="s">
        <v>1484</v>
      </c>
      <c r="H1846" s="318" t="s">
        <v>836</v>
      </c>
      <c r="I1846" s="437"/>
      <c r="J1846" s="437"/>
      <c r="K1846" s="428"/>
      <c r="L1846" s="437"/>
      <c r="M1846" s="65">
        <v>16050000</v>
      </c>
      <c r="N1846" s="319" t="s">
        <v>101</v>
      </c>
      <c r="O1846" s="66" t="s">
        <v>63</v>
      </c>
      <c r="P1846" s="82" t="str">
        <f>IF(AND('331-CT'!$E$7=TH!H1844,OR(N1846="331",O1846="331")),"x","")</f>
        <v/>
      </c>
      <c r="Q1846" s="82" t="str">
        <f>IF(AND(B1846='111'!$L$11,OR($N1846=$Q$7,$O1846=$Q$7)),"x","")</f>
        <v/>
      </c>
      <c r="R1846" s="82" t="str">
        <f>IF(AND($N1846=$Q$7,$B1846&lt;'111'!$L$11),"x","")</f>
        <v/>
      </c>
      <c r="S1846" s="82" t="str">
        <f>IF(AND($O1846=$Q$7,$B1846&lt;'111'!$L$11),"x","")</f>
        <v>x</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IF(OR(TH!N1844=TH!$X$7,O1846=TH!$X$7),"x","")</f>
        <v/>
      </c>
      <c r="Y1846" s="82" t="str">
        <f>IF(AND(OR(N1846="131",O1846="131"),H1846='131-CT'!$H$9),"x","")</f>
        <v/>
      </c>
      <c r="Z1846" s="82"/>
      <c r="AA1846" s="82" t="str">
        <f>IF(AND(MONTH(E1846)='IN-NX'!$J$5,'IN-NX'!$D$7=D1846),"x","")</f>
        <v/>
      </c>
      <c r="AB1846" s="82" t="str">
        <f>IF(AND(OR(LEFT(TH!N1844,2)="15",LEFT(TH!O1844,2)="15"),LEFT(TH!O1844,3)&lt;&gt;"111",'152-CT'!$J$8=TH!F1844),"x","")</f>
        <v/>
      </c>
      <c r="AC1846" s="82" t="str">
        <f>IF(AND(OR(LEFT(TH!N1844,2)="15",LEFT(TH!O1844,2)="15"),TK!$E$7=TH!F1844),"x","")</f>
        <v/>
      </c>
      <c r="AD1846" s="82" t="str">
        <f>IF(AND(N1846="1521",MONTH(C1846)='BK-NL'!$M$11),"x","")</f>
        <v/>
      </c>
    </row>
    <row r="1847" spans="1:30" ht="15.75" customHeight="1">
      <c r="A1847" s="334" t="str">
        <f>IF(B1847&lt;&gt;"",IF(AND(B1847='IN-TC'!$S$4,OR(TH!N1845="1111",TH!O1845="1111")),TH!D1845,""),"")</f>
        <v/>
      </c>
      <c r="B1847" s="63">
        <f t="shared" si="208"/>
        <v>5</v>
      </c>
      <c r="C1847" s="316">
        <v>42517</v>
      </c>
      <c r="D1847" s="316" t="s">
        <v>885</v>
      </c>
      <c r="E1847" s="316">
        <v>42517</v>
      </c>
      <c r="F1847" s="72" t="s">
        <v>1482</v>
      </c>
      <c r="G1847" s="976" t="s">
        <v>1484</v>
      </c>
      <c r="H1847" s="318" t="s">
        <v>836</v>
      </c>
      <c r="I1847" s="437"/>
      <c r="J1847" s="437"/>
      <c r="K1847" s="428"/>
      <c r="L1847" s="437"/>
      <c r="M1847" s="65">
        <v>1605000</v>
      </c>
      <c r="N1847" s="319" t="s">
        <v>9</v>
      </c>
      <c r="O1847" s="66" t="s">
        <v>63</v>
      </c>
      <c r="P1847" s="82" t="str">
        <f>IF(AND('331-CT'!$E$7=TH!H1845,OR(N1847="331",O1847="331")),"x","")</f>
        <v/>
      </c>
      <c r="Q1847" s="82" t="str">
        <f>IF(AND(B1847='111'!$L$11,OR($N1847=$Q$7,$O1847=$Q$7)),"x","")</f>
        <v/>
      </c>
      <c r="R1847" s="82" t="str">
        <f>IF(AND($N1847=$Q$7,$B1847&lt;'111'!$L$11),"x","")</f>
        <v/>
      </c>
      <c r="S1847" s="82" t="str">
        <f>IF(AND($O1847=$Q$7,$B1847&lt;'111'!$L$11),"x","")</f>
        <v>x</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IF(OR(TH!N1845=TH!$X$7,O1847=TH!$X$7),"x","")</f>
        <v>x</v>
      </c>
      <c r="Y1847" s="82" t="str">
        <f>IF(AND(OR(N1847="131",O1847="131"),H1847='131-CT'!$H$9),"x","")</f>
        <v/>
      </c>
      <c r="Z1847" s="82"/>
      <c r="AA1847" s="82" t="str">
        <f>IF(AND(MONTH(E1847)='IN-NX'!$J$5,'IN-NX'!$D$7=D1847),"x","")</f>
        <v/>
      </c>
      <c r="AB1847" s="82" t="str">
        <f>IF(AND(OR(LEFT(TH!N1845,2)="15",LEFT(TH!O1845,2)="15"),LEFT(TH!O1845,3)&lt;&gt;"111",'152-CT'!$J$8=TH!F1845),"x","")</f>
        <v/>
      </c>
      <c r="AC1847" s="82" t="str">
        <f>IF(AND(OR(LEFT(TH!N1845,2)="15",LEFT(TH!O1845,2)="15"),TK!$E$7=TH!F1845),"x","")</f>
        <v/>
      </c>
      <c r="AD1847" s="82" t="str">
        <f>IF(AND(N1847="1521",MONTH(C1847)='BK-NL'!$M$11),"x","")</f>
        <v/>
      </c>
    </row>
    <row r="1848" spans="1:30" ht="15.75" customHeight="1">
      <c r="A1848" s="334" t="str">
        <f>IF(B1848&lt;&gt;"",IF(AND(B1848='IN-TC'!$S$4,OR(TH!N1846="1111",TH!O1846="1111")),TH!D1846,""),"")</f>
        <v/>
      </c>
      <c r="B1848" s="63">
        <f t="shared" si="208"/>
        <v>5</v>
      </c>
      <c r="C1848" s="316">
        <f t="shared" ref="C1848:C1855" si="210">E1848</f>
        <v>42519</v>
      </c>
      <c r="D1848" s="316" t="s">
        <v>886</v>
      </c>
      <c r="E1848" s="316">
        <v>42519</v>
      </c>
      <c r="F1848" s="72" t="s">
        <v>1010</v>
      </c>
      <c r="G1848" s="976" t="s">
        <v>1537</v>
      </c>
      <c r="H1848" s="318" t="s">
        <v>805</v>
      </c>
      <c r="I1848" s="437"/>
      <c r="J1848" s="437"/>
      <c r="K1848" s="428"/>
      <c r="L1848" s="437"/>
      <c r="M1848" s="65">
        <v>1591927</v>
      </c>
      <c r="N1848" s="319" t="s">
        <v>101</v>
      </c>
      <c r="O1848" s="66" t="s">
        <v>63</v>
      </c>
      <c r="P1848" s="82" t="str">
        <f>IF(AND('331-CT'!$E$7=TH!H1846,OR(N1848="331",O1848="331")),"x","")</f>
        <v/>
      </c>
      <c r="Q1848" s="82" t="str">
        <f>IF(AND(B1848='111'!$L$11,OR($N1848=$Q$7,$O1848=$Q$7)),"x","")</f>
        <v/>
      </c>
      <c r="R1848" s="82" t="str">
        <f>IF(AND($N1848=$Q$7,$B1848&lt;'111'!$L$11),"x","")</f>
        <v/>
      </c>
      <c r="S1848" s="82" t="str">
        <f>IF(AND($O1848=$Q$7,$B1848&lt;'111'!$L$11),"x","")</f>
        <v>x</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IF(OR(TH!N1846=TH!$X$7,O1848=TH!$X$7),"x","")</f>
        <v/>
      </c>
      <c r="Y1848" s="82" t="str">
        <f>IF(AND(OR(N1848="131",O1848="131"),H1848='131-CT'!$H$9),"x","")</f>
        <v/>
      </c>
      <c r="Z1848" s="82"/>
      <c r="AA1848" s="82" t="str">
        <f>IF(AND(MONTH(E1848)='IN-NX'!$J$5,'IN-NX'!$D$7=D1848),"x","")</f>
        <v/>
      </c>
      <c r="AB1848" s="82" t="str">
        <f>IF(AND(OR(LEFT(TH!N1846,2)="15",LEFT(TH!O1846,2)="15"),LEFT(TH!O1846,3)&lt;&gt;"111",'152-CT'!$J$8=TH!F1846),"x","")</f>
        <v/>
      </c>
      <c r="AC1848" s="82" t="str">
        <f>IF(AND(OR(LEFT(TH!N1846,2)="15",LEFT(TH!O1846,2)="15"),TK!$E$7=TH!F1846),"x","")</f>
        <v/>
      </c>
      <c r="AD1848" s="82" t="str">
        <f>IF(AND(N1848="1521",MONTH(C1848)='BK-NL'!$M$11),"x","")</f>
        <v/>
      </c>
    </row>
    <row r="1849" spans="1:30" ht="15.75" customHeight="1">
      <c r="A1849" s="334" t="str">
        <f>IF(B1849&lt;&gt;"",IF(AND(B1849='IN-TC'!$S$4,OR(TH!N1847="1111",TH!O1847="1111")),TH!D1847,""),"")</f>
        <v/>
      </c>
      <c r="B1849" s="63">
        <f t="shared" si="208"/>
        <v>5</v>
      </c>
      <c r="C1849" s="316">
        <f t="shared" si="210"/>
        <v>42519</v>
      </c>
      <c r="D1849" s="316" t="s">
        <v>886</v>
      </c>
      <c r="E1849" s="316">
        <v>42519</v>
      </c>
      <c r="F1849" s="72" t="s">
        <v>1011</v>
      </c>
      <c r="G1849" s="976" t="s">
        <v>1537</v>
      </c>
      <c r="H1849" s="318" t="s">
        <v>805</v>
      </c>
      <c r="I1849" s="437"/>
      <c r="J1849" s="437"/>
      <c r="K1849" s="428"/>
      <c r="L1849" s="437"/>
      <c r="M1849" s="65">
        <v>159193</v>
      </c>
      <c r="N1849" s="319" t="s">
        <v>9</v>
      </c>
      <c r="O1849" s="66" t="s">
        <v>63</v>
      </c>
      <c r="P1849" s="82" t="str">
        <f>IF(AND('331-CT'!$E$7=TH!H1847,OR(N1849="331",O1849="331")),"x","")</f>
        <v/>
      </c>
      <c r="Q1849" s="82" t="str">
        <f>IF(AND(B1849='111'!$L$11,OR($N1849=$Q$7,$O1849=$Q$7)),"x","")</f>
        <v/>
      </c>
      <c r="R1849" s="82" t="str">
        <f>IF(AND($N1849=$Q$7,$B1849&lt;'111'!$L$11),"x","")</f>
        <v/>
      </c>
      <c r="S1849" s="82" t="str">
        <f>IF(AND($O1849=$Q$7,$B1849&lt;'111'!$L$11),"x","")</f>
        <v>x</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IF(OR(TH!N1847=TH!$X$7,O1849=TH!$X$7),"x","")</f>
        <v>x</v>
      </c>
      <c r="Y1849" s="82" t="str">
        <f>IF(AND(OR(N1849="131",O1849="131"),H1849='131-CT'!$H$9),"x","")</f>
        <v/>
      </c>
      <c r="Z1849" s="82"/>
      <c r="AA1849" s="82" t="str">
        <f>IF(AND(MONTH(E1849)='IN-NX'!$J$5,'IN-NX'!$D$7=D1849),"x","")</f>
        <v/>
      </c>
      <c r="AB1849" s="82" t="str">
        <f>IF(AND(OR(LEFT(TH!N1847,2)="15",LEFT(TH!O1847,2)="15"),LEFT(TH!O1847,3)&lt;&gt;"111",'152-CT'!$J$8=TH!F1847),"x","")</f>
        <v/>
      </c>
      <c r="AC1849" s="82" t="str">
        <f>IF(AND(OR(LEFT(TH!N1847,2)="15",LEFT(TH!O1847,2)="15"),TK!$E$7=TH!F1847),"x","")</f>
        <v/>
      </c>
      <c r="AD1849" s="82" t="str">
        <f>IF(AND(N1849="1521",MONTH(C1849)='BK-NL'!$M$11),"x","")</f>
        <v/>
      </c>
    </row>
    <row r="1850" spans="1:30" ht="15.75" customHeight="1">
      <c r="A1850" s="334" t="str">
        <f>IF(B1850&lt;&gt;"",IF(AND(B1850='IN-TC'!$S$4,OR(TH!N1848="1111",TH!O1848="1111")),TH!D1848,""),"")</f>
        <v/>
      </c>
      <c r="B1850" s="63">
        <f t="shared" si="208"/>
        <v>5</v>
      </c>
      <c r="C1850" s="316">
        <f t="shared" si="210"/>
        <v>42520</v>
      </c>
      <c r="D1850" s="316" t="s">
        <v>887</v>
      </c>
      <c r="E1850" s="316">
        <v>42520</v>
      </c>
      <c r="F1850" s="72" t="s">
        <v>635</v>
      </c>
      <c r="G1850" s="976" t="s">
        <v>1530</v>
      </c>
      <c r="H1850" s="317" t="s">
        <v>1528</v>
      </c>
      <c r="I1850" s="437"/>
      <c r="J1850" s="437"/>
      <c r="K1850" s="428"/>
      <c r="L1850" s="437"/>
      <c r="M1850" s="65">
        <v>5040000</v>
      </c>
      <c r="N1850" s="319" t="s">
        <v>101</v>
      </c>
      <c r="O1850" s="66" t="s">
        <v>63</v>
      </c>
      <c r="P1850" s="82" t="str">
        <f>IF(AND('331-CT'!$E$7=TH!H1848,OR(N1850="331",O1850="331")),"x","")</f>
        <v/>
      </c>
      <c r="Q1850" s="82" t="str">
        <f>IF(AND(B1850='111'!$L$11,OR($N1850=$Q$7,$O1850=$Q$7)),"x","")</f>
        <v/>
      </c>
      <c r="R1850" s="82" t="str">
        <f>IF(AND($N1850=$Q$7,$B1850&lt;'111'!$L$11),"x","")</f>
        <v/>
      </c>
      <c r="S1850" s="82" t="str">
        <f>IF(AND($O1850=$Q$7,$B1850&lt;'111'!$L$11),"x","")</f>
        <v>x</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IF(OR(TH!N1848=TH!$X$7,O1850=TH!$X$7),"x","")</f>
        <v/>
      </c>
      <c r="Y1850" s="82" t="str">
        <f>IF(AND(OR(N1850="131",O1850="131"),H1850='131-CT'!$H$9),"x","")</f>
        <v/>
      </c>
      <c r="Z1850" s="82"/>
      <c r="AA1850" s="82" t="str">
        <f>IF(AND(MONTH(E1850)='IN-NX'!$J$5,'IN-NX'!$D$7=D1850),"x","")</f>
        <v/>
      </c>
      <c r="AB1850" s="82" t="str">
        <f>IF(AND(OR(LEFT(TH!N1848,2)="15",LEFT(TH!O1848,2)="15"),LEFT(TH!O1848,3)&lt;&gt;"111",'152-CT'!$J$8=TH!F1848),"x","")</f>
        <v/>
      </c>
      <c r="AC1850" s="82" t="str">
        <f>IF(AND(OR(LEFT(TH!N1848,2)="15",LEFT(TH!O1848,2)="15"),TK!$E$7=TH!F1848),"x","")</f>
        <v/>
      </c>
      <c r="AD1850" s="82" t="str">
        <f>IF(AND(N1850="1521",MONTH(C1850)='BK-NL'!$M$11),"x","")</f>
        <v/>
      </c>
    </row>
    <row r="1851" spans="1:30" ht="15.75" customHeight="1">
      <c r="A1851" s="334" t="str">
        <f>IF(B1851&lt;&gt;"",IF(AND(B1851='IN-TC'!$S$4,OR(TH!N1849="1111",TH!O1849="1111")),TH!D1849,""),"")</f>
        <v/>
      </c>
      <c r="B1851" s="63">
        <f t="shared" si="208"/>
        <v>5</v>
      </c>
      <c r="C1851" s="316">
        <f t="shared" si="210"/>
        <v>42520</v>
      </c>
      <c r="D1851" s="316" t="s">
        <v>887</v>
      </c>
      <c r="E1851" s="316">
        <v>42520</v>
      </c>
      <c r="F1851" s="72" t="s">
        <v>1529</v>
      </c>
      <c r="G1851" s="976" t="s">
        <v>1530</v>
      </c>
      <c r="H1851" s="317" t="s">
        <v>1528</v>
      </c>
      <c r="I1851" s="435"/>
      <c r="J1851" s="435"/>
      <c r="K1851" s="426"/>
      <c r="L1851" s="435"/>
      <c r="M1851" s="65">
        <v>252000</v>
      </c>
      <c r="N1851" s="319" t="s">
        <v>9</v>
      </c>
      <c r="O1851" s="66" t="s">
        <v>63</v>
      </c>
      <c r="P1851" s="82" t="str">
        <f>IF(AND('331-CT'!$E$7=TH!H1849,OR(N1851="331",O1851="331")),"x","")</f>
        <v/>
      </c>
      <c r="Q1851" s="82" t="str">
        <f>IF(AND(B1851='111'!$L$11,OR($N1851=$Q$7,$O1851=$Q$7)),"x","")</f>
        <v/>
      </c>
      <c r="R1851" s="82" t="str">
        <f>IF(AND($N1851=$Q$7,$B1851&lt;'111'!$L$11),"x","")</f>
        <v/>
      </c>
      <c r="S1851" s="82" t="str">
        <f>IF(AND($O1851=$Q$7,$B1851&lt;'111'!$L$11),"x","")</f>
        <v>x</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IF(OR(TH!N1849=TH!$X$7,O1851=TH!$X$7),"x","")</f>
        <v>x</v>
      </c>
      <c r="Y1851" s="82" t="str">
        <f>IF(AND(OR(N1851="131",O1851="131"),H1851='131-CT'!$H$9),"x","")</f>
        <v/>
      </c>
      <c r="Z1851" s="82"/>
      <c r="AA1851" s="82" t="str">
        <f>IF(AND(MONTH(E1851)='IN-NX'!$J$5,'IN-NX'!$D$7=D1851),"x","")</f>
        <v/>
      </c>
      <c r="AB1851" s="82" t="str">
        <f>IF(AND(OR(LEFT(TH!N1849,2)="15",LEFT(TH!O1849,2)="15"),LEFT(TH!O1849,3)&lt;&gt;"111",'152-CT'!$J$8=TH!F1849),"x","")</f>
        <v/>
      </c>
      <c r="AC1851" s="82" t="str">
        <f>IF(AND(OR(LEFT(TH!N1849,2)="15",LEFT(TH!O1849,2)="15"),TK!$E$7=TH!F1849),"x","")</f>
        <v/>
      </c>
      <c r="AD1851" s="82" t="str">
        <f>IF(AND(N1851="1521",MONTH(C1851)='BK-NL'!$M$11),"x","")</f>
        <v/>
      </c>
    </row>
    <row r="1852" spans="1:30" ht="15.75" customHeight="1">
      <c r="A1852" s="334" t="str">
        <f>IF(B1852&lt;&gt;"",IF(AND(B1852='IN-TC'!$S$4,OR(TH!N1875="1111",TH!O1875="1111")),TH!D1875,""),"")</f>
        <v/>
      </c>
      <c r="B1852" s="63">
        <f t="shared" si="208"/>
        <v>5</v>
      </c>
      <c r="C1852" s="64">
        <f t="shared" si="210"/>
        <v>42520</v>
      </c>
      <c r="D1852" s="316" t="s">
        <v>888</v>
      </c>
      <c r="E1852" s="64">
        <v>42520</v>
      </c>
      <c r="F1852" s="72" t="s">
        <v>224</v>
      </c>
      <c r="G1852" s="972" t="s">
        <v>1519</v>
      </c>
      <c r="H1852" s="342" t="s">
        <v>618</v>
      </c>
      <c r="I1852" s="439">
        <v>450</v>
      </c>
      <c r="J1852" s="439">
        <v>19565.57</v>
      </c>
      <c r="K1852" s="430"/>
      <c r="L1852" s="439"/>
      <c r="M1852" s="65">
        <f>ROUND(I1852*J1852,0)</f>
        <v>8804507</v>
      </c>
      <c r="N1852" s="319" t="s">
        <v>282</v>
      </c>
      <c r="O1852" s="66" t="s">
        <v>63</v>
      </c>
      <c r="P1852" s="82" t="str">
        <f>IF(AND('331-CT'!$E$7=TH!H1875,OR(N1852="331",O1852="331")),"x","")</f>
        <v/>
      </c>
      <c r="Q1852" s="82" t="str">
        <f>IF(AND(B1852='111'!$L$11,OR($N1852=$Q$7,$O1852=$Q$7)),"x","")</f>
        <v/>
      </c>
      <c r="R1852" s="82" t="str">
        <f>IF(AND($N1852=$Q$7,$B1852&lt;'111'!$L$11),"x","")</f>
        <v/>
      </c>
      <c r="S1852" s="82" t="str">
        <f>IF(AND($O1852=$Q$7,$B1852&lt;'111'!$L$11),"x","")</f>
        <v>x</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IF(OR(TH!N1875=TH!$X$7,O1852=TH!$X$7),"x","")</f>
        <v>x</v>
      </c>
      <c r="Y1852" s="82" t="str">
        <f>IF(AND(OR(N1852="131",O1852="131"),H1852='131-CT'!$H$9),"x","")</f>
        <v/>
      </c>
      <c r="Z1852" s="82"/>
      <c r="AA1852" s="82" t="str">
        <f>IF(AND(MONTH(E1852)='IN-NX'!$J$5,'IN-NX'!$D$7=D1852),"x","")</f>
        <v/>
      </c>
      <c r="AB1852" s="82" t="str">
        <f>IF(AND(OR(LEFT(TH!N1875,2)="15",LEFT(TH!O1875,2)="15"),LEFT(TH!O1875,3)&lt;&gt;"111",'152-CT'!$J$8=TH!F1875),"x","")</f>
        <v/>
      </c>
      <c r="AC1852" s="82" t="str">
        <f>IF(AND(OR(LEFT(TH!N1875,2)="15",LEFT(TH!O1875,2)="15"),TK!$E$7=TH!F1875),"x","")</f>
        <v/>
      </c>
      <c r="AD1852" s="82" t="str">
        <f>IF(AND(N1852="1521",MONTH(C1852)='BK-NL'!$M$11),"x","")</f>
        <v/>
      </c>
    </row>
    <row r="1853" spans="1:30" ht="15.75" customHeight="1">
      <c r="A1853" s="334" t="str">
        <f>IF(B1853&lt;&gt;"",IF(AND(B1853='IN-TC'!$S$4,OR(TH!N1876="1111",TH!O1876="1111")),TH!D1876,""),"")</f>
        <v/>
      </c>
      <c r="B1853" s="63">
        <f t="shared" si="208"/>
        <v>5</v>
      </c>
      <c r="C1853" s="64">
        <f t="shared" si="210"/>
        <v>42520</v>
      </c>
      <c r="D1853" s="316" t="s">
        <v>888</v>
      </c>
      <c r="E1853" s="64">
        <v>42520</v>
      </c>
      <c r="F1853" s="72" t="s">
        <v>1348</v>
      </c>
      <c r="G1853" s="972" t="s">
        <v>1519</v>
      </c>
      <c r="H1853" s="342" t="s">
        <v>618</v>
      </c>
      <c r="I1853" s="439"/>
      <c r="J1853" s="439"/>
      <c r="K1853" s="430"/>
      <c r="L1853" s="439"/>
      <c r="M1853" s="65">
        <v>880451</v>
      </c>
      <c r="N1853" s="319" t="s">
        <v>9</v>
      </c>
      <c r="O1853" s="66" t="s">
        <v>63</v>
      </c>
      <c r="P1853" s="82" t="str">
        <f>IF(AND('331-CT'!$E$7=TH!H1876,OR(N1853="331",O1853="331")),"x","")</f>
        <v/>
      </c>
      <c r="Q1853" s="82" t="str">
        <f>IF(AND(B1853='111'!$L$11,OR($N1853=$Q$7,$O1853=$Q$7)),"x","")</f>
        <v/>
      </c>
      <c r="R1853" s="82" t="str">
        <f>IF(AND($N1853=$Q$7,$B1853&lt;'111'!$L$11),"x","")</f>
        <v/>
      </c>
      <c r="S1853" s="82" t="str">
        <f>IF(AND($O1853=$Q$7,$B1853&lt;'111'!$L$11),"x","")</f>
        <v>x</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IF(OR(TH!N1876=TH!$X$7,O1853=TH!$X$7),"x","")</f>
        <v/>
      </c>
      <c r="Y1853" s="82" t="str">
        <f>IF(AND(OR(N1853="131",O1853="131"),H1853='131-CT'!$H$9),"x","")</f>
        <v/>
      </c>
      <c r="Z1853" s="82"/>
      <c r="AA1853" s="82" t="str">
        <f>IF(AND(MONTH(E1853)='IN-NX'!$J$5,'IN-NX'!$D$7=D1853),"x","")</f>
        <v/>
      </c>
      <c r="AB1853" s="82" t="str">
        <f>IF(AND(OR(LEFT(TH!N1876,2)="15",LEFT(TH!O1876,2)="15"),LEFT(TH!O1876,3)&lt;&gt;"111",'152-CT'!$J$8=TH!F1876),"x","")</f>
        <v/>
      </c>
      <c r="AC1853" s="82" t="str">
        <f>IF(AND(OR(LEFT(TH!N1876,2)="15",LEFT(TH!O1876,2)="15"),TK!$E$7=TH!F1876),"x","")</f>
        <v/>
      </c>
      <c r="AD1853" s="82" t="str">
        <f>IF(AND(N1853="1521",MONTH(C1853)='BK-NL'!$M$11),"x","")</f>
        <v/>
      </c>
    </row>
    <row r="1854" spans="1:30" ht="15.75" customHeight="1">
      <c r="A1854" s="334" t="str">
        <f>IF(B1854&lt;&gt;"",IF(AND(B1854='IN-TC'!$S$4,OR(TH!N1850="1111",TH!O1850="1111")),TH!D1850,""),"")</f>
        <v/>
      </c>
      <c r="B1854" s="63">
        <f t="shared" si="208"/>
        <v>5</v>
      </c>
      <c r="C1854" s="316">
        <f t="shared" si="210"/>
        <v>42521</v>
      </c>
      <c r="D1854" s="316" t="s">
        <v>889</v>
      </c>
      <c r="E1854" s="316">
        <v>42521</v>
      </c>
      <c r="F1854" s="72" t="s">
        <v>1010</v>
      </c>
      <c r="G1854" s="976" t="s">
        <v>1538</v>
      </c>
      <c r="H1854" s="318" t="s">
        <v>805</v>
      </c>
      <c r="I1854" s="437"/>
      <c r="J1854" s="437"/>
      <c r="K1854" s="428"/>
      <c r="L1854" s="437"/>
      <c r="M1854" s="65">
        <v>503364</v>
      </c>
      <c r="N1854" s="319" t="s">
        <v>101</v>
      </c>
      <c r="O1854" s="66" t="s">
        <v>63</v>
      </c>
      <c r="P1854" s="82" t="str">
        <f>IF(AND('331-CT'!$E$7=TH!H1850,OR(N1854="331",O1854="331")),"x","")</f>
        <v/>
      </c>
      <c r="Q1854" s="82" t="str">
        <f>IF(AND(B1854='111'!$L$11,OR($N1854=$Q$7,$O1854=$Q$7)),"x","")</f>
        <v/>
      </c>
      <c r="R1854" s="82" t="str">
        <f>IF(AND($N1854=$Q$7,$B1854&lt;'111'!$L$11),"x","")</f>
        <v/>
      </c>
      <c r="S1854" s="82" t="str">
        <f>IF(AND($O1854=$Q$7,$B1854&lt;'111'!$L$11),"x","")</f>
        <v>x</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IF(OR(TH!N1850=TH!$X$7,O1854=TH!$X$7),"x","")</f>
        <v/>
      </c>
      <c r="Y1854" s="82" t="str">
        <f>IF(AND(OR(N1854="131",O1854="131"),H1854='131-CT'!$H$9),"x","")</f>
        <v/>
      </c>
      <c r="Z1854" s="82"/>
      <c r="AA1854" s="82" t="str">
        <f>IF(AND(MONTH(E1854)='IN-NX'!$J$5,'IN-NX'!$D$7=D1854),"x","")</f>
        <v/>
      </c>
      <c r="AB1854" s="82" t="str">
        <f>IF(AND(OR(LEFT(TH!N1850,2)="15",LEFT(TH!O1850,2)="15"),LEFT(TH!O1850,3)&lt;&gt;"111",'152-CT'!$J$8=TH!F1850),"x","")</f>
        <v/>
      </c>
      <c r="AC1854" s="82" t="str">
        <f>IF(AND(OR(LEFT(TH!N1850,2)="15",LEFT(TH!O1850,2)="15"),TK!$E$7=TH!F1850),"x","")</f>
        <v/>
      </c>
      <c r="AD1854" s="82" t="str">
        <f>IF(AND(N1854="1521",MONTH(C1854)='BK-NL'!$M$11),"x","")</f>
        <v/>
      </c>
    </row>
    <row r="1855" spans="1:30" ht="15.75" customHeight="1">
      <c r="A1855" s="334" t="str">
        <f>IF(B1855&lt;&gt;"",IF(AND(B1855='IN-TC'!$S$4,OR(TH!N1851="1111",TH!O1851="1111")),TH!D1851,""),"")</f>
        <v/>
      </c>
      <c r="B1855" s="63">
        <f t="shared" si="208"/>
        <v>5</v>
      </c>
      <c r="C1855" s="316">
        <f t="shared" si="210"/>
        <v>42521</v>
      </c>
      <c r="D1855" s="316" t="s">
        <v>889</v>
      </c>
      <c r="E1855" s="316">
        <v>42521</v>
      </c>
      <c r="F1855" s="72" t="s">
        <v>1011</v>
      </c>
      <c r="G1855" s="976" t="s">
        <v>1538</v>
      </c>
      <c r="H1855" s="318" t="s">
        <v>805</v>
      </c>
      <c r="I1855" s="437"/>
      <c r="J1855" s="437"/>
      <c r="K1855" s="428"/>
      <c r="L1855" s="437"/>
      <c r="M1855" s="65">
        <v>50336</v>
      </c>
      <c r="N1855" s="319" t="s">
        <v>9</v>
      </c>
      <c r="O1855" s="66" t="s">
        <v>63</v>
      </c>
      <c r="P1855" s="82" t="str">
        <f>IF(AND('331-CT'!$E$7=TH!H1851,OR(N1855="331",O1855="331")),"x","")</f>
        <v/>
      </c>
      <c r="Q1855" s="82" t="str">
        <f>IF(AND(B1855='111'!$L$11,OR($N1855=$Q$7,$O1855=$Q$7)),"x","")</f>
        <v/>
      </c>
      <c r="R1855" s="82" t="str">
        <f>IF(AND($N1855=$Q$7,$B1855&lt;'111'!$L$11),"x","")</f>
        <v/>
      </c>
      <c r="S1855" s="82" t="str">
        <f>IF(AND($O1855=$Q$7,$B1855&lt;'111'!$L$11),"x","")</f>
        <v>x</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IF(OR(TH!N1851=TH!$X$7,O1855=TH!$X$7),"x","")</f>
        <v>x</v>
      </c>
      <c r="Y1855" s="82" t="str">
        <f>IF(AND(OR(N1855="131",O1855="131"),H1855='131-CT'!$H$9),"x","")</f>
        <v/>
      </c>
      <c r="Z1855" s="82"/>
      <c r="AA1855" s="82" t="str">
        <f>IF(AND(MONTH(E1855)='IN-NX'!$J$5,'IN-NX'!$D$7=D1855),"x","")</f>
        <v/>
      </c>
      <c r="AB1855" s="82" t="str">
        <f>IF(AND(OR(LEFT(TH!N1851,2)="15",LEFT(TH!O1851,2)="15"),LEFT(TH!O1851,3)&lt;&gt;"111",'152-CT'!$J$8=TH!F1851),"x","")</f>
        <v/>
      </c>
      <c r="AC1855" s="82" t="str">
        <f>IF(AND(OR(LEFT(TH!N1851,2)="15",LEFT(TH!O1851,2)="15"),TK!$E$7=TH!F1851),"x","")</f>
        <v/>
      </c>
      <c r="AD1855" s="82" t="str">
        <f>IF(AND(N1855="1521",MONTH(C1855)='BK-NL'!$M$11),"x","")</f>
        <v/>
      </c>
    </row>
    <row r="1856" spans="1:30" ht="15.75" customHeight="1">
      <c r="A1856" s="334" t="str">
        <f>IF(B1856&lt;&gt;"",IF(AND(B1856='IN-TC'!$S$4,OR(TH!N1852="1111",TH!O1852="1111")),TH!D1852,""),"")</f>
        <v/>
      </c>
      <c r="B1856" s="63">
        <f t="shared" si="208"/>
        <v>5</v>
      </c>
      <c r="C1856" s="316">
        <v>42521</v>
      </c>
      <c r="D1856" s="316" t="s">
        <v>890</v>
      </c>
      <c r="E1856" s="316">
        <v>42521</v>
      </c>
      <c r="F1856" s="72" t="s">
        <v>1534</v>
      </c>
      <c r="G1856" s="976" t="s">
        <v>1533</v>
      </c>
      <c r="H1856" s="318" t="s">
        <v>1520</v>
      </c>
      <c r="I1856" s="437"/>
      <c r="J1856" s="437"/>
      <c r="K1856" s="428"/>
      <c r="L1856" s="437"/>
      <c r="M1856" s="65">
        <v>3000000</v>
      </c>
      <c r="N1856" s="319" t="s">
        <v>101</v>
      </c>
      <c r="O1856" s="66" t="s">
        <v>63</v>
      </c>
      <c r="P1856" s="82" t="str">
        <f>IF(AND('331-CT'!$E$7=TH!H1852,OR(N1856="331",O1856="331")),"x","")</f>
        <v/>
      </c>
      <c r="Q1856" s="82" t="str">
        <f>IF(AND(B1856='111'!$L$11,OR($N1856=$Q$7,$O1856=$Q$7)),"x","")</f>
        <v/>
      </c>
      <c r="R1856" s="82" t="str">
        <f>IF(AND($N1856=$Q$7,$B1856&lt;'111'!$L$11),"x","")</f>
        <v/>
      </c>
      <c r="S1856" s="82" t="str">
        <f>IF(AND($O1856=$Q$7,$B1856&lt;'111'!$L$11),"x","")</f>
        <v>x</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IF(OR(TH!N1852=TH!$X$7,O1856=TH!$X$7),"x","")</f>
        <v/>
      </c>
      <c r="Y1856" s="82" t="str">
        <f>IF(AND(OR(N1856="131",O1856="131"),H1856='131-CT'!$H$9),"x","")</f>
        <v/>
      </c>
      <c r="Z1856" s="82"/>
      <c r="AA1856" s="82" t="str">
        <f>IF(AND(MONTH(E1856)='IN-NX'!$J$5,'IN-NX'!$D$7=D1856),"x","")</f>
        <v/>
      </c>
      <c r="AB1856" s="82" t="str">
        <f>IF(AND(OR(LEFT(TH!N1852,2)="15",LEFT(TH!O1852,2)="15"),LEFT(TH!O1852,3)&lt;&gt;"111",'152-CT'!$J$8=TH!F1852),"x","")</f>
        <v/>
      </c>
      <c r="AC1856" s="82" t="str">
        <f>IF(AND(OR(LEFT(TH!N1852,2)="15",LEFT(TH!O1852,2)="15"),TK!$E$7=TH!F1852),"x","")</f>
        <v/>
      </c>
      <c r="AD1856" s="82" t="str">
        <f>IF(AND(N1856="1521",MONTH(C1856)='BK-NL'!$M$11),"x","")</f>
        <v/>
      </c>
    </row>
    <row r="1857" spans="1:32" ht="15.75" customHeight="1">
      <c r="A1857" s="334" t="str">
        <f>IF(B1857&lt;&gt;"",IF(AND(B1857='IN-TC'!$S$4,OR(TH!N1853="1111",TH!O1853="1111")),TH!D1853,""),"")</f>
        <v/>
      </c>
      <c r="B1857" s="63">
        <f t="shared" si="208"/>
        <v>5</v>
      </c>
      <c r="C1857" s="316">
        <v>42521</v>
      </c>
      <c r="D1857" s="316" t="s">
        <v>891</v>
      </c>
      <c r="E1857" s="316">
        <v>42521</v>
      </c>
      <c r="F1857" s="72" t="s">
        <v>1521</v>
      </c>
      <c r="G1857" s="976" t="s">
        <v>1523</v>
      </c>
      <c r="H1857" s="318" t="s">
        <v>1520</v>
      </c>
      <c r="I1857" s="437"/>
      <c r="J1857" s="437"/>
      <c r="K1857" s="428"/>
      <c r="L1857" s="437"/>
      <c r="M1857" s="65">
        <v>2000000</v>
      </c>
      <c r="N1857" s="319" t="s">
        <v>101</v>
      </c>
      <c r="O1857" s="66" t="s">
        <v>63</v>
      </c>
      <c r="P1857" s="82" t="str">
        <f>IF(AND('331-CT'!$E$7=TH!H1853,OR(N1857="331",O1857="331")),"x","")</f>
        <v/>
      </c>
      <c r="Q1857" s="82" t="str">
        <f>IF(AND(B1857='111'!$L$11,OR($N1857=$Q$7,$O1857=$Q$7)),"x","")</f>
        <v/>
      </c>
      <c r="R1857" s="82" t="str">
        <f>IF(AND($N1857=$Q$7,$B1857&lt;'111'!$L$11),"x","")</f>
        <v/>
      </c>
      <c r="S1857" s="82" t="str">
        <f>IF(AND($O1857=$Q$7,$B1857&lt;'111'!$L$11),"x","")</f>
        <v>x</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IF(OR(TH!N1853=TH!$X$7,O1857=TH!$X$7),"x","")</f>
        <v>x</v>
      </c>
      <c r="Y1857" s="82" t="str">
        <f>IF(AND(OR(N1857="131",O1857="131"),H1857='131-CT'!$H$9),"x","")</f>
        <v/>
      </c>
      <c r="Z1857" s="82"/>
      <c r="AA1857" s="82" t="str">
        <f>IF(AND(MONTH(E1857)='IN-NX'!$J$5,'IN-NX'!$D$7=D1857),"x","")</f>
        <v/>
      </c>
      <c r="AB1857" s="82" t="str">
        <f>IF(AND(OR(LEFT(TH!N1853,2)="15",LEFT(TH!O1853,2)="15"),LEFT(TH!O1853,3)&lt;&gt;"111",'152-CT'!$J$8=TH!F1853),"x","")</f>
        <v/>
      </c>
      <c r="AC1857" s="82" t="str">
        <f>IF(AND(OR(LEFT(TH!N1853,2)="15",LEFT(TH!O1853,2)="15"),TK!$E$7=TH!F1853),"x","")</f>
        <v/>
      </c>
      <c r="AD1857" s="82" t="str">
        <f>IF(AND(N1857="1521",MONTH(C1857)='BK-NL'!$M$11),"x","")</f>
        <v/>
      </c>
    </row>
    <row r="1858" spans="1:32" s="1122" customFormat="1" ht="15.75" customHeight="1">
      <c r="A1858" s="334" t="str">
        <f>IF(B1858&lt;&gt;"",IF(AND(B1858='IN-TC'!$S$4,OR(TH!N1854="1111",TH!O1854="1111")),TH!D1854,""),"")</f>
        <v/>
      </c>
      <c r="B1858" s="63">
        <f t="shared" si="208"/>
        <v>5</v>
      </c>
      <c r="C1858" s="316">
        <v>42521</v>
      </c>
      <c r="D1858" s="316" t="s">
        <v>891</v>
      </c>
      <c r="E1858" s="316">
        <v>42521</v>
      </c>
      <c r="F1858" s="72" t="s">
        <v>1522</v>
      </c>
      <c r="G1858" s="976" t="s">
        <v>1523</v>
      </c>
      <c r="H1858" s="318" t="s">
        <v>1520</v>
      </c>
      <c r="I1858" s="435"/>
      <c r="J1858" s="435"/>
      <c r="K1858" s="426"/>
      <c r="L1858" s="435"/>
      <c r="M1858" s="65">
        <v>200000</v>
      </c>
      <c r="N1858" s="319" t="s">
        <v>9</v>
      </c>
      <c r="O1858" s="66" t="s">
        <v>63</v>
      </c>
      <c r="P1858" s="82" t="str">
        <f>IF(AND('331-CT'!$E$7=TH!H1854,OR(N1858="331",O1858="331")),"x","")</f>
        <v/>
      </c>
      <c r="Q1858" s="82" t="str">
        <f>IF(AND(B1858='111'!$L$11,OR($N1858=$Q$7,$O1858=$Q$7)),"x","")</f>
        <v/>
      </c>
      <c r="R1858" s="82" t="str">
        <f>IF(AND($N1858=$Q$7,$B1858&lt;'111'!$L$11),"x","")</f>
        <v/>
      </c>
      <c r="S1858" s="82" t="str">
        <f>IF(AND($O1858=$Q$7,$B1858&lt;'111'!$L$11),"x","")</f>
        <v>x</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IF(OR(TH!N1854=TH!$X$7,O1858=TH!$X$7),"x","")</f>
        <v/>
      </c>
      <c r="Y1858" s="82" t="str">
        <f>IF(AND(OR(N1858="131",O1858="131"),H1858='131-CT'!$H$9),"x","")</f>
        <v/>
      </c>
      <c r="Z1858" s="82"/>
      <c r="AA1858" s="82" t="str">
        <f>IF(AND(MONTH(E1858)='IN-NX'!$J$5,'IN-NX'!$D$7=D1858),"x","")</f>
        <v/>
      </c>
      <c r="AB1858" s="82" t="str">
        <f>IF(AND(OR(LEFT(TH!N1854,2)="15",LEFT(TH!O1854,2)="15"),LEFT(TH!O1854,3)&lt;&gt;"111",'152-CT'!$J$8=TH!F1854),"x","")</f>
        <v/>
      </c>
      <c r="AC1858" s="82" t="str">
        <f>IF(AND(OR(LEFT(TH!N1854,2)="15",LEFT(TH!O1854,2)="15"),TK!$E$7=TH!F1854),"x","")</f>
        <v/>
      </c>
      <c r="AD1858" s="82" t="str">
        <f>IF(AND(N1858="1521",MONTH(C1858)='BK-NL'!$M$11),"x","")</f>
        <v/>
      </c>
      <c r="AE1858" s="328"/>
      <c r="AF1858" s="328"/>
    </row>
    <row r="1859" spans="1:32" s="345" customFormat="1" ht="15.75" customHeight="1">
      <c r="A1859" s="334" t="str">
        <f>IF(B1859&lt;&gt;"",IF(AND(B1859='IN-TC'!$S$4,OR(TH!N1859="1111",TH!O1859="1111")),TH!D1859,""),"")</f>
        <v/>
      </c>
      <c r="B1859" s="993">
        <f t="shared" si="208"/>
        <v>5</v>
      </c>
      <c r="C1859" s="1124">
        <v>42521</v>
      </c>
      <c r="D1859" s="1124" t="s">
        <v>579</v>
      </c>
      <c r="E1859" s="1124">
        <v>42502</v>
      </c>
      <c r="F1859" s="72" t="s">
        <v>636</v>
      </c>
      <c r="G1859" s="994" t="s">
        <v>1505</v>
      </c>
      <c r="H1859" s="320" t="s">
        <v>627</v>
      </c>
      <c r="I1859" s="435"/>
      <c r="J1859" s="435"/>
      <c r="K1859" s="426"/>
      <c r="L1859" s="435"/>
      <c r="M1859" s="81">
        <v>2000000</v>
      </c>
      <c r="N1859" s="82" t="s">
        <v>588</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c r="AE1859" s="341" t="str">
        <f t="shared" ref="AE1859:AE1873" si="211">IF(H1859&lt;&gt;VLOOKUP(H1859,DSKH,1,0),"","x")</f>
        <v>x</v>
      </c>
    </row>
    <row r="1860" spans="1:32" s="345" customFormat="1" ht="15.75" customHeight="1">
      <c r="A1860" s="334" t="str">
        <f>IF(B1860&lt;&gt;"",IF(AND(B1860='IN-TC'!$S$4,OR(TH!N1860="1111",TH!O1860="1111")),TH!D1860,""),"")</f>
        <v/>
      </c>
      <c r="B1860" s="993">
        <f t="shared" si="208"/>
        <v>5</v>
      </c>
      <c r="C1860" s="1124">
        <v>42521</v>
      </c>
      <c r="D1860" s="1124" t="s">
        <v>579</v>
      </c>
      <c r="E1860" s="1124">
        <v>42502</v>
      </c>
      <c r="F1860" s="72" t="s">
        <v>637</v>
      </c>
      <c r="G1860" s="994" t="s">
        <v>1505</v>
      </c>
      <c r="H1860" s="320" t="s">
        <v>627</v>
      </c>
      <c r="I1860" s="435"/>
      <c r="J1860" s="435"/>
      <c r="K1860" s="426"/>
      <c r="L1860" s="435"/>
      <c r="M1860" s="81">
        <v>200000</v>
      </c>
      <c r="N1860" s="1118" t="s">
        <v>9</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x</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c r="AE1860" s="341" t="str">
        <f t="shared" si="211"/>
        <v>x</v>
      </c>
    </row>
    <row r="1861" spans="1:32" s="345" customFormat="1" ht="15.75" customHeight="1">
      <c r="A1861" s="334" t="str">
        <f>IF(B1861&lt;&gt;"",IF(AND(B1861='IN-TC'!$S$4,OR(TH!N1861="1111",TH!O1861="1111")),TH!D1861,""),"")</f>
        <v/>
      </c>
      <c r="B1861" s="993">
        <f t="shared" si="208"/>
        <v>5</v>
      </c>
      <c r="C1861" s="1124">
        <v>42521</v>
      </c>
      <c r="D1861" s="1124" t="s">
        <v>579</v>
      </c>
      <c r="E1861" s="1124">
        <v>42503</v>
      </c>
      <c r="F1861" s="72" t="s">
        <v>1500</v>
      </c>
      <c r="G1861" s="994" t="s">
        <v>1499</v>
      </c>
      <c r="H1861" s="320" t="s">
        <v>1498</v>
      </c>
      <c r="I1861" s="435"/>
      <c r="J1861" s="435"/>
      <c r="K1861" s="426"/>
      <c r="L1861" s="435"/>
      <c r="M1861" s="81">
        <v>18972000</v>
      </c>
      <c r="N1861" s="82" t="s">
        <v>588</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c r="AE1861" s="341" t="str">
        <f t="shared" si="211"/>
        <v>x</v>
      </c>
    </row>
    <row r="1862" spans="1:32" s="345" customFormat="1" ht="15.75" customHeight="1">
      <c r="A1862" s="334" t="str">
        <f>IF(B1862&lt;&gt;"",IF(AND(B1862='IN-TC'!$S$4,OR(TH!N1862="1111",TH!O1862="1111")),TH!D1862,""),"")</f>
        <v/>
      </c>
      <c r="B1862" s="993">
        <f t="shared" si="208"/>
        <v>5</v>
      </c>
      <c r="C1862" s="1124">
        <v>42521</v>
      </c>
      <c r="D1862" s="1124" t="s">
        <v>579</v>
      </c>
      <c r="E1862" s="1124">
        <v>42503</v>
      </c>
      <c r="F1862" s="72" t="s">
        <v>1495</v>
      </c>
      <c r="G1862" s="994" t="s">
        <v>1497</v>
      </c>
      <c r="H1862" s="320" t="s">
        <v>1498</v>
      </c>
      <c r="I1862" s="435"/>
      <c r="J1862" s="435"/>
      <c r="K1862" s="426"/>
      <c r="L1862" s="435"/>
      <c r="M1862" s="81">
        <v>8503920</v>
      </c>
      <c r="N1862" s="82" t="s">
        <v>588</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c r="AE1862" s="341" t="str">
        <f t="shared" si="211"/>
        <v>x</v>
      </c>
    </row>
    <row r="1863" spans="1:32" s="345" customFormat="1" ht="15.75" customHeight="1">
      <c r="A1863" s="334" t="str">
        <f>IF(B1863&lt;&gt;"",IF(AND(B1863='IN-TC'!$S$4,OR(TH!N1863="1111",TH!O1863="1111")),TH!D1863,""),"")</f>
        <v/>
      </c>
      <c r="B1863" s="993">
        <f t="shared" si="208"/>
        <v>5</v>
      </c>
      <c r="C1863" s="1124">
        <v>42521</v>
      </c>
      <c r="D1863" s="1124" t="s">
        <v>579</v>
      </c>
      <c r="E1863" s="1124">
        <v>42503</v>
      </c>
      <c r="F1863" s="72" t="s">
        <v>1496</v>
      </c>
      <c r="G1863" s="994" t="s">
        <v>1497</v>
      </c>
      <c r="H1863" s="320" t="s">
        <v>1498</v>
      </c>
      <c r="I1863" s="435"/>
      <c r="J1863" s="435"/>
      <c r="K1863" s="426"/>
      <c r="L1863" s="435"/>
      <c r="M1863" s="81">
        <v>850392</v>
      </c>
      <c r="N1863" s="1118"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x</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c r="AE1863" s="341" t="str">
        <f t="shared" si="211"/>
        <v>x</v>
      </c>
    </row>
    <row r="1864" spans="1:32" s="345" customFormat="1" ht="15.75" customHeight="1">
      <c r="A1864" s="334" t="str">
        <f>IF(B1864&lt;&gt;"",IF(AND(B1864='IN-TC'!$S$4,OR(TH!N1864="1111",TH!O1864="1111")),TH!D1864,""),"")</f>
        <v/>
      </c>
      <c r="B1864" s="993">
        <f t="shared" si="208"/>
        <v>5</v>
      </c>
      <c r="C1864" s="1124">
        <v>42521</v>
      </c>
      <c r="D1864" s="1124" t="s">
        <v>579</v>
      </c>
      <c r="E1864" s="1124">
        <v>42504</v>
      </c>
      <c r="F1864" s="72" t="s">
        <v>1500</v>
      </c>
      <c r="G1864" s="994" t="s">
        <v>1504</v>
      </c>
      <c r="H1864" s="320" t="s">
        <v>1498</v>
      </c>
      <c r="I1864" s="435"/>
      <c r="J1864" s="435"/>
      <c r="K1864" s="426"/>
      <c r="L1864" s="435"/>
      <c r="M1864" s="81">
        <v>9382800</v>
      </c>
      <c r="N1864" s="82" t="s">
        <v>588</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c r="AE1864" s="341" t="str">
        <f t="shared" si="211"/>
        <v>x</v>
      </c>
    </row>
    <row r="1865" spans="1:32" s="345" customFormat="1" ht="15.75" customHeight="1">
      <c r="A1865" s="334" t="str">
        <f>IF(B1865&lt;&gt;"",IF(AND(B1865='IN-TC'!$S$4,OR(TH!N1865="1111",TH!O1865="1111")),TH!D1865,""),"")</f>
        <v/>
      </c>
      <c r="B1865" s="993">
        <f t="shared" si="208"/>
        <v>5</v>
      </c>
      <c r="C1865" s="1124">
        <v>42521</v>
      </c>
      <c r="D1865" s="1124" t="s">
        <v>579</v>
      </c>
      <c r="E1865" s="1124">
        <v>42504</v>
      </c>
      <c r="F1865" s="72" t="s">
        <v>1501</v>
      </c>
      <c r="G1865" s="994" t="s">
        <v>1503</v>
      </c>
      <c r="H1865" s="320" t="s">
        <v>1498</v>
      </c>
      <c r="I1865" s="435"/>
      <c r="J1865" s="435"/>
      <c r="K1865" s="426"/>
      <c r="L1865" s="435"/>
      <c r="M1865" s="81">
        <v>7841340</v>
      </c>
      <c r="N1865" s="82" t="s">
        <v>588</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c r="AE1865" s="341" t="str">
        <f t="shared" si="211"/>
        <v>x</v>
      </c>
    </row>
    <row r="1866" spans="1:32" s="345" customFormat="1" ht="15.75" customHeight="1">
      <c r="A1866" s="334" t="str">
        <f>IF(B1866&lt;&gt;"",IF(AND(B1866='IN-TC'!$S$4,OR(TH!N1866="1111",TH!O1866="1111")),TH!D1866,""),"")</f>
        <v/>
      </c>
      <c r="B1866" s="993">
        <f t="shared" si="208"/>
        <v>5</v>
      </c>
      <c r="C1866" s="1124">
        <v>42521</v>
      </c>
      <c r="D1866" s="1124" t="s">
        <v>579</v>
      </c>
      <c r="E1866" s="1124">
        <v>42504</v>
      </c>
      <c r="F1866" s="72" t="s">
        <v>1502</v>
      </c>
      <c r="G1866" s="994" t="s">
        <v>1503</v>
      </c>
      <c r="H1866" s="320" t="s">
        <v>1498</v>
      </c>
      <c r="I1866" s="435"/>
      <c r="J1866" s="435"/>
      <c r="K1866" s="426"/>
      <c r="L1866" s="435"/>
      <c r="M1866" s="81">
        <v>784134</v>
      </c>
      <c r="N1866" s="1118" t="s">
        <v>9</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x</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c r="AE1866" s="341" t="str">
        <f t="shared" si="211"/>
        <v>x</v>
      </c>
    </row>
    <row r="1867" spans="1:32" s="345" customFormat="1" ht="15.75" customHeight="1">
      <c r="A1867" s="334" t="str">
        <f>IF(B1867&lt;&gt;"",IF(AND(B1867='IN-TC'!$S$4,OR(TH!N1867="1111",TH!O1867="1111")),TH!D1867,""),"")</f>
        <v/>
      </c>
      <c r="B1867" s="993">
        <f t="shared" si="208"/>
        <v>5</v>
      </c>
      <c r="C1867" s="1124">
        <v>42521</v>
      </c>
      <c r="D1867" s="1124" t="s">
        <v>579</v>
      </c>
      <c r="E1867" s="1124">
        <v>42496</v>
      </c>
      <c r="F1867" s="72" t="s">
        <v>1489</v>
      </c>
      <c r="G1867" s="994" t="s">
        <v>1553</v>
      </c>
      <c r="H1867" s="320" t="s">
        <v>629</v>
      </c>
      <c r="I1867" s="435"/>
      <c r="J1867" s="435"/>
      <c r="K1867" s="426"/>
      <c r="L1867" s="435"/>
      <c r="M1867" s="81">
        <v>25896900</v>
      </c>
      <c r="N1867" s="1118" t="s">
        <v>282</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c r="AE1867" s="341" t="str">
        <f t="shared" si="211"/>
        <v>x</v>
      </c>
    </row>
    <row r="1868" spans="1:32" s="345" customFormat="1" ht="15.75" customHeight="1">
      <c r="A1868" s="334" t="str">
        <f>IF(B1868&lt;&gt;"",IF(AND(B1868='IN-TC'!$S$4,OR(TH!N1868="1111",TH!O1868="1111")),TH!D1868,""),"")</f>
        <v/>
      </c>
      <c r="B1868" s="993">
        <f t="shared" si="208"/>
        <v>5</v>
      </c>
      <c r="C1868" s="1124">
        <v>42521</v>
      </c>
      <c r="D1868" s="1124" t="s">
        <v>579</v>
      </c>
      <c r="E1868" s="1124">
        <v>42496</v>
      </c>
      <c r="F1868" s="72" t="s">
        <v>1490</v>
      </c>
      <c r="G1868" s="994" t="s">
        <v>1553</v>
      </c>
      <c r="H1868" s="320" t="s">
        <v>629</v>
      </c>
      <c r="I1868" s="435"/>
      <c r="J1868" s="435"/>
      <c r="K1868" s="426"/>
      <c r="L1868" s="435"/>
      <c r="M1868" s="81">
        <v>2589690</v>
      </c>
      <c r="N1868" s="1118"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x</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c r="AE1868" s="341" t="str">
        <f t="shared" si="211"/>
        <v>x</v>
      </c>
    </row>
    <row r="1869" spans="1:32" s="345" customFormat="1" ht="15.75" customHeight="1">
      <c r="A1869" s="334" t="str">
        <f>IF(B1869&lt;&gt;"",IF(AND(B1869='IN-TC'!$S$4,OR(TH!N1869="1111",TH!O1869="1111")),TH!D1869,""),"")</f>
        <v/>
      </c>
      <c r="B1869" s="993">
        <f t="shared" ref="B1869:B1932" si="212">IF(C1869&lt;&gt;"",MONTH(C1869),"")</f>
        <v>5</v>
      </c>
      <c r="C1869" s="1124">
        <v>42521</v>
      </c>
      <c r="D1869" s="1124" t="s">
        <v>579</v>
      </c>
      <c r="E1869" s="1124">
        <v>42506</v>
      </c>
      <c r="F1869" s="72" t="s">
        <v>1491</v>
      </c>
      <c r="G1869" s="994" t="s">
        <v>1554</v>
      </c>
      <c r="H1869" s="320" t="s">
        <v>629</v>
      </c>
      <c r="I1869" s="435"/>
      <c r="J1869" s="435"/>
      <c r="K1869" s="426"/>
      <c r="L1869" s="435"/>
      <c r="M1869" s="81">
        <v>32111500</v>
      </c>
      <c r="N1869" s="1118" t="s">
        <v>282</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c r="AE1869" s="341" t="str">
        <f t="shared" si="211"/>
        <v>x</v>
      </c>
    </row>
    <row r="1870" spans="1:32" s="345" customFormat="1" ht="15.75" customHeight="1">
      <c r="A1870" s="334" t="str">
        <f>IF(B1870&lt;&gt;"",IF(AND(B1870='IN-TC'!$S$4,OR(TH!N1870="1111",TH!O1870="1111")),TH!D1870,""),"")</f>
        <v/>
      </c>
      <c r="B1870" s="993">
        <f t="shared" si="212"/>
        <v>5</v>
      </c>
      <c r="C1870" s="1124">
        <v>42521</v>
      </c>
      <c r="D1870" s="1124" t="s">
        <v>579</v>
      </c>
      <c r="E1870" s="1124">
        <v>42506</v>
      </c>
      <c r="F1870" s="72" t="s">
        <v>1492</v>
      </c>
      <c r="G1870" s="994" t="s">
        <v>1554</v>
      </c>
      <c r="H1870" s="320" t="s">
        <v>629</v>
      </c>
      <c r="I1870" s="435"/>
      <c r="J1870" s="435"/>
      <c r="K1870" s="426"/>
      <c r="L1870" s="435"/>
      <c r="M1870" s="81">
        <v>3211150</v>
      </c>
      <c r="N1870" s="1118" t="s">
        <v>9</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x</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c r="AE1870" s="341" t="str">
        <f t="shared" si="211"/>
        <v>x</v>
      </c>
    </row>
    <row r="1871" spans="1:32" s="345" customFormat="1" ht="15.75" customHeight="1">
      <c r="A1871" s="334" t="str">
        <f>IF(B1871&lt;&gt;"",IF(AND(B1871='IN-TC'!$S$4,OR(TH!N1871="1111",TH!O1871="1111")),TH!D1871,""),"")</f>
        <v/>
      </c>
      <c r="B1871" s="993">
        <f t="shared" si="212"/>
        <v>5</v>
      </c>
      <c r="C1871" s="1124">
        <v>42521</v>
      </c>
      <c r="D1871" s="1124" t="s">
        <v>579</v>
      </c>
      <c r="E1871" s="1124">
        <v>42516</v>
      </c>
      <c r="F1871" s="72" t="s">
        <v>1493</v>
      </c>
      <c r="G1871" s="994" t="s">
        <v>1555</v>
      </c>
      <c r="H1871" s="320" t="s">
        <v>629</v>
      </c>
      <c r="I1871" s="435"/>
      <c r="J1871" s="435"/>
      <c r="K1871" s="426"/>
      <c r="L1871" s="435"/>
      <c r="M1871" s="81">
        <v>28480300</v>
      </c>
      <c r="N1871" s="1118" t="s">
        <v>282</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c r="AE1871" s="341" t="str">
        <f t="shared" si="211"/>
        <v>x</v>
      </c>
    </row>
    <row r="1872" spans="1:32" s="345" customFormat="1" ht="15.75" customHeight="1">
      <c r="A1872" s="334" t="str">
        <f>IF(B1872&lt;&gt;"",IF(AND(B1872='IN-TC'!$S$4,OR(TH!N1872="1111",TH!O1872="1111")),TH!D1872,""),"")</f>
        <v/>
      </c>
      <c r="B1872" s="993">
        <f t="shared" si="212"/>
        <v>5</v>
      </c>
      <c r="C1872" s="1124">
        <v>42521</v>
      </c>
      <c r="D1872" s="1124" t="s">
        <v>579</v>
      </c>
      <c r="E1872" s="1124">
        <v>42516</v>
      </c>
      <c r="F1872" s="72" t="s">
        <v>1494</v>
      </c>
      <c r="G1872" s="994" t="s">
        <v>1555</v>
      </c>
      <c r="H1872" s="320" t="s">
        <v>629</v>
      </c>
      <c r="I1872" s="435"/>
      <c r="J1872" s="435"/>
      <c r="K1872" s="426"/>
      <c r="L1872" s="435"/>
      <c r="M1872" s="81">
        <v>2848030</v>
      </c>
      <c r="N1872" s="1118" t="s">
        <v>9</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x</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c r="AE1872" s="341" t="str">
        <f t="shared" si="211"/>
        <v>x</v>
      </c>
    </row>
    <row r="1873" spans="1:31" ht="15.75" customHeight="1">
      <c r="A1873" s="334" t="str">
        <f>IF(B1873&lt;&gt;"",IF(AND(B1873='IN-TC'!$S$4,OR(TH!N1855="1111",TH!O1855="1111")),TH!D1855,""),"")</f>
        <v/>
      </c>
      <c r="B1873" s="63">
        <f t="shared" si="212"/>
        <v>5</v>
      </c>
      <c r="C1873" s="316">
        <v>42521</v>
      </c>
      <c r="D1873" s="316" t="s">
        <v>892</v>
      </c>
      <c r="E1873" s="316">
        <v>42521</v>
      </c>
      <c r="F1873" s="72" t="s">
        <v>1546</v>
      </c>
      <c r="G1873" s="317"/>
      <c r="H1873" s="75" t="s">
        <v>621</v>
      </c>
      <c r="I1873" s="437"/>
      <c r="J1873" s="437"/>
      <c r="K1873" s="428"/>
      <c r="L1873" s="437"/>
      <c r="M1873" s="65">
        <v>990540</v>
      </c>
      <c r="N1873" s="319" t="s">
        <v>8</v>
      </c>
      <c r="O1873" s="66" t="s">
        <v>63</v>
      </c>
      <c r="P1873" s="82" t="str">
        <f>IF(AND('331-CT'!$E$7=TH!H1855,OR(N1873="331",O1873="331")),"x","")</f>
        <v/>
      </c>
      <c r="Q1873" s="82" t="str">
        <f>IF(AND(B1873='111'!$L$11,OR($N1873=$Q$7,$O1873=$Q$7)),"x","")</f>
        <v/>
      </c>
      <c r="R1873" s="82" t="str">
        <f>IF(AND($N1873=$Q$7,$B1873&lt;'111'!$L$11),"x","")</f>
        <v/>
      </c>
      <c r="S1873" s="82" t="str">
        <f>IF(AND($O1873=$Q$7,$B1873&lt;'111'!$L$11),"x","")</f>
        <v>x</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IF(OR(TH!N1855=TH!$X$7,O1873=TH!$X$7),"x","")</f>
        <v>x</v>
      </c>
      <c r="Y1873" s="82" t="str">
        <f>IF(AND(OR(N1873="131",O1873="131"),H1873='131-CT'!$H$9),"x","")</f>
        <v/>
      </c>
      <c r="Z1873" s="82"/>
      <c r="AA1873" s="82" t="str">
        <f>IF(AND(MONTH(E1873)='IN-NX'!$J$5,'IN-NX'!$D$7=D1873),"x","")</f>
        <v/>
      </c>
      <c r="AB1873" s="82" t="str">
        <f>IF(AND(OR(LEFT(TH!N1855,2)="15",LEFT(TH!O1855,2)="15"),LEFT(TH!O1855,3)&lt;&gt;"111",'152-CT'!$J$8=TH!F1855),"x","")</f>
        <v/>
      </c>
      <c r="AC1873" s="82" t="str">
        <f>IF(AND(OR(LEFT(TH!N1855,2)="15",LEFT(TH!O1855,2)="15"),TK!$E$7=TH!F1855),"x","")</f>
        <v/>
      </c>
      <c r="AD1873" s="82" t="str">
        <f>IF(AND(N1873="1521",MONTH(C1873)='BK-NL'!$M$11),"x","")</f>
        <v/>
      </c>
      <c r="AE1873" s="1136" t="str">
        <f t="shared" si="211"/>
        <v>x</v>
      </c>
    </row>
    <row r="1874" spans="1:31" ht="15.75" customHeight="1">
      <c r="A1874" s="334" t="str">
        <f>IF(B1874&lt;&gt;"",IF(AND(B1874='IN-TC'!$S$4,OR(TH!N1856="1111",TH!O1856="1111")),TH!D1856,""),"")</f>
        <v/>
      </c>
      <c r="B1874" s="63">
        <f t="shared" si="212"/>
        <v>5</v>
      </c>
      <c r="C1874" s="316">
        <v>42521</v>
      </c>
      <c r="D1874" s="316" t="s">
        <v>893</v>
      </c>
      <c r="E1874" s="316">
        <v>42521</v>
      </c>
      <c r="F1874" s="72" t="s">
        <v>1485</v>
      </c>
      <c r="G1874" s="317"/>
      <c r="H1874" s="318" t="s">
        <v>1356</v>
      </c>
      <c r="I1874" s="437"/>
      <c r="J1874" s="437"/>
      <c r="K1874" s="428"/>
      <c r="L1874" s="437"/>
      <c r="M1874" s="65">
        <v>1236364</v>
      </c>
      <c r="N1874" s="319" t="s">
        <v>101</v>
      </c>
      <c r="O1874" s="66" t="s">
        <v>63</v>
      </c>
      <c r="P1874" s="82" t="str">
        <f>IF(AND('331-CT'!$E$7=TH!H1856,OR(N1874="331",O1874="331")),"x","")</f>
        <v/>
      </c>
      <c r="Q1874" s="82" t="str">
        <f>IF(AND(B1874='111'!$L$11,OR($N1874=$Q$7,$O1874=$Q$7)),"x","")</f>
        <v/>
      </c>
      <c r="R1874" s="82" t="str">
        <f>IF(AND($N1874=$Q$7,$B1874&lt;'111'!$L$11),"x","")</f>
        <v/>
      </c>
      <c r="S1874" s="82" t="str">
        <f>IF(AND($O1874=$Q$7,$B1874&lt;'111'!$L$11),"x","")</f>
        <v>x</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IF(OR(TH!N1856=TH!$X$7,O1874=TH!$X$7),"x","")</f>
        <v/>
      </c>
      <c r="Y1874" s="82" t="str">
        <f>IF(AND(OR(N1874="131",O1874="131"),H1874='131-CT'!$H$9),"x","")</f>
        <v/>
      </c>
      <c r="Z1874" s="82"/>
      <c r="AA1874" s="82" t="str">
        <f>IF(AND(MONTH(E1874)='IN-NX'!$J$5,'IN-NX'!$D$7=D1874),"x","")</f>
        <v/>
      </c>
      <c r="AB1874" s="82" t="str">
        <f>IF(AND(OR(LEFT(TH!N1856,2)="15",LEFT(TH!O1856,2)="15"),LEFT(TH!O1856,3)&lt;&gt;"111",'152-CT'!$J$8=TH!F1856),"x","")</f>
        <v/>
      </c>
      <c r="AC1874" s="82" t="str">
        <f>IF(AND(OR(LEFT(TH!N1856,2)="15",LEFT(TH!O1856,2)="15"),TK!$E$7=TH!F1856),"x","")</f>
        <v/>
      </c>
      <c r="AD1874" s="82" t="str">
        <f>IF(AND(N1874="1521",MONTH(C1874)='BK-NL'!$M$11),"x","")</f>
        <v/>
      </c>
    </row>
    <row r="1875" spans="1:31" ht="15.75" customHeight="1">
      <c r="A1875" s="334" t="str">
        <f>IF(B1875&lt;&gt;"",IF(AND(B1875='IN-TC'!$S$4,OR(TH!N1857="1111",TH!O1857="1111")),TH!D1857,""),"")</f>
        <v/>
      </c>
      <c r="B1875" s="63">
        <f t="shared" si="212"/>
        <v>5</v>
      </c>
      <c r="C1875" s="316">
        <v>42521</v>
      </c>
      <c r="D1875" s="316" t="s">
        <v>893</v>
      </c>
      <c r="E1875" s="316">
        <v>42521</v>
      </c>
      <c r="F1875" s="72" t="s">
        <v>1486</v>
      </c>
      <c r="G1875" s="972"/>
      <c r="H1875" s="318" t="s">
        <v>1356</v>
      </c>
      <c r="I1875" s="435"/>
      <c r="J1875" s="435"/>
      <c r="K1875" s="426"/>
      <c r="L1875" s="435"/>
      <c r="M1875" s="65">
        <v>123636</v>
      </c>
      <c r="N1875" s="319" t="s">
        <v>9</v>
      </c>
      <c r="O1875" s="66" t="s">
        <v>63</v>
      </c>
      <c r="P1875" s="82" t="str">
        <f>IF(AND('331-CT'!$E$7=TH!H1857,OR(N1875="331",O1875="331")),"x","")</f>
        <v/>
      </c>
      <c r="Q1875" s="82" t="str">
        <f>IF(AND(B1875='111'!$L$11,OR($N1875=$Q$7,$O1875=$Q$7)),"x","")</f>
        <v/>
      </c>
      <c r="R1875" s="82" t="str">
        <f>IF(AND($N1875=$Q$7,$B1875&lt;'111'!$L$11),"x","")</f>
        <v/>
      </c>
      <c r="S1875" s="82" t="str">
        <f>IF(AND($O1875=$Q$7,$B1875&lt;'111'!$L$11),"x","")</f>
        <v>x</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IF(OR(TH!N1857=TH!$X$7,O1875=TH!$X$7),"x","")</f>
        <v/>
      </c>
      <c r="Y1875" s="82" t="str">
        <f>IF(AND(OR(N1875="131",O1875="131"),H1875='131-CT'!$H$9),"x","")</f>
        <v/>
      </c>
      <c r="Z1875" s="82"/>
      <c r="AA1875" s="82" t="str">
        <f>IF(AND(MONTH(E1875)='IN-NX'!$J$5,'IN-NX'!$D$7=D1875),"x","")</f>
        <v/>
      </c>
      <c r="AB1875" s="82" t="str">
        <f>IF(AND(OR(LEFT(TH!N1857,2)="15",LEFT(TH!O1857,2)="15"),LEFT(TH!O1857,3)&lt;&gt;"111",'152-CT'!$J$8=TH!F1857),"x","")</f>
        <v/>
      </c>
      <c r="AC1875" s="82" t="str">
        <f>IF(AND(OR(LEFT(TH!N1857,2)="15",LEFT(TH!O1857,2)="15"),TK!$E$7=TH!F1857),"x","")</f>
        <v/>
      </c>
      <c r="AD1875" s="82" t="str">
        <f>IF(AND(N1875="1521",MONTH(C1875)='BK-NL'!$M$11),"x","")</f>
        <v/>
      </c>
    </row>
    <row r="1876" spans="1:31" s="348" customFormat="1" ht="15.75" customHeight="1">
      <c r="A1876" s="1229" t="str">
        <f>IF(B1876&lt;&gt;"",IF(AND(B1876='IN-TC'!$S$4,OR(TH!N1858="1111",TH!O1858="1111")),TH!D1858,""),"")</f>
        <v/>
      </c>
      <c r="B1876" s="1134">
        <f t="shared" si="212"/>
        <v>5</v>
      </c>
      <c r="C1876" s="1135">
        <v>42521</v>
      </c>
      <c r="D1876" s="1135" t="s">
        <v>894</v>
      </c>
      <c r="E1876" s="1135">
        <v>42521</v>
      </c>
      <c r="F1876" s="94" t="s">
        <v>1487</v>
      </c>
      <c r="G1876" s="1138"/>
      <c r="H1876" s="1260" t="s">
        <v>845</v>
      </c>
      <c r="I1876" s="443"/>
      <c r="J1876" s="443"/>
      <c r="K1876" s="434"/>
      <c r="L1876" s="443"/>
      <c r="M1876" s="95">
        <v>148626983</v>
      </c>
      <c r="N1876" s="1226" t="s">
        <v>589</v>
      </c>
      <c r="O1876" s="83" t="s">
        <v>63</v>
      </c>
      <c r="P1876" s="82" t="str">
        <f>IF(AND('331-CT'!$E$7=TH!H1858,OR(N1876="331",O1876="331")),"x","")</f>
        <v/>
      </c>
      <c r="Q1876" s="82" t="str">
        <f>IF(AND(B1876='111'!$L$11,OR($N1876=$Q$7,$O1876=$Q$7)),"x","")</f>
        <v/>
      </c>
      <c r="R1876" s="82" t="str">
        <f>IF(AND($N1876=$Q$7,$B1876&lt;'111'!$L$11),"x","")</f>
        <v/>
      </c>
      <c r="S1876" s="82" t="str">
        <f>IF(AND($O1876=$Q$7,$B1876&lt;'111'!$L$11),"x","")</f>
        <v>x</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IF(OR(TH!N1858=TH!$X$7,O1876=TH!$X$7),"x","")</f>
        <v>x</v>
      </c>
      <c r="Y1876" s="82" t="str">
        <f>IF(AND(OR(N1876="131",O1876="131"),H1876='131-CT'!$H$9),"x","")</f>
        <v/>
      </c>
      <c r="Z1876" s="82"/>
      <c r="AA1876" s="82" t="str">
        <f>IF(AND(MONTH(E1876)='IN-NX'!$J$5,'IN-NX'!$D$7=D1876),"x","")</f>
        <v/>
      </c>
      <c r="AB1876" s="82" t="str">
        <f>IF(AND(OR(LEFT(TH!N1858,2)="15",LEFT(TH!O1858,2)="15"),LEFT(TH!O1858,3)&lt;&gt;"111",'152-CT'!$J$8=TH!F1858),"x","")</f>
        <v/>
      </c>
      <c r="AC1876" s="82" t="str">
        <f>IF(AND(OR(LEFT(TH!N1858,2)="15",LEFT(TH!O1858,2)="15"),TK!$E$7=TH!F1858),"x","")</f>
        <v/>
      </c>
      <c r="AD1876" s="82" t="str">
        <f>IF(AND(N1876="1521",MONTH(C1876)='BK-NL'!$M$11),"x","")</f>
        <v/>
      </c>
    </row>
    <row r="1877" spans="1:31" ht="15.75" customHeight="1">
      <c r="A1877" s="334" t="str">
        <f>IF(B1877&lt;&gt;"",IF(AND(B1877='IN-TC'!$S$4,OR(TH!N1877="1111",TH!O1877="1111")),TH!D1877,""),"")</f>
        <v/>
      </c>
      <c r="B1877" s="63">
        <f t="shared" si="212"/>
        <v>5</v>
      </c>
      <c r="C1877" s="64">
        <f t="shared" ref="C1877:C1908" si="213">E1877</f>
        <v>42508</v>
      </c>
      <c r="D1877" s="64" t="s">
        <v>699</v>
      </c>
      <c r="E1877" s="64">
        <v>42508</v>
      </c>
      <c r="F1877" s="72" t="s">
        <v>1450</v>
      </c>
      <c r="G1877" s="972" t="s">
        <v>915</v>
      </c>
      <c r="H1877" s="342" t="s">
        <v>598</v>
      </c>
      <c r="I1877" s="437"/>
      <c r="J1877" s="437"/>
      <c r="K1877" s="428">
        <v>70606.179999999993</v>
      </c>
      <c r="L1877" s="437">
        <v>22270</v>
      </c>
      <c r="M1877" s="65">
        <f>ROUND(K1877*L1877,0)</f>
        <v>1572399629</v>
      </c>
      <c r="N1877" s="66" t="s">
        <v>266</v>
      </c>
      <c r="O1877" s="66" t="s">
        <v>585</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1" ht="15.75" customHeight="1">
      <c r="A1878" s="334" t="str">
        <f>IF(B1878&lt;&gt;"",IF(AND(B1878='IN-TC'!$S$4,OR(TH!N1878="1111",TH!O1878="1111")),TH!D1878,""),"")</f>
        <v/>
      </c>
      <c r="B1878" s="63">
        <f t="shared" si="212"/>
        <v>5</v>
      </c>
      <c r="C1878" s="64">
        <f t="shared" si="213"/>
        <v>42508</v>
      </c>
      <c r="D1878" s="64" t="s">
        <v>579</v>
      </c>
      <c r="E1878" s="64">
        <v>42508</v>
      </c>
      <c r="F1878" s="72" t="s">
        <v>1511</v>
      </c>
      <c r="G1878" s="972" t="s">
        <v>915</v>
      </c>
      <c r="H1878" s="342" t="s">
        <v>598</v>
      </c>
      <c r="I1878" s="437"/>
      <c r="J1878" s="437"/>
      <c r="K1878" s="428">
        <v>106.2</v>
      </c>
      <c r="L1878" s="437">
        <v>22270</v>
      </c>
      <c r="M1878" s="65">
        <f>ROUND(K1878*L1878,0)</f>
        <v>2365074</v>
      </c>
      <c r="N1878" s="66" t="s">
        <v>101</v>
      </c>
      <c r="O1878" s="66" t="s">
        <v>585</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1" ht="15.75" customHeight="1">
      <c r="A1879" s="334" t="str">
        <f>IF(B1879&lt;&gt;"",IF(AND(B1879='IN-TC'!$S$4,OR(TH!N1879="1111",TH!O1879="1111")),TH!D1879,""),"")</f>
        <v/>
      </c>
      <c r="B1879" s="63">
        <f t="shared" si="212"/>
        <v>5</v>
      </c>
      <c r="C1879" s="64">
        <f t="shared" si="213"/>
        <v>42508</v>
      </c>
      <c r="D1879" s="64" t="s">
        <v>579</v>
      </c>
      <c r="E1879" s="64">
        <v>42508</v>
      </c>
      <c r="F1879" s="72" t="s">
        <v>1511</v>
      </c>
      <c r="G1879" s="972" t="s">
        <v>915</v>
      </c>
      <c r="H1879" s="342" t="s">
        <v>598</v>
      </c>
      <c r="I1879" s="437"/>
      <c r="J1879" s="437"/>
      <c r="K1879" s="428">
        <v>10.62</v>
      </c>
      <c r="L1879" s="437">
        <v>22270</v>
      </c>
      <c r="M1879" s="65">
        <f>ROUND(K1879*L1879,0)</f>
        <v>236507</v>
      </c>
      <c r="N1879" s="66" t="s">
        <v>101</v>
      </c>
      <c r="O1879" s="66" t="s">
        <v>585</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1" s="348" customFormat="1" ht="15.75" customHeight="1">
      <c r="A1880" s="334" t="str">
        <f>IF(B1880&lt;&gt;"",IF(AND(B1880='IN-TC'!$S$4,OR(TH!N1880="1111",TH!O1880="1111")),TH!D1880,""),"")</f>
        <v/>
      </c>
      <c r="B1880" s="1134">
        <f t="shared" si="212"/>
        <v>5</v>
      </c>
      <c r="C1880" s="92">
        <f t="shared" si="213"/>
        <v>42508</v>
      </c>
      <c r="D1880" s="92" t="s">
        <v>579</v>
      </c>
      <c r="E1880" s="92">
        <v>42508</v>
      </c>
      <c r="F1880" s="72" t="s">
        <v>1513</v>
      </c>
      <c r="G1880" s="1138" t="s">
        <v>915</v>
      </c>
      <c r="H1880" s="978" t="s">
        <v>598</v>
      </c>
      <c r="I1880" s="443"/>
      <c r="J1880" s="443"/>
      <c r="K1880" s="434">
        <v>79</v>
      </c>
      <c r="L1880" s="443">
        <v>22270</v>
      </c>
      <c r="M1880" s="95">
        <f>ROUND(K1880*L1880,0)</f>
        <v>1759330</v>
      </c>
      <c r="N1880" s="83" t="s">
        <v>9</v>
      </c>
      <c r="O1880" s="83" t="s">
        <v>585</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x</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c r="AE1880" s="328"/>
    </row>
    <row r="1881" spans="1:31" ht="15.75" customHeight="1">
      <c r="A1881" s="334" t="str">
        <f>IF(B1881&lt;&gt;"",IF(AND(B1881='IN-TC'!$S$4,OR(TH!N1881="1111",TH!O1881="1111")),TH!D1881,""),"")</f>
        <v/>
      </c>
      <c r="B1881" s="63">
        <f t="shared" si="212"/>
        <v>5</v>
      </c>
      <c r="C1881" s="64">
        <f t="shared" si="213"/>
        <v>42508</v>
      </c>
      <c r="D1881" s="64" t="s">
        <v>579</v>
      </c>
      <c r="E1881" s="64">
        <v>42508</v>
      </c>
      <c r="F1881" s="72" t="s">
        <v>1062</v>
      </c>
      <c r="G1881" s="972"/>
      <c r="H1881" s="342" t="s">
        <v>598</v>
      </c>
      <c r="I1881" s="437"/>
      <c r="J1881" s="437"/>
      <c r="K1881" s="428"/>
      <c r="L1881" s="437"/>
      <c r="M1881" s="65">
        <v>1062030</v>
      </c>
      <c r="N1881" s="66" t="s">
        <v>585</v>
      </c>
      <c r="O1881" s="66" t="s">
        <v>43</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1" ht="15.75" customHeight="1">
      <c r="A1882" s="334" t="str">
        <f>IF(B1882&lt;&gt;"",IF(AND(B1882='IN-TC'!$S$4,OR(TH!N1882="1111",TH!O1882="1111")),TH!D1882,""),"")</f>
        <v/>
      </c>
      <c r="B1882" s="63">
        <f t="shared" si="212"/>
        <v>5</v>
      </c>
      <c r="C1882" s="64">
        <f t="shared" si="213"/>
        <v>42508</v>
      </c>
      <c r="D1882" s="64" t="s">
        <v>702</v>
      </c>
      <c r="E1882" s="64">
        <v>42508</v>
      </c>
      <c r="F1882" s="72" t="s">
        <v>1438</v>
      </c>
      <c r="G1882" s="972" t="s">
        <v>915</v>
      </c>
      <c r="H1882" s="342" t="s">
        <v>1540</v>
      </c>
      <c r="I1882" s="437"/>
      <c r="J1882" s="437"/>
      <c r="K1882" s="428">
        <v>63720</v>
      </c>
      <c r="L1882" s="437">
        <v>22260</v>
      </c>
      <c r="M1882" s="65">
        <f t="shared" ref="M1882:M1890" si="214">ROUND(K1882*L1882,0)</f>
        <v>1418407200</v>
      </c>
      <c r="N1882" s="66" t="s">
        <v>26</v>
      </c>
      <c r="O1882" s="66" t="s">
        <v>266</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1" ht="15.75" customHeight="1">
      <c r="A1883" s="334" t="str">
        <f>IF(B1883&lt;&gt;"",IF(AND(B1883='IN-TC'!$S$4,OR(TH!N1883="1111",TH!O1883="1111")),TH!D1883,""),"")</f>
        <v/>
      </c>
      <c r="B1883" s="63">
        <f t="shared" si="212"/>
        <v>5</v>
      </c>
      <c r="C1883" s="64">
        <f t="shared" si="213"/>
        <v>42508</v>
      </c>
      <c r="D1883" s="64" t="s">
        <v>702</v>
      </c>
      <c r="E1883" s="64">
        <v>42508</v>
      </c>
      <c r="F1883" s="72" t="s">
        <v>1438</v>
      </c>
      <c r="G1883" s="972" t="s">
        <v>915</v>
      </c>
      <c r="H1883" s="342"/>
      <c r="I1883" s="437"/>
      <c r="J1883" s="437"/>
      <c r="K1883" s="428">
        <v>6800</v>
      </c>
      <c r="L1883" s="437">
        <v>22300</v>
      </c>
      <c r="M1883" s="65">
        <f t="shared" si="214"/>
        <v>151640000</v>
      </c>
      <c r="N1883" s="66" t="s">
        <v>26</v>
      </c>
      <c r="O1883" s="66" t="s">
        <v>266</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1" ht="15.75" customHeight="1">
      <c r="A1884" s="334" t="str">
        <f>IF(B1884&lt;&gt;"",IF(AND(B1884='IN-TC'!$S$4,OR(TH!N1884="1111",TH!O1884="1111")),TH!D1884,""),"")</f>
        <v/>
      </c>
      <c r="B1884" s="63">
        <f t="shared" si="212"/>
        <v>5</v>
      </c>
      <c r="C1884" s="64">
        <f t="shared" si="213"/>
        <v>42510</v>
      </c>
      <c r="D1884" s="64" t="s">
        <v>699</v>
      </c>
      <c r="E1884" s="64">
        <v>42510</v>
      </c>
      <c r="F1884" s="72" t="s">
        <v>1450</v>
      </c>
      <c r="G1884" s="972" t="s">
        <v>915</v>
      </c>
      <c r="H1884" s="342" t="s">
        <v>599</v>
      </c>
      <c r="I1884" s="437"/>
      <c r="J1884" s="437"/>
      <c r="K1884" s="428">
        <v>4991.58</v>
      </c>
      <c r="L1884" s="437">
        <v>22280</v>
      </c>
      <c r="M1884" s="65">
        <f t="shared" si="214"/>
        <v>111212402</v>
      </c>
      <c r="N1884" s="66" t="s">
        <v>266</v>
      </c>
      <c r="O1884" s="66" t="s">
        <v>585</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1" ht="15.75" customHeight="1">
      <c r="A1885" s="334" t="str">
        <f>IF(B1885&lt;&gt;"",IF(AND(B1885='IN-TC'!$S$4,OR(TH!N1885="1111",TH!O1885="1111")),TH!D1885,""),"")</f>
        <v/>
      </c>
      <c r="B1885" s="63">
        <f t="shared" si="212"/>
        <v>5</v>
      </c>
      <c r="C1885" s="64">
        <f t="shared" si="213"/>
        <v>42510</v>
      </c>
      <c r="D1885" s="64" t="s">
        <v>579</v>
      </c>
      <c r="E1885" s="64">
        <v>42510</v>
      </c>
      <c r="F1885" s="72" t="s">
        <v>1511</v>
      </c>
      <c r="G1885" s="972" t="s">
        <v>915</v>
      </c>
      <c r="H1885" s="342" t="s">
        <v>599</v>
      </c>
      <c r="I1885" s="437"/>
      <c r="J1885" s="437"/>
      <c r="K1885" s="428">
        <v>2.2000000000000002</v>
      </c>
      <c r="L1885" s="437">
        <v>22280</v>
      </c>
      <c r="M1885" s="65">
        <f t="shared" si="214"/>
        <v>49016</v>
      </c>
      <c r="N1885" s="66" t="s">
        <v>101</v>
      </c>
      <c r="O1885" s="66" t="s">
        <v>585</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1" ht="15.75" customHeight="1">
      <c r="A1886" s="334" t="str">
        <f>IF(B1886&lt;&gt;"",IF(AND(B1886='IN-TC'!$S$4,OR(TH!N1886="1111",TH!O1886="1111")),TH!D1886,""),"")</f>
        <v/>
      </c>
      <c r="B1886" s="63">
        <f t="shared" si="212"/>
        <v>5</v>
      </c>
      <c r="C1886" s="64">
        <f t="shared" si="213"/>
        <v>42510</v>
      </c>
      <c r="D1886" s="64" t="s">
        <v>579</v>
      </c>
      <c r="E1886" s="64">
        <v>42510</v>
      </c>
      <c r="F1886" s="72" t="s">
        <v>1512</v>
      </c>
      <c r="G1886" s="972" t="s">
        <v>915</v>
      </c>
      <c r="H1886" s="342" t="s">
        <v>599</v>
      </c>
      <c r="I1886" s="437"/>
      <c r="J1886" s="437"/>
      <c r="K1886" s="428">
        <v>0.22</v>
      </c>
      <c r="L1886" s="437">
        <v>22280</v>
      </c>
      <c r="M1886" s="65">
        <f t="shared" si="214"/>
        <v>4902</v>
      </c>
      <c r="N1886" s="66" t="s">
        <v>9</v>
      </c>
      <c r="O1886" s="66" t="s">
        <v>585</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x</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1" ht="15.75" customHeight="1">
      <c r="A1887" s="334" t="str">
        <f>IF(B1887&lt;&gt;"",IF(AND(B1887='IN-TC'!$S$4,OR(TH!N1887="1111",TH!O1887="1111")),TH!D1887,""),"")</f>
        <v/>
      </c>
      <c r="B1887" s="63">
        <f t="shared" si="212"/>
        <v>5</v>
      </c>
      <c r="C1887" s="64">
        <f t="shared" si="213"/>
        <v>42510</v>
      </c>
      <c r="D1887" s="64" t="s">
        <v>579</v>
      </c>
      <c r="E1887" s="64">
        <v>42510</v>
      </c>
      <c r="F1887" s="72" t="s">
        <v>1513</v>
      </c>
      <c r="G1887" s="972" t="s">
        <v>915</v>
      </c>
      <c r="H1887" s="342" t="s">
        <v>599</v>
      </c>
      <c r="I1887" s="437"/>
      <c r="J1887" s="437"/>
      <c r="K1887" s="428">
        <v>3</v>
      </c>
      <c r="L1887" s="437">
        <v>22280</v>
      </c>
      <c r="M1887" s="65">
        <f t="shared" si="214"/>
        <v>66840</v>
      </c>
      <c r="N1887" s="66" t="s">
        <v>101</v>
      </c>
      <c r="O1887" s="66" t="s">
        <v>585</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1" ht="15.75" customHeight="1">
      <c r="A1888" s="334" t="str">
        <f>IF(B1888&lt;&gt;"",IF(AND(B1888='IN-TC'!$S$4,OR(TH!N1888="1111",TH!O1888="1111")),TH!D1888,""),"")</f>
        <v/>
      </c>
      <c r="B1888" s="63">
        <f t="shared" si="212"/>
        <v>5</v>
      </c>
      <c r="C1888" s="64">
        <f t="shared" si="213"/>
        <v>42510</v>
      </c>
      <c r="D1888" s="64" t="s">
        <v>702</v>
      </c>
      <c r="E1888" s="64">
        <v>42510</v>
      </c>
      <c r="F1888" s="72" t="s">
        <v>1438</v>
      </c>
      <c r="G1888" s="972" t="s">
        <v>915</v>
      </c>
      <c r="H1888" s="342"/>
      <c r="I1888" s="437"/>
      <c r="J1888" s="437"/>
      <c r="K1888" s="428">
        <v>5000</v>
      </c>
      <c r="L1888" s="437">
        <v>22290</v>
      </c>
      <c r="M1888" s="65">
        <f t="shared" si="214"/>
        <v>111450000</v>
      </c>
      <c r="N1888" s="66" t="s">
        <v>26</v>
      </c>
      <c r="O1888" s="66" t="s">
        <v>266</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customHeight="1">
      <c r="A1889" s="334" t="str">
        <f>IF(B1889&lt;&gt;"",IF(AND(B1889='IN-TC'!$S$4,OR(TH!N1889="1111",TH!O1889="1111")),TH!D1889,""),"")</f>
        <v/>
      </c>
      <c r="B1889" s="63">
        <f t="shared" si="212"/>
        <v>5</v>
      </c>
      <c r="C1889" s="64">
        <f t="shared" si="213"/>
        <v>42517</v>
      </c>
      <c r="D1889" s="64" t="s">
        <v>699</v>
      </c>
      <c r="E1889" s="316">
        <v>42517</v>
      </c>
      <c r="F1889" s="72" t="s">
        <v>1450</v>
      </c>
      <c r="G1889" s="972" t="s">
        <v>915</v>
      </c>
      <c r="H1889" s="1164" t="s">
        <v>595</v>
      </c>
      <c r="I1889" s="437"/>
      <c r="J1889" s="437"/>
      <c r="K1889" s="428">
        <v>41493</v>
      </c>
      <c r="L1889" s="437">
        <v>22290</v>
      </c>
      <c r="M1889" s="65">
        <f t="shared" si="214"/>
        <v>924878970</v>
      </c>
      <c r="N1889" s="66" t="s">
        <v>266</v>
      </c>
      <c r="O1889" s="66" t="s">
        <v>585</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customHeight="1">
      <c r="A1890" s="334" t="str">
        <f>IF(B1890&lt;&gt;"",IF(AND(B1890='IN-TC'!$S$4,OR(TH!N1890="1111",TH!O1890="1111")),TH!D1890,""),"")</f>
        <v/>
      </c>
      <c r="B1890" s="63">
        <f t="shared" si="212"/>
        <v>5</v>
      </c>
      <c r="C1890" s="64">
        <f t="shared" si="213"/>
        <v>42517</v>
      </c>
      <c r="D1890" s="64" t="s">
        <v>579</v>
      </c>
      <c r="E1890" s="316">
        <v>42517</v>
      </c>
      <c r="F1890" s="72" t="s">
        <v>1513</v>
      </c>
      <c r="G1890" s="972" t="s">
        <v>915</v>
      </c>
      <c r="H1890" s="1164" t="s">
        <v>595</v>
      </c>
      <c r="I1890" s="437"/>
      <c r="J1890" s="437"/>
      <c r="K1890" s="428">
        <v>267</v>
      </c>
      <c r="L1890" s="437">
        <v>22290</v>
      </c>
      <c r="M1890" s="65">
        <f t="shared" si="214"/>
        <v>5951430</v>
      </c>
      <c r="N1890" s="66" t="s">
        <v>101</v>
      </c>
      <c r="O1890" s="66" t="s">
        <v>585</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customHeight="1">
      <c r="A1891" s="334" t="str">
        <f>IF(B1891&lt;&gt;"",IF(AND(B1891='IN-TC'!$S$4,OR(TH!N1891="1111",TH!O1891="1111")),TH!D1891,""),"")</f>
        <v/>
      </c>
      <c r="B1891" s="63">
        <f t="shared" si="212"/>
        <v>5</v>
      </c>
      <c r="C1891" s="64">
        <f t="shared" si="213"/>
        <v>42517</v>
      </c>
      <c r="D1891" s="64" t="s">
        <v>579</v>
      </c>
      <c r="E1891" s="316">
        <v>42517</v>
      </c>
      <c r="F1891" s="72" t="s">
        <v>1062</v>
      </c>
      <c r="G1891" s="972"/>
      <c r="H1891" s="1164" t="s">
        <v>595</v>
      </c>
      <c r="I1891" s="437"/>
      <c r="J1891" s="437"/>
      <c r="K1891" s="428"/>
      <c r="L1891" s="437"/>
      <c r="M1891" s="65">
        <v>1461600</v>
      </c>
      <c r="N1891" s="66" t="s">
        <v>585</v>
      </c>
      <c r="O1891" s="66" t="s">
        <v>43</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customHeight="1">
      <c r="A1892" s="334" t="str">
        <f>IF(B1892&lt;&gt;"",IF(AND(B1892='IN-TC'!$S$4,OR(TH!N1892="1111",TH!O1892="1111")),TH!D1892,""),"")</f>
        <v/>
      </c>
      <c r="B1892" s="63">
        <f t="shared" si="212"/>
        <v>5</v>
      </c>
      <c r="C1892" s="64">
        <f t="shared" si="213"/>
        <v>42517</v>
      </c>
      <c r="D1892" s="64" t="s">
        <v>702</v>
      </c>
      <c r="E1892" s="316">
        <v>42517</v>
      </c>
      <c r="F1892" s="72" t="s">
        <v>1438</v>
      </c>
      <c r="G1892" s="972" t="s">
        <v>915</v>
      </c>
      <c r="H1892" s="1164" t="s">
        <v>1541</v>
      </c>
      <c r="I1892" s="437"/>
      <c r="J1892" s="437"/>
      <c r="K1892" s="428">
        <v>37580</v>
      </c>
      <c r="L1892" s="437">
        <v>22290</v>
      </c>
      <c r="M1892" s="65">
        <f>ROUND(K1892*L1892,0)</f>
        <v>837658200</v>
      </c>
      <c r="N1892" s="66" t="s">
        <v>26</v>
      </c>
      <c r="O1892" s="66" t="s">
        <v>266</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customHeight="1">
      <c r="A1893" s="334" t="str">
        <f>IF(B1893&lt;&gt;"",IF(AND(B1893='IN-TC'!$S$4,OR(TH!N1893="1111",TH!O1893="1111")),TH!D1893,""),"")</f>
        <v/>
      </c>
      <c r="B1893" s="63">
        <f t="shared" si="212"/>
        <v>5</v>
      </c>
      <c r="C1893" s="64">
        <f t="shared" si="213"/>
        <v>42518</v>
      </c>
      <c r="D1893" s="64" t="s">
        <v>702</v>
      </c>
      <c r="E1893" s="316">
        <v>42518</v>
      </c>
      <c r="F1893" s="72" t="s">
        <v>1438</v>
      </c>
      <c r="G1893" s="972" t="s">
        <v>915</v>
      </c>
      <c r="H1893" s="342"/>
      <c r="I1893" s="437"/>
      <c r="J1893" s="437"/>
      <c r="K1893" s="428">
        <v>3900</v>
      </c>
      <c r="L1893" s="437">
        <v>22360</v>
      </c>
      <c r="M1893" s="65">
        <f>ROUND(K1893*L1893,0)</f>
        <v>87204000</v>
      </c>
      <c r="N1893" s="66" t="s">
        <v>26</v>
      </c>
      <c r="O1893" s="66" t="s">
        <v>266</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customHeight="1">
      <c r="A1894" s="334" t="str">
        <f>IF(B1894&lt;&gt;"",IF(AND(B1894='IN-TC'!$S$4,OR(TH!N1894="1111",TH!O1894="1111")),TH!D1894,""),"")</f>
        <v/>
      </c>
      <c r="B1894" s="63">
        <f t="shared" si="212"/>
        <v>5</v>
      </c>
      <c r="C1894" s="64">
        <f t="shared" si="213"/>
        <v>42501</v>
      </c>
      <c r="D1894" s="316" t="s">
        <v>699</v>
      </c>
      <c r="E1894" s="64">
        <v>42501</v>
      </c>
      <c r="F1894" s="72" t="s">
        <v>1184</v>
      </c>
      <c r="G1894" s="972" t="s">
        <v>915</v>
      </c>
      <c r="H1894" s="1164" t="s">
        <v>1540</v>
      </c>
      <c r="I1894" s="437"/>
      <c r="J1894" s="437"/>
      <c r="K1894" s="428"/>
      <c r="L1894" s="437"/>
      <c r="M1894" s="65">
        <v>1417486081</v>
      </c>
      <c r="N1894" s="66" t="s">
        <v>26</v>
      </c>
      <c r="O1894" s="66" t="s">
        <v>260</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x</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customHeight="1">
      <c r="A1895" s="334" t="str">
        <f>IF(B1895&lt;&gt;"",IF(AND(B1895='IN-TC'!$S$4,OR(TH!N1895="1111",TH!O1895="1111")),TH!D1895,""),"")</f>
        <v/>
      </c>
      <c r="B1895" s="63">
        <f t="shared" si="212"/>
        <v>5</v>
      </c>
      <c r="C1895" s="64">
        <f t="shared" si="213"/>
        <v>42501</v>
      </c>
      <c r="D1895" s="64" t="s">
        <v>579</v>
      </c>
      <c r="E1895" s="64">
        <v>42501</v>
      </c>
      <c r="F1895" s="72" t="s">
        <v>611</v>
      </c>
      <c r="G1895" s="972" t="s">
        <v>915</v>
      </c>
      <c r="H1895" s="1164" t="s">
        <v>1540</v>
      </c>
      <c r="I1895" s="437"/>
      <c r="J1895" s="437"/>
      <c r="K1895" s="428"/>
      <c r="L1895" s="437"/>
      <c r="M1895" s="65">
        <v>222600</v>
      </c>
      <c r="N1895" s="66" t="s">
        <v>101</v>
      </c>
      <c r="O1895" s="66" t="s">
        <v>260</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x</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customHeight="1">
      <c r="A1896" s="334" t="str">
        <f>IF(B1896&lt;&gt;"",IF(AND(B1896='IN-TC'!$S$4,OR(TH!N1896="1111",TH!O1896="1111")),TH!D1896,""),"")</f>
        <v/>
      </c>
      <c r="B1896" s="63">
        <f t="shared" si="212"/>
        <v>5</v>
      </c>
      <c r="C1896" s="64">
        <f t="shared" si="213"/>
        <v>42501</v>
      </c>
      <c r="D1896" s="64" t="s">
        <v>579</v>
      </c>
      <c r="E1896" s="64">
        <v>42501</v>
      </c>
      <c r="F1896" s="72" t="s">
        <v>1187</v>
      </c>
      <c r="G1896" s="972" t="s">
        <v>915</v>
      </c>
      <c r="H1896" s="1164" t="s">
        <v>1540</v>
      </c>
      <c r="I1896" s="437"/>
      <c r="J1896" s="437"/>
      <c r="K1896" s="428"/>
      <c r="L1896" s="437"/>
      <c r="M1896" s="65">
        <v>22260</v>
      </c>
      <c r="N1896" s="66" t="s">
        <v>9</v>
      </c>
      <c r="O1896" s="66" t="s">
        <v>260</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x</v>
      </c>
      <c r="X1896" s="82" t="str">
        <f>IF(OR(TH!N1896=TH!$X$7,O1896=TH!$X$7),"x","")</f>
        <v>x</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customHeight="1">
      <c r="A1897" s="334" t="str">
        <f>IF(B1897&lt;&gt;"",IF(AND(B1897='IN-TC'!$S$4,OR(TH!N1897="1111",TH!O1897="1111")),TH!D1897,""),"")</f>
        <v/>
      </c>
      <c r="B1897" s="63">
        <f t="shared" si="212"/>
        <v>5</v>
      </c>
      <c r="C1897" s="64">
        <f t="shared" si="213"/>
        <v>42501</v>
      </c>
      <c r="D1897" s="64" t="s">
        <v>579</v>
      </c>
      <c r="E1897" s="64">
        <v>42501</v>
      </c>
      <c r="F1897" s="72" t="s">
        <v>612</v>
      </c>
      <c r="G1897" s="972" t="s">
        <v>915</v>
      </c>
      <c r="H1897" s="1164" t="s">
        <v>1540</v>
      </c>
      <c r="I1897" s="437"/>
      <c r="J1897" s="437"/>
      <c r="K1897" s="428"/>
      <c r="L1897" s="437"/>
      <c r="M1897" s="65">
        <v>614821</v>
      </c>
      <c r="N1897" s="66" t="s">
        <v>101</v>
      </c>
      <c r="O1897" s="66" t="s">
        <v>260</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x</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customHeight="1">
      <c r="A1898" s="334" t="str">
        <f>IF(B1898&lt;&gt;"",IF(AND(B1898='IN-TC'!$S$4,OR(TH!N1898="1111",TH!O1898="1111")),TH!D1898,""),"")</f>
        <v/>
      </c>
      <c r="B1898" s="63">
        <f t="shared" si="212"/>
        <v>5</v>
      </c>
      <c r="C1898" s="64">
        <f t="shared" si="213"/>
        <v>42501</v>
      </c>
      <c r="D1898" s="64" t="s">
        <v>579</v>
      </c>
      <c r="E1898" s="64">
        <v>42501</v>
      </c>
      <c r="F1898" s="72" t="s">
        <v>1311</v>
      </c>
      <c r="G1898" s="972" t="s">
        <v>915</v>
      </c>
      <c r="H1898" s="1164" t="s">
        <v>1540</v>
      </c>
      <c r="I1898" s="437"/>
      <c r="J1898" s="437"/>
      <c r="K1898" s="428"/>
      <c r="L1898" s="437"/>
      <c r="M1898" s="65">
        <v>61438</v>
      </c>
      <c r="N1898" s="66" t="s">
        <v>9</v>
      </c>
      <c r="O1898" s="66" t="s">
        <v>260</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x</v>
      </c>
      <c r="X1898" s="82" t="str">
        <f>IF(OR(TH!N1898=TH!$X$7,O1898=TH!$X$7),"x","")</f>
        <v>x</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customHeight="1">
      <c r="A1899" s="334" t="str">
        <f>IF(B1899&lt;&gt;"",IF(AND(B1899='IN-TC'!$S$4,OR(TH!N1899="1111",TH!O1899="1111")),TH!D1899,""),"")</f>
        <v/>
      </c>
      <c r="B1899" s="63">
        <f t="shared" si="212"/>
        <v>5</v>
      </c>
      <c r="C1899" s="64">
        <f t="shared" si="213"/>
        <v>42503</v>
      </c>
      <c r="D1899" s="316" t="s">
        <v>699</v>
      </c>
      <c r="E1899" s="64">
        <v>42503</v>
      </c>
      <c r="F1899" s="72" t="s">
        <v>1184</v>
      </c>
      <c r="G1899" s="972" t="s">
        <v>915</v>
      </c>
      <c r="H1899" s="1164" t="s">
        <v>1541</v>
      </c>
      <c r="I1899" s="437"/>
      <c r="J1899" s="437"/>
      <c r="K1899" s="428"/>
      <c r="L1899" s="437"/>
      <c r="M1899" s="65">
        <v>836613245</v>
      </c>
      <c r="N1899" s="66" t="s">
        <v>26</v>
      </c>
      <c r="O1899" s="66" t="s">
        <v>260</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customHeight="1">
      <c r="A1900" s="334" t="str">
        <f>IF(B1900&lt;&gt;"",IF(AND(B1900='IN-TC'!$S$4,OR(TH!N1900="1111",TH!O1900="1111")),TH!D1900,""),"")</f>
        <v/>
      </c>
      <c r="B1900" s="63">
        <f t="shared" si="212"/>
        <v>5</v>
      </c>
      <c r="C1900" s="64">
        <f t="shared" si="213"/>
        <v>42503</v>
      </c>
      <c r="D1900" s="64" t="s">
        <v>579</v>
      </c>
      <c r="E1900" s="64">
        <v>42503</v>
      </c>
      <c r="F1900" s="72" t="s">
        <v>611</v>
      </c>
      <c r="G1900" s="972" t="s">
        <v>915</v>
      </c>
      <c r="H1900" s="1164" t="s">
        <v>1541</v>
      </c>
      <c r="I1900" s="437"/>
      <c r="J1900" s="437"/>
      <c r="K1900" s="428"/>
      <c r="L1900" s="437"/>
      <c r="M1900" s="65">
        <v>222900</v>
      </c>
      <c r="N1900" s="66" t="s">
        <v>101</v>
      </c>
      <c r="O1900" s="66" t="s">
        <v>260</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customHeight="1">
      <c r="A1901" s="334" t="str">
        <f>IF(B1901&lt;&gt;"",IF(AND(B1901='IN-TC'!$S$4,OR(TH!N1901="1111",TH!O1901="1111")),TH!D1901,""),"")</f>
        <v/>
      </c>
      <c r="B1901" s="63">
        <f t="shared" si="212"/>
        <v>5</v>
      </c>
      <c r="C1901" s="64">
        <f t="shared" si="213"/>
        <v>42503</v>
      </c>
      <c r="D1901" s="64" t="s">
        <v>579</v>
      </c>
      <c r="E1901" s="64">
        <v>42503</v>
      </c>
      <c r="F1901" s="72" t="s">
        <v>1187</v>
      </c>
      <c r="G1901" s="972" t="s">
        <v>915</v>
      </c>
      <c r="H1901" s="1164" t="s">
        <v>1541</v>
      </c>
      <c r="I1901" s="437"/>
      <c r="J1901" s="437"/>
      <c r="K1901" s="428"/>
      <c r="L1901" s="437"/>
      <c r="M1901" s="65">
        <v>22290</v>
      </c>
      <c r="N1901" s="66" t="s">
        <v>9</v>
      </c>
      <c r="O1901" s="66" t="s">
        <v>260</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x</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customHeight="1">
      <c r="A1902" s="334" t="str">
        <f>IF(B1902&lt;&gt;"",IF(AND(B1902='IN-TC'!$S$4,OR(TH!N1902="1111",TH!O1902="1111")),TH!D1902,""),"")</f>
        <v/>
      </c>
      <c r="B1902" s="63">
        <f t="shared" si="212"/>
        <v>5</v>
      </c>
      <c r="C1902" s="64">
        <f t="shared" si="213"/>
        <v>42503</v>
      </c>
      <c r="D1902" s="64" t="s">
        <v>579</v>
      </c>
      <c r="E1902" s="64">
        <v>42503</v>
      </c>
      <c r="F1902" s="72" t="s">
        <v>612</v>
      </c>
      <c r="G1902" s="972" t="s">
        <v>915</v>
      </c>
      <c r="H1902" s="1164" t="s">
        <v>1541</v>
      </c>
      <c r="I1902" s="437"/>
      <c r="J1902" s="437"/>
      <c r="K1902" s="428"/>
      <c r="L1902" s="437"/>
      <c r="M1902" s="65">
        <v>615650</v>
      </c>
      <c r="N1902" s="66" t="s">
        <v>101</v>
      </c>
      <c r="O1902" s="66" t="s">
        <v>260</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customHeight="1">
      <c r="A1903" s="334" t="str">
        <f>IF(B1903&lt;&gt;"",IF(AND(B1903='IN-TC'!$S$4,OR(TH!N1903="1111",TH!O1903="1111")),TH!D1903,""),"")</f>
        <v/>
      </c>
      <c r="B1903" s="63">
        <f t="shared" si="212"/>
        <v>5</v>
      </c>
      <c r="C1903" s="64">
        <f t="shared" si="213"/>
        <v>42503</v>
      </c>
      <c r="D1903" s="64" t="s">
        <v>579</v>
      </c>
      <c r="E1903" s="64">
        <v>42503</v>
      </c>
      <c r="F1903" s="72" t="s">
        <v>1311</v>
      </c>
      <c r="G1903" s="972" t="s">
        <v>915</v>
      </c>
      <c r="H1903" s="1164" t="s">
        <v>1541</v>
      </c>
      <c r="I1903" s="437"/>
      <c r="J1903" s="437"/>
      <c r="K1903" s="428"/>
      <c r="L1903" s="437"/>
      <c r="M1903" s="65">
        <v>61520</v>
      </c>
      <c r="N1903" s="66" t="s">
        <v>9</v>
      </c>
      <c r="O1903" s="66" t="s">
        <v>260</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x</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customHeight="1">
      <c r="A1904" s="334" t="str">
        <f>IF(B1904&lt;&gt;"",IF(AND(B1904='IN-TC'!$S$4,OR(TH!N1904="1111",TH!O1904="1111")),TH!D1904,""),"")</f>
        <v/>
      </c>
      <c r="B1904" s="63">
        <f t="shared" si="212"/>
        <v>5</v>
      </c>
      <c r="C1904" s="64">
        <f t="shared" si="213"/>
        <v>42503</v>
      </c>
      <c r="D1904" s="64" t="s">
        <v>579</v>
      </c>
      <c r="E1904" s="64">
        <v>42503</v>
      </c>
      <c r="F1904" s="72" t="s">
        <v>613</v>
      </c>
      <c r="G1904" s="972" t="s">
        <v>915</v>
      </c>
      <c r="H1904" s="1164" t="s">
        <v>1541</v>
      </c>
      <c r="I1904" s="437"/>
      <c r="J1904" s="437"/>
      <c r="K1904" s="428"/>
      <c r="L1904" s="437"/>
      <c r="M1904" s="65">
        <v>111450</v>
      </c>
      <c r="N1904" s="66" t="s">
        <v>101</v>
      </c>
      <c r="O1904" s="66" t="s">
        <v>260</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1" ht="15.75" customHeight="1">
      <c r="A1905" s="334" t="str">
        <f>IF(B1905&lt;&gt;"",IF(AND(B1905='IN-TC'!$S$4,OR(TH!N1905="1111",TH!O1905="1111")),TH!D1905,""),"")</f>
        <v/>
      </c>
      <c r="B1905" s="63">
        <f t="shared" si="212"/>
        <v>5</v>
      </c>
      <c r="C1905" s="64">
        <f t="shared" si="213"/>
        <v>42503</v>
      </c>
      <c r="D1905" s="64" t="s">
        <v>579</v>
      </c>
      <c r="E1905" s="64">
        <v>42503</v>
      </c>
      <c r="F1905" s="72" t="s">
        <v>1191</v>
      </c>
      <c r="G1905" s="972" t="s">
        <v>915</v>
      </c>
      <c r="H1905" s="1164" t="s">
        <v>1541</v>
      </c>
      <c r="I1905" s="437"/>
      <c r="J1905" s="437"/>
      <c r="K1905" s="428"/>
      <c r="L1905" s="437"/>
      <c r="M1905" s="65">
        <v>11145</v>
      </c>
      <c r="N1905" s="66" t="s">
        <v>9</v>
      </c>
      <c r="O1905" s="66" t="s">
        <v>260</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x</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1" ht="15.75" customHeight="1">
      <c r="A1906" s="334" t="str">
        <f>IF(B1906&lt;&gt;"",IF(AND(B1906='IN-TC'!$S$4,OR(TH!N1906="1111",TH!O1906="1111")),TH!D1906,""),"")</f>
        <v/>
      </c>
      <c r="B1906" s="63">
        <f t="shared" si="212"/>
        <v>5</v>
      </c>
      <c r="C1906" s="64">
        <f t="shared" si="213"/>
        <v>42514</v>
      </c>
      <c r="D1906" s="316" t="s">
        <v>699</v>
      </c>
      <c r="E1906" s="64">
        <v>42514</v>
      </c>
      <c r="F1906" s="72" t="s">
        <v>1542</v>
      </c>
      <c r="G1906" s="972" t="s">
        <v>915</v>
      </c>
      <c r="H1906" s="72"/>
      <c r="I1906" s="437"/>
      <c r="J1906" s="437"/>
      <c r="K1906" s="428"/>
      <c r="L1906" s="437"/>
      <c r="M1906" s="65">
        <v>23165</v>
      </c>
      <c r="N1906" s="66" t="s">
        <v>26</v>
      </c>
      <c r="O1906" s="66" t="s">
        <v>43</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1" ht="15.75" customHeight="1">
      <c r="A1907" s="334" t="str">
        <f>IF(B1907&lt;&gt;"",IF(AND(B1907='IN-TC'!$S$4,OR(TH!N1907="1111",TH!O1907="1111")),TH!D1907,""),"")</f>
        <v/>
      </c>
      <c r="B1907" s="63">
        <f t="shared" si="212"/>
        <v>5</v>
      </c>
      <c r="C1907" s="64">
        <f t="shared" si="213"/>
        <v>42494</v>
      </c>
      <c r="D1907" s="316" t="s">
        <v>702</v>
      </c>
      <c r="E1907" s="64">
        <v>42494</v>
      </c>
      <c r="F1907" s="72" t="s">
        <v>1443</v>
      </c>
      <c r="G1907" s="972" t="s">
        <v>915</v>
      </c>
      <c r="H1907" s="72" t="s">
        <v>1211</v>
      </c>
      <c r="I1907" s="437"/>
      <c r="J1907" s="437"/>
      <c r="K1907" s="428"/>
      <c r="L1907" s="437"/>
      <c r="M1907" s="65">
        <v>95000000</v>
      </c>
      <c r="N1907" s="66" t="s">
        <v>72</v>
      </c>
      <c r="O1907" s="66" t="s">
        <v>26</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1" ht="15.75" customHeight="1">
      <c r="A1908" s="334" t="str">
        <f>IF(B1908&lt;&gt;"",IF(AND(B1908='IN-TC'!$S$4,OR(TH!N1908="1111",TH!O1908="1111")),TH!D1908,""),"")</f>
        <v/>
      </c>
      <c r="B1908" s="63">
        <f t="shared" si="212"/>
        <v>5</v>
      </c>
      <c r="C1908" s="64">
        <f t="shared" si="213"/>
        <v>42494</v>
      </c>
      <c r="D1908" s="316" t="s">
        <v>702</v>
      </c>
      <c r="E1908" s="64">
        <v>42494</v>
      </c>
      <c r="F1908" s="72" t="s">
        <v>1543</v>
      </c>
      <c r="G1908" s="972" t="s">
        <v>915</v>
      </c>
      <c r="H1908" s="72" t="s">
        <v>629</v>
      </c>
      <c r="I1908" s="437"/>
      <c r="J1908" s="437"/>
      <c r="K1908" s="428"/>
      <c r="L1908" s="437"/>
      <c r="M1908" s="65">
        <v>31206780</v>
      </c>
      <c r="N1908" s="66" t="s">
        <v>8</v>
      </c>
      <c r="O1908" s="66" t="s">
        <v>26</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c r="AE1908" s="1136" t="str">
        <f>IF(H1908&lt;&gt;VLOOKUP(H1908,DSKH,1,0),"","x")</f>
        <v>x</v>
      </c>
    </row>
    <row r="1909" spans="1:31" ht="15.75" customHeight="1">
      <c r="A1909" s="334" t="str">
        <f>IF(B1909&lt;&gt;"",IF(AND(B1909='IN-TC'!$S$4,OR(TH!N1909="1111",TH!O1909="1111")),TH!D1909,""),"")</f>
        <v/>
      </c>
      <c r="B1909" s="63">
        <f t="shared" si="212"/>
        <v>5</v>
      </c>
      <c r="C1909" s="64">
        <f t="shared" ref="C1909:C1940" si="215">E1909</f>
        <v>42494</v>
      </c>
      <c r="D1909" s="316" t="s">
        <v>702</v>
      </c>
      <c r="E1909" s="64">
        <v>42494</v>
      </c>
      <c r="F1909" s="72" t="s">
        <v>1192</v>
      </c>
      <c r="G1909" s="972" t="s">
        <v>915</v>
      </c>
      <c r="H1909" s="342"/>
      <c r="I1909" s="437"/>
      <c r="J1909" s="437"/>
      <c r="K1909" s="428"/>
      <c r="L1909" s="437"/>
      <c r="M1909" s="65">
        <v>25000</v>
      </c>
      <c r="N1909" s="66" t="s">
        <v>101</v>
      </c>
      <c r="O1909" s="66" t="s">
        <v>26</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1" ht="15.75" customHeight="1">
      <c r="A1910" s="334" t="str">
        <f>IF(B1910&lt;&gt;"",IF(AND(B1910='IN-TC'!$S$4,OR(TH!N1910="1111",TH!O1910="1111")),TH!D1910,""),"")</f>
        <v/>
      </c>
      <c r="B1910" s="63">
        <f t="shared" si="212"/>
        <v>5</v>
      </c>
      <c r="C1910" s="64">
        <f t="shared" si="215"/>
        <v>42494</v>
      </c>
      <c r="D1910" s="316" t="s">
        <v>702</v>
      </c>
      <c r="E1910" s="64">
        <v>42494</v>
      </c>
      <c r="F1910" s="72" t="s">
        <v>1193</v>
      </c>
      <c r="G1910" s="972" t="s">
        <v>915</v>
      </c>
      <c r="H1910" s="342"/>
      <c r="I1910" s="437"/>
      <c r="J1910" s="437"/>
      <c r="K1910" s="428"/>
      <c r="L1910" s="437"/>
      <c r="M1910" s="65">
        <v>2500</v>
      </c>
      <c r="N1910" s="66" t="s">
        <v>9</v>
      </c>
      <c r="O1910" s="66" t="s">
        <v>26</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x</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1" ht="15.75" customHeight="1">
      <c r="A1911" s="334" t="str">
        <f>IF(B1911&lt;&gt;"",IF(AND(B1911='IN-TC'!$S$4,OR(TH!N1911="1111",TH!O1911="1111")),TH!D1911,""),"")</f>
        <v/>
      </c>
      <c r="B1911" s="63">
        <f t="shared" si="212"/>
        <v>5</v>
      </c>
      <c r="C1911" s="64">
        <f t="shared" si="215"/>
        <v>42494</v>
      </c>
      <c r="D1911" s="316" t="s">
        <v>702</v>
      </c>
      <c r="E1911" s="64">
        <v>42494</v>
      </c>
      <c r="F1911" s="72" t="s">
        <v>1544</v>
      </c>
      <c r="G1911" s="972" t="s">
        <v>915</v>
      </c>
      <c r="H1911" s="72"/>
      <c r="I1911" s="437"/>
      <c r="J1911" s="437"/>
      <c r="K1911" s="428"/>
      <c r="L1911" s="437"/>
      <c r="M1911" s="65">
        <v>20000</v>
      </c>
      <c r="N1911" s="66" t="s">
        <v>101</v>
      </c>
      <c r="O1911" s="66" t="s">
        <v>26</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1" ht="15.75" customHeight="1">
      <c r="A1912" s="334" t="str">
        <f>IF(B1912&lt;&gt;"",IF(AND(B1912='IN-TC'!$S$4,OR(TH!N1912="1111",TH!O1912="1111")),TH!D1912,""),"")</f>
        <v/>
      </c>
      <c r="B1912" s="63">
        <f t="shared" si="212"/>
        <v>5</v>
      </c>
      <c r="C1912" s="64">
        <f t="shared" si="215"/>
        <v>42494</v>
      </c>
      <c r="D1912" s="316" t="s">
        <v>702</v>
      </c>
      <c r="E1912" s="64">
        <v>42494</v>
      </c>
      <c r="F1912" s="72" t="s">
        <v>1545</v>
      </c>
      <c r="G1912" s="972" t="s">
        <v>915</v>
      </c>
      <c r="H1912" s="72"/>
      <c r="I1912" s="437"/>
      <c r="J1912" s="437"/>
      <c r="K1912" s="428"/>
      <c r="L1912" s="437"/>
      <c r="M1912" s="65">
        <v>2000</v>
      </c>
      <c r="N1912" s="66" t="s">
        <v>9</v>
      </c>
      <c r="O1912" s="66" t="s">
        <v>26</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x</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1" ht="15.75" customHeight="1">
      <c r="A1913" s="334" t="str">
        <f>IF(B1913&lt;&gt;"",IF(AND(B1913='IN-TC'!$S$4,OR(TH!N1913="1111",TH!O1913="1111")),TH!D1913,""),"")</f>
        <v/>
      </c>
      <c r="B1913" s="63">
        <f t="shared" si="212"/>
        <v>5</v>
      </c>
      <c r="C1913" s="64">
        <f t="shared" si="215"/>
        <v>42496</v>
      </c>
      <c r="D1913" s="316" t="s">
        <v>702</v>
      </c>
      <c r="E1913" s="64">
        <v>42496</v>
      </c>
      <c r="F1913" s="72" t="s">
        <v>1044</v>
      </c>
      <c r="G1913" s="972" t="s">
        <v>915</v>
      </c>
      <c r="H1913" s="342" t="s">
        <v>711</v>
      </c>
      <c r="I1913" s="437"/>
      <c r="J1913" s="437"/>
      <c r="K1913" s="428"/>
      <c r="L1913" s="437"/>
      <c r="M1913" s="65">
        <v>1717301</v>
      </c>
      <c r="N1913" s="66" t="s">
        <v>99</v>
      </c>
      <c r="O1913" s="66" t="s">
        <v>26</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1" ht="15.75" customHeight="1">
      <c r="A1914" s="334" t="str">
        <f>IF(B1914&lt;&gt;"",IF(AND(B1914='IN-TC'!$S$4,OR(TH!N1914="1111",TH!O1914="1111")),TH!D1914,""),"")</f>
        <v/>
      </c>
      <c r="B1914" s="63">
        <f t="shared" si="212"/>
        <v>5</v>
      </c>
      <c r="C1914" s="64">
        <f t="shared" si="215"/>
        <v>42496</v>
      </c>
      <c r="D1914" s="316" t="s">
        <v>702</v>
      </c>
      <c r="E1914" s="64">
        <v>42496</v>
      </c>
      <c r="F1914" s="72" t="s">
        <v>1043</v>
      </c>
      <c r="G1914" s="972" t="s">
        <v>915</v>
      </c>
      <c r="H1914" s="342" t="s">
        <v>710</v>
      </c>
      <c r="I1914" s="437"/>
      <c r="J1914" s="437"/>
      <c r="K1914" s="428"/>
      <c r="L1914" s="437"/>
      <c r="M1914" s="65">
        <v>2788884</v>
      </c>
      <c r="N1914" s="66" t="s">
        <v>99</v>
      </c>
      <c r="O1914" s="66" t="s">
        <v>26</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1" ht="15.75" customHeight="1">
      <c r="A1915" s="334" t="str">
        <f>IF(B1915&lt;&gt;"",IF(AND(B1915='IN-TC'!$S$4,OR(TH!N1915="1111",TH!O1915="1111")),TH!D1915,""),"")</f>
        <v/>
      </c>
      <c r="B1915" s="63">
        <f t="shared" si="212"/>
        <v>5</v>
      </c>
      <c r="C1915" s="64">
        <f t="shared" si="215"/>
        <v>42500</v>
      </c>
      <c r="D1915" s="316" t="s">
        <v>702</v>
      </c>
      <c r="E1915" s="64">
        <v>42500</v>
      </c>
      <c r="F1915" s="72" t="s">
        <v>1185</v>
      </c>
      <c r="G1915" s="972" t="s">
        <v>915</v>
      </c>
      <c r="H1915" s="72"/>
      <c r="I1915" s="437"/>
      <c r="J1915" s="437"/>
      <c r="K1915" s="428"/>
      <c r="L1915" s="437"/>
      <c r="M1915" s="65">
        <v>333900</v>
      </c>
      <c r="N1915" s="66" t="s">
        <v>101</v>
      </c>
      <c r="O1915" s="66" t="s">
        <v>26</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1" ht="15.75" customHeight="1">
      <c r="A1916" s="334" t="str">
        <f>IF(B1916&lt;&gt;"",IF(AND(B1916='IN-TC'!$S$4,OR(TH!N1916="1111",TH!O1916="1111")),TH!D1916,""),"")</f>
        <v/>
      </c>
      <c r="B1916" s="63">
        <f t="shared" si="212"/>
        <v>5</v>
      </c>
      <c r="C1916" s="64">
        <f t="shared" si="215"/>
        <v>42500</v>
      </c>
      <c r="D1916" s="316" t="s">
        <v>702</v>
      </c>
      <c r="E1916" s="64">
        <v>42500</v>
      </c>
      <c r="F1916" s="72" t="s">
        <v>1186</v>
      </c>
      <c r="G1916" s="972" t="s">
        <v>915</v>
      </c>
      <c r="H1916" s="72"/>
      <c r="I1916" s="437"/>
      <c r="J1916" s="437"/>
      <c r="K1916" s="428"/>
      <c r="L1916" s="437"/>
      <c r="M1916" s="65">
        <v>33390</v>
      </c>
      <c r="N1916" s="66" t="s">
        <v>9</v>
      </c>
      <c r="O1916" s="66" t="s">
        <v>26</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x</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1" ht="15.75" customHeight="1">
      <c r="A1917" s="334" t="str">
        <f>IF(B1917&lt;&gt;"",IF(AND(B1917='IN-TC'!$S$4,OR(TH!N1917="1111",TH!O1917="1111")),TH!D1917,""),"")</f>
        <v/>
      </c>
      <c r="B1917" s="63">
        <f t="shared" si="212"/>
        <v>5</v>
      </c>
      <c r="C1917" s="64">
        <f t="shared" si="215"/>
        <v>42501</v>
      </c>
      <c r="D1917" s="316" t="s">
        <v>870</v>
      </c>
      <c r="E1917" s="64">
        <v>42501</v>
      </c>
      <c r="F1917" s="72" t="s">
        <v>1139</v>
      </c>
      <c r="G1917" s="972" t="s">
        <v>915</v>
      </c>
      <c r="H1917" s="72" t="s">
        <v>760</v>
      </c>
      <c r="I1917" s="437"/>
      <c r="J1917" s="437"/>
      <c r="K1917" s="428"/>
      <c r="L1917" s="437"/>
      <c r="M1917" s="65">
        <v>1000000000</v>
      </c>
      <c r="N1917" s="66" t="s">
        <v>63</v>
      </c>
      <c r="O1917" s="66" t="s">
        <v>26</v>
      </c>
      <c r="P1917" s="82" t="str">
        <f>IF(AND('331-CT'!$E$7=TH!H1917,OR(N1917="331",O1917="331")),"x","")</f>
        <v/>
      </c>
      <c r="Q1917" s="82" t="str">
        <f>IF(AND(B1917='111'!$L$11,OR($N1917=$Q$7,$O1917=$Q$7)),"x","")</f>
        <v/>
      </c>
      <c r="R1917" s="82" t="str">
        <f>IF(AND($N1917=$Q$7,$B1917&lt;'111'!$L$11),"x","")</f>
        <v>x</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1" ht="15.75" customHeight="1">
      <c r="A1918" s="334" t="str">
        <f>IF(B1918&lt;&gt;"",IF(AND(B1918='IN-TC'!$S$4,OR(TH!N1918="1111",TH!O1918="1111")),TH!D1918,""),"")</f>
        <v/>
      </c>
      <c r="B1918" s="63">
        <f t="shared" si="212"/>
        <v>5</v>
      </c>
      <c r="C1918" s="64">
        <f t="shared" si="215"/>
        <v>42502</v>
      </c>
      <c r="D1918" s="316" t="s">
        <v>899</v>
      </c>
      <c r="E1918" s="64">
        <v>42502</v>
      </c>
      <c r="F1918" s="72" t="s">
        <v>1139</v>
      </c>
      <c r="G1918" s="972" t="s">
        <v>915</v>
      </c>
      <c r="H1918" s="72" t="s">
        <v>760</v>
      </c>
      <c r="I1918" s="437"/>
      <c r="J1918" s="437"/>
      <c r="K1918" s="428"/>
      <c r="L1918" s="437"/>
      <c r="M1918" s="65">
        <v>250000000</v>
      </c>
      <c r="N1918" s="66" t="s">
        <v>63</v>
      </c>
      <c r="O1918" s="66" t="s">
        <v>26</v>
      </c>
      <c r="P1918" s="82" t="str">
        <f>IF(AND('331-CT'!$E$7=TH!H1918,OR(N1918="331",O1918="331")),"x","")</f>
        <v/>
      </c>
      <c r="Q1918" s="82" t="str">
        <f>IF(AND(B1918='111'!$L$11,OR($N1918=$Q$7,$O1918=$Q$7)),"x","")</f>
        <v/>
      </c>
      <c r="R1918" s="82" t="str">
        <f>IF(AND($N1918=$Q$7,$B1918&lt;'111'!$L$11),"x","")</f>
        <v>x</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1" ht="15.75" customHeight="1">
      <c r="A1919" s="334" t="str">
        <f>IF(B1919&lt;&gt;"",IF(AND(B1919='IN-TC'!$S$4,OR(TH!N1919="1111",TH!O1919="1111")),TH!D1919,""),"")</f>
        <v/>
      </c>
      <c r="B1919" s="63">
        <f t="shared" si="212"/>
        <v>5</v>
      </c>
      <c r="C1919" s="64">
        <f t="shared" si="215"/>
        <v>42502</v>
      </c>
      <c r="D1919" s="316" t="s">
        <v>702</v>
      </c>
      <c r="E1919" s="64">
        <v>42502</v>
      </c>
      <c r="F1919" s="72" t="s">
        <v>1045</v>
      </c>
      <c r="G1919" s="972" t="s">
        <v>915</v>
      </c>
      <c r="H1919" s="342" t="s">
        <v>718</v>
      </c>
      <c r="I1919" s="437"/>
      <c r="J1919" s="437"/>
      <c r="K1919" s="428"/>
      <c r="L1919" s="437"/>
      <c r="M1919" s="65">
        <v>2408699</v>
      </c>
      <c r="N1919" s="66" t="s">
        <v>99</v>
      </c>
      <c r="O1919" s="66" t="s">
        <v>26</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1" ht="15.75" customHeight="1">
      <c r="A1920" s="334" t="str">
        <f>IF(B1920&lt;&gt;"",IF(AND(B1920='IN-TC'!$S$4,OR(TH!N1920="1111",TH!O1920="1111")),TH!D1920,""),"")</f>
        <v/>
      </c>
      <c r="B1920" s="63">
        <f t="shared" si="212"/>
        <v>5</v>
      </c>
      <c r="C1920" s="64">
        <f t="shared" si="215"/>
        <v>42502</v>
      </c>
      <c r="D1920" s="316" t="s">
        <v>702</v>
      </c>
      <c r="E1920" s="64">
        <v>42502</v>
      </c>
      <c r="F1920" s="72" t="s">
        <v>1042</v>
      </c>
      <c r="G1920" s="972" t="s">
        <v>915</v>
      </c>
      <c r="H1920" s="342" t="s">
        <v>717</v>
      </c>
      <c r="I1920" s="437"/>
      <c r="J1920" s="437"/>
      <c r="K1920" s="428"/>
      <c r="L1920" s="437"/>
      <c r="M1920" s="65">
        <v>1167265</v>
      </c>
      <c r="N1920" s="66" t="s">
        <v>99</v>
      </c>
      <c r="O1920" s="66" t="s">
        <v>26</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1" ht="15.75" customHeight="1">
      <c r="A1921" s="334" t="str">
        <f>IF(B1921&lt;&gt;"",IF(AND(B1921='IN-TC'!$S$4,OR(TH!N1921="1111",TH!O1921="1111")),TH!D1921,""),"")</f>
        <v/>
      </c>
      <c r="B1921" s="63">
        <f t="shared" si="212"/>
        <v>5</v>
      </c>
      <c r="C1921" s="64">
        <f t="shared" si="215"/>
        <v>42504</v>
      </c>
      <c r="D1921" s="316" t="s">
        <v>902</v>
      </c>
      <c r="E1921" s="64">
        <v>42504</v>
      </c>
      <c r="F1921" s="72" t="s">
        <v>1139</v>
      </c>
      <c r="G1921" s="972" t="s">
        <v>915</v>
      </c>
      <c r="H1921" s="72" t="s">
        <v>760</v>
      </c>
      <c r="I1921" s="437"/>
      <c r="J1921" s="437"/>
      <c r="K1921" s="428"/>
      <c r="L1921" s="437"/>
      <c r="M1921" s="65">
        <v>850000000</v>
      </c>
      <c r="N1921" s="66" t="s">
        <v>63</v>
      </c>
      <c r="O1921" s="66" t="s">
        <v>26</v>
      </c>
      <c r="P1921" s="82" t="str">
        <f>IF(AND('331-CT'!$E$7=TH!H1921,OR(N1921="331",O1921="331")),"x","")</f>
        <v/>
      </c>
      <c r="Q1921" s="82" t="str">
        <f>IF(AND(B1921='111'!$L$11,OR($N1921=$Q$7,$O1921=$Q$7)),"x","")</f>
        <v/>
      </c>
      <c r="R1921" s="82" t="str">
        <f>IF(AND($N1921=$Q$7,$B1921&lt;'111'!$L$11),"x","")</f>
        <v>x</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1" ht="15.75" customHeight="1">
      <c r="A1922" s="334" t="str">
        <f>IF(B1922&lt;&gt;"",IF(AND(B1922='IN-TC'!$S$4,OR(TH!N1922="1111",TH!O1922="1111")),TH!D1922,""),"")</f>
        <v/>
      </c>
      <c r="B1922" s="63">
        <f t="shared" si="212"/>
        <v>5</v>
      </c>
      <c r="C1922" s="64">
        <f t="shared" si="215"/>
        <v>42506</v>
      </c>
      <c r="D1922" s="316" t="s">
        <v>702</v>
      </c>
      <c r="E1922" s="64">
        <v>42506</v>
      </c>
      <c r="F1922" s="72" t="s">
        <v>1546</v>
      </c>
      <c r="G1922" s="972" t="s">
        <v>915</v>
      </c>
      <c r="H1922" s="75" t="s">
        <v>621</v>
      </c>
      <c r="I1922" s="437"/>
      <c r="J1922" s="437"/>
      <c r="K1922" s="428"/>
      <c r="L1922" s="437"/>
      <c r="M1922" s="65">
        <v>37808100</v>
      </c>
      <c r="N1922" s="66" t="s">
        <v>8</v>
      </c>
      <c r="O1922" s="66" t="s">
        <v>26</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c r="AE1922" s="1136" t="str">
        <f>IF(H1922&lt;&gt;VLOOKUP(H1922,DSKH,1,0),"","x")</f>
        <v>x</v>
      </c>
    </row>
    <row r="1923" spans="1:31" ht="15.75" customHeight="1">
      <c r="A1923" s="334" t="str">
        <f>IF(B1923&lt;&gt;"",IF(AND(B1923='IN-TC'!$S$4,OR(TH!N1923="1111",TH!O1923="1111")),TH!D1923,""),"")</f>
        <v/>
      </c>
      <c r="B1923" s="63">
        <f t="shared" si="212"/>
        <v>5</v>
      </c>
      <c r="C1923" s="64">
        <f t="shared" si="215"/>
        <v>42506</v>
      </c>
      <c r="D1923" s="316" t="s">
        <v>702</v>
      </c>
      <c r="E1923" s="64">
        <v>42506</v>
      </c>
      <c r="F1923" s="72" t="s">
        <v>1192</v>
      </c>
      <c r="G1923" s="972" t="s">
        <v>915</v>
      </c>
      <c r="H1923" s="72"/>
      <c r="I1923" s="437"/>
      <c r="J1923" s="437"/>
      <c r="K1923" s="428"/>
      <c r="L1923" s="437"/>
      <c r="M1923" s="65">
        <v>25000</v>
      </c>
      <c r="N1923" s="66" t="s">
        <v>101</v>
      </c>
      <c r="O1923" s="66" t="s">
        <v>26</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1" ht="15.75" customHeight="1">
      <c r="A1924" s="334" t="str">
        <f>IF(B1924&lt;&gt;"",IF(AND(B1924='IN-TC'!$S$4,OR(TH!N1924="1111",TH!O1924="1111")),TH!D1924,""),"")</f>
        <v/>
      </c>
      <c r="B1924" s="63">
        <f t="shared" si="212"/>
        <v>5</v>
      </c>
      <c r="C1924" s="64">
        <f t="shared" si="215"/>
        <v>42506</v>
      </c>
      <c r="D1924" s="316" t="s">
        <v>702</v>
      </c>
      <c r="E1924" s="64">
        <v>42506</v>
      </c>
      <c r="F1924" s="72" t="s">
        <v>1193</v>
      </c>
      <c r="G1924" s="972" t="s">
        <v>915</v>
      </c>
      <c r="H1924" s="72"/>
      <c r="I1924" s="437"/>
      <c r="J1924" s="437"/>
      <c r="K1924" s="428"/>
      <c r="L1924" s="437"/>
      <c r="M1924" s="65">
        <v>2500</v>
      </c>
      <c r="N1924" s="66" t="s">
        <v>9</v>
      </c>
      <c r="O1924" s="66" t="s">
        <v>26</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x</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1" ht="15.75" customHeight="1">
      <c r="A1925" s="334" t="str">
        <f>IF(B1925&lt;&gt;"",IF(AND(B1925='IN-TC'!$S$4,OR(TH!N1925="1111",TH!O1925="1111")),TH!D1925,""),"")</f>
        <v/>
      </c>
      <c r="B1925" s="63">
        <f t="shared" si="212"/>
        <v>5</v>
      </c>
      <c r="C1925" s="64">
        <f t="shared" si="215"/>
        <v>42507</v>
      </c>
      <c r="D1925" s="316" t="s">
        <v>702</v>
      </c>
      <c r="E1925" s="64">
        <v>42507</v>
      </c>
      <c r="F1925" s="72" t="s">
        <v>1547</v>
      </c>
      <c r="G1925" s="972" t="s">
        <v>915</v>
      </c>
      <c r="H1925" s="72" t="s">
        <v>629</v>
      </c>
      <c r="I1925" s="437"/>
      <c r="J1925" s="437"/>
      <c r="K1925" s="428"/>
      <c r="L1925" s="437"/>
      <c r="M1925" s="65">
        <v>26783680</v>
      </c>
      <c r="N1925" s="66" t="s">
        <v>8</v>
      </c>
      <c r="O1925" s="66" t="s">
        <v>26</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c r="AE1925" s="1136" t="str">
        <f>IF(H1925&lt;&gt;VLOOKUP(H1925,DSKH,1,0),"","x")</f>
        <v>x</v>
      </c>
    </row>
    <row r="1926" spans="1:31" ht="15.75" customHeight="1">
      <c r="A1926" s="334" t="str">
        <f>IF(B1926&lt;&gt;"",IF(AND(B1926='IN-TC'!$S$4,OR(TH!N1926="1111",TH!O1926="1111")),TH!D1926,""),"")</f>
        <v/>
      </c>
      <c r="B1926" s="63">
        <f t="shared" si="212"/>
        <v>5</v>
      </c>
      <c r="C1926" s="64">
        <f t="shared" si="215"/>
        <v>42507</v>
      </c>
      <c r="D1926" s="316" t="s">
        <v>702</v>
      </c>
      <c r="E1926" s="64">
        <v>42507</v>
      </c>
      <c r="F1926" s="72" t="s">
        <v>1192</v>
      </c>
      <c r="G1926" s="972" t="s">
        <v>915</v>
      </c>
      <c r="H1926" s="72"/>
      <c r="I1926" s="437"/>
      <c r="J1926" s="437"/>
      <c r="K1926" s="428"/>
      <c r="L1926" s="437"/>
      <c r="M1926" s="65">
        <v>25000</v>
      </c>
      <c r="N1926" s="66" t="s">
        <v>101</v>
      </c>
      <c r="O1926" s="66" t="s">
        <v>26</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1" ht="15.75" customHeight="1">
      <c r="A1927" s="334" t="str">
        <f>IF(B1927&lt;&gt;"",IF(AND(B1927='IN-TC'!$S$4,OR(TH!N1927="1111",TH!O1927="1111")),TH!D1927,""),"")</f>
        <v/>
      </c>
      <c r="B1927" s="63">
        <f t="shared" si="212"/>
        <v>5</v>
      </c>
      <c r="C1927" s="64">
        <f t="shared" si="215"/>
        <v>42507</v>
      </c>
      <c r="D1927" s="316" t="s">
        <v>702</v>
      </c>
      <c r="E1927" s="64">
        <v>42507</v>
      </c>
      <c r="F1927" s="72" t="s">
        <v>1193</v>
      </c>
      <c r="G1927" s="972" t="s">
        <v>915</v>
      </c>
      <c r="H1927" s="72"/>
      <c r="I1927" s="437"/>
      <c r="J1927" s="437"/>
      <c r="K1927" s="428"/>
      <c r="L1927" s="437"/>
      <c r="M1927" s="65">
        <v>2500</v>
      </c>
      <c r="N1927" s="66" t="s">
        <v>9</v>
      </c>
      <c r="O1927" s="66" t="s">
        <v>26</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x</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1" ht="15.75" customHeight="1">
      <c r="A1928" s="334" t="str">
        <f>IF(B1928&lt;&gt;"",IF(AND(B1928='IN-TC'!$S$4,OR(TH!N1928="1111",TH!O1928="1111")),TH!D1928,""),"")</f>
        <v/>
      </c>
      <c r="B1928" s="63">
        <f t="shared" si="212"/>
        <v>5</v>
      </c>
      <c r="C1928" s="64">
        <f t="shared" si="215"/>
        <v>42508</v>
      </c>
      <c r="D1928" s="316" t="s">
        <v>702</v>
      </c>
      <c r="E1928" s="64">
        <v>42508</v>
      </c>
      <c r="F1928" s="72" t="s">
        <v>1051</v>
      </c>
      <c r="G1928" s="972" t="s">
        <v>915</v>
      </c>
      <c r="H1928" s="342" t="s">
        <v>722</v>
      </c>
      <c r="I1928" s="437"/>
      <c r="J1928" s="437"/>
      <c r="K1928" s="428"/>
      <c r="L1928" s="437"/>
      <c r="M1928" s="65">
        <v>6661709</v>
      </c>
      <c r="N1928" s="66" t="s">
        <v>99</v>
      </c>
      <c r="O1928" s="66" t="s">
        <v>26</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1" ht="15.75" customHeight="1">
      <c r="A1929" s="334" t="str">
        <f>IF(B1929&lt;&gt;"",IF(AND(B1929='IN-TC'!$S$4,OR(TH!N1929="1111",TH!O1929="1111")),TH!D1929,""),"")</f>
        <v/>
      </c>
      <c r="B1929" s="63">
        <f t="shared" si="212"/>
        <v>5</v>
      </c>
      <c r="C1929" s="64">
        <f t="shared" si="215"/>
        <v>42508</v>
      </c>
      <c r="D1929" s="316" t="s">
        <v>702</v>
      </c>
      <c r="E1929" s="64">
        <v>42508</v>
      </c>
      <c r="F1929" s="72" t="s">
        <v>749</v>
      </c>
      <c r="G1929" s="972" t="s">
        <v>915</v>
      </c>
      <c r="H1929" s="342" t="s">
        <v>723</v>
      </c>
      <c r="I1929" s="437"/>
      <c r="J1929" s="437"/>
      <c r="K1929" s="428"/>
      <c r="L1929" s="437"/>
      <c r="M1929" s="65">
        <v>6624641</v>
      </c>
      <c r="N1929" s="66" t="s">
        <v>99</v>
      </c>
      <c r="O1929" s="66" t="s">
        <v>26</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1" ht="15.75" customHeight="1">
      <c r="A1930" s="334" t="str">
        <f>IF(B1930&lt;&gt;"",IF(AND(B1930='IN-TC'!$S$4,OR(TH!N1930="1111",TH!O1930="1111")),TH!D1930,""),"")</f>
        <v/>
      </c>
      <c r="B1930" s="63">
        <f t="shared" si="212"/>
        <v>5</v>
      </c>
      <c r="C1930" s="64">
        <f t="shared" si="215"/>
        <v>42508</v>
      </c>
      <c r="D1930" s="316" t="s">
        <v>702</v>
      </c>
      <c r="E1930" s="64">
        <v>42508</v>
      </c>
      <c r="F1930" s="72" t="s">
        <v>1054</v>
      </c>
      <c r="G1930" s="972" t="s">
        <v>915</v>
      </c>
      <c r="H1930" s="342" t="s">
        <v>730</v>
      </c>
      <c r="I1930" s="437"/>
      <c r="J1930" s="437"/>
      <c r="K1930" s="428"/>
      <c r="L1930" s="437"/>
      <c r="M1930" s="65">
        <v>4540359</v>
      </c>
      <c r="N1930" s="66" t="s">
        <v>99</v>
      </c>
      <c r="O1930" s="66" t="s">
        <v>26</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1" ht="15.75" customHeight="1">
      <c r="A1931" s="334" t="str">
        <f>IF(B1931&lt;&gt;"",IF(AND(B1931='IN-TC'!$S$4,OR(TH!N1931="1111",TH!O1931="1111")),TH!D1931,""),"")</f>
        <v/>
      </c>
      <c r="B1931" s="63">
        <f t="shared" si="212"/>
        <v>5</v>
      </c>
      <c r="C1931" s="64">
        <f t="shared" si="215"/>
        <v>42508</v>
      </c>
      <c r="D1931" s="316" t="s">
        <v>702</v>
      </c>
      <c r="E1931" s="64">
        <v>42508</v>
      </c>
      <c r="F1931" s="72" t="s">
        <v>751</v>
      </c>
      <c r="G1931" s="972" t="s">
        <v>915</v>
      </c>
      <c r="H1931" s="342" t="s">
        <v>724</v>
      </c>
      <c r="I1931" s="437"/>
      <c r="J1931" s="437"/>
      <c r="K1931" s="428"/>
      <c r="L1931" s="437"/>
      <c r="M1931" s="65">
        <v>6624641</v>
      </c>
      <c r="N1931" s="66" t="s">
        <v>99</v>
      </c>
      <c r="O1931" s="66" t="s">
        <v>26</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1" ht="15.75" customHeight="1">
      <c r="A1932" s="334" t="str">
        <f>IF(B1932&lt;&gt;"",IF(AND(B1932='IN-TC'!$S$4,OR(TH!N1932="1111",TH!O1932="1111")),TH!D1932,""),"")</f>
        <v/>
      </c>
      <c r="B1932" s="63">
        <f t="shared" si="212"/>
        <v>5</v>
      </c>
      <c r="C1932" s="64">
        <f t="shared" si="215"/>
        <v>42508</v>
      </c>
      <c r="D1932" s="316" t="s">
        <v>702</v>
      </c>
      <c r="E1932" s="64">
        <v>42508</v>
      </c>
      <c r="F1932" s="72" t="s">
        <v>1055</v>
      </c>
      <c r="G1932" s="972" t="s">
        <v>915</v>
      </c>
      <c r="H1932" s="342" t="s">
        <v>725</v>
      </c>
      <c r="I1932" s="437"/>
      <c r="J1932" s="437"/>
      <c r="K1932" s="428"/>
      <c r="L1932" s="437"/>
      <c r="M1932" s="65">
        <v>6550059</v>
      </c>
      <c r="N1932" s="66" t="s">
        <v>99</v>
      </c>
      <c r="O1932" s="66" t="s">
        <v>26</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1" ht="15.75" customHeight="1">
      <c r="A1933" s="334" t="str">
        <f>IF(B1933&lt;&gt;"",IF(AND(B1933='IN-TC'!$S$4,OR(TH!N1933="1111",TH!O1933="1111")),TH!D1933,""),"")</f>
        <v/>
      </c>
      <c r="B1933" s="63">
        <f t="shared" ref="B1933:B1996" si="216">IF(C1933&lt;&gt;"",MONTH(C1933),"")</f>
        <v>5</v>
      </c>
      <c r="C1933" s="64">
        <f t="shared" si="215"/>
        <v>42508</v>
      </c>
      <c r="D1933" s="316" t="s">
        <v>702</v>
      </c>
      <c r="E1933" s="64">
        <v>42508</v>
      </c>
      <c r="F1933" s="72" t="s">
        <v>1060</v>
      </c>
      <c r="G1933" s="972" t="s">
        <v>915</v>
      </c>
      <c r="H1933" s="1164" t="s">
        <v>1540</v>
      </c>
      <c r="I1933" s="437"/>
      <c r="J1933" s="437"/>
      <c r="K1933" s="428"/>
      <c r="L1933" s="437"/>
      <c r="M1933" s="65">
        <v>968452</v>
      </c>
      <c r="N1933" s="66" t="s">
        <v>99</v>
      </c>
      <c r="O1933" s="66" t="s">
        <v>26</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1" ht="15.75" customHeight="1">
      <c r="A1934" s="334" t="str">
        <f>IF(B1934&lt;&gt;"",IF(AND(B1934='IN-TC'!$S$4,OR(TH!N1934="1111",TH!O1934="1111")),TH!D1934,""),"")</f>
        <v/>
      </c>
      <c r="B1934" s="63">
        <f t="shared" si="216"/>
        <v>5</v>
      </c>
      <c r="C1934" s="64">
        <f t="shared" si="215"/>
        <v>42508</v>
      </c>
      <c r="D1934" s="316" t="s">
        <v>702</v>
      </c>
      <c r="E1934" s="64">
        <v>42508</v>
      </c>
      <c r="F1934" s="72" t="s">
        <v>1644</v>
      </c>
      <c r="G1934" s="972" t="s">
        <v>915</v>
      </c>
      <c r="H1934" s="342" t="s">
        <v>733</v>
      </c>
      <c r="I1934" s="437"/>
      <c r="J1934" s="437"/>
      <c r="K1934" s="428"/>
      <c r="L1934" s="437"/>
      <c r="M1934" s="65">
        <v>7219959</v>
      </c>
      <c r="N1934" s="66" t="s">
        <v>99</v>
      </c>
      <c r="O1934" s="66" t="s">
        <v>26</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1" ht="15.75" customHeight="1">
      <c r="A1935" s="334" t="str">
        <f>IF(B1935&lt;&gt;"",IF(AND(B1935='IN-TC'!$S$4,OR(TH!N1935="1111",TH!O1935="1111")),TH!D1935,""),"")</f>
        <v/>
      </c>
      <c r="B1935" s="63">
        <f t="shared" si="216"/>
        <v>5</v>
      </c>
      <c r="C1935" s="64">
        <f t="shared" si="215"/>
        <v>42508</v>
      </c>
      <c r="D1935" s="316" t="s">
        <v>702</v>
      </c>
      <c r="E1935" s="64">
        <v>42508</v>
      </c>
      <c r="F1935" s="72" t="s">
        <v>1645</v>
      </c>
      <c r="G1935" s="972" t="s">
        <v>915</v>
      </c>
      <c r="H1935" s="72" t="s">
        <v>1181</v>
      </c>
      <c r="I1935" s="437"/>
      <c r="J1935" s="437"/>
      <c r="K1935" s="428"/>
      <c r="L1935" s="437"/>
      <c r="M1935" s="65">
        <v>6103459</v>
      </c>
      <c r="N1935" s="66" t="s">
        <v>99</v>
      </c>
      <c r="O1935" s="66" t="s">
        <v>26</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1" ht="15.75" customHeight="1">
      <c r="A1936" s="334" t="str">
        <f>IF(B1936&lt;&gt;"",IF(AND(B1936='IN-TC'!$S$4,OR(TH!N1936="1111",TH!O1936="1111")),TH!D1936,""),"")</f>
        <v/>
      </c>
      <c r="B1936" s="63">
        <f t="shared" si="216"/>
        <v>5</v>
      </c>
      <c r="C1936" s="64">
        <f t="shared" si="215"/>
        <v>42508</v>
      </c>
      <c r="D1936" s="316" t="s">
        <v>702</v>
      </c>
      <c r="E1936" s="64">
        <v>42508</v>
      </c>
      <c r="F1936" s="72" t="s">
        <v>1646</v>
      </c>
      <c r="G1936" s="972" t="s">
        <v>915</v>
      </c>
      <c r="H1936" s="72" t="s">
        <v>1182</v>
      </c>
      <c r="I1936" s="437"/>
      <c r="J1936" s="437"/>
      <c r="K1936" s="428"/>
      <c r="L1936" s="437"/>
      <c r="M1936" s="65">
        <v>6699000</v>
      </c>
      <c r="N1936" s="66" t="s">
        <v>99</v>
      </c>
      <c r="O1936" s="66" t="s">
        <v>26</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1" ht="15.75" customHeight="1">
      <c r="A1937" s="334" t="str">
        <f>IF(B1937&lt;&gt;"",IF(AND(B1937='IN-TC'!$S$4,OR(TH!N1937="1111",TH!O1937="1111")),TH!D1937,""),"")</f>
        <v/>
      </c>
      <c r="B1937" s="63">
        <f t="shared" si="216"/>
        <v>5</v>
      </c>
      <c r="C1937" s="64">
        <f t="shared" si="215"/>
        <v>42508</v>
      </c>
      <c r="D1937" s="316" t="s">
        <v>702</v>
      </c>
      <c r="E1937" s="64">
        <v>42508</v>
      </c>
      <c r="F1937" s="72" t="s">
        <v>1451</v>
      </c>
      <c r="G1937" s="972" t="s">
        <v>915</v>
      </c>
      <c r="H1937" s="1164" t="s">
        <v>1540</v>
      </c>
      <c r="I1937" s="437"/>
      <c r="J1937" s="437"/>
      <c r="K1937" s="428"/>
      <c r="L1937" s="437"/>
      <c r="M1937" s="65">
        <v>1418407200</v>
      </c>
      <c r="N1937" s="66" t="s">
        <v>260</v>
      </c>
      <c r="O1937" s="66" t="s">
        <v>26</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x</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1" ht="15.75" customHeight="1">
      <c r="A1938" s="334" t="str">
        <f>IF(B1938&lt;&gt;"",IF(AND(B1938='IN-TC'!$S$4,OR(TH!N1938="1111",TH!O1938="1111")),TH!D1938,""),"")</f>
        <v/>
      </c>
      <c r="B1938" s="63">
        <f t="shared" si="216"/>
        <v>5</v>
      </c>
      <c r="C1938" s="64">
        <f t="shared" si="215"/>
        <v>42509</v>
      </c>
      <c r="D1938" s="316" t="s">
        <v>702</v>
      </c>
      <c r="E1938" s="64">
        <v>42509</v>
      </c>
      <c r="F1938" s="72" t="s">
        <v>1194</v>
      </c>
      <c r="G1938" s="972" t="s">
        <v>921</v>
      </c>
      <c r="H1938" s="72"/>
      <c r="I1938" s="437"/>
      <c r="J1938" s="437"/>
      <c r="K1938" s="428"/>
      <c r="L1938" s="437"/>
      <c r="M1938" s="65">
        <v>20000000</v>
      </c>
      <c r="N1938" s="66" t="s">
        <v>26</v>
      </c>
      <c r="O1938" s="66" t="s">
        <v>26</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1" ht="15.75" customHeight="1">
      <c r="A1939" s="334" t="str">
        <f>IF(B1939&lt;&gt;"",IF(AND(B1939='IN-TC'!$S$4,OR(TH!N1939="1111",TH!O1939="1111")),TH!D1939,""),"")</f>
        <v/>
      </c>
      <c r="B1939" s="63">
        <f t="shared" si="216"/>
        <v>5</v>
      </c>
      <c r="C1939" s="64">
        <f t="shared" si="215"/>
        <v>42509</v>
      </c>
      <c r="D1939" s="316" t="s">
        <v>702</v>
      </c>
      <c r="E1939" s="64">
        <v>42509</v>
      </c>
      <c r="F1939" s="72" t="s">
        <v>1443</v>
      </c>
      <c r="G1939" s="972" t="s">
        <v>915</v>
      </c>
      <c r="H1939" s="72" t="s">
        <v>1211</v>
      </c>
      <c r="I1939" s="437"/>
      <c r="J1939" s="437"/>
      <c r="K1939" s="428"/>
      <c r="L1939" s="437"/>
      <c r="M1939" s="65">
        <v>14000000</v>
      </c>
      <c r="N1939" s="66" t="s">
        <v>72</v>
      </c>
      <c r="O1939" s="66" t="s">
        <v>26</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1" ht="15.75" customHeight="1">
      <c r="A1940" s="334" t="str">
        <f>IF(B1940&lt;&gt;"",IF(AND(B1940='IN-TC'!$S$4,OR(TH!N1940="1111",TH!O1940="1111")),TH!D1940,""),"")</f>
        <v/>
      </c>
      <c r="B1940" s="63">
        <f t="shared" si="216"/>
        <v>5</v>
      </c>
      <c r="C1940" s="64">
        <f t="shared" si="215"/>
        <v>42510</v>
      </c>
      <c r="D1940" s="316" t="s">
        <v>905</v>
      </c>
      <c r="E1940" s="64">
        <v>42510</v>
      </c>
      <c r="F1940" s="72" t="s">
        <v>1139</v>
      </c>
      <c r="G1940" s="972" t="s">
        <v>915</v>
      </c>
      <c r="H1940" s="72" t="s">
        <v>760</v>
      </c>
      <c r="I1940" s="437"/>
      <c r="J1940" s="437"/>
      <c r="K1940" s="428"/>
      <c r="L1940" s="437"/>
      <c r="M1940" s="65">
        <v>150000000</v>
      </c>
      <c r="N1940" s="66" t="s">
        <v>63</v>
      </c>
      <c r="O1940" s="66" t="s">
        <v>26</v>
      </c>
      <c r="P1940" s="82" t="str">
        <f>IF(AND('331-CT'!$E$7=TH!H1940,OR(N1940="331",O1940="331")),"x","")</f>
        <v/>
      </c>
      <c r="Q1940" s="82" t="str">
        <f>IF(AND(B1940='111'!$L$11,OR($N1940=$Q$7,$O1940=$Q$7)),"x","")</f>
        <v/>
      </c>
      <c r="R1940" s="82" t="str">
        <f>IF(AND($N1940=$Q$7,$B1940&lt;'111'!$L$11),"x","")</f>
        <v>x</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1" ht="15.75" customHeight="1">
      <c r="A1941" s="334" t="str">
        <f>IF(B1941&lt;&gt;"",IF(AND(B1941='IN-TC'!$S$4,OR(TH!N1941="1111",TH!O1941="1111")),TH!D1941,""),"")</f>
        <v/>
      </c>
      <c r="B1941" s="63">
        <f t="shared" si="216"/>
        <v>5</v>
      </c>
      <c r="C1941" s="64">
        <f t="shared" ref="C1941:C1946" si="217">E1941</f>
        <v>42514</v>
      </c>
      <c r="D1941" s="316" t="s">
        <v>702</v>
      </c>
      <c r="E1941" s="64">
        <v>42514</v>
      </c>
      <c r="F1941" s="72" t="s">
        <v>1548</v>
      </c>
      <c r="G1941" s="972" t="s">
        <v>915</v>
      </c>
      <c r="H1941" s="72" t="s">
        <v>629</v>
      </c>
      <c r="I1941" s="437"/>
      <c r="J1941" s="437"/>
      <c r="K1941" s="428"/>
      <c r="L1941" s="437"/>
      <c r="M1941" s="65">
        <v>28393970</v>
      </c>
      <c r="N1941" s="66" t="s">
        <v>8</v>
      </c>
      <c r="O1941" s="66" t="s">
        <v>26</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1136" t="str">
        <f>IF(H1941&lt;&gt;VLOOKUP(H1941,DSKH,1,0),"","x")</f>
        <v>x</v>
      </c>
    </row>
    <row r="1942" spans="1:31" ht="15.75" customHeight="1">
      <c r="A1942" s="334" t="str">
        <f>IF(B1942&lt;&gt;"",IF(AND(B1942='IN-TC'!$S$4,OR(TH!N1942="1111",TH!O1942="1111")),TH!D1942,""),"")</f>
        <v/>
      </c>
      <c r="B1942" s="63">
        <f t="shared" si="216"/>
        <v>5</v>
      </c>
      <c r="C1942" s="64">
        <f t="shared" si="217"/>
        <v>42514</v>
      </c>
      <c r="D1942" s="316" t="s">
        <v>702</v>
      </c>
      <c r="E1942" s="64">
        <v>42514</v>
      </c>
      <c r="F1942" s="72" t="s">
        <v>1192</v>
      </c>
      <c r="G1942" s="972" t="s">
        <v>915</v>
      </c>
      <c r="H1942" s="72"/>
      <c r="I1942" s="437"/>
      <c r="J1942" s="437"/>
      <c r="K1942" s="428"/>
      <c r="L1942" s="437"/>
      <c r="M1942" s="65">
        <v>25000</v>
      </c>
      <c r="N1942" s="66" t="s">
        <v>101</v>
      </c>
      <c r="O1942" s="66" t="s">
        <v>26</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1" ht="15.75" customHeight="1">
      <c r="A1943" s="334" t="str">
        <f>IF(B1943&lt;&gt;"",IF(AND(B1943='IN-TC'!$S$4,OR(TH!N1943="1111",TH!O1943="1111")),TH!D1943,""),"")</f>
        <v/>
      </c>
      <c r="B1943" s="63">
        <f t="shared" si="216"/>
        <v>5</v>
      </c>
      <c r="C1943" s="64">
        <f t="shared" si="217"/>
        <v>42514</v>
      </c>
      <c r="D1943" s="316" t="s">
        <v>702</v>
      </c>
      <c r="E1943" s="64">
        <v>42514</v>
      </c>
      <c r="F1943" s="72" t="s">
        <v>1193</v>
      </c>
      <c r="G1943" s="972" t="s">
        <v>915</v>
      </c>
      <c r="H1943" s="72"/>
      <c r="I1943" s="437"/>
      <c r="J1943" s="437"/>
      <c r="K1943" s="428"/>
      <c r="L1943" s="437"/>
      <c r="M1943" s="65">
        <v>2500</v>
      </c>
      <c r="N1943" s="66" t="s">
        <v>9</v>
      </c>
      <c r="O1943" s="66" t="s">
        <v>26</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x</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1" ht="15.75" customHeight="1">
      <c r="A1944" s="334" t="str">
        <f>IF(B1944&lt;&gt;"",IF(AND(B1944='IN-TC'!$S$4,OR(TH!N1944="1111",TH!O1944="1111")),TH!D1944,""),"")</f>
        <v/>
      </c>
      <c r="B1944" s="63">
        <f t="shared" si="216"/>
        <v>5</v>
      </c>
      <c r="C1944" s="64">
        <f t="shared" si="217"/>
        <v>42515</v>
      </c>
      <c r="D1944" s="316" t="s">
        <v>702</v>
      </c>
      <c r="E1944" s="64">
        <v>42515</v>
      </c>
      <c r="F1944" s="72" t="s">
        <v>1443</v>
      </c>
      <c r="G1944" s="972" t="s">
        <v>915</v>
      </c>
      <c r="H1944" s="72" t="s">
        <v>1211</v>
      </c>
      <c r="I1944" s="437"/>
      <c r="J1944" s="437"/>
      <c r="K1944" s="428"/>
      <c r="L1944" s="437"/>
      <c r="M1944" s="65">
        <v>85000000</v>
      </c>
      <c r="N1944" s="66" t="s">
        <v>72</v>
      </c>
      <c r="O1944" s="66" t="s">
        <v>26</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1" ht="15.75" customHeight="1">
      <c r="A1945" s="334" t="str">
        <f>IF(B1945&lt;&gt;"",IF(AND(B1945='IN-TC'!$S$4,OR(TH!N1945="1111",TH!O1945="1111")),TH!D1945,""),"")</f>
        <v/>
      </c>
      <c r="B1945" s="63">
        <f t="shared" si="216"/>
        <v>5</v>
      </c>
      <c r="C1945" s="64">
        <f t="shared" si="217"/>
        <v>42517</v>
      </c>
      <c r="D1945" s="316" t="s">
        <v>702</v>
      </c>
      <c r="E1945" s="64">
        <v>42517</v>
      </c>
      <c r="F1945" s="72" t="s">
        <v>1451</v>
      </c>
      <c r="G1945" s="972" t="s">
        <v>915</v>
      </c>
      <c r="H1945" s="1164" t="s">
        <v>1541</v>
      </c>
      <c r="I1945" s="437"/>
      <c r="J1945" s="437"/>
      <c r="K1945" s="428"/>
      <c r="L1945" s="437"/>
      <c r="M1945" s="65">
        <v>837658200</v>
      </c>
      <c r="N1945" s="66" t="s">
        <v>260</v>
      </c>
      <c r="O1945" s="66" t="s">
        <v>26</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1" ht="15.75" customHeight="1">
      <c r="A1946" s="334" t="str">
        <f>IF(B1946&lt;&gt;"",IF(AND(B1946='IN-TC'!$S$4,OR(TH!N1946="1111",TH!O1946="1111")),TH!D1946,""),"")</f>
        <v/>
      </c>
      <c r="B1946" s="63">
        <f t="shared" si="216"/>
        <v>5</v>
      </c>
      <c r="C1946" s="64">
        <f t="shared" si="217"/>
        <v>42518</v>
      </c>
      <c r="D1946" s="316" t="s">
        <v>906</v>
      </c>
      <c r="E1946" s="64">
        <v>42518</v>
      </c>
      <c r="F1946" s="72" t="s">
        <v>1139</v>
      </c>
      <c r="G1946" s="972" t="s">
        <v>915</v>
      </c>
      <c r="H1946" s="72" t="s">
        <v>760</v>
      </c>
      <c r="I1946" s="437"/>
      <c r="J1946" s="437"/>
      <c r="K1946" s="428"/>
      <c r="L1946" s="437"/>
      <c r="M1946" s="65">
        <v>80000000</v>
      </c>
      <c r="N1946" s="66" t="s">
        <v>63</v>
      </c>
      <c r="O1946" s="66" t="s">
        <v>26</v>
      </c>
      <c r="P1946" s="82" t="str">
        <f>IF(AND('331-CT'!$E$7=TH!H1946,OR(N1946="331",O1946="331")),"x","")</f>
        <v/>
      </c>
      <c r="Q1946" s="82" t="str">
        <f>IF(AND(B1946='111'!$L$11,OR($N1946=$Q$7,$O1946=$Q$7)),"x","")</f>
        <v/>
      </c>
      <c r="R1946" s="82" t="str">
        <f>IF(AND($N1946=$Q$7,$B1946&lt;'111'!$L$11),"x","")</f>
        <v>x</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1" s="348" customFormat="1" ht="15.75" customHeight="1">
      <c r="A1947" s="1229" t="str">
        <f>IF(B1947&lt;&gt;"",IF(AND(B1947='IN-TC'!$S$4,OR(TH!N1947="1111",TH!O1947="1111")),TH!D1947,""),"")</f>
        <v/>
      </c>
      <c r="B1947" s="1134">
        <f t="shared" si="216"/>
        <v>5</v>
      </c>
      <c r="C1947" s="92">
        <v>42519</v>
      </c>
      <c r="D1947" s="1135" t="s">
        <v>913</v>
      </c>
      <c r="E1947" s="92">
        <v>42519</v>
      </c>
      <c r="F1947" s="72" t="s">
        <v>1891</v>
      </c>
      <c r="G1947" s="1138"/>
      <c r="H1947" s="94" t="s">
        <v>1211</v>
      </c>
      <c r="I1947" s="443"/>
      <c r="J1947" s="443"/>
      <c r="K1947" s="434"/>
      <c r="L1947" s="443"/>
      <c r="M1947" s="95">
        <v>79000000</v>
      </c>
      <c r="N1947" s="83" t="s">
        <v>63</v>
      </c>
      <c r="O1947" s="83" t="s">
        <v>72</v>
      </c>
      <c r="P1947" s="82" t="str">
        <f>IF(AND('331-CT'!$E$7=TH!H1947,OR(N1947="331",O1947="331")),"x","")</f>
        <v/>
      </c>
      <c r="Q1947" s="82" t="str">
        <f>IF(AND(B1947='111'!$L$11,OR($N1947=$Q$7,$O1947=$Q$7)),"x","")</f>
        <v/>
      </c>
      <c r="R1947" s="82" t="str">
        <f>IF(AND($N1947=$Q$7,$B1947&lt;'111'!$L$11),"x","")</f>
        <v>x</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1" ht="15.75" customHeight="1">
      <c r="A1948" s="334" t="str">
        <f>IF(B1948&lt;&gt;"",IF(AND(B1948='IN-TC'!$S$4,OR(TH!N1948="1111",TH!O1948="1111")),TH!D1948,""),"")</f>
        <v/>
      </c>
      <c r="B1948" s="63">
        <f t="shared" si="216"/>
        <v>5</v>
      </c>
      <c r="C1948" s="64">
        <f t="shared" ref="C1948:C1958" si="218">E1948</f>
        <v>42518</v>
      </c>
      <c r="D1948" s="316" t="s">
        <v>702</v>
      </c>
      <c r="E1948" s="64">
        <v>42518</v>
      </c>
      <c r="F1948" s="72" t="s">
        <v>1060</v>
      </c>
      <c r="G1948" s="972" t="s">
        <v>915</v>
      </c>
      <c r="H1948" s="1164" t="s">
        <v>1541</v>
      </c>
      <c r="I1948" s="437"/>
      <c r="J1948" s="437"/>
      <c r="K1948" s="428"/>
      <c r="L1948" s="437"/>
      <c r="M1948" s="65">
        <v>1146783</v>
      </c>
      <c r="N1948" s="66" t="s">
        <v>99</v>
      </c>
      <c r="O1948" s="66" t="s">
        <v>26</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1" ht="15.75" customHeight="1">
      <c r="A1949" s="334" t="str">
        <f>IF(B1949&lt;&gt;"",IF(AND(B1949='IN-TC'!$S$4,OR(TH!N1949="1111",TH!O1949="1111")),TH!D1949,""),"")</f>
        <v/>
      </c>
      <c r="B1949" s="63">
        <f t="shared" si="216"/>
        <v>5</v>
      </c>
      <c r="C1949" s="64">
        <f t="shared" si="218"/>
        <v>42506</v>
      </c>
      <c r="D1949" s="316" t="s">
        <v>702</v>
      </c>
      <c r="E1949" s="64">
        <v>42506</v>
      </c>
      <c r="F1949" s="72" t="s">
        <v>1214</v>
      </c>
      <c r="G1949" s="972" t="s">
        <v>914</v>
      </c>
      <c r="H1949" s="72"/>
      <c r="I1949" s="437"/>
      <c r="J1949" s="437"/>
      <c r="K1949" s="428"/>
      <c r="L1949" s="437"/>
      <c r="M1949" s="65">
        <v>50000</v>
      </c>
      <c r="N1949" s="66" t="s">
        <v>101</v>
      </c>
      <c r="O1949" s="66" t="s">
        <v>26</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1" ht="15.75" customHeight="1">
      <c r="A1950" s="334" t="str">
        <f>IF(B1950&lt;&gt;"",IF(AND(B1950='IN-TC'!$S$4,OR(TH!N1950="1111",TH!O1950="1111")),TH!D1950,""),"")</f>
        <v/>
      </c>
      <c r="B1950" s="63">
        <f t="shared" si="216"/>
        <v>5</v>
      </c>
      <c r="C1950" s="64">
        <f t="shared" si="218"/>
        <v>42506</v>
      </c>
      <c r="D1950" s="316" t="s">
        <v>702</v>
      </c>
      <c r="E1950" s="64">
        <v>42506</v>
      </c>
      <c r="F1950" s="72" t="s">
        <v>1197</v>
      </c>
      <c r="G1950" s="972" t="s">
        <v>914</v>
      </c>
      <c r="H1950" s="72"/>
      <c r="I1950" s="437"/>
      <c r="J1950" s="437"/>
      <c r="K1950" s="428"/>
      <c r="L1950" s="437"/>
      <c r="M1950" s="65">
        <v>5000</v>
      </c>
      <c r="N1950" s="66" t="s">
        <v>9</v>
      </c>
      <c r="O1950" s="66" t="s">
        <v>26</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x</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1" ht="15.75" customHeight="1">
      <c r="A1951" s="334" t="str">
        <f>IF(B1951&lt;&gt;"",IF(AND(B1951='IN-TC'!$S$4,OR(TH!N1951="1111",TH!O1951="1111")),TH!D1951,""),"")</f>
        <v/>
      </c>
      <c r="B1951" s="63">
        <f t="shared" si="216"/>
        <v>5</v>
      </c>
      <c r="C1951" s="64">
        <f t="shared" si="218"/>
        <v>42506</v>
      </c>
      <c r="D1951" s="316" t="s">
        <v>702</v>
      </c>
      <c r="E1951" s="64">
        <v>42506</v>
      </c>
      <c r="F1951" s="72" t="s">
        <v>1215</v>
      </c>
      <c r="G1951" s="972" t="s">
        <v>914</v>
      </c>
      <c r="H1951" s="72"/>
      <c r="I1951" s="437"/>
      <c r="J1951" s="437"/>
      <c r="K1951" s="428"/>
      <c r="L1951" s="437"/>
      <c r="M1951" s="65">
        <v>50000</v>
      </c>
      <c r="N1951" s="66" t="s">
        <v>101</v>
      </c>
      <c r="O1951" s="66" t="s">
        <v>26</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1" ht="15.75" customHeight="1">
      <c r="A1952" s="334" t="str">
        <f>IF(B1952&lt;&gt;"",IF(AND(B1952='IN-TC'!$S$4,OR(TH!N1952="1111",TH!O1952="1111")),TH!D1952,""),"")</f>
        <v/>
      </c>
      <c r="B1952" s="63">
        <f t="shared" si="216"/>
        <v>5</v>
      </c>
      <c r="C1952" s="64">
        <f t="shared" si="218"/>
        <v>42506</v>
      </c>
      <c r="D1952" s="316" t="s">
        <v>702</v>
      </c>
      <c r="E1952" s="64">
        <v>42506</v>
      </c>
      <c r="F1952" s="72" t="s">
        <v>1197</v>
      </c>
      <c r="G1952" s="972" t="s">
        <v>914</v>
      </c>
      <c r="H1952" s="72"/>
      <c r="I1952" s="437"/>
      <c r="J1952" s="437"/>
      <c r="K1952" s="428"/>
      <c r="L1952" s="437"/>
      <c r="M1952" s="65">
        <v>5000</v>
      </c>
      <c r="N1952" s="66" t="s">
        <v>9</v>
      </c>
      <c r="O1952" s="66" t="s">
        <v>26</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x</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2" ht="15.75" customHeight="1">
      <c r="A1953" s="334" t="str">
        <f>IF(B1953&lt;&gt;"",IF(AND(B1953='IN-TC'!$S$4,OR(TH!N1953="1111",TH!O1953="1111")),TH!D1953,""),"")</f>
        <v/>
      </c>
      <c r="B1953" s="63">
        <f t="shared" si="216"/>
        <v>5</v>
      </c>
      <c r="C1953" s="64">
        <f t="shared" si="218"/>
        <v>42509</v>
      </c>
      <c r="D1953" s="316" t="s">
        <v>702</v>
      </c>
      <c r="E1953" s="64">
        <v>42509</v>
      </c>
      <c r="F1953" s="343" t="s">
        <v>754</v>
      </c>
      <c r="G1953" s="972" t="s">
        <v>914</v>
      </c>
      <c r="H1953" s="342" t="s">
        <v>726</v>
      </c>
      <c r="I1953" s="437"/>
      <c r="J1953" s="437"/>
      <c r="K1953" s="428"/>
      <c r="L1953" s="437"/>
      <c r="M1953" s="65">
        <v>5278457</v>
      </c>
      <c r="N1953" s="66" t="s">
        <v>99</v>
      </c>
      <c r="O1953" s="66" t="s">
        <v>26</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2" ht="15.75" customHeight="1">
      <c r="A1954" s="334" t="str">
        <f>IF(B1954&lt;&gt;"",IF(AND(B1954='IN-TC'!$S$4,OR(TH!N1954="1111",TH!O1954="1111")),TH!D1954,""),"")</f>
        <v/>
      </c>
      <c r="B1954" s="63">
        <f t="shared" si="216"/>
        <v>5</v>
      </c>
      <c r="C1954" s="64">
        <f t="shared" si="218"/>
        <v>42509</v>
      </c>
      <c r="D1954" s="316" t="s">
        <v>702</v>
      </c>
      <c r="E1954" s="64">
        <v>42509</v>
      </c>
      <c r="F1954" s="512" t="s">
        <v>755</v>
      </c>
      <c r="G1954" s="972" t="s">
        <v>914</v>
      </c>
      <c r="H1954" s="342" t="s">
        <v>727</v>
      </c>
      <c r="I1954" s="437"/>
      <c r="J1954" s="437"/>
      <c r="K1954" s="428"/>
      <c r="L1954" s="437"/>
      <c r="M1954" s="65">
        <v>4615999</v>
      </c>
      <c r="N1954" s="66" t="s">
        <v>99</v>
      </c>
      <c r="O1954" s="66" t="s">
        <v>26</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2" ht="15.75" customHeight="1">
      <c r="A1955" s="334" t="str">
        <f>IF(B1955&lt;&gt;"",IF(AND(B1955='IN-TC'!$S$4,OR(TH!N1955="1111",TH!O1955="1111")),TH!D1955,""),"")</f>
        <v/>
      </c>
      <c r="B1955" s="63">
        <f t="shared" si="216"/>
        <v>5</v>
      </c>
      <c r="C1955" s="64">
        <f t="shared" si="218"/>
        <v>42509</v>
      </c>
      <c r="D1955" s="316" t="s">
        <v>702</v>
      </c>
      <c r="E1955" s="64">
        <v>42509</v>
      </c>
      <c r="F1955" s="512" t="s">
        <v>756</v>
      </c>
      <c r="G1955" s="972" t="s">
        <v>914</v>
      </c>
      <c r="H1955" s="342" t="s">
        <v>728</v>
      </c>
      <c r="I1955" s="437"/>
      <c r="J1955" s="437"/>
      <c r="K1955" s="428"/>
      <c r="L1955" s="437"/>
      <c r="M1955" s="65">
        <v>2458964</v>
      </c>
      <c r="N1955" s="66" t="s">
        <v>99</v>
      </c>
      <c r="O1955" s="66" t="s">
        <v>26</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2" ht="15.75" customHeight="1">
      <c r="A1956" s="334" t="str">
        <f>IF(B1956&lt;&gt;"",IF(AND(B1956='IN-TC'!$S$4,OR(TH!N1956="1111",TH!O1956="1111")),TH!D1956,""),"")</f>
        <v/>
      </c>
      <c r="B1956" s="63">
        <f t="shared" si="216"/>
        <v>5</v>
      </c>
      <c r="C1956" s="64">
        <f t="shared" si="218"/>
        <v>42509</v>
      </c>
      <c r="D1956" s="316" t="s">
        <v>702</v>
      </c>
      <c r="E1956" s="64">
        <v>42509</v>
      </c>
      <c r="F1956" s="512" t="s">
        <v>1057</v>
      </c>
      <c r="G1956" s="972" t="s">
        <v>914</v>
      </c>
      <c r="H1956" s="342" t="s">
        <v>729</v>
      </c>
      <c r="I1956" s="437"/>
      <c r="J1956" s="437"/>
      <c r="K1956" s="428"/>
      <c r="L1956" s="437"/>
      <c r="M1956" s="65">
        <v>3204226</v>
      </c>
      <c r="N1956" s="66" t="s">
        <v>99</v>
      </c>
      <c r="O1956" s="66" t="s">
        <v>26</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2" ht="15.75" customHeight="1">
      <c r="A1957" s="334" t="str">
        <f>IF(B1957&lt;&gt;"",IF(AND(B1957='IN-TC'!$S$4,OR(TH!N1957="1111",TH!O1957="1111")),TH!D1957,""),"")</f>
        <v/>
      </c>
      <c r="B1957" s="63">
        <f t="shared" si="216"/>
        <v>5</v>
      </c>
      <c r="C1957" s="64">
        <f t="shared" si="218"/>
        <v>42509</v>
      </c>
      <c r="D1957" s="316" t="s">
        <v>702</v>
      </c>
      <c r="E1957" s="64">
        <v>42509</v>
      </c>
      <c r="F1957" s="512" t="s">
        <v>1697</v>
      </c>
      <c r="G1957" s="972" t="s">
        <v>914</v>
      </c>
      <c r="H1957" s="342" t="s">
        <v>739</v>
      </c>
      <c r="I1957" s="437"/>
      <c r="J1957" s="437"/>
      <c r="K1957" s="428"/>
      <c r="L1957" s="437"/>
      <c r="M1957" s="65">
        <v>3897213</v>
      </c>
      <c r="N1957" s="66" t="s">
        <v>99</v>
      </c>
      <c r="O1957" s="66" t="s">
        <v>26</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2" s="345" customFormat="1" ht="15.75" customHeight="1">
      <c r="A1958" s="334" t="str">
        <f>IF(B1958&lt;&gt;"",IF(AND(B1958='IN-TC'!$S$4,OR(TH!N1958="1111",TH!O1958="1111")),TH!D1958,""),"")</f>
        <v/>
      </c>
      <c r="B1958" s="993">
        <f t="shared" si="216"/>
        <v>5</v>
      </c>
      <c r="C1958" s="78">
        <f t="shared" si="218"/>
        <v>42521</v>
      </c>
      <c r="D1958" s="78" t="s">
        <v>579</v>
      </c>
      <c r="E1958" s="78">
        <v>42521</v>
      </c>
      <c r="F1958" s="72" t="s">
        <v>1549</v>
      </c>
      <c r="G1958" s="79"/>
      <c r="H1958" s="80" t="s">
        <v>1353</v>
      </c>
      <c r="I1958" s="435"/>
      <c r="J1958" s="435"/>
      <c r="K1958" s="426"/>
      <c r="L1958" s="435"/>
      <c r="M1958" s="81">
        <v>321158412</v>
      </c>
      <c r="N1958" s="82" t="s">
        <v>72</v>
      </c>
      <c r="O1958" s="82" t="s">
        <v>9</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x</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2" ht="15.75" customHeight="1">
      <c r="A1959" s="334" t="str">
        <f>IF(B1959&lt;&gt;"",IF(AND(B1959='IN-TC'!$S$4,OR(TH!N1972="1111",TH!O1972="1111")),TH!D1972,""),"")</f>
        <v/>
      </c>
      <c r="B1959" s="63">
        <f t="shared" si="216"/>
        <v>6</v>
      </c>
      <c r="C1959" s="64">
        <v>42525</v>
      </c>
      <c r="D1959" s="64" t="s">
        <v>871</v>
      </c>
      <c r="E1959" s="64">
        <v>42525</v>
      </c>
      <c r="F1959" s="72" t="s">
        <v>768</v>
      </c>
      <c r="G1959" s="972" t="s">
        <v>1566</v>
      </c>
      <c r="H1959" s="72" t="s">
        <v>805</v>
      </c>
      <c r="I1959" s="437"/>
      <c r="J1959" s="437"/>
      <c r="K1959" s="428"/>
      <c r="L1959" s="437"/>
      <c r="M1959" s="65">
        <v>565000</v>
      </c>
      <c r="N1959" s="66" t="s">
        <v>101</v>
      </c>
      <c r="O1959" s="66" t="s">
        <v>63</v>
      </c>
      <c r="P1959" s="82" t="str">
        <f>IF(AND('331-CT'!$E$7=TH!H1972,OR(N1959="331",O1959="331")),"x","")</f>
        <v/>
      </c>
      <c r="Q1959" s="82" t="str">
        <f>IF(AND(B1959='111'!$L$11,OR($N1959=$Q$7,$O1959=$Q$7)),"x","")</f>
        <v/>
      </c>
      <c r="R1959" s="82" t="str">
        <f>IF(AND($N1959=$Q$7,$B1959&lt;'111'!$L$11),"x","")</f>
        <v/>
      </c>
      <c r="S1959" s="82" t="str">
        <f>IF(AND($O1959=$Q$7,$B1959&lt;'111'!$L$11),"x","")</f>
        <v>x</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IF(OR(TH!N1972=TH!$X$7,O1959=TH!$X$7),"x","")</f>
        <v/>
      </c>
      <c r="Y1959" s="82" t="str">
        <f>IF(AND(OR(N1959="131",O1959="131"),H1959='131-CT'!$H$9),"x","")</f>
        <v/>
      </c>
      <c r="Z1959" s="82"/>
      <c r="AA1959" s="82" t="str">
        <f>IF(AND(MONTH(E1959)='IN-NX'!$J$5,'IN-NX'!$D$7=D1959),"x","")</f>
        <v/>
      </c>
      <c r="AB1959" s="82" t="str">
        <f>IF(AND(OR(LEFT(TH!N1972,2)="15",LEFT(TH!O1972,2)="15"),LEFT(TH!O1972,3)&lt;&gt;"111",'152-CT'!$J$8=TH!F1972),"x","")</f>
        <v/>
      </c>
      <c r="AC1959" s="82" t="str">
        <f>IF(AND(OR(LEFT(TH!N1972,2)="15",LEFT(TH!O1972,2)="15"),TK!$E$7=TH!F1972),"x","")</f>
        <v/>
      </c>
      <c r="AD1959" s="82" t="str">
        <f>IF(AND(N1959="1521",MONTH(C1959)='BK-NL'!$M$11),"x","")</f>
        <v/>
      </c>
      <c r="AF1959" s="328">
        <v>1</v>
      </c>
    </row>
    <row r="1960" spans="1:32" ht="15.75" customHeight="1">
      <c r="A1960" s="334" t="str">
        <f>IF(B1960&lt;&gt;"",IF(AND(B1960='IN-TC'!$S$4,OR(TH!N1973="1111",TH!O1973="1111")),TH!D1973,""),"")</f>
        <v/>
      </c>
      <c r="B1960" s="63">
        <f t="shared" si="216"/>
        <v>6</v>
      </c>
      <c r="C1960" s="64">
        <v>42525</v>
      </c>
      <c r="D1960" s="64" t="s">
        <v>871</v>
      </c>
      <c r="E1960" s="64">
        <v>42525</v>
      </c>
      <c r="F1960" s="72" t="s">
        <v>769</v>
      </c>
      <c r="G1960" s="972" t="s">
        <v>1566</v>
      </c>
      <c r="H1960" s="72" t="s">
        <v>805</v>
      </c>
      <c r="I1960" s="437"/>
      <c r="J1960" s="437"/>
      <c r="K1960" s="428"/>
      <c r="L1960" s="437"/>
      <c r="M1960" s="65">
        <v>56500</v>
      </c>
      <c r="N1960" s="66" t="s">
        <v>9</v>
      </c>
      <c r="O1960" s="66" t="s">
        <v>63</v>
      </c>
      <c r="P1960" s="82" t="str">
        <f>IF(AND('331-CT'!$E$7=TH!H1973,OR(N1960="331",O1960="331")),"x","")</f>
        <v/>
      </c>
      <c r="Q1960" s="82" t="str">
        <f>IF(AND(B1960='111'!$L$11,OR($N1960=$Q$7,$O1960=$Q$7)),"x","")</f>
        <v/>
      </c>
      <c r="R1960" s="82" t="str">
        <f>IF(AND($N1960=$Q$7,$B1960&lt;'111'!$L$11),"x","")</f>
        <v/>
      </c>
      <c r="S1960" s="82" t="str">
        <f>IF(AND($O1960=$Q$7,$B1960&lt;'111'!$L$11),"x","")</f>
        <v>x</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IF(OR(TH!N1973=TH!$X$7,O1960=TH!$X$7),"x","")</f>
        <v/>
      </c>
      <c r="Y1960" s="82" t="str">
        <f>IF(AND(OR(N1960="131",O1960="131"),H1960='131-CT'!$H$9),"x","")</f>
        <v/>
      </c>
      <c r="Z1960" s="82"/>
      <c r="AA1960" s="82" t="str">
        <f>IF(AND(MONTH(E1960)='IN-NX'!$J$5,'IN-NX'!$D$7=D1960),"x","")</f>
        <v/>
      </c>
      <c r="AB1960" s="82" t="str">
        <f>IF(AND(OR(LEFT(TH!N1973,2)="15",LEFT(TH!O1973,2)="15"),LEFT(TH!O1973,3)&lt;&gt;"111",'152-CT'!$J$8=TH!F1973),"x","")</f>
        <v/>
      </c>
      <c r="AC1960" s="82" t="str">
        <f>IF(AND(OR(LEFT(TH!N1973,2)="15",LEFT(TH!O1973,2)="15"),TK!$E$7=TH!F1973),"x","")</f>
        <v/>
      </c>
      <c r="AD1960" s="82" t="str">
        <f>IF(AND(N1960="1521",MONTH(C1960)='BK-NL'!$M$11),"x","")</f>
        <v/>
      </c>
    </row>
    <row r="1961" spans="1:32" ht="15.75" customHeight="1">
      <c r="A1961" s="334" t="str">
        <f>IF(B1961&lt;&gt;"",IF(AND(B1961='IN-TC'!$S$4,OR(TH!N1562="1111",TH!O1562="1111")),TH!D1562,""),"")</f>
        <v/>
      </c>
      <c r="B1961" s="1148">
        <f t="shared" si="216"/>
        <v>6</v>
      </c>
      <c r="C1961" s="1149">
        <v>42527</v>
      </c>
      <c r="D1961" s="1149" t="s">
        <v>872</v>
      </c>
      <c r="E1961" s="1149">
        <f>C1961</f>
        <v>42527</v>
      </c>
      <c r="F1961" s="512" t="s">
        <v>960</v>
      </c>
      <c r="G1961" s="1151"/>
      <c r="H1961" s="1150" t="s">
        <v>959</v>
      </c>
      <c r="I1961" s="1152"/>
      <c r="J1961" s="1152"/>
      <c r="K1961" s="1153"/>
      <c r="L1961" s="1152"/>
      <c r="M1961" s="1154">
        <v>500000000</v>
      </c>
      <c r="N1961" s="1155" t="s">
        <v>272</v>
      </c>
      <c r="O1961" s="1155" t="s">
        <v>63</v>
      </c>
      <c r="P1961" s="1155" t="str">
        <f>IF(AND('331-CT'!$E$7=TH!H1562,OR(N1961="331",O1961="331")),"x","")</f>
        <v/>
      </c>
      <c r="Q1961" s="1155" t="str">
        <f>IF(AND(B1961='111'!$L$11,OR($N1961=$Q$7,$O1961=$Q$7)),"x","")</f>
        <v/>
      </c>
      <c r="R1961" s="1155" t="str">
        <f>IF(AND($N1961=$Q$7,$B1961&lt;'111'!$L$11),"x","")</f>
        <v/>
      </c>
      <c r="S1961" s="1155" t="str">
        <f>IF(AND($O1961=$Q$7,$B1961&lt;'111'!$L$11),"x","")</f>
        <v>x</v>
      </c>
      <c r="T1961" s="1155" t="str">
        <f>IF(ISERROR(FIND('112'!$M$9,G1961,1)),"",IF((AND(FIND('112'!$M$9,G1961,1)&gt;=1,B1961='112'!$K$9,OR($N1961='112'!$I$6,$O1961='112'!$I$6))),"x",""))</f>
        <v/>
      </c>
      <c r="U1961" s="1155" t="str">
        <f>IF(ISERROR(FIND('112'!$M$9,G1961,1)),"",IF((AND(LEFT(G1961,2)=LEFT('112'!$M$9,2),B1961&lt;'112'!$K$9,$N1961='112'!$I$6)),"x",""))</f>
        <v/>
      </c>
      <c r="V1961" s="1155" t="str">
        <f>IF(ISERROR(FIND('112'!$M$9,G1961,1)),"",IF((AND(RIGHT(G1961,2)=RIGHT('112'!$M$9,2),B1961&lt;'112'!$K$9,$O1961='112'!$I$6)),"x",""))</f>
        <v/>
      </c>
      <c r="W1961" s="1155" t="str">
        <f>IF(AND('341-CT'!$H$9=H1961,OR(LEFT(N1961,3)=$W$7,LEFT(O1961,3)=$W$7)),"x","")</f>
        <v/>
      </c>
      <c r="X1961" s="1155" t="str">
        <f>IF(OR(TH!N1562=TH!$X$7,O1961=TH!$X$7),"x","")</f>
        <v/>
      </c>
      <c r="Y1961" s="1155" t="str">
        <f>IF(AND(OR(N1961="131",O1961="131"),H1961='131-CT'!$H$9),"x","")</f>
        <v/>
      </c>
      <c r="Z1961" s="1155"/>
      <c r="AA1961" s="1155" t="str">
        <f>IF(AND(MONTH(E1961)='IN-NX'!$J$5,'IN-NX'!$D$7=D1961),"x","")</f>
        <v/>
      </c>
      <c r="AB1961" s="1155" t="str">
        <f>IF(AND(OR(LEFT(TH!N1562,2)="15",LEFT(TH!O1562,2)="15"),LEFT(TH!O1562,3)&lt;&gt;"111",'152-CT'!$J$8=TH!F1562),"x","")</f>
        <v/>
      </c>
      <c r="AC1961" s="1155" t="str">
        <f>IF(AND(OR(LEFT(TH!N1562,2)="15",LEFT(TH!O1562,2)="15"),TK!$E$7=TH!F1562),"x","")</f>
        <v/>
      </c>
      <c r="AD1961" s="1155" t="str">
        <f>IF(AND(N1961="1521",MONTH(C1961)='BK-NL'!$M$11),"x","")</f>
        <v/>
      </c>
      <c r="AE1961" s="1156"/>
      <c r="AF1961" s="1156"/>
    </row>
    <row r="1962" spans="1:32" ht="15.75" customHeight="1">
      <c r="A1962" s="334" t="str">
        <f>IF(B1962&lt;&gt;"",IF(AND(B1962='IN-TC'!$S$4,OR(TH!N1567="1111",TH!O1567="1111")),TH!D1567,""),"")</f>
        <v/>
      </c>
      <c r="B1962" s="1148">
        <f t="shared" si="216"/>
        <v>6</v>
      </c>
      <c r="C1962" s="1149">
        <v>42527</v>
      </c>
      <c r="D1962" s="1149" t="s">
        <v>873</v>
      </c>
      <c r="E1962" s="1149">
        <f>C1962</f>
        <v>42527</v>
      </c>
      <c r="F1962" s="512" t="s">
        <v>960</v>
      </c>
      <c r="G1962" s="1151"/>
      <c r="H1962" s="1150" t="s">
        <v>2239</v>
      </c>
      <c r="I1962" s="1152"/>
      <c r="J1962" s="1152"/>
      <c r="K1962" s="1153"/>
      <c r="L1962" s="1152"/>
      <c r="M1962" s="1154">
        <v>400000000</v>
      </c>
      <c r="N1962" s="1155" t="s">
        <v>272</v>
      </c>
      <c r="O1962" s="1155" t="s">
        <v>63</v>
      </c>
      <c r="P1962" s="1155" t="str">
        <f>IF(AND('331-CT'!$E$7=TH!H1567,OR(N1962="331",O1962="331")),"x","")</f>
        <v/>
      </c>
      <c r="Q1962" s="1155" t="str">
        <f>IF(AND(B1962='111'!$L$11,OR($N1962=$Q$7,$O1962=$Q$7)),"x","")</f>
        <v/>
      </c>
      <c r="R1962" s="1155" t="str">
        <f>IF(AND($N1962=$Q$7,$B1962&lt;'111'!$L$11),"x","")</f>
        <v/>
      </c>
      <c r="S1962" s="1155" t="str">
        <f>IF(AND($O1962=$Q$7,$B1962&lt;'111'!$L$11),"x","")</f>
        <v>x</v>
      </c>
      <c r="T1962" s="1155" t="str">
        <f>IF(ISERROR(FIND('112'!$M$9,G1962,1)),"",IF((AND(FIND('112'!$M$9,G1962,1)&gt;=1,B1962='112'!$K$9,OR($N1962='112'!$I$6,$O1962='112'!$I$6))),"x",""))</f>
        <v/>
      </c>
      <c r="U1962" s="1155" t="str">
        <f>IF(ISERROR(FIND('112'!$M$9,G1962,1)),"",IF((AND(LEFT(G1962,2)=LEFT('112'!$M$9,2),B1962&lt;'112'!$K$9,$N1962='112'!$I$6)),"x",""))</f>
        <v/>
      </c>
      <c r="V1962" s="1155" t="str">
        <f>IF(ISERROR(FIND('112'!$M$9,G1962,1)),"",IF((AND(RIGHT(G1962,2)=RIGHT('112'!$M$9,2),B1962&lt;'112'!$K$9,$O1962='112'!$I$6)),"x",""))</f>
        <v/>
      </c>
      <c r="W1962" s="1155" t="str">
        <f>IF(AND('341-CT'!$H$9=H1962,OR(LEFT(N1962,3)=$W$7,LEFT(O1962,3)=$W$7)),"x","")</f>
        <v/>
      </c>
      <c r="X1962" s="1155" t="str">
        <f>IF(OR(TH!N1567=TH!$X$7,O1962=TH!$X$7),"x","")</f>
        <v/>
      </c>
      <c r="Y1962" s="1155" t="str">
        <f>IF(AND(OR(N1962="131",O1962="131"),H1962='131-CT'!$H$9),"x","")</f>
        <v/>
      </c>
      <c r="Z1962" s="1155"/>
      <c r="AA1962" s="1155" t="str">
        <f>IF(AND(MONTH(E1962)='IN-NX'!$J$5,'IN-NX'!$D$7=D1962),"x","")</f>
        <v/>
      </c>
      <c r="AB1962" s="1155" t="str">
        <f>IF(AND(OR(LEFT(TH!N1567,2)="15",LEFT(TH!O1567,2)="15"),LEFT(TH!O1567,3)&lt;&gt;"111",'152-CT'!$J$8=TH!F1567),"x","")</f>
        <v/>
      </c>
      <c r="AC1962" s="1155" t="str">
        <f>IF(AND(OR(LEFT(TH!N1567,2)="15",LEFT(TH!O1567,2)="15"),TK!$E$7=TH!F1567),"x","")</f>
        <v/>
      </c>
      <c r="AD1962" s="1155" t="str">
        <f>IF(AND(N1962="1521",MONTH(C1962)='BK-NL'!$M$11),"x","")</f>
        <v/>
      </c>
      <c r="AE1962" s="1156"/>
      <c r="AF1962" s="1156"/>
    </row>
    <row r="1963" spans="1:32" ht="15.75" customHeight="1">
      <c r="A1963" s="334" t="str">
        <f>IF(B1963&lt;&gt;"",IF(AND(B1963='IN-TC'!$S$4,OR(TH!N1974="1111",TH!O1974="1111")),TH!D1974,""),"")</f>
        <v/>
      </c>
      <c r="B1963" s="63">
        <f t="shared" si="216"/>
        <v>6</v>
      </c>
      <c r="C1963" s="64">
        <v>42527</v>
      </c>
      <c r="D1963" s="64" t="s">
        <v>874</v>
      </c>
      <c r="E1963" s="64">
        <v>42527</v>
      </c>
      <c r="F1963" s="72" t="s">
        <v>1568</v>
      </c>
      <c r="G1963" s="972" t="s">
        <v>1567</v>
      </c>
      <c r="H1963" s="72" t="s">
        <v>843</v>
      </c>
      <c r="I1963" s="437"/>
      <c r="J1963" s="437"/>
      <c r="K1963" s="428"/>
      <c r="L1963" s="437"/>
      <c r="M1963" s="65">
        <v>1965005</v>
      </c>
      <c r="N1963" s="66" t="s">
        <v>101</v>
      </c>
      <c r="O1963" s="66" t="s">
        <v>63</v>
      </c>
      <c r="P1963" s="82" t="str">
        <f>IF(AND('331-CT'!$E$7=TH!H1974,OR(N1963="331",O1963="331")),"x","")</f>
        <v/>
      </c>
      <c r="Q1963" s="82" t="str">
        <f>IF(AND(B1963='111'!$L$11,OR($N1963=$Q$7,$O1963=$Q$7)),"x","")</f>
        <v/>
      </c>
      <c r="R1963" s="82" t="str">
        <f>IF(AND($N1963=$Q$7,$B1963&lt;'111'!$L$11),"x","")</f>
        <v/>
      </c>
      <c r="S1963" s="82" t="str">
        <f>IF(AND($O1963=$Q$7,$B1963&lt;'111'!$L$11),"x","")</f>
        <v>x</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IF(OR(TH!N1974=TH!$X$7,O1963=TH!$X$7),"x","")</f>
        <v/>
      </c>
      <c r="Y1963" s="82" t="str">
        <f>IF(AND(OR(N1963="131",O1963="131"),H1963='131-CT'!$H$9),"x","")</f>
        <v/>
      </c>
      <c r="Z1963" s="82"/>
      <c r="AA1963" s="82" t="str">
        <f>IF(AND(MONTH(E1963)='IN-NX'!$J$5,'IN-NX'!$D$7=D1963),"x","")</f>
        <v/>
      </c>
      <c r="AB1963" s="82" t="str">
        <f>IF(AND(OR(LEFT(TH!N1974,2)="15",LEFT(TH!O1974,2)="15"),LEFT(TH!O1974,3)&lt;&gt;"111",'152-CT'!$J$8=TH!F1974),"x","")</f>
        <v/>
      </c>
      <c r="AC1963" s="82" t="str">
        <f>IF(AND(OR(LEFT(TH!N1974,2)="15",LEFT(TH!O1974,2)="15"),TK!$E$7=TH!F1974),"x","")</f>
        <v/>
      </c>
      <c r="AD1963" s="82" t="str">
        <f>IF(AND(N1963="1521",MONTH(C1963)='BK-NL'!$M$11),"x","")</f>
        <v/>
      </c>
      <c r="AF1963" s="328">
        <v>1</v>
      </c>
    </row>
    <row r="1964" spans="1:32" ht="15.75" customHeight="1">
      <c r="A1964" s="334" t="str">
        <f>IF(B1964&lt;&gt;"",IF(AND(B1964='IN-TC'!$S$4,OR(TH!N1964="1111",TH!O1964="1111")),TH!D1964,""),"")</f>
        <v/>
      </c>
      <c r="B1964" s="63">
        <f t="shared" si="216"/>
        <v>6</v>
      </c>
      <c r="C1964" s="64">
        <v>42523</v>
      </c>
      <c r="D1964" s="64" t="s">
        <v>702</v>
      </c>
      <c r="E1964" s="64">
        <f>C1964</f>
        <v>42523</v>
      </c>
      <c r="F1964" s="72" t="s">
        <v>1630</v>
      </c>
      <c r="G1964" s="67" t="s">
        <v>915</v>
      </c>
      <c r="H1964" s="72" t="s">
        <v>629</v>
      </c>
      <c r="I1964" s="437"/>
      <c r="J1964" s="437"/>
      <c r="K1964" s="428"/>
      <c r="L1964" s="437"/>
      <c r="M1964" s="65">
        <v>35415270</v>
      </c>
      <c r="N1964" s="66" t="s">
        <v>8</v>
      </c>
      <c r="O1964" s="66" t="s">
        <v>26</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c r="AE1964" s="1136" t="str">
        <f>IF(H1964&lt;&gt;VLOOKUP(H1964,DSKH,1,0),"","x")</f>
        <v>x</v>
      </c>
    </row>
    <row r="1965" spans="1:32" ht="15.75" customHeight="1">
      <c r="A1965" s="334" t="str">
        <f>IF(B1965&lt;&gt;"",IF(AND(B1965='IN-TC'!$S$4,OR(TH!N1965="1111",TH!O1965="1111")),TH!D1965,""),"")</f>
        <v/>
      </c>
      <c r="B1965" s="63">
        <f t="shared" si="216"/>
        <v>6</v>
      </c>
      <c r="C1965" s="64">
        <v>42523</v>
      </c>
      <c r="D1965" s="64" t="s">
        <v>702</v>
      </c>
      <c r="E1965" s="64">
        <f>C1965</f>
        <v>42523</v>
      </c>
      <c r="F1965" s="72" t="s">
        <v>1169</v>
      </c>
      <c r="G1965" s="67" t="s">
        <v>915</v>
      </c>
      <c r="H1965" s="72" t="s">
        <v>629</v>
      </c>
      <c r="I1965" s="437"/>
      <c r="J1965" s="437"/>
      <c r="K1965" s="428"/>
      <c r="L1965" s="437"/>
      <c r="M1965" s="65">
        <v>45000</v>
      </c>
      <c r="N1965" s="66" t="s">
        <v>101</v>
      </c>
      <c r="O1965" s="66" t="s">
        <v>26</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c r="AF1965" s="328">
        <v>1</v>
      </c>
    </row>
    <row r="1966" spans="1:32" ht="15.75" customHeight="1">
      <c r="A1966" s="334" t="str">
        <f>IF(B1966&lt;&gt;"",IF(AND(B1966='IN-TC'!$S$4,OR(TH!N1966="1111",TH!O1966="1111")),TH!D1966,""),"")</f>
        <v/>
      </c>
      <c r="B1966" s="63">
        <f t="shared" si="216"/>
        <v>6</v>
      </c>
      <c r="C1966" s="64">
        <v>42523</v>
      </c>
      <c r="D1966" s="64" t="s">
        <v>702</v>
      </c>
      <c r="E1966" s="64">
        <f>C1966</f>
        <v>42523</v>
      </c>
      <c r="F1966" s="72" t="s">
        <v>1631</v>
      </c>
      <c r="G1966" s="67" t="s">
        <v>915</v>
      </c>
      <c r="H1966" s="72" t="s">
        <v>629</v>
      </c>
      <c r="I1966" s="437"/>
      <c r="J1966" s="437"/>
      <c r="K1966" s="428"/>
      <c r="L1966" s="437"/>
      <c r="M1966" s="65">
        <v>4500</v>
      </c>
      <c r="N1966" s="66" t="s">
        <v>9</v>
      </c>
      <c r="O1966" s="66" t="s">
        <v>26</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x</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2" ht="15.75" customHeight="1">
      <c r="A1967" s="334" t="str">
        <f>IF(B1967&lt;&gt;"",IF(AND(B1967='IN-TC'!$S$4,OR(TH!N1967="1111",TH!O1967="1111")),TH!D1967,""),"")</f>
        <v/>
      </c>
      <c r="B1967" s="63">
        <f t="shared" si="216"/>
        <v>6</v>
      </c>
      <c r="C1967" s="64">
        <v>42523</v>
      </c>
      <c r="D1967" s="64" t="s">
        <v>702</v>
      </c>
      <c r="E1967" s="64">
        <f>C1967</f>
        <v>42523</v>
      </c>
      <c r="F1967" s="72" t="s">
        <v>1632</v>
      </c>
      <c r="G1967" s="67" t="s">
        <v>915</v>
      </c>
      <c r="H1967" s="72"/>
      <c r="I1967" s="437"/>
      <c r="J1967" s="437"/>
      <c r="K1967" s="428"/>
      <c r="L1967" s="437"/>
      <c r="M1967" s="65">
        <v>112450</v>
      </c>
      <c r="N1967" s="66" t="s">
        <v>101</v>
      </c>
      <c r="O1967" s="66" t="s">
        <v>26</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c r="AF1967" s="328">
        <v>1</v>
      </c>
    </row>
    <row r="1968" spans="1:32" ht="15.75" customHeight="1">
      <c r="A1968" s="334" t="str">
        <f>IF(B1968&lt;&gt;"",IF(AND(B1968='IN-TC'!$S$4,OR(TH!N1968="1111",TH!O1968="1111")),TH!D1968,""),"")</f>
        <v/>
      </c>
      <c r="B1968" s="63">
        <f t="shared" si="216"/>
        <v>6</v>
      </c>
      <c r="C1968" s="64">
        <v>42523</v>
      </c>
      <c r="D1968" s="64" t="s">
        <v>702</v>
      </c>
      <c r="E1968" s="64">
        <f>C1968</f>
        <v>42523</v>
      </c>
      <c r="F1968" s="72" t="s">
        <v>1633</v>
      </c>
      <c r="G1968" s="67" t="s">
        <v>915</v>
      </c>
      <c r="H1968" s="72"/>
      <c r="I1968" s="437"/>
      <c r="J1968" s="437"/>
      <c r="K1968" s="428"/>
      <c r="L1968" s="437"/>
      <c r="M1968" s="65">
        <v>11245</v>
      </c>
      <c r="N1968" s="66" t="s">
        <v>9</v>
      </c>
      <c r="O1968" s="66" t="s">
        <v>26</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x</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2" ht="15.75" customHeight="1">
      <c r="A1969" s="334" t="str">
        <f>IF(B1969&lt;&gt;"",IF(AND(B1969='IN-TC'!$S$4,OR(TH!N1975="1111",TH!O1975="1111")),TH!D1975,""),"")</f>
        <v/>
      </c>
      <c r="B1969" s="63">
        <f t="shared" si="216"/>
        <v>6</v>
      </c>
      <c r="C1969" s="64">
        <v>42527</v>
      </c>
      <c r="D1969" s="64" t="s">
        <v>874</v>
      </c>
      <c r="E1969" s="64">
        <v>42527</v>
      </c>
      <c r="F1969" s="72" t="s">
        <v>1569</v>
      </c>
      <c r="G1969" s="972" t="s">
        <v>1567</v>
      </c>
      <c r="H1969" s="72" t="s">
        <v>843</v>
      </c>
      <c r="I1969" s="437"/>
      <c r="J1969" s="437"/>
      <c r="K1969" s="428"/>
      <c r="L1969" s="437"/>
      <c r="M1969" s="65">
        <v>196501</v>
      </c>
      <c r="N1969" s="66" t="s">
        <v>9</v>
      </c>
      <c r="O1969" s="66" t="s">
        <v>63</v>
      </c>
      <c r="P1969" s="82" t="str">
        <f>IF(AND('331-CT'!$E$7=TH!H1975,OR(N1969="331",O1969="331")),"x","")</f>
        <v/>
      </c>
      <c r="Q1969" s="82" t="str">
        <f>IF(AND(B1969='111'!$L$11,OR($N1969=$Q$7,$O1969=$Q$7)),"x","")</f>
        <v/>
      </c>
      <c r="R1969" s="82" t="str">
        <f>IF(AND($N1969=$Q$7,$B1969&lt;'111'!$L$11),"x","")</f>
        <v/>
      </c>
      <c r="S1969" s="82" t="str">
        <f>IF(AND($O1969=$Q$7,$B1969&lt;'111'!$L$11),"x","")</f>
        <v>x</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IF(OR(TH!N1975=TH!$X$7,O1969=TH!$X$7),"x","")</f>
        <v/>
      </c>
      <c r="Y1969" s="82" t="str">
        <f>IF(AND(OR(N1969="131",O1969="131"),H1969='131-CT'!$H$9),"x","")</f>
        <v/>
      </c>
      <c r="Z1969" s="82"/>
      <c r="AA1969" s="82" t="str">
        <f>IF(AND(MONTH(E1969)='IN-NX'!$J$5,'IN-NX'!$D$7=D1969),"x","")</f>
        <v/>
      </c>
      <c r="AB1969" s="82" t="str">
        <f>IF(AND(OR(LEFT(TH!N1975,2)="15",LEFT(TH!O1975,2)="15"),LEFT(TH!O1975,3)&lt;&gt;"111",'152-CT'!$J$8=TH!F1975),"x","")</f>
        <v/>
      </c>
      <c r="AC1969" s="82" t="str">
        <f>IF(AND(OR(LEFT(TH!N1975,2)="15",LEFT(TH!O1975,2)="15"),TK!$E$7=TH!F1975),"x","")</f>
        <v/>
      </c>
      <c r="AD1969" s="82" t="str">
        <f>IF(AND(N1969="1521",MONTH(C1969)='BK-NL'!$M$11),"x","")</f>
        <v/>
      </c>
    </row>
    <row r="1970" spans="1:32" ht="15.75" customHeight="1">
      <c r="A1970" s="334" t="str">
        <f>IF(B1970&lt;&gt;"",IF(AND(B1970='IN-TC'!$S$4,OR(TH!N1976="1111",TH!O1976="1111")),TH!D1976,""),"")</f>
        <v/>
      </c>
      <c r="B1970" s="63">
        <f t="shared" si="216"/>
        <v>6</v>
      </c>
      <c r="C1970" s="64">
        <v>42527</v>
      </c>
      <c r="D1970" s="64" t="s">
        <v>875</v>
      </c>
      <c r="E1970" s="64">
        <v>42527</v>
      </c>
      <c r="F1970" s="72" t="s">
        <v>635</v>
      </c>
      <c r="G1970" s="972" t="s">
        <v>1570</v>
      </c>
      <c r="H1970" s="72" t="s">
        <v>828</v>
      </c>
      <c r="I1970" s="437"/>
      <c r="J1970" s="437"/>
      <c r="K1970" s="428"/>
      <c r="L1970" s="437"/>
      <c r="M1970" s="65">
        <v>1440000</v>
      </c>
      <c r="N1970" s="66" t="s">
        <v>101</v>
      </c>
      <c r="O1970" s="66" t="s">
        <v>63</v>
      </c>
      <c r="P1970" s="82" t="str">
        <f>IF(AND('331-CT'!$E$7=TH!H1976,OR(N1970="331",O1970="331")),"x","")</f>
        <v/>
      </c>
      <c r="Q1970" s="82" t="str">
        <f>IF(AND(B1970='111'!$L$11,OR($N1970=$Q$7,$O1970=$Q$7)),"x","")</f>
        <v/>
      </c>
      <c r="R1970" s="82" t="str">
        <f>IF(AND($N1970=$Q$7,$B1970&lt;'111'!$L$11),"x","")</f>
        <v/>
      </c>
      <c r="S1970" s="82" t="str">
        <f>IF(AND($O1970=$Q$7,$B1970&lt;'111'!$L$11),"x","")</f>
        <v>x</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IF(OR(TH!N1976=TH!$X$7,O1970=TH!$X$7),"x","")</f>
        <v/>
      </c>
      <c r="Y1970" s="82" t="str">
        <f>IF(AND(OR(N1970="131",O1970="131"),H1970='131-CT'!$H$9),"x","")</f>
        <v/>
      </c>
      <c r="Z1970" s="82"/>
      <c r="AA1970" s="82" t="str">
        <f>IF(AND(MONTH(E1970)='IN-NX'!$J$5,'IN-NX'!$D$7=D1970),"x","")</f>
        <v/>
      </c>
      <c r="AB1970" s="82" t="str">
        <f>IF(AND(OR(LEFT(TH!N1976,2)="15",LEFT(TH!O1976,2)="15"),LEFT(TH!O1976,3)&lt;&gt;"111",'152-CT'!$J$8=TH!F1976),"x","")</f>
        <v/>
      </c>
      <c r="AC1970" s="82" t="str">
        <f>IF(AND(OR(LEFT(TH!N1976,2)="15",LEFT(TH!O1976,2)="15"),TK!$E$7=TH!F1976),"x","")</f>
        <v/>
      </c>
      <c r="AD1970" s="82" t="str">
        <f>IF(AND(N1970="1521",MONTH(C1970)='BK-NL'!$M$11),"x","")</f>
        <v/>
      </c>
      <c r="AF1970" s="328">
        <v>1</v>
      </c>
    </row>
    <row r="1971" spans="1:32" ht="15.75" customHeight="1">
      <c r="A1971" s="334" t="str">
        <f>IF(B1971&lt;&gt;"",IF(AND(B1971='IN-TC'!$S$4,OR(TH!N1977="1111",TH!O1977="1111")),TH!D1977,""),"")</f>
        <v/>
      </c>
      <c r="B1971" s="63">
        <f t="shared" si="216"/>
        <v>6</v>
      </c>
      <c r="C1971" s="64">
        <v>42527</v>
      </c>
      <c r="D1971" s="64" t="s">
        <v>875</v>
      </c>
      <c r="E1971" s="64">
        <v>42527</v>
      </c>
      <c r="F1971" s="72" t="s">
        <v>1529</v>
      </c>
      <c r="G1971" s="972" t="s">
        <v>1570</v>
      </c>
      <c r="H1971" s="72" t="s">
        <v>828</v>
      </c>
      <c r="I1971" s="437"/>
      <c r="J1971" s="437"/>
      <c r="K1971" s="428"/>
      <c r="L1971" s="437"/>
      <c r="M1971" s="65">
        <v>72000</v>
      </c>
      <c r="N1971" s="66" t="s">
        <v>9</v>
      </c>
      <c r="O1971" s="66" t="s">
        <v>63</v>
      </c>
      <c r="P1971" s="82" t="str">
        <f>IF(AND('331-CT'!$E$7=TH!H1977,OR(N1971="331",O1971="331")),"x","")</f>
        <v/>
      </c>
      <c r="Q1971" s="82" t="str">
        <f>IF(AND(B1971='111'!$L$11,OR($N1971=$Q$7,$O1971=$Q$7)),"x","")</f>
        <v/>
      </c>
      <c r="R1971" s="82" t="str">
        <f>IF(AND($N1971=$Q$7,$B1971&lt;'111'!$L$11),"x","")</f>
        <v/>
      </c>
      <c r="S1971" s="82" t="str">
        <f>IF(AND($O1971=$Q$7,$B1971&lt;'111'!$L$11),"x","")</f>
        <v>x</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IF(OR(TH!N1977=TH!$X$7,O1971=TH!$X$7),"x","")</f>
        <v>x</v>
      </c>
      <c r="Y1971" s="82" t="str">
        <f>IF(AND(OR(N1971="131",O1971="131"),H1971='131-CT'!$H$9),"x","")</f>
        <v/>
      </c>
      <c r="Z1971" s="82"/>
      <c r="AA1971" s="82" t="str">
        <f>IF(AND(MONTH(E1971)='IN-NX'!$J$5,'IN-NX'!$D$7=D1971),"x","")</f>
        <v/>
      </c>
      <c r="AB1971" s="82" t="str">
        <f>IF(AND(OR(LEFT(TH!N1977,2)="15",LEFT(TH!O1977,2)="15"),LEFT(TH!O1977,3)&lt;&gt;"111",'152-CT'!$J$8=TH!F1977),"x","")</f>
        <v/>
      </c>
      <c r="AC1971" s="82" t="str">
        <f>IF(AND(OR(LEFT(TH!N1977,2)="15",LEFT(TH!O1977,2)="15"),TK!$E$7=TH!F1977),"x","")</f>
        <v/>
      </c>
      <c r="AD1971" s="82" t="str">
        <f>IF(AND(N1971="1521",MONTH(C1971)='BK-NL'!$M$11),"x","")</f>
        <v/>
      </c>
    </row>
    <row r="1972" spans="1:32" ht="15.75" customHeight="1">
      <c r="A1972" s="334" t="str">
        <f>IF(B1972&lt;&gt;"",IF(AND(B1972='IN-TC'!$S$4,OR(TH!N1989="1111",TH!O1989="1111")),TH!D1989,""),"")</f>
        <v/>
      </c>
      <c r="B1972" s="63">
        <f t="shared" si="216"/>
        <v>6</v>
      </c>
      <c r="C1972" s="64">
        <v>42528</v>
      </c>
      <c r="D1972" s="64" t="s">
        <v>876</v>
      </c>
      <c r="E1972" s="64">
        <f>C1972</f>
        <v>42528</v>
      </c>
      <c r="F1972" s="72" t="s">
        <v>1100</v>
      </c>
      <c r="G1972" s="67" t="s">
        <v>914</v>
      </c>
      <c r="H1972" s="1164" t="s">
        <v>760</v>
      </c>
      <c r="I1972" s="437"/>
      <c r="J1972" s="437"/>
      <c r="K1972" s="428"/>
      <c r="L1972" s="437"/>
      <c r="M1972" s="65">
        <v>440000000</v>
      </c>
      <c r="N1972" s="66" t="s">
        <v>26</v>
      </c>
      <c r="O1972" s="66" t="s">
        <v>63</v>
      </c>
      <c r="P1972" s="82" t="str">
        <f>IF(AND('331-CT'!$E$7=TH!H1989,OR(N1972="331",O1972="331")),"x","")</f>
        <v/>
      </c>
      <c r="Q1972" s="82" t="str">
        <f>IF(AND(B1972='111'!$L$11,OR($N1972=$Q$7,$O1972=$Q$7)),"x","")</f>
        <v/>
      </c>
      <c r="R1972" s="82" t="str">
        <f>IF(AND($N1972=$Q$7,$B1972&lt;'111'!$L$11),"x","")</f>
        <v/>
      </c>
      <c r="S1972" s="82" t="str">
        <f>IF(AND($O1972=$Q$7,$B1972&lt;'111'!$L$11),"x","")</f>
        <v>x</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IF(OR(TH!N1989=TH!$X$7,O1972=TH!$X$7),"x","")</f>
        <v/>
      </c>
      <c r="Y1972" s="82" t="str">
        <f>IF(AND(OR(N1972="131",O1972="131"),H1972='131-CT'!$H$9),"x","")</f>
        <v/>
      </c>
      <c r="Z1972" s="82"/>
      <c r="AA1972" s="82" t="str">
        <f>IF(AND(MONTH(E1972)='IN-NX'!$J$5,'IN-NX'!$D$7=D1972),"x","")</f>
        <v/>
      </c>
      <c r="AB1972" s="82" t="str">
        <f>IF(AND(OR(LEFT(TH!N1989,2)="15",LEFT(TH!O1989,2)="15"),LEFT(TH!O1989,3)&lt;&gt;"111",'152-CT'!$J$8=TH!F1989),"x","")</f>
        <v/>
      </c>
      <c r="AC1972" s="82" t="str">
        <f>IF(AND(OR(LEFT(TH!N1989,2)="15",LEFT(TH!O1989,2)="15"),TK!$E$7=TH!F1989),"x","")</f>
        <v/>
      </c>
      <c r="AD1972" s="82" t="str">
        <f>IF(AND(N1972="1521",MONTH(C1972)='BK-NL'!$M$11),"x","")</f>
        <v/>
      </c>
    </row>
    <row r="1973" spans="1:32" ht="15.75" customHeight="1">
      <c r="A1973" s="334" t="str">
        <f>IF(B1973&lt;&gt;"",IF(AND(B1973='IN-TC'!$S$4,OR(TH!N2000="1111",TH!O2000="1111")),TH!D2000,""),"")</f>
        <v/>
      </c>
      <c r="B1973" s="63">
        <f t="shared" si="216"/>
        <v>6</v>
      </c>
      <c r="C1973" s="64">
        <v>42529</v>
      </c>
      <c r="D1973" s="64" t="s">
        <v>877</v>
      </c>
      <c r="E1973" s="64">
        <v>42529</v>
      </c>
      <c r="F1973" s="72" t="s">
        <v>1100</v>
      </c>
      <c r="G1973" s="67" t="s">
        <v>915</v>
      </c>
      <c r="H1973" s="72" t="s">
        <v>760</v>
      </c>
      <c r="I1973" s="437"/>
      <c r="J1973" s="437"/>
      <c r="K1973" s="428"/>
      <c r="L1973" s="437"/>
      <c r="M1973" s="65">
        <v>300000000</v>
      </c>
      <c r="N1973" s="66" t="s">
        <v>26</v>
      </c>
      <c r="O1973" s="66" t="s">
        <v>63</v>
      </c>
      <c r="P1973" s="82" t="str">
        <f>IF(AND('331-CT'!$E$7=TH!H2000,OR(N1973="331",O1973="331")),"x","")</f>
        <v/>
      </c>
      <c r="Q1973" s="82" t="str">
        <f>IF(AND(B1973='111'!$L$11,OR($N1973=$Q$7,$O1973=$Q$7)),"x","")</f>
        <v/>
      </c>
      <c r="R1973" s="82" t="str">
        <f>IF(AND($N1973=$Q$7,$B1973&lt;'111'!$L$11),"x","")</f>
        <v/>
      </c>
      <c r="S1973" s="82" t="str">
        <f>IF(AND($O1973=$Q$7,$B1973&lt;'111'!$L$11),"x","")</f>
        <v>x</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IF(OR(TH!N2000=TH!$X$7,O1973=TH!$X$7),"x","")</f>
        <v/>
      </c>
      <c r="Y1973" s="82" t="str">
        <f>IF(AND(OR(N1973="131",O1973="131"),H1973='131-CT'!$H$9),"x","")</f>
        <v/>
      </c>
      <c r="Z1973" s="82"/>
      <c r="AA1973" s="82" t="str">
        <f>IF(AND(MONTH(E1973)='IN-NX'!$J$5,'IN-NX'!$D$7=D1973),"x","")</f>
        <v/>
      </c>
      <c r="AB1973" s="82" t="str">
        <f>IF(AND(OR(LEFT(TH!N2000,2)="15",LEFT(TH!O2000,2)="15"),LEFT(TH!O2000,3)&lt;&gt;"111",'152-CT'!$J$8=TH!F2000),"x","")</f>
        <v/>
      </c>
      <c r="AC1973" s="82" t="str">
        <f>IF(AND(OR(LEFT(TH!N2000,2)="15",LEFT(TH!O2000,2)="15"),TK!$E$7=TH!F2000),"x","")</f>
        <v/>
      </c>
      <c r="AD1973" s="82" t="str">
        <f>IF(AND(N1973="1521",MONTH(C1973)='BK-NL'!$M$11),"x","")</f>
        <v/>
      </c>
    </row>
    <row r="1974" spans="1:32" ht="15.75" customHeight="1">
      <c r="A1974" s="334" t="str">
        <f>IF(B1974&lt;&gt;"",IF(AND(B1974='IN-TC'!$S$4,OR(TH!N2001="1111",TH!O2001="1111")),TH!D2001,""),"")</f>
        <v/>
      </c>
      <c r="B1974" s="63">
        <f t="shared" si="216"/>
        <v>6</v>
      </c>
      <c r="C1974" s="64">
        <v>42529</v>
      </c>
      <c r="D1974" s="64" t="s">
        <v>878</v>
      </c>
      <c r="E1974" s="64">
        <v>42529</v>
      </c>
      <c r="F1974" s="72" t="s">
        <v>1100</v>
      </c>
      <c r="G1974" s="67" t="s">
        <v>915</v>
      </c>
      <c r="H1974" s="72" t="s">
        <v>760</v>
      </c>
      <c r="I1974" s="437"/>
      <c r="J1974" s="437"/>
      <c r="K1974" s="428"/>
      <c r="L1974" s="437"/>
      <c r="M1974" s="65">
        <v>1560000000</v>
      </c>
      <c r="N1974" s="66" t="s">
        <v>26</v>
      </c>
      <c r="O1974" s="66" t="s">
        <v>63</v>
      </c>
      <c r="P1974" s="82" t="str">
        <f>IF(AND('331-CT'!$E$7=TH!H2001,OR(N1974="331",O1974="331")),"x","")</f>
        <v/>
      </c>
      <c r="Q1974" s="82" t="str">
        <f>IF(AND(B1974='111'!$L$11,OR($N1974=$Q$7,$O1974=$Q$7)),"x","")</f>
        <v/>
      </c>
      <c r="R1974" s="82" t="str">
        <f>IF(AND($N1974=$Q$7,$B1974&lt;'111'!$L$11),"x","")</f>
        <v/>
      </c>
      <c r="S1974" s="82" t="str">
        <f>IF(AND($O1974=$Q$7,$B1974&lt;'111'!$L$11),"x","")</f>
        <v>x</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IF(OR(TH!N2001=TH!$X$7,O1974=TH!$X$7),"x","")</f>
        <v/>
      </c>
      <c r="Y1974" s="82" t="str">
        <f>IF(AND(OR(N1974="131",O1974="131"),H1974='131-CT'!$H$9),"x","")</f>
        <v/>
      </c>
      <c r="Z1974" s="82"/>
      <c r="AA1974" s="82" t="str">
        <f>IF(AND(MONTH(E1974)='IN-NX'!$J$5,'IN-NX'!$D$7=D1974),"x","")</f>
        <v/>
      </c>
      <c r="AB1974" s="82" t="str">
        <f>IF(AND(OR(LEFT(TH!N2001,2)="15",LEFT(TH!O2001,2)="15"),LEFT(TH!O2001,3)&lt;&gt;"111",'152-CT'!$J$8=TH!F2001),"x","")</f>
        <v/>
      </c>
      <c r="AC1974" s="82" t="str">
        <f>IF(AND(OR(LEFT(TH!N2001,2)="15",LEFT(TH!O2001,2)="15"),TK!$E$7=TH!F2001),"x","")</f>
        <v/>
      </c>
      <c r="AD1974" s="82" t="str">
        <f>IF(AND(N1974="1521",MONTH(C1974)='BK-NL'!$M$11),"x","")</f>
        <v/>
      </c>
    </row>
    <row r="1975" spans="1:32" ht="15.75" customHeight="1">
      <c r="A1975" s="334" t="str">
        <f>IF(B1975&lt;&gt;"",IF(AND(B1975='IN-TC'!$S$4,OR(TH!N2002="1111",TH!O2002="1111")),TH!D2002,""),"")</f>
        <v/>
      </c>
      <c r="B1975" s="63">
        <f t="shared" si="216"/>
        <v>6</v>
      </c>
      <c r="C1975" s="64">
        <v>42529</v>
      </c>
      <c r="D1975" s="64" t="s">
        <v>879</v>
      </c>
      <c r="E1975" s="64">
        <v>42529</v>
      </c>
      <c r="F1975" s="72" t="s">
        <v>1100</v>
      </c>
      <c r="G1975" s="67" t="s">
        <v>914</v>
      </c>
      <c r="H1975" s="72" t="s">
        <v>760</v>
      </c>
      <c r="I1975" s="437"/>
      <c r="J1975" s="437"/>
      <c r="K1975" s="428"/>
      <c r="L1975" s="437"/>
      <c r="M1975" s="65">
        <v>60000000</v>
      </c>
      <c r="N1975" s="66" t="s">
        <v>26</v>
      </c>
      <c r="O1975" s="66" t="s">
        <v>63</v>
      </c>
      <c r="P1975" s="82" t="str">
        <f>IF(AND('331-CT'!$E$7=TH!H2002,OR(N1975="331",O1975="331")),"x","")</f>
        <v/>
      </c>
      <c r="Q1975" s="82" t="str">
        <f>IF(AND(B1975='111'!$L$11,OR($N1975=$Q$7,$O1975=$Q$7)),"x","")</f>
        <v/>
      </c>
      <c r="R1975" s="82" t="str">
        <f>IF(AND($N1975=$Q$7,$B1975&lt;'111'!$L$11),"x","")</f>
        <v/>
      </c>
      <c r="S1975" s="82" t="str">
        <f>IF(AND($O1975=$Q$7,$B1975&lt;'111'!$L$11),"x","")</f>
        <v>x</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IF(OR(TH!N2002=TH!$X$7,O1975=TH!$X$7),"x","")</f>
        <v/>
      </c>
      <c r="Y1975" s="82" t="str">
        <f>IF(AND(OR(N1975="131",O1975="131"),H1975='131-CT'!$H$9),"x","")</f>
        <v/>
      </c>
      <c r="Z1975" s="82"/>
      <c r="AA1975" s="82" t="str">
        <f>IF(AND(MONTH(E1975)='IN-NX'!$J$5,'IN-NX'!$D$7=D1975),"x","")</f>
        <v/>
      </c>
      <c r="AB1975" s="82" t="str">
        <f>IF(AND(OR(LEFT(TH!N2002,2)="15",LEFT(TH!O2002,2)="15"),LEFT(TH!O2002,3)&lt;&gt;"111",'152-CT'!$J$8=TH!F2002),"x","")</f>
        <v/>
      </c>
      <c r="AC1975" s="82" t="str">
        <f>IF(AND(OR(LEFT(TH!N2002,2)="15",LEFT(TH!O2002,2)="15"),TK!$E$7=TH!F2002),"x","")</f>
        <v/>
      </c>
      <c r="AD1975" s="82" t="str">
        <f>IF(AND(N1975="1521",MONTH(C1975)='BK-NL'!$M$11),"x","")</f>
        <v/>
      </c>
    </row>
    <row r="1976" spans="1:32" ht="15.75" customHeight="1">
      <c r="A1976" s="334" t="str">
        <f>IF(B1976&lt;&gt;"",IF(AND(B1976='IN-TC'!$S$4,OR(TH!N2023="1111",TH!O2023="1111")),TH!D2023,""),"")</f>
        <v/>
      </c>
      <c r="B1976" s="63">
        <f t="shared" si="216"/>
        <v>6</v>
      </c>
      <c r="C1976" s="64">
        <v>42530</v>
      </c>
      <c r="D1976" s="316" t="s">
        <v>880</v>
      </c>
      <c r="E1976" s="316">
        <v>42530</v>
      </c>
      <c r="F1976" s="72" t="s">
        <v>1010</v>
      </c>
      <c r="G1976" s="972" t="s">
        <v>1571</v>
      </c>
      <c r="H1976" s="72" t="s">
        <v>805</v>
      </c>
      <c r="I1976" s="437"/>
      <c r="J1976" s="437"/>
      <c r="K1976" s="428"/>
      <c r="L1976" s="437"/>
      <c r="M1976" s="65">
        <v>1927273</v>
      </c>
      <c r="N1976" s="66" t="s">
        <v>101</v>
      </c>
      <c r="O1976" s="66" t="s">
        <v>63</v>
      </c>
      <c r="P1976" s="82" t="str">
        <f>IF(AND('331-CT'!$E$7=TH!H2023,OR(N1976="331",O1976="331")),"x","")</f>
        <v/>
      </c>
      <c r="Q1976" s="82" t="str">
        <f>IF(AND(B1976='111'!$L$11,OR($N1976=$Q$7,$O1976=$Q$7)),"x","")</f>
        <v/>
      </c>
      <c r="R1976" s="82" t="str">
        <f>IF(AND($N1976=$Q$7,$B1976&lt;'111'!$L$11),"x","")</f>
        <v/>
      </c>
      <c r="S1976" s="82" t="str">
        <f>IF(AND($O1976=$Q$7,$B1976&lt;'111'!$L$11),"x","")</f>
        <v>x</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IF(OR(TH!N2023=TH!$X$7,O1976=TH!$X$7),"x","")</f>
        <v>x</v>
      </c>
      <c r="Y1976" s="82" t="str">
        <f>IF(AND(OR(N1976="131",O1976="131"),H1976='131-CT'!$H$9),"x","")</f>
        <v/>
      </c>
      <c r="Z1976" s="82"/>
      <c r="AA1976" s="82" t="str">
        <f>IF(AND(MONTH(E1976)='IN-NX'!$J$5,'IN-NX'!$D$7=D1976),"x","")</f>
        <v/>
      </c>
      <c r="AB1976" s="82" t="str">
        <f>IF(AND(OR(LEFT(TH!N2023,2)="15",LEFT(TH!O2023,2)="15"),LEFT(TH!O2023,3)&lt;&gt;"111",'152-CT'!$J$8=TH!F2023),"x","")</f>
        <v/>
      </c>
      <c r="AC1976" s="82" t="str">
        <f>IF(AND(OR(LEFT(TH!N2023,2)="15",LEFT(TH!O2023,2)="15"),TK!$E$7=TH!F2023),"x","")</f>
        <v/>
      </c>
      <c r="AD1976" s="82" t="str">
        <f>IF(AND(N1976="1521",MONTH(C1976)='BK-NL'!$M$11),"x","")</f>
        <v/>
      </c>
      <c r="AF1976" s="328">
        <v>1</v>
      </c>
    </row>
    <row r="1977" spans="1:32" ht="15.75" customHeight="1">
      <c r="A1977" s="334" t="str">
        <f>IF(B1977&lt;&gt;"",IF(AND(B1977='IN-TC'!$S$4,OR(TH!N2024="1111",TH!O2024="1111")),TH!D2024,""),"")</f>
        <v/>
      </c>
      <c r="B1977" s="63">
        <f t="shared" si="216"/>
        <v>6</v>
      </c>
      <c r="C1977" s="64">
        <v>42530</v>
      </c>
      <c r="D1977" s="316" t="s">
        <v>880</v>
      </c>
      <c r="E1977" s="316">
        <v>42530</v>
      </c>
      <c r="F1977" s="72" t="s">
        <v>1011</v>
      </c>
      <c r="G1977" s="972" t="s">
        <v>1571</v>
      </c>
      <c r="H1977" s="72" t="s">
        <v>805</v>
      </c>
      <c r="I1977" s="437"/>
      <c r="J1977" s="437"/>
      <c r="K1977" s="428"/>
      <c r="L1977" s="437"/>
      <c r="M1977" s="65">
        <v>192727</v>
      </c>
      <c r="N1977" s="66" t="s">
        <v>9</v>
      </c>
      <c r="O1977" s="66" t="s">
        <v>63</v>
      </c>
      <c r="P1977" s="82" t="str">
        <f>IF(AND('331-CT'!$E$7=TH!H2024,OR(N1977="331",O1977="331")),"x","")</f>
        <v/>
      </c>
      <c r="Q1977" s="82" t="str">
        <f>IF(AND(B1977='111'!$L$11,OR($N1977=$Q$7,$O1977=$Q$7)),"x","")</f>
        <v/>
      </c>
      <c r="R1977" s="82" t="str">
        <f>IF(AND($N1977=$Q$7,$B1977&lt;'111'!$L$11),"x","")</f>
        <v/>
      </c>
      <c r="S1977" s="82" t="str">
        <f>IF(AND($O1977=$Q$7,$B1977&lt;'111'!$L$11),"x","")</f>
        <v>x</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IF(OR(TH!N2024=TH!$X$7,O1977=TH!$X$7),"x","")</f>
        <v/>
      </c>
      <c r="Y1977" s="82" t="str">
        <f>IF(AND(OR(N1977="131",O1977="131"),H1977='131-CT'!$H$9),"x","")</f>
        <v/>
      </c>
      <c r="Z1977" s="82"/>
      <c r="AA1977" s="82" t="str">
        <f>IF(AND(MONTH(E1977)='IN-NX'!$J$5,'IN-NX'!$D$7=D1977),"x","")</f>
        <v/>
      </c>
      <c r="AB1977" s="82" t="str">
        <f>IF(AND(OR(LEFT(TH!N2024,2)="15",LEFT(TH!O2024,2)="15"),LEFT(TH!O2024,3)&lt;&gt;"111",'152-CT'!$J$8=TH!F2024),"x","")</f>
        <v/>
      </c>
      <c r="AC1977" s="82" t="str">
        <f>IF(AND(OR(LEFT(TH!N2024,2)="15",LEFT(TH!O2024,2)="15"),TK!$E$7=TH!F2024),"x","")</f>
        <v/>
      </c>
      <c r="AD1977" s="82" t="str">
        <f>IF(AND(N1977="1521",MONTH(C1977)='BK-NL'!$M$11),"x","")</f>
        <v/>
      </c>
    </row>
    <row r="1978" spans="1:32" ht="15.75" customHeight="1">
      <c r="A1978" s="334" t="str">
        <f>IF(B1978&lt;&gt;"",IF(AND(B1978='IN-TC'!$S$4,OR(TH!N1978="1111",TH!O1978="1111")),TH!D1978,""),"")</f>
        <v/>
      </c>
      <c r="B1978" s="63">
        <f t="shared" si="216"/>
        <v>6</v>
      </c>
      <c r="C1978" s="64">
        <v>42527</v>
      </c>
      <c r="D1978" s="64" t="s">
        <v>702</v>
      </c>
      <c r="E1978" s="64">
        <f t="shared" ref="E1978:E2000" si="219">C1978</f>
        <v>42527</v>
      </c>
      <c r="F1978" s="72" t="s">
        <v>1634</v>
      </c>
      <c r="G1978" s="67" t="s">
        <v>915</v>
      </c>
      <c r="H1978" s="72"/>
      <c r="I1978" s="437"/>
      <c r="J1978" s="437"/>
      <c r="K1978" s="428"/>
      <c r="L1978" s="437"/>
      <c r="M1978" s="65">
        <v>20000</v>
      </c>
      <c r="N1978" s="66" t="s">
        <v>101</v>
      </c>
      <c r="O1978" s="66" t="s">
        <v>26</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2" ht="15.75" customHeight="1">
      <c r="A1979" s="334" t="str">
        <f>IF(B1979&lt;&gt;"",IF(AND(B1979='IN-TC'!$S$4,OR(TH!N1979="1111",TH!O1979="1111")),TH!D1979,""),"")</f>
        <v/>
      </c>
      <c r="B1979" s="63">
        <f t="shared" si="216"/>
        <v>6</v>
      </c>
      <c r="C1979" s="64">
        <v>42527</v>
      </c>
      <c r="D1979" s="64" t="s">
        <v>702</v>
      </c>
      <c r="E1979" s="64">
        <f t="shared" si="219"/>
        <v>42527</v>
      </c>
      <c r="F1979" s="72" t="s">
        <v>1169</v>
      </c>
      <c r="G1979" s="67" t="s">
        <v>915</v>
      </c>
      <c r="H1979" s="72"/>
      <c r="I1979" s="437"/>
      <c r="J1979" s="437"/>
      <c r="K1979" s="428"/>
      <c r="L1979" s="437"/>
      <c r="M1979" s="65">
        <v>20000</v>
      </c>
      <c r="N1979" s="66" t="s">
        <v>101</v>
      </c>
      <c r="O1979" s="66" t="s">
        <v>26</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c r="AF1979" s="328">
        <v>1</v>
      </c>
    </row>
    <row r="1980" spans="1:32" ht="15.75" customHeight="1">
      <c r="A1980" s="334" t="str">
        <f>IF(B1980&lt;&gt;"",IF(AND(B1980='IN-TC'!$S$4,OR(TH!N1980="1111",TH!O1980="1111")),TH!D1980,""),"")</f>
        <v/>
      </c>
      <c r="B1980" s="63">
        <f t="shared" si="216"/>
        <v>6</v>
      </c>
      <c r="C1980" s="64">
        <v>42527</v>
      </c>
      <c r="D1980" s="64" t="s">
        <v>702</v>
      </c>
      <c r="E1980" s="64">
        <f t="shared" si="219"/>
        <v>42527</v>
      </c>
      <c r="F1980" s="72" t="s">
        <v>1631</v>
      </c>
      <c r="G1980" s="67" t="s">
        <v>915</v>
      </c>
      <c r="H1980" s="72"/>
      <c r="I1980" s="437"/>
      <c r="J1980" s="437"/>
      <c r="K1980" s="428"/>
      <c r="L1980" s="437"/>
      <c r="M1980" s="65">
        <v>2000</v>
      </c>
      <c r="N1980" s="66" t="s">
        <v>9</v>
      </c>
      <c r="O1980" s="66" t="s">
        <v>26</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x</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2" ht="15.75" customHeight="1">
      <c r="A1981" s="334" t="str">
        <f>IF(B1981&lt;&gt;"",IF(AND(B1981='IN-TC'!$S$4,OR(TH!N1981="1111",TH!O1981="1111")),TH!D1981,""),"")</f>
        <v/>
      </c>
      <c r="B1981" s="63">
        <f t="shared" si="216"/>
        <v>6</v>
      </c>
      <c r="C1981" s="64">
        <v>42527</v>
      </c>
      <c r="D1981" s="64" t="s">
        <v>702</v>
      </c>
      <c r="E1981" s="64">
        <f t="shared" si="219"/>
        <v>42527</v>
      </c>
      <c r="F1981" s="72" t="s">
        <v>1634</v>
      </c>
      <c r="G1981" s="67" t="s">
        <v>915</v>
      </c>
      <c r="H1981" s="72"/>
      <c r="I1981" s="437"/>
      <c r="J1981" s="437"/>
      <c r="K1981" s="428"/>
      <c r="L1981" s="437"/>
      <c r="M1981" s="65">
        <v>40000</v>
      </c>
      <c r="N1981" s="66" t="s">
        <v>101</v>
      </c>
      <c r="O1981" s="66" t="s">
        <v>26</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2" ht="15.75" customHeight="1">
      <c r="A1982" s="334" t="str">
        <f>IF(B1982&lt;&gt;"",IF(AND(B1982='IN-TC'!$S$4,OR(TH!N1982="1111",TH!O1982="1111")),TH!D1982,""),"")</f>
        <v/>
      </c>
      <c r="B1982" s="63">
        <f t="shared" si="216"/>
        <v>6</v>
      </c>
      <c r="C1982" s="64">
        <v>42527</v>
      </c>
      <c r="D1982" s="64" t="s">
        <v>702</v>
      </c>
      <c r="E1982" s="64">
        <f t="shared" si="219"/>
        <v>42527</v>
      </c>
      <c r="F1982" s="72" t="s">
        <v>1169</v>
      </c>
      <c r="G1982" s="67" t="s">
        <v>915</v>
      </c>
      <c r="H1982" s="72"/>
      <c r="I1982" s="437"/>
      <c r="J1982" s="437"/>
      <c r="K1982" s="428"/>
      <c r="L1982" s="437"/>
      <c r="M1982" s="65">
        <v>20000</v>
      </c>
      <c r="N1982" s="66" t="s">
        <v>101</v>
      </c>
      <c r="O1982" s="66" t="s">
        <v>26</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c r="AF1982" s="328">
        <v>1</v>
      </c>
    </row>
    <row r="1983" spans="1:32" ht="15.75" customHeight="1">
      <c r="A1983" s="334" t="str">
        <f>IF(B1983&lt;&gt;"",IF(AND(B1983='IN-TC'!$S$4,OR(TH!N1983="1111",TH!O1983="1111")),TH!D1983,""),"")</f>
        <v/>
      </c>
      <c r="B1983" s="63">
        <f t="shared" si="216"/>
        <v>6</v>
      </c>
      <c r="C1983" s="64">
        <v>42527</v>
      </c>
      <c r="D1983" s="64" t="s">
        <v>702</v>
      </c>
      <c r="E1983" s="64">
        <f t="shared" si="219"/>
        <v>42527</v>
      </c>
      <c r="F1983" s="72" t="s">
        <v>1631</v>
      </c>
      <c r="G1983" s="67" t="s">
        <v>915</v>
      </c>
      <c r="H1983" s="72"/>
      <c r="I1983" s="437"/>
      <c r="J1983" s="437"/>
      <c r="K1983" s="428"/>
      <c r="L1983" s="437"/>
      <c r="M1983" s="65">
        <v>2000</v>
      </c>
      <c r="N1983" s="66" t="s">
        <v>9</v>
      </c>
      <c r="O1983" s="66" t="s">
        <v>26</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x</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2" ht="15.75" customHeight="1">
      <c r="A1984" s="334" t="str">
        <f>IF(B1984&lt;&gt;"",IF(AND(B1984='IN-TC'!$S$4,OR(TH!N1984="1111",TH!O1984="1111")),TH!D1984,""),"")</f>
        <v/>
      </c>
      <c r="B1984" s="63">
        <f t="shared" si="216"/>
        <v>6</v>
      </c>
      <c r="C1984" s="64">
        <v>42527</v>
      </c>
      <c r="D1984" s="64" t="s">
        <v>702</v>
      </c>
      <c r="E1984" s="64">
        <f t="shared" si="219"/>
        <v>42527</v>
      </c>
      <c r="F1984" s="72" t="s">
        <v>1634</v>
      </c>
      <c r="G1984" s="67" t="s">
        <v>915</v>
      </c>
      <c r="H1984" s="72"/>
      <c r="I1984" s="437"/>
      <c r="J1984" s="437"/>
      <c r="K1984" s="428"/>
      <c r="L1984" s="437"/>
      <c r="M1984" s="65">
        <v>300000</v>
      </c>
      <c r="N1984" s="66" t="s">
        <v>101</v>
      </c>
      <c r="O1984" s="66" t="s">
        <v>26</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2" ht="15.75" customHeight="1">
      <c r="A1985" s="334" t="str">
        <f>IF(B1985&lt;&gt;"",IF(AND(B1985='IN-TC'!$S$4,OR(TH!N1985="1111",TH!O1985="1111")),TH!D1985,""),"")</f>
        <v/>
      </c>
      <c r="B1985" s="63">
        <f t="shared" si="216"/>
        <v>6</v>
      </c>
      <c r="C1985" s="64">
        <v>42527</v>
      </c>
      <c r="D1985" s="64" t="s">
        <v>702</v>
      </c>
      <c r="E1985" s="64">
        <f t="shared" si="219"/>
        <v>42527</v>
      </c>
      <c r="F1985" s="72" t="s">
        <v>1169</v>
      </c>
      <c r="G1985" s="67" t="s">
        <v>915</v>
      </c>
      <c r="H1985" s="72"/>
      <c r="I1985" s="437"/>
      <c r="J1985" s="437"/>
      <c r="K1985" s="428"/>
      <c r="L1985" s="437"/>
      <c r="M1985" s="65">
        <v>20000</v>
      </c>
      <c r="N1985" s="66" t="s">
        <v>101</v>
      </c>
      <c r="O1985" s="66" t="s">
        <v>26</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c r="AF1985" s="328">
        <v>1</v>
      </c>
    </row>
    <row r="1986" spans="1:32" ht="15.75" customHeight="1">
      <c r="A1986" s="334" t="str">
        <f>IF(B1986&lt;&gt;"",IF(AND(B1986='IN-TC'!$S$4,OR(TH!N1986="1111",TH!O1986="1111")),TH!D1986,""),"")</f>
        <v/>
      </c>
      <c r="B1986" s="63">
        <f t="shared" si="216"/>
        <v>6</v>
      </c>
      <c r="C1986" s="64">
        <v>42527</v>
      </c>
      <c r="D1986" s="64" t="s">
        <v>702</v>
      </c>
      <c r="E1986" s="64">
        <f t="shared" si="219"/>
        <v>42527</v>
      </c>
      <c r="F1986" s="72" t="s">
        <v>1631</v>
      </c>
      <c r="G1986" s="67" t="s">
        <v>915</v>
      </c>
      <c r="H1986" s="72"/>
      <c r="I1986" s="437"/>
      <c r="J1986" s="437"/>
      <c r="K1986" s="428"/>
      <c r="L1986" s="437"/>
      <c r="M1986" s="65">
        <v>2000</v>
      </c>
      <c r="N1986" s="66" t="s">
        <v>9</v>
      </c>
      <c r="O1986" s="66" t="s">
        <v>26</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x</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2" ht="15.75" customHeight="1">
      <c r="A1987" s="334" t="str">
        <f>IF(B1987&lt;&gt;"",IF(AND(B1987='IN-TC'!$S$4,OR(TH!N1987="1111",TH!O1987="1111")),TH!D1987,""),"")</f>
        <v/>
      </c>
      <c r="B1987" s="63">
        <f t="shared" si="216"/>
        <v>6</v>
      </c>
      <c r="C1987" s="64">
        <v>42527</v>
      </c>
      <c r="D1987" s="64" t="s">
        <v>702</v>
      </c>
      <c r="E1987" s="64">
        <f t="shared" si="219"/>
        <v>42527</v>
      </c>
      <c r="F1987" s="72" t="s">
        <v>1043</v>
      </c>
      <c r="G1987" s="67" t="s">
        <v>915</v>
      </c>
      <c r="H1987" s="72" t="s">
        <v>710</v>
      </c>
      <c r="I1987" s="437"/>
      <c r="J1987" s="437"/>
      <c r="K1987" s="428"/>
      <c r="L1987" s="437"/>
      <c r="M1987" s="65">
        <v>2893355</v>
      </c>
      <c r="N1987" s="66" t="s">
        <v>99</v>
      </c>
      <c r="O1987" s="66" t="s">
        <v>26</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2" ht="15.75" customHeight="1">
      <c r="A1988" s="334" t="str">
        <f>IF(B1988&lt;&gt;"",IF(AND(B1988='IN-TC'!$S$4,OR(TH!N1988="1111",TH!O1988="1111")),TH!D1988,""),"")</f>
        <v/>
      </c>
      <c r="B1988" s="63">
        <f t="shared" si="216"/>
        <v>6</v>
      </c>
      <c r="C1988" s="64">
        <v>42527</v>
      </c>
      <c r="D1988" s="64" t="s">
        <v>702</v>
      </c>
      <c r="E1988" s="64">
        <f t="shared" si="219"/>
        <v>42527</v>
      </c>
      <c r="F1988" s="72" t="s">
        <v>1044</v>
      </c>
      <c r="G1988" s="67" t="s">
        <v>915</v>
      </c>
      <c r="H1988" s="72" t="s">
        <v>711</v>
      </c>
      <c r="I1988" s="437"/>
      <c r="J1988" s="437"/>
      <c r="K1988" s="428"/>
      <c r="L1988" s="437"/>
      <c r="M1988" s="65">
        <v>1781595</v>
      </c>
      <c r="N1988" s="66" t="s">
        <v>99</v>
      </c>
      <c r="O1988" s="66" t="s">
        <v>26</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2" s="349" customFormat="1" ht="15.75" customHeight="1">
      <c r="A1989" s="334" t="str">
        <f>IF(B1989&lt;&gt;"",IF(AND(B1989='IN-TC'!$S$4,OR(TH!N1563="1111",TH!O1563="1111")),TH!D1563,""),"")</f>
        <v/>
      </c>
      <c r="B1989" s="1148">
        <f t="shared" si="216"/>
        <v>6</v>
      </c>
      <c r="C1989" s="1149">
        <v>42534</v>
      </c>
      <c r="D1989" s="1149" t="s">
        <v>881</v>
      </c>
      <c r="E1989" s="1149">
        <f t="shared" si="219"/>
        <v>42534</v>
      </c>
      <c r="F1989" s="512" t="s">
        <v>960</v>
      </c>
      <c r="G1989" s="1151"/>
      <c r="H1989" s="1150" t="s">
        <v>959</v>
      </c>
      <c r="I1989" s="1152"/>
      <c r="J1989" s="1152"/>
      <c r="K1989" s="1153"/>
      <c r="L1989" s="1152"/>
      <c r="M1989" s="1154">
        <v>500000000</v>
      </c>
      <c r="N1989" s="1155" t="s">
        <v>272</v>
      </c>
      <c r="O1989" s="1155" t="s">
        <v>63</v>
      </c>
      <c r="P1989" s="1155" t="str">
        <f>IF(AND('331-CT'!$E$7=TH!H1563,OR(N1989="331",O1989="331")),"x","")</f>
        <v/>
      </c>
      <c r="Q1989" s="1155" t="str">
        <f>IF(AND(B1989='111'!$L$11,OR($N1989=$Q$7,$O1989=$Q$7)),"x","")</f>
        <v/>
      </c>
      <c r="R1989" s="1155" t="str">
        <f>IF(AND($N1989=$Q$7,$B1989&lt;'111'!$L$11),"x","")</f>
        <v/>
      </c>
      <c r="S1989" s="1155" t="str">
        <f>IF(AND($O1989=$Q$7,$B1989&lt;'111'!$L$11),"x","")</f>
        <v>x</v>
      </c>
      <c r="T1989" s="1155" t="str">
        <f>IF(ISERROR(FIND('112'!$M$9,G1989,1)),"",IF((AND(FIND('112'!$M$9,G1989,1)&gt;=1,B1989='112'!$K$9,OR($N1989='112'!$I$6,$O1989='112'!$I$6))),"x",""))</f>
        <v/>
      </c>
      <c r="U1989" s="1155" t="str">
        <f>IF(ISERROR(FIND('112'!$M$9,G1989,1)),"",IF((AND(LEFT(G1989,2)=LEFT('112'!$M$9,2),B1989&lt;'112'!$K$9,$N1989='112'!$I$6)),"x",""))</f>
        <v/>
      </c>
      <c r="V1989" s="1155" t="str">
        <f>IF(ISERROR(FIND('112'!$M$9,G1989,1)),"",IF((AND(RIGHT(G1989,2)=RIGHT('112'!$M$9,2),B1989&lt;'112'!$K$9,$O1989='112'!$I$6)),"x",""))</f>
        <v/>
      </c>
      <c r="W1989" s="1155" t="str">
        <f>IF(AND('341-CT'!$H$9=H1989,OR(LEFT(N1989,3)=$W$7,LEFT(O1989,3)=$W$7)),"x","")</f>
        <v/>
      </c>
      <c r="X1989" s="1155" t="str">
        <f>IF(OR(TH!N1563=TH!$X$7,O1989=TH!$X$7),"x","")</f>
        <v>x</v>
      </c>
      <c r="Y1989" s="1155" t="str">
        <f>IF(AND(OR(N1989="131",O1989="131"),H1989='131-CT'!$H$9),"x","")</f>
        <v/>
      </c>
      <c r="Z1989" s="1155"/>
      <c r="AA1989" s="1155" t="str">
        <f>IF(AND(MONTH(E1989)='IN-NX'!$J$5,'IN-NX'!$D$7=D1989),"x","")</f>
        <v/>
      </c>
      <c r="AB1989" s="1155" t="str">
        <f>IF(AND(OR(LEFT(TH!N1563,2)="15",LEFT(TH!O1563,2)="15"),LEFT(TH!O1563,3)&lt;&gt;"111",'152-CT'!$J$8=TH!F1563),"x","")</f>
        <v/>
      </c>
      <c r="AC1989" s="1155" t="str">
        <f>IF(AND(OR(LEFT(TH!N1563,2)="15",LEFT(TH!O1563,2)="15"),TK!$E$7=TH!F1563),"x","")</f>
        <v/>
      </c>
      <c r="AD1989" s="1155" t="str">
        <f>IF(AND(N1989="1521",MONTH(C1989)='BK-NL'!$M$11),"x","")</f>
        <v/>
      </c>
      <c r="AE1989" s="1156"/>
      <c r="AF1989" s="1156"/>
    </row>
    <row r="1990" spans="1:32" s="349" customFormat="1" ht="15.75" customHeight="1">
      <c r="A1990" s="334" t="str">
        <f>IF(B1990&lt;&gt;"",IF(AND(B1990='IN-TC'!$S$4,OR(TH!N1990="1111",TH!O1990="1111")),TH!D1990,""),"")</f>
        <v/>
      </c>
      <c r="B1990" s="63">
        <f t="shared" si="216"/>
        <v>6</v>
      </c>
      <c r="C1990" s="64">
        <v>42528</v>
      </c>
      <c r="D1990" s="64" t="s">
        <v>699</v>
      </c>
      <c r="E1990" s="64">
        <f t="shared" si="219"/>
        <v>42528</v>
      </c>
      <c r="F1990" s="72" t="s">
        <v>1184</v>
      </c>
      <c r="G1990" s="67" t="s">
        <v>915</v>
      </c>
      <c r="H1990" s="1164" t="s">
        <v>1887</v>
      </c>
      <c r="I1990" s="437"/>
      <c r="J1990" s="437"/>
      <c r="K1990" s="428">
        <v>76050</v>
      </c>
      <c r="L1990" s="437">
        <v>22320</v>
      </c>
      <c r="M1990" s="65">
        <v>1697436000</v>
      </c>
      <c r="N1990" s="66" t="s">
        <v>26</v>
      </c>
      <c r="O1990" s="66" t="s">
        <v>260</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c r="AE1990" s="328"/>
      <c r="AF1990" s="328"/>
    </row>
    <row r="1991" spans="1:32" s="349" customFormat="1" ht="15.75" customHeight="1">
      <c r="A1991" s="334" t="str">
        <f>IF(B1991&lt;&gt;"",IF(AND(B1991='IN-TC'!$S$4,OR(TH!N1991="1111",TH!O1991="1111")),TH!D1991,""),"")</f>
        <v/>
      </c>
      <c r="B1991" s="63">
        <f t="shared" si="216"/>
        <v>6</v>
      </c>
      <c r="C1991" s="64">
        <v>42528</v>
      </c>
      <c r="D1991" s="64" t="s">
        <v>702</v>
      </c>
      <c r="E1991" s="64">
        <f t="shared" si="219"/>
        <v>42528</v>
      </c>
      <c r="F1991" s="72" t="s">
        <v>611</v>
      </c>
      <c r="G1991" s="67" t="s">
        <v>915</v>
      </c>
      <c r="H1991" s="342" t="s">
        <v>1552</v>
      </c>
      <c r="I1991" s="437"/>
      <c r="J1991" s="437"/>
      <c r="K1991" s="428">
        <v>10</v>
      </c>
      <c r="L1991" s="437">
        <v>22380</v>
      </c>
      <c r="M1991" s="65">
        <f>ROUND(K1991*L1991,0)</f>
        <v>223800</v>
      </c>
      <c r="N1991" s="66" t="s">
        <v>101</v>
      </c>
      <c r="O1991" s="66" t="s">
        <v>266</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c r="AE1991" s="328"/>
      <c r="AF1991" s="328">
        <v>1</v>
      </c>
    </row>
    <row r="1992" spans="1:32" ht="15.75" customHeight="1">
      <c r="A1992" s="334" t="str">
        <f>IF(B1992&lt;&gt;"",IF(AND(B1992='IN-TC'!$S$4,OR(TH!N1992="1111",TH!O1992="1111")),TH!D1992,""),"")</f>
        <v/>
      </c>
      <c r="B1992" s="63">
        <f t="shared" si="216"/>
        <v>6</v>
      </c>
      <c r="C1992" s="64">
        <v>42528</v>
      </c>
      <c r="D1992" s="64" t="s">
        <v>702</v>
      </c>
      <c r="E1992" s="64">
        <f t="shared" si="219"/>
        <v>42528</v>
      </c>
      <c r="F1992" s="72" t="s">
        <v>1187</v>
      </c>
      <c r="G1992" s="67" t="s">
        <v>915</v>
      </c>
      <c r="H1992" s="342" t="s">
        <v>1552</v>
      </c>
      <c r="I1992" s="437"/>
      <c r="J1992" s="437"/>
      <c r="K1992" s="428">
        <v>1</v>
      </c>
      <c r="L1992" s="437">
        <v>22380</v>
      </c>
      <c r="M1992" s="65">
        <f>ROUND(K1992*L1992,0)</f>
        <v>22380</v>
      </c>
      <c r="N1992" s="66" t="s">
        <v>9</v>
      </c>
      <c r="O1992" s="66" t="s">
        <v>266</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x</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2" ht="15.75" customHeight="1">
      <c r="A1993" s="334" t="str">
        <f>IF(B1993&lt;&gt;"",IF(AND(B1993='IN-TC'!$S$4,OR(TH!N1993="1111",TH!O1993="1111")),TH!D1993,""),"")</f>
        <v/>
      </c>
      <c r="B1993" s="63">
        <f t="shared" si="216"/>
        <v>6</v>
      </c>
      <c r="C1993" s="64">
        <v>42528</v>
      </c>
      <c r="D1993" s="64" t="s">
        <v>702</v>
      </c>
      <c r="E1993" s="64">
        <f t="shared" si="219"/>
        <v>42528</v>
      </c>
      <c r="F1993" s="72" t="s">
        <v>612</v>
      </c>
      <c r="G1993" s="67" t="s">
        <v>915</v>
      </c>
      <c r="H1993" s="342" t="s">
        <v>1552</v>
      </c>
      <c r="I1993" s="437"/>
      <c r="J1993" s="437"/>
      <c r="K1993" s="428">
        <v>27.62</v>
      </c>
      <c r="L1993" s="437">
        <v>22380</v>
      </c>
      <c r="M1993" s="65">
        <f>ROUND(K1993*L1993,0)</f>
        <v>618136</v>
      </c>
      <c r="N1993" s="66" t="s">
        <v>101</v>
      </c>
      <c r="O1993" s="66" t="s">
        <v>266</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c r="AF1993" s="328">
        <v>1</v>
      </c>
    </row>
    <row r="1994" spans="1:32" s="1156" customFormat="1" ht="15.75" customHeight="1">
      <c r="A1994" s="334" t="str">
        <f>IF(B1994&lt;&gt;"",IF(AND(B1994='IN-TC'!$S$4,OR(TH!N1994="1111",TH!O1994="1111")),TH!D1994,""),"")</f>
        <v/>
      </c>
      <c r="B1994" s="63">
        <f t="shared" si="216"/>
        <v>6</v>
      </c>
      <c r="C1994" s="64">
        <v>42528</v>
      </c>
      <c r="D1994" s="64" t="s">
        <v>702</v>
      </c>
      <c r="E1994" s="64">
        <f t="shared" si="219"/>
        <v>42528</v>
      </c>
      <c r="F1994" s="72" t="s">
        <v>1311</v>
      </c>
      <c r="G1994" s="67" t="s">
        <v>915</v>
      </c>
      <c r="H1994" s="342" t="s">
        <v>1552</v>
      </c>
      <c r="I1994" s="437"/>
      <c r="J1994" s="437"/>
      <c r="K1994" s="428">
        <v>2.76</v>
      </c>
      <c r="L1994" s="437">
        <v>22380</v>
      </c>
      <c r="M1994" s="65">
        <f>ROUND(K1994*L1994,0)</f>
        <v>61769</v>
      </c>
      <c r="N1994" s="66" t="s">
        <v>9</v>
      </c>
      <c r="O1994" s="66" t="s">
        <v>266</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x</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c r="AE1994" s="328"/>
      <c r="AF1994" s="328"/>
    </row>
    <row r="1995" spans="1:32" ht="15.75" customHeight="1">
      <c r="A1995" s="334" t="str">
        <f>IF(B1995&lt;&gt;"",IF(AND(B1995='IN-TC'!$S$4,OR(TH!N1995="1111",TH!O1995="1111")),TH!D1995,""),"")</f>
        <v/>
      </c>
      <c r="B1995" s="63">
        <f t="shared" si="216"/>
        <v>6</v>
      </c>
      <c r="C1995" s="64">
        <v>42528</v>
      </c>
      <c r="D1995" s="64" t="s">
        <v>702</v>
      </c>
      <c r="E1995" s="64">
        <f t="shared" si="219"/>
        <v>42528</v>
      </c>
      <c r="F1995" s="72" t="s">
        <v>1194</v>
      </c>
      <c r="G1995" s="67" t="s">
        <v>921</v>
      </c>
      <c r="H1995" s="72"/>
      <c r="I1995" s="437"/>
      <c r="J1995" s="437"/>
      <c r="K1995" s="428"/>
      <c r="L1995" s="437"/>
      <c r="M1995" s="65">
        <v>1690000000</v>
      </c>
      <c r="N1995" s="66" t="s">
        <v>26</v>
      </c>
      <c r="O1995" s="66" t="s">
        <v>26</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2" ht="15.75" customHeight="1">
      <c r="A1996" s="334" t="str">
        <f>IF(B1996&lt;&gt;"",IF(AND(B1996='IN-TC'!$S$4,OR(TH!N1996="1111",TH!O1996="1111")),TH!D1996,""),"")</f>
        <v/>
      </c>
      <c r="B1996" s="63">
        <f t="shared" si="216"/>
        <v>6</v>
      </c>
      <c r="C1996" s="64">
        <v>42528</v>
      </c>
      <c r="D1996" s="64" t="s">
        <v>699</v>
      </c>
      <c r="E1996" s="64">
        <f t="shared" si="219"/>
        <v>42528</v>
      </c>
      <c r="F1996" s="72" t="s">
        <v>1180</v>
      </c>
      <c r="G1996" s="67" t="s">
        <v>914</v>
      </c>
      <c r="H1996" s="72"/>
      <c r="I1996" s="437"/>
      <c r="J1996" s="437"/>
      <c r="K1996" s="428">
        <v>70900</v>
      </c>
      <c r="L1996" s="437">
        <v>22350</v>
      </c>
      <c r="M1996" s="65">
        <f>ROUND(K1996*L1996,0)</f>
        <v>1584615000</v>
      </c>
      <c r="N1996" s="66" t="s">
        <v>266</v>
      </c>
      <c r="O1996" s="66" t="s">
        <v>26</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2" ht="15.75" customHeight="1">
      <c r="A1997" s="334" t="str">
        <f>IF(B1997&lt;&gt;"",IF(AND(B1997='IN-TC'!$S$4,OR(TH!N1997="1111",TH!O1997="1111")),TH!D1997,""),"")</f>
        <v/>
      </c>
      <c r="B1997" s="63">
        <f t="shared" ref="B1997:B2060" si="220">IF(C1997&lt;&gt;"",MONTH(C1997),"")</f>
        <v>6</v>
      </c>
      <c r="C1997" s="64">
        <v>42528</v>
      </c>
      <c r="D1997" s="64" t="s">
        <v>702</v>
      </c>
      <c r="E1997" s="64">
        <f t="shared" si="219"/>
        <v>42528</v>
      </c>
      <c r="F1997" s="343" t="s">
        <v>754</v>
      </c>
      <c r="G1997" s="67" t="s">
        <v>914</v>
      </c>
      <c r="H1997" s="342" t="s">
        <v>726</v>
      </c>
      <c r="I1997" s="437"/>
      <c r="J1997" s="437"/>
      <c r="K1997" s="428"/>
      <c r="L1997" s="437"/>
      <c r="M1997" s="65">
        <v>4407741</v>
      </c>
      <c r="N1997" s="66" t="s">
        <v>99</v>
      </c>
      <c r="O1997" s="66" t="s">
        <v>26</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2" ht="15.75" customHeight="1">
      <c r="A1998" s="334" t="str">
        <f>IF(B1998&lt;&gt;"",IF(AND(B1998='IN-TC'!$S$4,OR(TH!N1998="1111",TH!O1998="1111")),TH!D1998,""),"")</f>
        <v/>
      </c>
      <c r="B1998" s="63">
        <f t="shared" si="220"/>
        <v>6</v>
      </c>
      <c r="C1998" s="64">
        <v>42528</v>
      </c>
      <c r="D1998" s="64" t="s">
        <v>702</v>
      </c>
      <c r="E1998" s="64">
        <f t="shared" si="219"/>
        <v>42528</v>
      </c>
      <c r="F1998" s="72" t="s">
        <v>1183</v>
      </c>
      <c r="G1998" s="67" t="s">
        <v>914</v>
      </c>
      <c r="H1998" s="72" t="s">
        <v>726</v>
      </c>
      <c r="I1998" s="437"/>
      <c r="J1998" s="437"/>
      <c r="K1998" s="428">
        <v>70900</v>
      </c>
      <c r="L1998" s="437">
        <v>22350</v>
      </c>
      <c r="M1998" s="65">
        <f>ROUND(K1998*L1998,0)</f>
        <v>1584615000</v>
      </c>
      <c r="N1998" s="66" t="s">
        <v>260</v>
      </c>
      <c r="O1998" s="66" t="s">
        <v>266</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2" ht="15.75" customHeight="1">
      <c r="A1999" s="334" t="str">
        <f>IF(B1999&lt;&gt;"",IF(AND(B1999='IN-TC'!$S$4,OR(TH!N1999="1111",TH!O1999="1111")),TH!D1999,""),"")</f>
        <v/>
      </c>
      <c r="B1999" s="63">
        <f t="shared" si="220"/>
        <v>6</v>
      </c>
      <c r="C1999" s="64">
        <v>42528</v>
      </c>
      <c r="D1999" s="64" t="s">
        <v>579</v>
      </c>
      <c r="E1999" s="64">
        <f t="shared" si="219"/>
        <v>42528</v>
      </c>
      <c r="F1999" s="72" t="s">
        <v>1062</v>
      </c>
      <c r="G1999" s="67" t="s">
        <v>914</v>
      </c>
      <c r="H1999" s="72" t="s">
        <v>726</v>
      </c>
      <c r="I1999" s="437"/>
      <c r="J1999" s="437"/>
      <c r="K1999" s="428"/>
      <c r="L1999" s="437"/>
      <c r="M1999" s="65">
        <v>10989500</v>
      </c>
      <c r="N1999" s="66" t="s">
        <v>260</v>
      </c>
      <c r="O1999" s="66" t="s">
        <v>43</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2" ht="15.75" customHeight="1">
      <c r="A2000" s="334" t="str">
        <f>IF(B2000&lt;&gt;"",IF(AND(B2000='IN-TC'!$S$4,OR(TH!N1568="1111",TH!O1568="1111")),TH!D1568,""),"")</f>
        <v/>
      </c>
      <c r="B2000" s="1148">
        <f t="shared" si="220"/>
        <v>6</v>
      </c>
      <c r="C2000" s="1149">
        <v>42534</v>
      </c>
      <c r="D2000" s="1149" t="s">
        <v>882</v>
      </c>
      <c r="E2000" s="1149">
        <f t="shared" si="219"/>
        <v>42534</v>
      </c>
      <c r="F2000" s="512" t="s">
        <v>960</v>
      </c>
      <c r="G2000" s="1151"/>
      <c r="H2000" s="1150" t="s">
        <v>2239</v>
      </c>
      <c r="I2000" s="1152"/>
      <c r="J2000" s="1152"/>
      <c r="K2000" s="1153"/>
      <c r="L2000" s="1152"/>
      <c r="M2000" s="1154">
        <v>400000000</v>
      </c>
      <c r="N2000" s="1155" t="s">
        <v>272</v>
      </c>
      <c r="O2000" s="1155" t="s">
        <v>63</v>
      </c>
      <c r="P2000" s="1155" t="str">
        <f>IF(AND('331-CT'!$E$7=TH!H1568,OR(N2000="331",O2000="331")),"x","")</f>
        <v/>
      </c>
      <c r="Q2000" s="1155" t="str">
        <f>IF(AND(B2000='111'!$L$11,OR($N2000=$Q$7,$O2000=$Q$7)),"x","")</f>
        <v/>
      </c>
      <c r="R2000" s="1155" t="str">
        <f>IF(AND($N2000=$Q$7,$B2000&lt;'111'!$L$11),"x","")</f>
        <v/>
      </c>
      <c r="S2000" s="1155" t="str">
        <f>IF(AND($O2000=$Q$7,$B2000&lt;'111'!$L$11),"x","")</f>
        <v>x</v>
      </c>
      <c r="T2000" s="1155" t="str">
        <f>IF(ISERROR(FIND('112'!$M$9,G2000,1)),"",IF((AND(FIND('112'!$M$9,G2000,1)&gt;=1,B2000='112'!$K$9,OR($N2000='112'!$I$6,$O2000='112'!$I$6))),"x",""))</f>
        <v/>
      </c>
      <c r="U2000" s="1155" t="str">
        <f>IF(ISERROR(FIND('112'!$M$9,G2000,1)),"",IF((AND(LEFT(G2000,2)=LEFT('112'!$M$9,2),B2000&lt;'112'!$K$9,$N2000='112'!$I$6)),"x",""))</f>
        <v/>
      </c>
      <c r="V2000" s="1155" t="str">
        <f>IF(ISERROR(FIND('112'!$M$9,G2000,1)),"",IF((AND(RIGHT(G2000,2)=RIGHT('112'!$M$9,2),B2000&lt;'112'!$K$9,$O2000='112'!$I$6)),"x",""))</f>
        <v/>
      </c>
      <c r="W2000" s="1155" t="str">
        <f>IF(AND('341-CT'!$H$9=H2000,OR(LEFT(N2000,3)=$W$7,LEFT(O2000,3)=$W$7)),"x","")</f>
        <v/>
      </c>
      <c r="X2000" s="1155" t="str">
        <f>IF(OR(TH!N1568=TH!$X$7,O2000=TH!$X$7),"x","")</f>
        <v>x</v>
      </c>
      <c r="Y2000" s="1155" t="str">
        <f>IF(AND(OR(N2000="131",O2000="131"),H2000='131-CT'!$H$9),"x","")</f>
        <v/>
      </c>
      <c r="Z2000" s="1155"/>
      <c r="AA2000" s="1155" t="str">
        <f>IF(AND(MONTH(E2000)='IN-NX'!$J$5,'IN-NX'!$D$7=D2000),"x","")</f>
        <v/>
      </c>
      <c r="AB2000" s="1155" t="str">
        <f>IF(AND(OR(LEFT(TH!N1568,2)="15",LEFT(TH!O1568,2)="15"),LEFT(TH!O1568,3)&lt;&gt;"111",'152-CT'!$J$8=TH!F1568),"x","")</f>
        <v/>
      </c>
      <c r="AC2000" s="1155" t="str">
        <f>IF(AND(OR(LEFT(TH!N1568,2)="15",LEFT(TH!O1568,2)="15"),TK!$E$7=TH!F1568),"x","")</f>
        <v/>
      </c>
      <c r="AD2000" s="1155" t="str">
        <f>IF(AND(N2000="1521",MONTH(C2000)='BK-NL'!$M$11),"x","")</f>
        <v/>
      </c>
      <c r="AE2000" s="1156"/>
      <c r="AF2000" s="1156"/>
    </row>
    <row r="2001" spans="1:32" ht="15.75" customHeight="1">
      <c r="A2001" s="334" t="str">
        <f>IF(B2001&lt;&gt;"",IF(AND(B2001='IN-TC'!$S$4,OR(TH!N2030="1111",TH!O2030="1111")),TH!D2030,""),"")</f>
        <v/>
      </c>
      <c r="B2001" s="63">
        <f t="shared" si="220"/>
        <v>6</v>
      </c>
      <c r="C2001" s="64">
        <v>42534</v>
      </c>
      <c r="D2001" s="64" t="s">
        <v>883</v>
      </c>
      <c r="E2001" s="64">
        <v>42534</v>
      </c>
      <c r="F2001" s="72" t="s">
        <v>1100</v>
      </c>
      <c r="G2001" s="67" t="s">
        <v>915</v>
      </c>
      <c r="H2001" s="72" t="s">
        <v>760</v>
      </c>
      <c r="I2001" s="437"/>
      <c r="J2001" s="437"/>
      <c r="K2001" s="428"/>
      <c r="L2001" s="437"/>
      <c r="M2001" s="65">
        <v>32000000</v>
      </c>
      <c r="N2001" s="66" t="s">
        <v>26</v>
      </c>
      <c r="O2001" s="66" t="s">
        <v>63</v>
      </c>
      <c r="P2001" s="82" t="str">
        <f>IF(AND('331-CT'!$E$7=TH!H2030,OR(N2001="331",O2001="331")),"x","")</f>
        <v/>
      </c>
      <c r="Q2001" s="82" t="str">
        <f>IF(AND(B2001='111'!$L$11,OR($N2001=$Q$7,$O2001=$Q$7)),"x","")</f>
        <v/>
      </c>
      <c r="R2001" s="82" t="str">
        <f>IF(AND($N2001=$Q$7,$B2001&lt;'111'!$L$11),"x","")</f>
        <v/>
      </c>
      <c r="S2001" s="82" t="str">
        <f>IF(AND($O2001=$Q$7,$B2001&lt;'111'!$L$11),"x","")</f>
        <v>x</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IF(OR(TH!N2030=TH!$X$7,O2001=TH!$X$7),"x","")</f>
        <v>x</v>
      </c>
      <c r="Y2001" s="82" t="str">
        <f>IF(AND(OR(N2001="131",O2001="131"),H2001='131-CT'!$H$9),"x","")</f>
        <v/>
      </c>
      <c r="Z2001" s="82"/>
      <c r="AA2001" s="82" t="str">
        <f>IF(AND(MONTH(E2001)='IN-NX'!$J$5,'IN-NX'!$D$7=D2001),"x","")</f>
        <v/>
      </c>
      <c r="AB2001" s="82" t="str">
        <f>IF(AND(OR(LEFT(TH!N2030,2)="15",LEFT(TH!O2030,2)="15"),LEFT(TH!O2030,3)&lt;&gt;"111",'152-CT'!$J$8=TH!F2030),"x","")</f>
        <v/>
      </c>
      <c r="AC2001" s="82" t="str">
        <f>IF(AND(OR(LEFT(TH!N2030,2)="15",LEFT(TH!O2030,2)="15"),TK!$E$7=TH!F2030),"x","")</f>
        <v/>
      </c>
      <c r="AD2001" s="82" t="str">
        <f>IF(AND(N2001="1521",MONTH(C2001)='BK-NL'!$M$11),"x","")</f>
        <v/>
      </c>
    </row>
    <row r="2002" spans="1:32" ht="15.75" customHeight="1">
      <c r="A2002" s="334" t="str">
        <f>IF(B2002&lt;&gt;"",IF(AND(B2002='IN-TC'!$S$4,OR(TH!N2034="1111",TH!O2034="1111")),TH!D2034,""),"")</f>
        <v/>
      </c>
      <c r="B2002" s="63">
        <f t="shared" si="220"/>
        <v>6</v>
      </c>
      <c r="C2002" s="64">
        <v>42535</v>
      </c>
      <c r="D2002" s="64" t="s">
        <v>884</v>
      </c>
      <c r="E2002" s="64">
        <v>42535</v>
      </c>
      <c r="F2002" s="72" t="s">
        <v>773</v>
      </c>
      <c r="G2002" s="972" t="s">
        <v>1572</v>
      </c>
      <c r="H2002" s="72" t="s">
        <v>805</v>
      </c>
      <c r="I2002" s="437"/>
      <c r="J2002" s="437"/>
      <c r="K2002" s="428"/>
      <c r="L2002" s="437"/>
      <c r="M2002" s="65">
        <v>900000</v>
      </c>
      <c r="N2002" s="66" t="s">
        <v>101</v>
      </c>
      <c r="O2002" s="66" t="s">
        <v>63</v>
      </c>
      <c r="P2002" s="82" t="str">
        <f>IF(AND('331-CT'!$E$7=TH!H2034,OR(N2002="331",O2002="331")),"x","")</f>
        <v/>
      </c>
      <c r="Q2002" s="82" t="str">
        <f>IF(AND(B2002='111'!$L$11,OR($N2002=$Q$7,$O2002=$Q$7)),"x","")</f>
        <v/>
      </c>
      <c r="R2002" s="82" t="str">
        <f>IF(AND($N2002=$Q$7,$B2002&lt;'111'!$L$11),"x","")</f>
        <v/>
      </c>
      <c r="S2002" s="82" t="str">
        <f>IF(AND($O2002=$Q$7,$B2002&lt;'111'!$L$11),"x","")</f>
        <v>x</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IF(OR(TH!N2034=TH!$X$7,O2002=TH!$X$7),"x","")</f>
        <v/>
      </c>
      <c r="Y2002" s="82" t="str">
        <f>IF(AND(OR(N2002="131",O2002="131"),H2002='131-CT'!$H$9),"x","")</f>
        <v/>
      </c>
      <c r="Z2002" s="82"/>
      <c r="AA2002" s="82" t="str">
        <f>IF(AND(MONTH(E2002)='IN-NX'!$J$5,'IN-NX'!$D$7=D2002),"x","")</f>
        <v/>
      </c>
      <c r="AB2002" s="82" t="str">
        <f>IF(AND(OR(LEFT(TH!N2034,2)="15",LEFT(TH!O2034,2)="15"),LEFT(TH!O2034,3)&lt;&gt;"111",'152-CT'!$J$8=TH!F2034),"x","")</f>
        <v/>
      </c>
      <c r="AC2002" s="82" t="str">
        <f>IF(AND(OR(LEFT(TH!N2034,2)="15",LEFT(TH!O2034,2)="15"),TK!$E$7=TH!F2034),"x","")</f>
        <v/>
      </c>
      <c r="AD2002" s="82" t="str">
        <f>IF(AND(N2002="1521",MONTH(C2002)='BK-NL'!$M$11),"x","")</f>
        <v/>
      </c>
      <c r="AF2002" s="328">
        <v>1</v>
      </c>
    </row>
    <row r="2003" spans="1:32" ht="15.75" customHeight="1">
      <c r="A2003" s="334" t="str">
        <f>IF(B2003&lt;&gt;"",IF(AND(B2003='IN-TC'!$S$4,OR(TH!N2003="1111",TH!O2003="1111")),TH!D2003,""),"")</f>
        <v/>
      </c>
      <c r="B2003" s="63">
        <f t="shared" si="220"/>
        <v>6</v>
      </c>
      <c r="C2003" s="64">
        <v>42529</v>
      </c>
      <c r="D2003" s="64" t="s">
        <v>870</v>
      </c>
      <c r="E2003" s="64">
        <v>42529</v>
      </c>
      <c r="F2003" s="72" t="s">
        <v>1139</v>
      </c>
      <c r="G2003" s="67" t="s">
        <v>914</v>
      </c>
      <c r="H2003" s="72" t="s">
        <v>760</v>
      </c>
      <c r="I2003" s="437"/>
      <c r="J2003" s="437"/>
      <c r="K2003" s="428"/>
      <c r="L2003" s="437"/>
      <c r="M2003" s="65">
        <v>2150000000</v>
      </c>
      <c r="N2003" s="66" t="s">
        <v>63</v>
      </c>
      <c r="O2003" s="66" t="s">
        <v>26</v>
      </c>
      <c r="P2003" s="82" t="str">
        <f>IF(AND('331-CT'!$E$7=TH!H2003,OR(N2003="331",O2003="331")),"x","")</f>
        <v/>
      </c>
      <c r="Q2003" s="82" t="str">
        <f>IF(AND(B2003='111'!$L$11,OR($N2003=$Q$7,$O2003=$Q$7)),"x","")</f>
        <v/>
      </c>
      <c r="R2003" s="82" t="str">
        <f>IF(AND($N2003=$Q$7,$B2003&lt;'111'!$L$11),"x","")</f>
        <v>x</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2" ht="15.75" customHeight="1">
      <c r="A2004" s="334" t="str">
        <f>IF(B2004&lt;&gt;"",IF(AND(B2004='IN-TC'!$S$4,OR(TH!N2004="1111",TH!O2004="1111")),TH!D2004,""),"")</f>
        <v/>
      </c>
      <c r="B2004" s="63">
        <f t="shared" si="220"/>
        <v>6</v>
      </c>
      <c r="C2004" s="64">
        <v>42529</v>
      </c>
      <c r="D2004" s="64" t="s">
        <v>899</v>
      </c>
      <c r="E2004" s="64">
        <v>42529</v>
      </c>
      <c r="F2004" s="72" t="s">
        <v>1139</v>
      </c>
      <c r="G2004" s="67" t="s">
        <v>914</v>
      </c>
      <c r="H2004" s="72" t="s">
        <v>760</v>
      </c>
      <c r="I2004" s="437"/>
      <c r="J2004" s="437"/>
      <c r="K2004" s="428"/>
      <c r="L2004" s="437"/>
      <c r="M2004" s="65">
        <v>1590000000</v>
      </c>
      <c r="N2004" s="66" t="s">
        <v>63</v>
      </c>
      <c r="O2004" s="66" t="s">
        <v>26</v>
      </c>
      <c r="P2004" s="82" t="str">
        <f>IF(AND('331-CT'!$E$7=TH!H2004,OR(N2004="331",O2004="331")),"x","")</f>
        <v/>
      </c>
      <c r="Q2004" s="82" t="str">
        <f>IF(AND(B2004='111'!$L$11,OR($N2004=$Q$7,$O2004=$Q$7)),"x","")</f>
        <v/>
      </c>
      <c r="R2004" s="82" t="str">
        <f>IF(AND($N2004=$Q$7,$B2004&lt;'111'!$L$11),"x","")</f>
        <v>x</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2" ht="15.75" customHeight="1">
      <c r="A2005" s="334" t="str">
        <f>IF(B2005&lt;&gt;"",IF(AND(B2005='IN-TC'!$S$4,OR(TH!N2005="1111",TH!O2005="1111")),TH!D2005,""),"")</f>
        <v/>
      </c>
      <c r="B2005" s="63">
        <f t="shared" si="220"/>
        <v>6</v>
      </c>
      <c r="C2005" s="64">
        <v>42529</v>
      </c>
      <c r="D2005" s="64" t="s">
        <v>702</v>
      </c>
      <c r="E2005" s="64">
        <f t="shared" ref="E2005:E2022" si="221">C2005</f>
        <v>42529</v>
      </c>
      <c r="F2005" s="72" t="s">
        <v>1045</v>
      </c>
      <c r="G2005" s="67" t="s">
        <v>915</v>
      </c>
      <c r="H2005" s="72" t="s">
        <v>712</v>
      </c>
      <c r="I2005" s="437"/>
      <c r="J2005" s="437"/>
      <c r="K2005" s="428"/>
      <c r="L2005" s="437"/>
      <c r="M2005" s="65">
        <v>2491565</v>
      </c>
      <c r="N2005" s="66" t="s">
        <v>99</v>
      </c>
      <c r="O2005" s="66" t="s">
        <v>26</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2" ht="15.75" customHeight="1">
      <c r="A2006" s="334" t="str">
        <f>IF(B2006&lt;&gt;"",IF(AND(B2006='IN-TC'!$S$4,OR(TH!N2006="1111",TH!O2006="1111")),TH!D2006,""),"")</f>
        <v/>
      </c>
      <c r="B2006" s="63">
        <f t="shared" si="220"/>
        <v>6</v>
      </c>
      <c r="C2006" s="64">
        <v>42529</v>
      </c>
      <c r="D2006" s="64" t="s">
        <v>702</v>
      </c>
      <c r="E2006" s="64">
        <f t="shared" si="221"/>
        <v>42529</v>
      </c>
      <c r="F2006" s="72" t="s">
        <v>1042</v>
      </c>
      <c r="G2006" s="67" t="s">
        <v>915</v>
      </c>
      <c r="H2006" s="72" t="s">
        <v>717</v>
      </c>
      <c r="I2006" s="437"/>
      <c r="J2006" s="437"/>
      <c r="K2006" s="428"/>
      <c r="L2006" s="437"/>
      <c r="M2006" s="65">
        <v>1206098</v>
      </c>
      <c r="N2006" s="66" t="s">
        <v>99</v>
      </c>
      <c r="O2006" s="66" t="s">
        <v>26</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2" ht="15.75" customHeight="1">
      <c r="A2007" s="334" t="str">
        <f>IF(B2007&lt;&gt;"",IF(AND(B2007='IN-TC'!$S$4,OR(TH!N2007="1111",TH!O2007="1111")),TH!D2007,""),"")</f>
        <v/>
      </c>
      <c r="B2007" s="63">
        <f t="shared" si="220"/>
        <v>6</v>
      </c>
      <c r="C2007" s="64">
        <v>42529</v>
      </c>
      <c r="D2007" s="64" t="s">
        <v>702</v>
      </c>
      <c r="E2007" s="64">
        <f t="shared" si="221"/>
        <v>42529</v>
      </c>
      <c r="F2007" s="72" t="s">
        <v>1544</v>
      </c>
      <c r="G2007" s="67" t="s">
        <v>915</v>
      </c>
      <c r="H2007" s="72"/>
      <c r="I2007" s="437"/>
      <c r="J2007" s="437"/>
      <c r="K2007" s="428"/>
      <c r="L2007" s="437"/>
      <c r="M2007" s="65">
        <v>466702</v>
      </c>
      <c r="N2007" s="66" t="s">
        <v>101</v>
      </c>
      <c r="O2007" s="66" t="s">
        <v>26</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F2007" s="328">
        <v>1</v>
      </c>
    </row>
    <row r="2008" spans="1:32" ht="15.75" customHeight="1">
      <c r="A2008" s="334" t="str">
        <f>IF(B2008&lt;&gt;"",IF(AND(B2008='IN-TC'!$S$4,OR(TH!N2008="1111",TH!O2008="1111")),TH!D2008,""),"")</f>
        <v/>
      </c>
      <c r="B2008" s="63">
        <f t="shared" si="220"/>
        <v>6</v>
      </c>
      <c r="C2008" s="64">
        <v>42529</v>
      </c>
      <c r="D2008" s="64" t="s">
        <v>702</v>
      </c>
      <c r="E2008" s="64">
        <f t="shared" si="221"/>
        <v>42529</v>
      </c>
      <c r="F2008" s="72" t="s">
        <v>1545</v>
      </c>
      <c r="G2008" s="67" t="s">
        <v>915</v>
      </c>
      <c r="H2008" s="72"/>
      <c r="I2008" s="437"/>
      <c r="J2008" s="437"/>
      <c r="K2008" s="428"/>
      <c r="L2008" s="437"/>
      <c r="M2008" s="65">
        <v>46670</v>
      </c>
      <c r="N2008" s="66" t="s">
        <v>9</v>
      </c>
      <c r="O2008" s="66" t="s">
        <v>26</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x</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2" ht="15.75" customHeight="1">
      <c r="A2009" s="334" t="str">
        <f>IF(B2009&lt;&gt;"",IF(AND(B2009='IN-TC'!$S$4,OR(TH!N2009="1111",TH!O2009="1111")),TH!D2009,""),"")</f>
        <v/>
      </c>
      <c r="B2009" s="63">
        <f t="shared" si="220"/>
        <v>6</v>
      </c>
      <c r="C2009" s="64">
        <v>42529</v>
      </c>
      <c r="D2009" s="64" t="s">
        <v>702</v>
      </c>
      <c r="E2009" s="64">
        <f t="shared" si="221"/>
        <v>42529</v>
      </c>
      <c r="F2009" s="72" t="s">
        <v>1185</v>
      </c>
      <c r="G2009" s="67" t="s">
        <v>915</v>
      </c>
      <c r="H2009" s="342"/>
      <c r="I2009" s="437"/>
      <c r="J2009" s="437"/>
      <c r="K2009" s="428">
        <v>15</v>
      </c>
      <c r="L2009" s="437">
        <v>22300</v>
      </c>
      <c r="M2009" s="65">
        <f>ROUND(K2009*L2009,0)</f>
        <v>334500</v>
      </c>
      <c r="N2009" s="66" t="s">
        <v>101</v>
      </c>
      <c r="O2009" s="66" t="s">
        <v>266</v>
      </c>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c r="AF2009" s="328">
        <v>1</v>
      </c>
    </row>
    <row r="2010" spans="1:32" ht="15.75" customHeight="1">
      <c r="A2010" s="334" t="str">
        <f>IF(B2010&lt;&gt;"",IF(AND(B2010='IN-TC'!$S$4,OR(TH!N2010="1111",TH!O2010="1111")),TH!D2010,""),"")</f>
        <v/>
      </c>
      <c r="B2010" s="63">
        <f t="shared" si="220"/>
        <v>6</v>
      </c>
      <c r="C2010" s="64">
        <v>42529</v>
      </c>
      <c r="D2010" s="64" t="s">
        <v>702</v>
      </c>
      <c r="E2010" s="64">
        <f t="shared" si="221"/>
        <v>42529</v>
      </c>
      <c r="F2010" s="72" t="s">
        <v>1186</v>
      </c>
      <c r="G2010" s="67" t="s">
        <v>915</v>
      </c>
      <c r="H2010" s="342"/>
      <c r="I2010" s="437"/>
      <c r="J2010" s="437"/>
      <c r="K2010" s="428">
        <v>1.5</v>
      </c>
      <c r="L2010" s="437">
        <v>22300</v>
      </c>
      <c r="M2010" s="65">
        <f>ROUND(K2010*L2010,0)</f>
        <v>33450</v>
      </c>
      <c r="N2010" s="66" t="s">
        <v>9</v>
      </c>
      <c r="O2010" s="66" t="s">
        <v>266</v>
      </c>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x</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2" s="1156" customFormat="1" ht="15.75" customHeight="1">
      <c r="A2011" s="334" t="str">
        <f>IF(B2011&lt;&gt;"",IF(AND(B2011='IN-TC'!$S$4,OR(TH!N2011="1111",TH!O2011="1111")),TH!D2011,""),"")</f>
        <v/>
      </c>
      <c r="B2011" s="63">
        <f t="shared" si="220"/>
        <v>6</v>
      </c>
      <c r="C2011" s="64">
        <v>42529</v>
      </c>
      <c r="D2011" s="64" t="s">
        <v>702</v>
      </c>
      <c r="E2011" s="64">
        <f t="shared" si="221"/>
        <v>42529</v>
      </c>
      <c r="F2011" s="72" t="s">
        <v>1185</v>
      </c>
      <c r="G2011" s="67" t="s">
        <v>915</v>
      </c>
      <c r="H2011" s="342"/>
      <c r="I2011" s="437"/>
      <c r="J2011" s="437"/>
      <c r="K2011" s="428">
        <v>15</v>
      </c>
      <c r="L2011" s="437">
        <v>22300</v>
      </c>
      <c r="M2011" s="65">
        <f>ROUND(K2011*L2011,0)</f>
        <v>334500</v>
      </c>
      <c r="N2011" s="66" t="s">
        <v>101</v>
      </c>
      <c r="O2011" s="66" t="s">
        <v>266</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c r="AE2011" s="328"/>
      <c r="AF2011" s="328">
        <v>1</v>
      </c>
    </row>
    <row r="2012" spans="1:32" ht="15.75" customHeight="1">
      <c r="A2012" s="334" t="str">
        <f>IF(B2012&lt;&gt;"",IF(AND(B2012='IN-TC'!$S$4,OR(TH!N2012="1111",TH!O2012="1111")),TH!D2012,""),"")</f>
        <v/>
      </c>
      <c r="B2012" s="63">
        <f t="shared" si="220"/>
        <v>6</v>
      </c>
      <c r="C2012" s="64">
        <v>42529</v>
      </c>
      <c r="D2012" s="64" t="s">
        <v>702</v>
      </c>
      <c r="E2012" s="64">
        <f t="shared" si="221"/>
        <v>42529</v>
      </c>
      <c r="F2012" s="72" t="s">
        <v>1186</v>
      </c>
      <c r="G2012" s="67" t="s">
        <v>915</v>
      </c>
      <c r="H2012" s="342"/>
      <c r="I2012" s="437"/>
      <c r="J2012" s="437"/>
      <c r="K2012" s="428">
        <v>1.5</v>
      </c>
      <c r="L2012" s="437">
        <v>22300</v>
      </c>
      <c r="M2012" s="65">
        <f>ROUND(K2012*L2012,0)</f>
        <v>33450</v>
      </c>
      <c r="N2012" s="66" t="s">
        <v>9</v>
      </c>
      <c r="O2012" s="66" t="s">
        <v>266</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x</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2" ht="15.75" customHeight="1">
      <c r="A2013" s="334" t="str">
        <f>IF(B2013&lt;&gt;"",IF(AND(B2013='IN-TC'!$S$4,OR(TH!N2013="1111",TH!O2013="1111")),TH!D2013,""),"")</f>
        <v/>
      </c>
      <c r="B2013" s="63">
        <f t="shared" si="220"/>
        <v>6</v>
      </c>
      <c r="C2013" s="64">
        <v>42529</v>
      </c>
      <c r="D2013" s="64" t="s">
        <v>702</v>
      </c>
      <c r="E2013" s="64">
        <f t="shared" si="221"/>
        <v>42529</v>
      </c>
      <c r="F2013" s="72" t="s">
        <v>1194</v>
      </c>
      <c r="G2013" s="67" t="s">
        <v>921</v>
      </c>
      <c r="H2013" s="72"/>
      <c r="I2013" s="437"/>
      <c r="J2013" s="437"/>
      <c r="K2013" s="428"/>
      <c r="L2013" s="437"/>
      <c r="M2013" s="65">
        <v>1560000000</v>
      </c>
      <c r="N2013" s="66" t="s">
        <v>26</v>
      </c>
      <c r="O2013" s="66" t="s">
        <v>26</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2" ht="15.75" customHeight="1">
      <c r="A2014" s="334" t="str">
        <f>IF(B2014&lt;&gt;"",IF(AND(B2014='IN-TC'!$S$4,OR(TH!N2014="1111",TH!O2014="1111")),TH!D2014,""),"")</f>
        <v/>
      </c>
      <c r="B2014" s="63">
        <f t="shared" si="220"/>
        <v>6</v>
      </c>
      <c r="C2014" s="64">
        <v>42529</v>
      </c>
      <c r="D2014" s="64" t="s">
        <v>699</v>
      </c>
      <c r="E2014" s="64">
        <f t="shared" si="221"/>
        <v>42529</v>
      </c>
      <c r="F2014" s="72" t="s">
        <v>1664</v>
      </c>
      <c r="G2014" s="67" t="s">
        <v>914</v>
      </c>
      <c r="H2014" s="72" t="s">
        <v>1665</v>
      </c>
      <c r="I2014" s="437"/>
      <c r="J2014" s="437"/>
      <c r="K2014" s="428">
        <v>70900</v>
      </c>
      <c r="L2014" s="437">
        <v>22350</v>
      </c>
      <c r="M2014" s="65">
        <v>1584615000</v>
      </c>
      <c r="N2014" s="66" t="s">
        <v>26</v>
      </c>
      <c r="O2014" s="66" t="s">
        <v>260</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2" ht="15.75" customHeight="1">
      <c r="A2015" s="334" t="str">
        <f>IF(B2015&lt;&gt;"",IF(AND(B2015='IN-TC'!$S$4,OR(TH!N2015="1111",TH!O2015="1111")),TH!D2015,""),"")</f>
        <v/>
      </c>
      <c r="B2015" s="63">
        <f t="shared" si="220"/>
        <v>6</v>
      </c>
      <c r="C2015" s="64">
        <v>42529</v>
      </c>
      <c r="D2015" s="64" t="s">
        <v>699</v>
      </c>
      <c r="E2015" s="64">
        <f t="shared" si="221"/>
        <v>42529</v>
      </c>
      <c r="F2015" s="72" t="s">
        <v>1180</v>
      </c>
      <c r="G2015" s="67" t="s">
        <v>914</v>
      </c>
      <c r="H2015" s="72"/>
      <c r="I2015" s="437"/>
      <c r="J2015" s="437"/>
      <c r="K2015" s="428">
        <v>95000</v>
      </c>
      <c r="L2015" s="437">
        <v>22360</v>
      </c>
      <c r="M2015" s="65">
        <f>ROUND(K2015*L2015,0)</f>
        <v>2124200000</v>
      </c>
      <c r="N2015" s="66" t="s">
        <v>266</v>
      </c>
      <c r="O2015" s="66" t="s">
        <v>26</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2" ht="15.75" customHeight="1">
      <c r="A2016" s="334" t="str">
        <f>IF(B2016&lt;&gt;"",IF(AND(B2016='IN-TC'!$S$4,OR(TH!N2016="1111",TH!O2016="1111")),TH!D2016,""),"")</f>
        <v/>
      </c>
      <c r="B2016" s="63">
        <f t="shared" si="220"/>
        <v>6</v>
      </c>
      <c r="C2016" s="64">
        <v>42529</v>
      </c>
      <c r="D2016" s="64" t="s">
        <v>702</v>
      </c>
      <c r="E2016" s="64">
        <f t="shared" si="221"/>
        <v>42529</v>
      </c>
      <c r="F2016" s="512" t="s">
        <v>755</v>
      </c>
      <c r="G2016" s="67" t="s">
        <v>914</v>
      </c>
      <c r="H2016" s="72" t="s">
        <v>727</v>
      </c>
      <c r="I2016" s="437"/>
      <c r="J2016" s="437"/>
      <c r="K2016" s="428"/>
      <c r="L2016" s="437"/>
      <c r="M2016" s="65">
        <v>4164540</v>
      </c>
      <c r="N2016" s="66" t="s">
        <v>99</v>
      </c>
      <c r="O2016" s="66" t="s">
        <v>26</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2" ht="15.75" customHeight="1">
      <c r="A2017" s="334" t="str">
        <f>IF(B2017&lt;&gt;"",IF(AND(B2017='IN-TC'!$S$4,OR(TH!N2017="1111",TH!O2017="1111")),TH!D2017,""),"")</f>
        <v/>
      </c>
      <c r="B2017" s="63">
        <f t="shared" si="220"/>
        <v>6</v>
      </c>
      <c r="C2017" s="64">
        <v>42529</v>
      </c>
      <c r="D2017" s="64" t="s">
        <v>702</v>
      </c>
      <c r="E2017" s="64">
        <f t="shared" si="221"/>
        <v>42529</v>
      </c>
      <c r="F2017" s="512" t="s">
        <v>756</v>
      </c>
      <c r="G2017" s="67" t="s">
        <v>914</v>
      </c>
      <c r="H2017" s="72" t="s">
        <v>728</v>
      </c>
      <c r="I2017" s="437"/>
      <c r="J2017" s="437"/>
      <c r="K2017" s="428"/>
      <c r="L2017" s="437"/>
      <c r="M2017" s="65">
        <v>1970320</v>
      </c>
      <c r="N2017" s="66" t="s">
        <v>99</v>
      </c>
      <c r="O2017" s="66" t="s">
        <v>26</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2" ht="15.75" customHeight="1">
      <c r="A2018" s="334" t="str">
        <f>IF(B2018&lt;&gt;"",IF(AND(B2018='IN-TC'!$S$4,OR(TH!N2018="1111",TH!O2018="1111")),TH!D2018,""),"")</f>
        <v/>
      </c>
      <c r="B2018" s="63">
        <f t="shared" si="220"/>
        <v>6</v>
      </c>
      <c r="C2018" s="64">
        <v>42529</v>
      </c>
      <c r="D2018" s="64" t="s">
        <v>699</v>
      </c>
      <c r="E2018" s="64">
        <f t="shared" si="221"/>
        <v>42529</v>
      </c>
      <c r="F2018" s="72" t="s">
        <v>1666</v>
      </c>
      <c r="G2018" s="67" t="s">
        <v>914</v>
      </c>
      <c r="H2018" s="72" t="s">
        <v>1667</v>
      </c>
      <c r="I2018" s="437"/>
      <c r="J2018" s="437"/>
      <c r="K2018" s="428">
        <v>95000</v>
      </c>
      <c r="L2018" s="437">
        <v>22355</v>
      </c>
      <c r="M2018" s="65">
        <v>2123725000</v>
      </c>
      <c r="N2018" s="66" t="s">
        <v>26</v>
      </c>
      <c r="O2018" s="66" t="s">
        <v>260</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2" ht="15.75" customHeight="1">
      <c r="A2019" s="334" t="str">
        <f>IF(B2019&lt;&gt;"",IF(AND(B2019='IN-TC'!$S$4,OR(TH!N2019="1111",TH!O2019="1111")),TH!D2019,""),"")</f>
        <v/>
      </c>
      <c r="B2019" s="63">
        <f t="shared" si="220"/>
        <v>6</v>
      </c>
      <c r="C2019" s="64">
        <v>42529</v>
      </c>
      <c r="D2019" s="64" t="s">
        <v>702</v>
      </c>
      <c r="E2019" s="64">
        <f t="shared" si="221"/>
        <v>42529</v>
      </c>
      <c r="F2019" s="72" t="s">
        <v>1183</v>
      </c>
      <c r="G2019" s="67" t="s">
        <v>914</v>
      </c>
      <c r="H2019" s="72" t="s">
        <v>727</v>
      </c>
      <c r="I2019" s="437"/>
      <c r="J2019" s="437"/>
      <c r="K2019" s="428">
        <v>62000</v>
      </c>
      <c r="L2019" s="437">
        <v>22360</v>
      </c>
      <c r="M2019" s="65">
        <f>ROUND(K2019*L2019,0)</f>
        <v>1386320000</v>
      </c>
      <c r="N2019" s="66" t="s">
        <v>260</v>
      </c>
      <c r="O2019" s="66" t="s">
        <v>266</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2" ht="15.75" customHeight="1">
      <c r="A2020" s="334" t="str">
        <f>IF(B2020&lt;&gt;"",IF(AND(B2020='IN-TC'!$S$4,OR(TH!N2020="1111",TH!O2020="1111")),TH!D2020,""),"")</f>
        <v/>
      </c>
      <c r="B2020" s="63">
        <f t="shared" si="220"/>
        <v>6</v>
      </c>
      <c r="C2020" s="64">
        <v>42529</v>
      </c>
      <c r="D2020" s="64" t="s">
        <v>579</v>
      </c>
      <c r="E2020" s="64">
        <f t="shared" si="221"/>
        <v>42529</v>
      </c>
      <c r="F2020" s="72" t="s">
        <v>1062</v>
      </c>
      <c r="G2020" s="67" t="s">
        <v>914</v>
      </c>
      <c r="H2020" s="72" t="s">
        <v>727</v>
      </c>
      <c r="I2020" s="437"/>
      <c r="J2020" s="437"/>
      <c r="K2020" s="428"/>
      <c r="L2020" s="437"/>
      <c r="M2020" s="65">
        <v>5890000</v>
      </c>
      <c r="N2020" s="66" t="s">
        <v>260</v>
      </c>
      <c r="O2020" s="66" t="s">
        <v>43</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2" ht="15.75" customHeight="1">
      <c r="A2021" s="334" t="str">
        <f>IF(B2021&lt;&gt;"",IF(AND(B2021='IN-TC'!$S$4,OR(TH!N2021="1111",TH!O2021="1111")),TH!D2021,""),"")</f>
        <v/>
      </c>
      <c r="B2021" s="63">
        <f t="shared" si="220"/>
        <v>6</v>
      </c>
      <c r="C2021" s="64">
        <v>42529</v>
      </c>
      <c r="D2021" s="64" t="s">
        <v>702</v>
      </c>
      <c r="E2021" s="64">
        <f t="shared" si="221"/>
        <v>42529</v>
      </c>
      <c r="F2021" s="72" t="s">
        <v>1183</v>
      </c>
      <c r="G2021" s="67" t="s">
        <v>914</v>
      </c>
      <c r="H2021" s="72" t="s">
        <v>728</v>
      </c>
      <c r="I2021" s="437"/>
      <c r="J2021" s="437"/>
      <c r="K2021" s="428">
        <v>33000</v>
      </c>
      <c r="L2021" s="437">
        <v>22360</v>
      </c>
      <c r="M2021" s="65">
        <f>ROUND(K2021*L2021,0)</f>
        <v>737880000</v>
      </c>
      <c r="N2021" s="66" t="s">
        <v>260</v>
      </c>
      <c r="O2021" s="66" t="s">
        <v>266</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2" ht="15.75" customHeight="1">
      <c r="A2022" s="334" t="str">
        <f>IF(B2022&lt;&gt;"",IF(AND(B2022='IN-TC'!$S$4,OR(TH!N2022="1111",TH!O2022="1111")),TH!D2022,""),"")</f>
        <v/>
      </c>
      <c r="B2022" s="63">
        <f t="shared" si="220"/>
        <v>6</v>
      </c>
      <c r="C2022" s="64">
        <v>42529</v>
      </c>
      <c r="D2022" s="64" t="s">
        <v>579</v>
      </c>
      <c r="E2022" s="64">
        <f t="shared" si="221"/>
        <v>42529</v>
      </c>
      <c r="F2022" s="72" t="s">
        <v>1062</v>
      </c>
      <c r="G2022" s="67" t="s">
        <v>914</v>
      </c>
      <c r="H2022" s="72" t="s">
        <v>728</v>
      </c>
      <c r="I2022" s="437"/>
      <c r="J2022" s="437"/>
      <c r="K2022" s="428"/>
      <c r="L2022" s="437"/>
      <c r="M2022" s="65">
        <v>3795000</v>
      </c>
      <c r="N2022" s="66" t="s">
        <v>260</v>
      </c>
      <c r="O2022" s="66" t="s">
        <v>43</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2" ht="15.75" customHeight="1">
      <c r="A2023" s="334" t="str">
        <f>IF(B2023&lt;&gt;"",IF(AND(B2023='IN-TC'!$S$4,OR(TH!N2035="1111",TH!O2035="1111")),TH!D2035,""),"")</f>
        <v/>
      </c>
      <c r="B2023" s="63">
        <f t="shared" si="220"/>
        <v>6</v>
      </c>
      <c r="C2023" s="64">
        <v>42535</v>
      </c>
      <c r="D2023" s="64" t="s">
        <v>885</v>
      </c>
      <c r="E2023" s="64">
        <v>42535</v>
      </c>
      <c r="F2023" s="72" t="s">
        <v>774</v>
      </c>
      <c r="G2023" s="972" t="s">
        <v>1572</v>
      </c>
      <c r="H2023" s="72" t="s">
        <v>805</v>
      </c>
      <c r="I2023" s="437"/>
      <c r="J2023" s="437"/>
      <c r="K2023" s="428"/>
      <c r="L2023" s="437"/>
      <c r="M2023" s="65">
        <v>90000</v>
      </c>
      <c r="N2023" s="66" t="s">
        <v>9</v>
      </c>
      <c r="O2023" s="66" t="s">
        <v>63</v>
      </c>
      <c r="P2023" s="82" t="str">
        <f>IF(AND('331-CT'!$E$7=TH!H2035,OR(N2023="331",O2023="331")),"x","")</f>
        <v/>
      </c>
      <c r="Q2023" s="82" t="str">
        <f>IF(AND(B2023='111'!$L$11,OR($N2023=$Q$7,$O2023=$Q$7)),"x","")</f>
        <v/>
      </c>
      <c r="R2023" s="82" t="str">
        <f>IF(AND($N2023=$Q$7,$B2023&lt;'111'!$L$11),"x","")</f>
        <v/>
      </c>
      <c r="S2023" s="82" t="str">
        <f>IF(AND($O2023=$Q$7,$B2023&lt;'111'!$L$11),"x","")</f>
        <v>x</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IF(OR(TH!N2035=TH!$X$7,O2023=TH!$X$7),"x","")</f>
        <v>x</v>
      </c>
      <c r="Y2023" s="82" t="str">
        <f>IF(AND(OR(N2023="131",O2023="131"),H2023='131-CT'!$H$9),"x","")</f>
        <v/>
      </c>
      <c r="Z2023" s="82"/>
      <c r="AA2023" s="82" t="str">
        <f>IF(AND(MONTH(E2023)='IN-NX'!$J$5,'IN-NX'!$D$7=D2023),"x","")</f>
        <v/>
      </c>
      <c r="AB2023" s="82" t="str">
        <f>IF(AND(OR(LEFT(TH!N2035,2)="15",LEFT(TH!O2035,2)="15"),LEFT(TH!O2035,3)&lt;&gt;"111",'152-CT'!$J$8=TH!F2035),"x","")</f>
        <v/>
      </c>
      <c r="AC2023" s="82" t="str">
        <f>IF(AND(OR(LEFT(TH!N2035,2)="15",LEFT(TH!O2035,2)="15"),TK!$E$7=TH!F2035),"x","")</f>
        <v/>
      </c>
      <c r="AD2023" s="82" t="str">
        <f>IF(AND(N2023="1521",MONTH(C2023)='BK-NL'!$M$11),"x","")</f>
        <v/>
      </c>
    </row>
    <row r="2024" spans="1:32" ht="15.75" customHeight="1">
      <c r="A2024" s="334" t="str">
        <f>IF(B2024&lt;&gt;"",IF(AND(B2024='IN-TC'!$S$4,OR(TH!N2036="1111",TH!O2036="1111")),TH!D2036,""),"")</f>
        <v/>
      </c>
      <c r="B2024" s="63">
        <f t="shared" si="220"/>
        <v>6</v>
      </c>
      <c r="C2024" s="64">
        <v>42536</v>
      </c>
      <c r="D2024" s="64" t="s">
        <v>886</v>
      </c>
      <c r="E2024" s="64">
        <v>42536</v>
      </c>
      <c r="F2024" s="72" t="s">
        <v>1010</v>
      </c>
      <c r="G2024" s="972" t="s">
        <v>1573</v>
      </c>
      <c r="H2024" s="72" t="s">
        <v>805</v>
      </c>
      <c r="I2024" s="437"/>
      <c r="J2024" s="437"/>
      <c r="K2024" s="428"/>
      <c r="L2024" s="437"/>
      <c r="M2024" s="65">
        <v>2011909</v>
      </c>
      <c r="N2024" s="66" t="s">
        <v>101</v>
      </c>
      <c r="O2024" s="66" t="s">
        <v>63</v>
      </c>
      <c r="P2024" s="82" t="str">
        <f>IF(AND('331-CT'!$E$7=TH!H2036,OR(N2024="331",O2024="331")),"x","")</f>
        <v/>
      </c>
      <c r="Q2024" s="82" t="str">
        <f>IF(AND(B2024='111'!$L$11,OR($N2024=$Q$7,$O2024=$Q$7)),"x","")</f>
        <v/>
      </c>
      <c r="R2024" s="82" t="str">
        <f>IF(AND($N2024=$Q$7,$B2024&lt;'111'!$L$11),"x","")</f>
        <v/>
      </c>
      <c r="S2024" s="82" t="str">
        <f>IF(AND($O2024=$Q$7,$B2024&lt;'111'!$L$11),"x","")</f>
        <v>x</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IF(OR(TH!N2036=TH!$X$7,O2024=TH!$X$7),"x","")</f>
        <v/>
      </c>
      <c r="Y2024" s="82" t="str">
        <f>IF(AND(OR(N2024="131",O2024="131"),H2024='131-CT'!$H$9),"x","")</f>
        <v/>
      </c>
      <c r="Z2024" s="82"/>
      <c r="AA2024" s="82" t="str">
        <f>IF(AND(MONTH(E2024)='IN-NX'!$J$5,'IN-NX'!$D$7=D2024),"x","")</f>
        <v/>
      </c>
      <c r="AB2024" s="82" t="str">
        <f>IF(AND(OR(LEFT(TH!N2036,2)="15",LEFT(TH!O2036,2)="15"),LEFT(TH!O2036,3)&lt;&gt;"111",'152-CT'!$J$8=TH!F2036),"x","")</f>
        <v/>
      </c>
      <c r="AC2024" s="82" t="str">
        <f>IF(AND(OR(LEFT(TH!N2036,2)="15",LEFT(TH!O2036,2)="15"),TK!$E$7=TH!F2036),"x","")</f>
        <v/>
      </c>
      <c r="AD2024" s="82" t="str">
        <f>IF(AND(N2024="1521",MONTH(C2024)='BK-NL'!$M$11),"x","")</f>
        <v/>
      </c>
      <c r="AF2024" s="328">
        <v>1</v>
      </c>
    </row>
    <row r="2025" spans="1:32" ht="15.75" customHeight="1">
      <c r="A2025" s="334" t="str">
        <f>IF(B2025&lt;&gt;"",IF(AND(B2025='IN-TC'!$S$4,OR(TH!N2025="1111",TH!O2025="1111")),TH!D2025,""),"")</f>
        <v/>
      </c>
      <c r="B2025" s="63">
        <f t="shared" si="220"/>
        <v>6</v>
      </c>
      <c r="C2025" s="64">
        <v>42531</v>
      </c>
      <c r="D2025" s="64" t="s">
        <v>902</v>
      </c>
      <c r="E2025" s="64">
        <v>42531</v>
      </c>
      <c r="F2025" s="72" t="s">
        <v>1139</v>
      </c>
      <c r="G2025" s="67" t="s">
        <v>915</v>
      </c>
      <c r="H2025" s="72" t="s">
        <v>760</v>
      </c>
      <c r="I2025" s="437"/>
      <c r="J2025" s="437"/>
      <c r="K2025" s="428"/>
      <c r="L2025" s="437"/>
      <c r="M2025" s="65">
        <v>300000000</v>
      </c>
      <c r="N2025" s="66" t="s">
        <v>63</v>
      </c>
      <c r="O2025" s="66" t="s">
        <v>26</v>
      </c>
      <c r="P2025" s="82" t="str">
        <f>IF(AND('331-CT'!$E$7=TH!H2025,OR(N2025="331",O2025="331")),"x","")</f>
        <v/>
      </c>
      <c r="Q2025" s="82" t="str">
        <f>IF(AND(B2025='111'!$L$11,OR($N2025=$Q$7,$O2025=$Q$7)),"x","")</f>
        <v/>
      </c>
      <c r="R2025" s="82" t="str">
        <f>IF(AND($N2025=$Q$7,$B2025&lt;'111'!$L$11),"x","")</f>
        <v>x</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2" ht="15.75" customHeight="1">
      <c r="A2026" s="334" t="str">
        <f>IF(B2026&lt;&gt;"",IF(AND(B2026='IN-TC'!$S$4,OR(TH!N2026="1111",TH!O2026="1111")),TH!D2026,""),"")</f>
        <v/>
      </c>
      <c r="B2026" s="63">
        <f t="shared" si="220"/>
        <v>6</v>
      </c>
      <c r="C2026" s="64">
        <v>42531</v>
      </c>
      <c r="D2026" s="64" t="s">
        <v>702</v>
      </c>
      <c r="E2026" s="64">
        <f>C2026</f>
        <v>42531</v>
      </c>
      <c r="F2026" s="72" t="s">
        <v>1058</v>
      </c>
      <c r="G2026" s="67" t="s">
        <v>915</v>
      </c>
      <c r="H2026" s="72"/>
      <c r="I2026" s="437"/>
      <c r="J2026" s="437"/>
      <c r="K2026" s="428"/>
      <c r="L2026" s="437"/>
      <c r="M2026" s="65">
        <v>1401257</v>
      </c>
      <c r="N2026" s="66" t="s">
        <v>101</v>
      </c>
      <c r="O2026" s="66" t="s">
        <v>26</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c r="AF2026" s="328">
        <v>1</v>
      </c>
    </row>
    <row r="2027" spans="1:32" ht="15.75" customHeight="1">
      <c r="A2027" s="334" t="str">
        <f>IF(B2027&lt;&gt;"",IF(AND(B2027='IN-TC'!$S$4,OR(TH!N2027="1111",TH!O2027="1111")),TH!D2027,""),"")</f>
        <v/>
      </c>
      <c r="B2027" s="63">
        <f t="shared" si="220"/>
        <v>6</v>
      </c>
      <c r="C2027" s="64">
        <v>42531</v>
      </c>
      <c r="D2027" s="64" t="s">
        <v>702</v>
      </c>
      <c r="E2027" s="64">
        <f>C2027</f>
        <v>42531</v>
      </c>
      <c r="F2027" s="72" t="s">
        <v>1059</v>
      </c>
      <c r="G2027" s="67" t="s">
        <v>915</v>
      </c>
      <c r="H2027" s="72"/>
      <c r="I2027" s="437"/>
      <c r="J2027" s="437"/>
      <c r="K2027" s="428"/>
      <c r="L2027" s="437"/>
      <c r="M2027" s="65">
        <v>140126</v>
      </c>
      <c r="N2027" s="66" t="s">
        <v>9</v>
      </c>
      <c r="O2027" s="66" t="s">
        <v>26</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x</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2" ht="15.75" customHeight="1">
      <c r="A2028" s="334" t="str">
        <f>IF(B2028&lt;&gt;"",IF(AND(B2028='IN-TC'!$S$4,OR(TH!N2028="1111",TH!O2028="1111")),TH!D2028,""),"")</f>
        <v/>
      </c>
      <c r="B2028" s="63">
        <f t="shared" si="220"/>
        <v>6</v>
      </c>
      <c r="C2028" s="64">
        <v>42531</v>
      </c>
      <c r="D2028" s="64" t="s">
        <v>702</v>
      </c>
      <c r="E2028" s="64">
        <f>C2028</f>
        <v>42531</v>
      </c>
      <c r="F2028" s="72" t="s">
        <v>1185</v>
      </c>
      <c r="G2028" s="67" t="s">
        <v>915</v>
      </c>
      <c r="H2028" s="342"/>
      <c r="I2028" s="437"/>
      <c r="J2028" s="437"/>
      <c r="K2028" s="428">
        <v>15</v>
      </c>
      <c r="L2028" s="437">
        <v>22300</v>
      </c>
      <c r="M2028" s="65">
        <f>ROUND(K2028*L2028,0)</f>
        <v>334500</v>
      </c>
      <c r="N2028" s="66" t="s">
        <v>101</v>
      </c>
      <c r="O2028" s="66" t="s">
        <v>266</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c r="AF2028" s="328">
        <v>1</v>
      </c>
    </row>
    <row r="2029" spans="1:32" ht="15.75" customHeight="1">
      <c r="A2029" s="334" t="str">
        <f>IF(B2029&lt;&gt;"",IF(AND(B2029='IN-TC'!$S$4,OR(TH!N2029="1111",TH!O2029="1111")),TH!D2029,""),"")</f>
        <v/>
      </c>
      <c r="B2029" s="63">
        <f t="shared" si="220"/>
        <v>6</v>
      </c>
      <c r="C2029" s="64">
        <v>42531</v>
      </c>
      <c r="D2029" s="64" t="s">
        <v>702</v>
      </c>
      <c r="E2029" s="64">
        <f>C2029</f>
        <v>42531</v>
      </c>
      <c r="F2029" s="72" t="s">
        <v>1186</v>
      </c>
      <c r="G2029" s="67" t="s">
        <v>915</v>
      </c>
      <c r="H2029" s="342"/>
      <c r="I2029" s="437"/>
      <c r="J2029" s="437"/>
      <c r="K2029" s="428">
        <v>1.5</v>
      </c>
      <c r="L2029" s="437">
        <v>22300</v>
      </c>
      <c r="M2029" s="65">
        <f>ROUND(K2029*L2029,0)</f>
        <v>33450</v>
      </c>
      <c r="N2029" s="66" t="s">
        <v>9</v>
      </c>
      <c r="O2029" s="66" t="s">
        <v>266</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x</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2" ht="15.75" customHeight="1">
      <c r="A2030" s="334" t="str">
        <f>IF(B2030&lt;&gt;"",IF(AND(B2030='IN-TC'!$S$4,OR(TH!N2037="1111",TH!O2037="1111")),TH!D2037,""),"")</f>
        <v/>
      </c>
      <c r="B2030" s="63">
        <f t="shared" si="220"/>
        <v>6</v>
      </c>
      <c r="C2030" s="64">
        <v>42536</v>
      </c>
      <c r="D2030" s="64" t="s">
        <v>886</v>
      </c>
      <c r="E2030" s="64">
        <v>42536</v>
      </c>
      <c r="F2030" s="72" t="s">
        <v>1011</v>
      </c>
      <c r="G2030" s="972" t="s">
        <v>1573</v>
      </c>
      <c r="H2030" s="72" t="s">
        <v>805</v>
      </c>
      <c r="I2030" s="437"/>
      <c r="J2030" s="437"/>
      <c r="K2030" s="428"/>
      <c r="L2030" s="437"/>
      <c r="M2030" s="65">
        <v>201191</v>
      </c>
      <c r="N2030" s="66" t="s">
        <v>9</v>
      </c>
      <c r="O2030" s="66" t="s">
        <v>63</v>
      </c>
      <c r="P2030" s="82" t="str">
        <f>IF(AND('331-CT'!$E$7=TH!H2037,OR(N2030="331",O2030="331")),"x","")</f>
        <v/>
      </c>
      <c r="Q2030" s="82" t="str">
        <f>IF(AND(B2030='111'!$L$11,OR($N2030=$Q$7,$O2030=$Q$7)),"x","")</f>
        <v/>
      </c>
      <c r="R2030" s="82" t="str">
        <f>IF(AND($N2030=$Q$7,$B2030&lt;'111'!$L$11),"x","")</f>
        <v/>
      </c>
      <c r="S2030" s="82" t="str">
        <f>IF(AND($O2030=$Q$7,$B2030&lt;'111'!$L$11),"x","")</f>
        <v>x</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IF(OR(TH!N2037=TH!$X$7,O2030=TH!$X$7),"x","")</f>
        <v/>
      </c>
      <c r="Y2030" s="82" t="str">
        <f>IF(AND(OR(N2030="131",O2030="131"),H2030='131-CT'!$H$9),"x","")</f>
        <v/>
      </c>
      <c r="Z2030" s="82"/>
      <c r="AA2030" s="82" t="str">
        <f>IF(AND(MONTH(E2030)='IN-NX'!$J$5,'IN-NX'!$D$7=D2030),"x","")</f>
        <v/>
      </c>
      <c r="AB2030" s="82" t="str">
        <f>IF(AND(OR(LEFT(TH!N2037,2)="15",LEFT(TH!O2037,2)="15"),LEFT(TH!O2037,3)&lt;&gt;"111",'152-CT'!$J$8=TH!F2037),"x","")</f>
        <v/>
      </c>
      <c r="AC2030" s="82" t="str">
        <f>IF(AND(OR(LEFT(TH!N2037,2)="15",LEFT(TH!O2037,2)="15"),TK!$E$7=TH!F2037),"x","")</f>
        <v/>
      </c>
      <c r="AD2030" s="82" t="str">
        <f>IF(AND(N2030="1521",MONTH(C2030)='BK-NL'!$M$11),"x","")</f>
        <v/>
      </c>
    </row>
    <row r="2031" spans="1:32" ht="15.75" customHeight="1">
      <c r="A2031" s="334" t="str">
        <f>IF(B2031&lt;&gt;"",IF(AND(B2031='IN-TC'!$S$4,OR(TH!N2031="1111",TH!O2031="1111")),TH!D2031,""),"")</f>
        <v/>
      </c>
      <c r="B2031" s="63">
        <f t="shared" si="220"/>
        <v>6</v>
      </c>
      <c r="C2031" s="64">
        <v>42534</v>
      </c>
      <c r="D2031" s="64" t="s">
        <v>702</v>
      </c>
      <c r="E2031" s="64">
        <f>C2031</f>
        <v>42534</v>
      </c>
      <c r="F2031" s="72" t="s">
        <v>1635</v>
      </c>
      <c r="G2031" s="67" t="s">
        <v>915</v>
      </c>
      <c r="H2031" s="72" t="s">
        <v>629</v>
      </c>
      <c r="I2031" s="437"/>
      <c r="J2031" s="437"/>
      <c r="K2031" s="428"/>
      <c r="L2031" s="437"/>
      <c r="M2031" s="65">
        <v>31328330</v>
      </c>
      <c r="N2031" s="66" t="s">
        <v>8</v>
      </c>
      <c r="O2031" s="66" t="s">
        <v>26</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c r="AE2031" s="1136" t="str">
        <f>IF(H2031&lt;&gt;VLOOKUP(H2031,DSKH,1,0),"","x")</f>
        <v>x</v>
      </c>
    </row>
    <row r="2032" spans="1:32" ht="15.75" customHeight="1">
      <c r="A2032" s="334" t="str">
        <f>IF(B2032&lt;&gt;"",IF(AND(B2032='IN-TC'!$S$4,OR(TH!N2032="1111",TH!O2032="1111")),TH!D2032,""),"")</f>
        <v/>
      </c>
      <c r="B2032" s="63">
        <f t="shared" si="220"/>
        <v>6</v>
      </c>
      <c r="C2032" s="64">
        <v>42534</v>
      </c>
      <c r="D2032" s="64" t="s">
        <v>702</v>
      </c>
      <c r="E2032" s="64">
        <f>C2032</f>
        <v>42534</v>
      </c>
      <c r="F2032" s="72" t="s">
        <v>1169</v>
      </c>
      <c r="G2032" s="67" t="s">
        <v>915</v>
      </c>
      <c r="H2032" s="72"/>
      <c r="I2032" s="437"/>
      <c r="J2032" s="437"/>
      <c r="K2032" s="428"/>
      <c r="L2032" s="437"/>
      <c r="M2032" s="65">
        <v>45000</v>
      </c>
      <c r="N2032" s="66" t="s">
        <v>101</v>
      </c>
      <c r="O2032" s="66" t="s">
        <v>26</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c r="AF2032" s="328">
        <v>1</v>
      </c>
    </row>
    <row r="2033" spans="1:32" ht="15.75" customHeight="1">
      <c r="A2033" s="334" t="str">
        <f>IF(B2033&lt;&gt;"",IF(AND(B2033='IN-TC'!$S$4,OR(TH!N2033="1111",TH!O2033="1111")),TH!D2033,""),"")</f>
        <v/>
      </c>
      <c r="B2033" s="63">
        <f t="shared" si="220"/>
        <v>6</v>
      </c>
      <c r="C2033" s="64">
        <v>42534</v>
      </c>
      <c r="D2033" s="64" t="s">
        <v>702</v>
      </c>
      <c r="E2033" s="64">
        <f>C2033</f>
        <v>42534</v>
      </c>
      <c r="F2033" s="72" t="s">
        <v>1631</v>
      </c>
      <c r="G2033" s="67" t="s">
        <v>915</v>
      </c>
      <c r="H2033" s="72"/>
      <c r="I2033" s="437"/>
      <c r="J2033" s="437"/>
      <c r="K2033" s="428"/>
      <c r="L2033" s="437"/>
      <c r="M2033" s="65">
        <v>4500</v>
      </c>
      <c r="N2033" s="66" t="s">
        <v>9</v>
      </c>
      <c r="O2033" s="66" t="s">
        <v>26</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x</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2" ht="15.75" customHeight="1">
      <c r="A2034" s="334" t="str">
        <f>IF(B2034&lt;&gt;"",IF(AND(B2034='IN-TC'!$S$4,OR(TH!N2069="1111",TH!O2069="1111")),TH!D2069,""),"")</f>
        <v/>
      </c>
      <c r="B2034" s="63">
        <f t="shared" si="220"/>
        <v>6</v>
      </c>
      <c r="C2034" s="64">
        <v>42538</v>
      </c>
      <c r="D2034" s="64" t="s">
        <v>887</v>
      </c>
      <c r="E2034" s="64">
        <v>42538</v>
      </c>
      <c r="F2034" s="72" t="s">
        <v>794</v>
      </c>
      <c r="G2034" s="972" t="s">
        <v>1574</v>
      </c>
      <c r="H2034" s="72" t="s">
        <v>1470</v>
      </c>
      <c r="I2034" s="437"/>
      <c r="J2034" s="437"/>
      <c r="K2034" s="428"/>
      <c r="L2034" s="437"/>
      <c r="M2034" s="65">
        <v>354533</v>
      </c>
      <c r="N2034" s="66" t="s">
        <v>101</v>
      </c>
      <c r="O2034" s="66" t="s">
        <v>63</v>
      </c>
      <c r="P2034" s="82" t="str">
        <f>IF(AND('331-CT'!$E$7=TH!H2069,OR(N2034="331",O2034="331")),"x","")</f>
        <v/>
      </c>
      <c r="Q2034" s="82" t="str">
        <f>IF(AND(B2034='111'!$L$11,OR($N2034=$Q$7,$O2034=$Q$7)),"x","")</f>
        <v/>
      </c>
      <c r="R2034" s="82" t="str">
        <f>IF(AND($N2034=$Q$7,$B2034&lt;'111'!$L$11),"x","")</f>
        <v/>
      </c>
      <c r="S2034" s="82" t="str">
        <f>IF(AND($O2034=$Q$7,$B2034&lt;'111'!$L$11),"x","")</f>
        <v>x</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IF(OR(TH!N2069=TH!$X$7,O2034=TH!$X$7),"x","")</f>
        <v/>
      </c>
      <c r="Y2034" s="82" t="str">
        <f>IF(AND(OR(N2034="131",O2034="131"),H2034='131-CT'!$H$9),"x","")</f>
        <v/>
      </c>
      <c r="Z2034" s="82"/>
      <c r="AA2034" s="82" t="str">
        <f>IF(AND(MONTH(E2034)='IN-NX'!$J$5,'IN-NX'!$D$7=D2034),"x","")</f>
        <v/>
      </c>
      <c r="AB2034" s="82" t="str">
        <f>IF(AND(OR(LEFT(TH!N2069,2)="15",LEFT(TH!O2069,2)="15"),LEFT(TH!O2069,3)&lt;&gt;"111",'152-CT'!$J$8=TH!F2069),"x","")</f>
        <v/>
      </c>
      <c r="AC2034" s="82" t="str">
        <f>IF(AND(OR(LEFT(TH!N2069,2)="15",LEFT(TH!O2069,2)="15"),TK!$E$7=TH!F2069),"x","")</f>
        <v/>
      </c>
      <c r="AD2034" s="82" t="str">
        <f>IF(AND(N2034="1521",MONTH(C2034)='BK-NL'!$M$11),"x","")</f>
        <v/>
      </c>
      <c r="AF2034" s="328">
        <v>1</v>
      </c>
    </row>
    <row r="2035" spans="1:32" ht="15.75" customHeight="1">
      <c r="A2035" s="334" t="str">
        <f>IF(B2035&lt;&gt;"",IF(AND(B2035='IN-TC'!$S$4,OR(TH!N2070="1111",TH!O2070="1111")),TH!D2070,""),"")</f>
        <v/>
      </c>
      <c r="B2035" s="63">
        <f t="shared" si="220"/>
        <v>6</v>
      </c>
      <c r="C2035" s="64">
        <v>42538</v>
      </c>
      <c r="D2035" s="64" t="s">
        <v>887</v>
      </c>
      <c r="E2035" s="64">
        <v>42538</v>
      </c>
      <c r="F2035" s="72" t="s">
        <v>795</v>
      </c>
      <c r="G2035" s="972" t="s">
        <v>1574</v>
      </c>
      <c r="H2035" s="72" t="s">
        <v>1470</v>
      </c>
      <c r="I2035" s="437"/>
      <c r="J2035" s="437"/>
      <c r="K2035" s="428"/>
      <c r="L2035" s="437"/>
      <c r="M2035" s="65">
        <v>35456</v>
      </c>
      <c r="N2035" s="66" t="s">
        <v>9</v>
      </c>
      <c r="O2035" s="66" t="s">
        <v>63</v>
      </c>
      <c r="P2035" s="82" t="str">
        <f>IF(AND('331-CT'!$E$7=TH!H2070,OR(N2035="331",O2035="331")),"x","")</f>
        <v/>
      </c>
      <c r="Q2035" s="82" t="str">
        <f>IF(AND(B2035='111'!$L$11,OR($N2035=$Q$7,$O2035=$Q$7)),"x","")</f>
        <v/>
      </c>
      <c r="R2035" s="82" t="str">
        <f>IF(AND($N2035=$Q$7,$B2035&lt;'111'!$L$11),"x","")</f>
        <v/>
      </c>
      <c r="S2035" s="82" t="str">
        <f>IF(AND($O2035=$Q$7,$B2035&lt;'111'!$L$11),"x","")</f>
        <v>x</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IF(OR(TH!N2070=TH!$X$7,O2035=TH!$X$7),"x","")</f>
        <v>x</v>
      </c>
      <c r="Y2035" s="82" t="str">
        <f>IF(AND(OR(N2035="131",O2035="131"),H2035='131-CT'!$H$9),"x","")</f>
        <v/>
      </c>
      <c r="Z2035" s="82"/>
      <c r="AA2035" s="82" t="str">
        <f>IF(AND(MONTH(E2035)='IN-NX'!$J$5,'IN-NX'!$D$7=D2035),"x","")</f>
        <v/>
      </c>
      <c r="AB2035" s="82" t="str">
        <f>IF(AND(OR(LEFT(TH!N2070,2)="15",LEFT(TH!O2070,2)="15"),LEFT(TH!O2070,3)&lt;&gt;"111",'152-CT'!$J$8=TH!F2070),"x","")</f>
        <v/>
      </c>
      <c r="AC2035" s="82" t="str">
        <f>IF(AND(OR(LEFT(TH!N2070,2)="15",LEFT(TH!O2070,2)="15"),TK!$E$7=TH!F2070),"x","")</f>
        <v/>
      </c>
      <c r="AD2035" s="82" t="str">
        <f>IF(AND(N2035="1521",MONTH(C2035)='BK-NL'!$M$11),"x","")</f>
        <v/>
      </c>
    </row>
    <row r="2036" spans="1:32" ht="15.75" customHeight="1">
      <c r="A2036" s="334" t="str">
        <f>IF(B2036&lt;&gt;"",IF(AND(B2036='IN-TC'!$S$4,OR(TH!N1564="1111",TH!O1564="1111")),TH!D1564,""),"")</f>
        <v/>
      </c>
      <c r="B2036" s="1148">
        <f t="shared" si="220"/>
        <v>6</v>
      </c>
      <c r="C2036" s="1149">
        <v>42541</v>
      </c>
      <c r="D2036" s="1149" t="s">
        <v>888</v>
      </c>
      <c r="E2036" s="1149">
        <f>C2036</f>
        <v>42541</v>
      </c>
      <c r="F2036" s="512" t="s">
        <v>960</v>
      </c>
      <c r="G2036" s="1151"/>
      <c r="H2036" s="1150" t="s">
        <v>959</v>
      </c>
      <c r="I2036" s="1152"/>
      <c r="J2036" s="1152"/>
      <c r="K2036" s="1153"/>
      <c r="L2036" s="1152"/>
      <c r="M2036" s="1154">
        <v>500000000</v>
      </c>
      <c r="N2036" s="1155" t="s">
        <v>272</v>
      </c>
      <c r="O2036" s="1155" t="s">
        <v>63</v>
      </c>
      <c r="P2036" s="1155" t="str">
        <f>IF(AND('331-CT'!$E$7=TH!H1564,OR(N2036="331",O2036="331")),"x","")</f>
        <v/>
      </c>
      <c r="Q2036" s="1155" t="str">
        <f>IF(AND(B2036='111'!$L$11,OR($N2036=$Q$7,$O2036=$Q$7)),"x","")</f>
        <v/>
      </c>
      <c r="R2036" s="1155" t="str">
        <f>IF(AND($N2036=$Q$7,$B2036&lt;'111'!$L$11),"x","")</f>
        <v/>
      </c>
      <c r="S2036" s="1155" t="str">
        <f>IF(AND($O2036=$Q$7,$B2036&lt;'111'!$L$11),"x","")</f>
        <v>x</v>
      </c>
      <c r="T2036" s="1155" t="str">
        <f>IF(ISERROR(FIND('112'!$M$9,G2036,1)),"",IF((AND(FIND('112'!$M$9,G2036,1)&gt;=1,B2036='112'!$K$9,OR($N2036='112'!$I$6,$O2036='112'!$I$6))),"x",""))</f>
        <v/>
      </c>
      <c r="U2036" s="1155" t="str">
        <f>IF(ISERROR(FIND('112'!$M$9,G2036,1)),"",IF((AND(LEFT(G2036,2)=LEFT('112'!$M$9,2),B2036&lt;'112'!$K$9,$N2036='112'!$I$6)),"x",""))</f>
        <v/>
      </c>
      <c r="V2036" s="1155" t="str">
        <f>IF(ISERROR(FIND('112'!$M$9,G2036,1)),"",IF((AND(RIGHT(G2036,2)=RIGHT('112'!$M$9,2),B2036&lt;'112'!$K$9,$O2036='112'!$I$6)),"x",""))</f>
        <v/>
      </c>
      <c r="W2036" s="1155" t="str">
        <f>IF(AND('341-CT'!$H$9=H2036,OR(LEFT(N2036,3)=$W$7,LEFT(O2036,3)=$W$7)),"x","")</f>
        <v/>
      </c>
      <c r="X2036" s="1155" t="str">
        <f>IF(OR(TH!N1564=TH!$X$7,O2036=TH!$X$7),"x","")</f>
        <v/>
      </c>
      <c r="Y2036" s="1155" t="str">
        <f>IF(AND(OR(N2036="131",O2036="131"),H2036='131-CT'!$H$9),"x","")</f>
        <v/>
      </c>
      <c r="Z2036" s="1155"/>
      <c r="AA2036" s="1155" t="str">
        <f>IF(AND(MONTH(E2036)='IN-NX'!$J$5,'IN-NX'!$D$7=D2036),"x","")</f>
        <v/>
      </c>
      <c r="AB2036" s="1155" t="str">
        <f>IF(AND(OR(LEFT(TH!N1564,2)="15",LEFT(TH!O1564,2)="15"),LEFT(TH!O1564,3)&lt;&gt;"111",'152-CT'!$J$8=TH!F1564),"x","")</f>
        <v/>
      </c>
      <c r="AC2036" s="1155" t="str">
        <f>IF(AND(OR(LEFT(TH!N1564,2)="15",LEFT(TH!O1564,2)="15"),TK!$E$7=TH!F1564),"x","")</f>
        <v/>
      </c>
      <c r="AD2036" s="1155" t="str">
        <f>IF(AND(N2036="1521",MONTH(C2036)='BK-NL'!$M$11),"x","")</f>
        <v/>
      </c>
      <c r="AE2036" s="1156"/>
      <c r="AF2036" s="1156"/>
    </row>
    <row r="2037" spans="1:32" ht="15.75" customHeight="1">
      <c r="A2037" s="334" t="str">
        <f>IF(B2037&lt;&gt;"",IF(AND(B2037='IN-TC'!$S$4,OR(TH!N1569="1111",TH!O1569="1111")),TH!D1569,""),"")</f>
        <v/>
      </c>
      <c r="B2037" s="1148">
        <f t="shared" si="220"/>
        <v>6</v>
      </c>
      <c r="C2037" s="1149">
        <v>42541</v>
      </c>
      <c r="D2037" s="1149" t="s">
        <v>889</v>
      </c>
      <c r="E2037" s="1149">
        <f>C2037</f>
        <v>42541</v>
      </c>
      <c r="F2037" s="512" t="s">
        <v>960</v>
      </c>
      <c r="G2037" s="1151"/>
      <c r="H2037" s="1150" t="s">
        <v>2239</v>
      </c>
      <c r="I2037" s="1152"/>
      <c r="J2037" s="1152"/>
      <c r="K2037" s="1153"/>
      <c r="L2037" s="1152"/>
      <c r="M2037" s="1154">
        <v>410000000</v>
      </c>
      <c r="N2037" s="1155" t="s">
        <v>272</v>
      </c>
      <c r="O2037" s="1155" t="s">
        <v>63</v>
      </c>
      <c r="P2037" s="1155" t="str">
        <f>IF(AND('331-CT'!$E$7=TH!H1569,OR(N2037="331",O2037="331")),"x","")</f>
        <v/>
      </c>
      <c r="Q2037" s="1155" t="str">
        <f>IF(AND(B2037='111'!$L$11,OR($N2037=$Q$7,$O2037=$Q$7)),"x","")</f>
        <v/>
      </c>
      <c r="R2037" s="1155" t="str">
        <f>IF(AND($N2037=$Q$7,$B2037&lt;'111'!$L$11),"x","")</f>
        <v/>
      </c>
      <c r="S2037" s="1155" t="str">
        <f>IF(AND($O2037=$Q$7,$B2037&lt;'111'!$L$11),"x","")</f>
        <v>x</v>
      </c>
      <c r="T2037" s="1155" t="str">
        <f>IF(ISERROR(FIND('112'!$M$9,G2037,1)),"",IF((AND(FIND('112'!$M$9,G2037,1)&gt;=1,B2037='112'!$K$9,OR($N2037='112'!$I$6,$O2037='112'!$I$6))),"x",""))</f>
        <v/>
      </c>
      <c r="U2037" s="1155" t="str">
        <f>IF(ISERROR(FIND('112'!$M$9,G2037,1)),"",IF((AND(LEFT(G2037,2)=LEFT('112'!$M$9,2),B2037&lt;'112'!$K$9,$N2037='112'!$I$6)),"x",""))</f>
        <v/>
      </c>
      <c r="V2037" s="1155" t="str">
        <f>IF(ISERROR(FIND('112'!$M$9,G2037,1)),"",IF((AND(RIGHT(G2037,2)=RIGHT('112'!$M$9,2),B2037&lt;'112'!$K$9,$O2037='112'!$I$6)),"x",""))</f>
        <v/>
      </c>
      <c r="W2037" s="1155" t="str">
        <f>IF(AND('341-CT'!$H$9=H2037,OR(LEFT(N2037,3)=$W$7,LEFT(O2037,3)=$W$7)),"x","")</f>
        <v/>
      </c>
      <c r="X2037" s="1155" t="str">
        <f>IF(OR(TH!N1569=TH!$X$7,O2037=TH!$X$7),"x","")</f>
        <v/>
      </c>
      <c r="Y2037" s="1155" t="str">
        <f>IF(AND(OR(N2037="131",O2037="131"),H2037='131-CT'!$H$9),"x","")</f>
        <v/>
      </c>
      <c r="Z2037" s="1155"/>
      <c r="AA2037" s="1155" t="str">
        <f>IF(AND(MONTH(E2037)='IN-NX'!$J$5,'IN-NX'!$D$7=D2037),"x","")</f>
        <v/>
      </c>
      <c r="AB2037" s="1155" t="str">
        <f>IF(AND(OR(LEFT(TH!N1569,2)="15",LEFT(TH!O1569,2)="15"),LEFT(TH!O1569,3)&lt;&gt;"111",'152-CT'!$J$8=TH!F1569),"x","")</f>
        <v/>
      </c>
      <c r="AC2037" s="1155" t="str">
        <f>IF(AND(OR(LEFT(TH!N1569,2)="15",LEFT(TH!O1569,2)="15"),TK!$E$7=TH!F1569),"x","")</f>
        <v/>
      </c>
      <c r="AD2037" s="1155" t="str">
        <f>IF(AND(N2037="1521",MONTH(C2037)='BK-NL'!$M$11),"x","")</f>
        <v/>
      </c>
      <c r="AE2037" s="1156"/>
      <c r="AF2037" s="1156"/>
    </row>
    <row r="2038" spans="1:32" ht="15.75" customHeight="1">
      <c r="A2038" s="334" t="str">
        <f>IF(B2038&lt;&gt;"",IF(AND(B2038='IN-TC'!$S$4,OR(TH!N2038="1111",TH!O2038="1111")),TH!D2038,""),"")</f>
        <v/>
      </c>
      <c r="B2038" s="63">
        <f t="shared" si="220"/>
        <v>6</v>
      </c>
      <c r="C2038" s="64">
        <v>42536</v>
      </c>
      <c r="D2038" s="64" t="s">
        <v>905</v>
      </c>
      <c r="E2038" s="64">
        <v>42536</v>
      </c>
      <c r="F2038" s="72" t="s">
        <v>1139</v>
      </c>
      <c r="G2038" s="67" t="s">
        <v>915</v>
      </c>
      <c r="H2038" s="72" t="s">
        <v>760</v>
      </c>
      <c r="I2038" s="437"/>
      <c r="J2038" s="437"/>
      <c r="K2038" s="428"/>
      <c r="L2038" s="437"/>
      <c r="M2038" s="65">
        <v>460000000</v>
      </c>
      <c r="N2038" s="66" t="s">
        <v>63</v>
      </c>
      <c r="O2038" s="66" t="s">
        <v>26</v>
      </c>
      <c r="P2038" s="82" t="str">
        <f>IF(AND('331-CT'!$E$7=TH!H2038,OR(N2038="331",O2038="331")),"x","")</f>
        <v/>
      </c>
      <c r="Q2038" s="82" t="str">
        <f>IF(AND(B2038='111'!$L$11,OR($N2038=$Q$7,$O2038=$Q$7)),"x","")</f>
        <v/>
      </c>
      <c r="R2038" s="82" t="str">
        <f>IF(AND($N2038=$Q$7,$B2038&lt;'111'!$L$11),"x","")</f>
        <v>x</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2" ht="15.75" customHeight="1">
      <c r="A2039" s="334" t="str">
        <f>IF(B2039&lt;&gt;"",IF(AND(B2039='IN-TC'!$S$4,OR(TH!N2039="1111",TH!O2039="1111")),TH!D2039,""),"")</f>
        <v/>
      </c>
      <c r="B2039" s="63">
        <f t="shared" si="220"/>
        <v>6</v>
      </c>
      <c r="C2039" s="64">
        <v>42536</v>
      </c>
      <c r="D2039" s="64" t="s">
        <v>702</v>
      </c>
      <c r="E2039" s="64">
        <f t="shared" ref="E2039:E2068" si="222">C2039</f>
        <v>42536</v>
      </c>
      <c r="F2039" s="72" t="s">
        <v>1438</v>
      </c>
      <c r="G2039" s="67" t="s">
        <v>915</v>
      </c>
      <c r="H2039" s="72"/>
      <c r="I2039" s="437"/>
      <c r="J2039" s="437"/>
      <c r="K2039" s="428">
        <v>30000</v>
      </c>
      <c r="L2039" s="437">
        <v>22310</v>
      </c>
      <c r="M2039" s="65">
        <v>669300000</v>
      </c>
      <c r="N2039" s="66" t="s">
        <v>26</v>
      </c>
      <c r="O2039" s="66" t="s">
        <v>266</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2" ht="15.75" customHeight="1">
      <c r="A2040" s="334" t="str">
        <f>IF(B2040&lt;&gt;"",IF(AND(B2040='IN-TC'!$S$4,OR(TH!N2040="1111",TH!O2040="1111")),TH!D2040,""),"")</f>
        <v/>
      </c>
      <c r="B2040" s="63">
        <f t="shared" si="220"/>
        <v>6</v>
      </c>
      <c r="C2040" s="64">
        <v>42536</v>
      </c>
      <c r="D2040" s="64" t="s">
        <v>699</v>
      </c>
      <c r="E2040" s="64">
        <f t="shared" si="222"/>
        <v>42536</v>
      </c>
      <c r="F2040" s="72" t="s">
        <v>1184</v>
      </c>
      <c r="G2040" s="67" t="s">
        <v>915</v>
      </c>
      <c r="H2040" s="342" t="s">
        <v>598</v>
      </c>
      <c r="I2040" s="437"/>
      <c r="J2040" s="437"/>
      <c r="K2040" s="428">
        <v>32451.62</v>
      </c>
      <c r="L2040" s="437">
        <v>22350</v>
      </c>
      <c r="M2040" s="65">
        <f t="shared" ref="M2040:M2045" si="223">ROUND(K2040*L2040,0)</f>
        <v>725293707</v>
      </c>
      <c r="N2040" s="66" t="s">
        <v>266</v>
      </c>
      <c r="O2040" s="66" t="s">
        <v>585</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2" ht="15.75" customHeight="1">
      <c r="A2041" s="334" t="str">
        <f>IF(B2041&lt;&gt;"",IF(AND(B2041='IN-TC'!$S$4,OR(TH!N2041="1111",TH!O2041="1111")),TH!D2041,""),"")</f>
        <v/>
      </c>
      <c r="B2041" s="63">
        <f t="shared" si="220"/>
        <v>6</v>
      </c>
      <c r="C2041" s="64">
        <v>42536</v>
      </c>
      <c r="D2041" s="64" t="s">
        <v>579</v>
      </c>
      <c r="E2041" s="64">
        <f t="shared" si="222"/>
        <v>42536</v>
      </c>
      <c r="F2041" s="72" t="s">
        <v>611</v>
      </c>
      <c r="G2041" s="67" t="s">
        <v>915</v>
      </c>
      <c r="H2041" s="342" t="s">
        <v>598</v>
      </c>
      <c r="I2041" s="437"/>
      <c r="J2041" s="437"/>
      <c r="K2041" s="428">
        <v>10</v>
      </c>
      <c r="L2041" s="437">
        <v>22350</v>
      </c>
      <c r="M2041" s="65">
        <f t="shared" si="223"/>
        <v>223500</v>
      </c>
      <c r="N2041" s="66" t="s">
        <v>101</v>
      </c>
      <c r="O2041" s="66" t="s">
        <v>585</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c r="AF2041" s="328">
        <v>1</v>
      </c>
    </row>
    <row r="2042" spans="1:32" ht="15.75" customHeight="1">
      <c r="A2042" s="334" t="str">
        <f>IF(B2042&lt;&gt;"",IF(AND(B2042='IN-TC'!$S$4,OR(TH!N2042="1111",TH!O2042="1111")),TH!D2042,""),"")</f>
        <v/>
      </c>
      <c r="B2042" s="63">
        <f t="shared" si="220"/>
        <v>6</v>
      </c>
      <c r="C2042" s="64">
        <v>42536</v>
      </c>
      <c r="D2042" s="64" t="s">
        <v>579</v>
      </c>
      <c r="E2042" s="64">
        <f t="shared" si="222"/>
        <v>42536</v>
      </c>
      <c r="F2042" s="72" t="s">
        <v>1187</v>
      </c>
      <c r="G2042" s="67" t="s">
        <v>915</v>
      </c>
      <c r="H2042" s="342" t="s">
        <v>598</v>
      </c>
      <c r="I2042" s="437"/>
      <c r="J2042" s="437"/>
      <c r="K2042" s="428">
        <v>1</v>
      </c>
      <c r="L2042" s="437">
        <v>22350</v>
      </c>
      <c r="M2042" s="65">
        <f t="shared" si="223"/>
        <v>22350</v>
      </c>
      <c r="N2042" s="66" t="s">
        <v>9</v>
      </c>
      <c r="O2042" s="66" t="s">
        <v>585</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x</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2" ht="15.75" customHeight="1">
      <c r="A2043" s="334" t="str">
        <f>IF(B2043&lt;&gt;"",IF(AND(B2043='IN-TC'!$S$4,OR(TH!N2043="1111",TH!O2043="1111")),TH!D2043,""),"")</f>
        <v/>
      </c>
      <c r="B2043" s="63">
        <f t="shared" si="220"/>
        <v>6</v>
      </c>
      <c r="C2043" s="64">
        <v>42536</v>
      </c>
      <c r="D2043" s="64" t="s">
        <v>579</v>
      </c>
      <c r="E2043" s="64">
        <f t="shared" si="222"/>
        <v>42536</v>
      </c>
      <c r="F2043" s="72" t="s">
        <v>612</v>
      </c>
      <c r="G2043" s="67" t="s">
        <v>915</v>
      </c>
      <c r="H2043" s="342" t="s">
        <v>598</v>
      </c>
      <c r="I2043" s="437"/>
      <c r="J2043" s="437"/>
      <c r="K2043" s="428">
        <v>27.62</v>
      </c>
      <c r="L2043" s="437">
        <v>22350</v>
      </c>
      <c r="M2043" s="65">
        <f t="shared" si="223"/>
        <v>617307</v>
      </c>
      <c r="N2043" s="66" t="s">
        <v>101</v>
      </c>
      <c r="O2043" s="66" t="s">
        <v>585</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c r="AF2043" s="328">
        <v>1</v>
      </c>
    </row>
    <row r="2044" spans="1:32" ht="15.75" customHeight="1">
      <c r="A2044" s="334" t="str">
        <f>IF(B2044&lt;&gt;"",IF(AND(B2044='IN-TC'!$S$4,OR(TH!N2044="1111",TH!O2044="1111")),TH!D2044,""),"")</f>
        <v/>
      </c>
      <c r="B2044" s="63">
        <f t="shared" si="220"/>
        <v>6</v>
      </c>
      <c r="C2044" s="64">
        <v>42536</v>
      </c>
      <c r="D2044" s="64" t="s">
        <v>579</v>
      </c>
      <c r="E2044" s="64">
        <f t="shared" si="222"/>
        <v>42536</v>
      </c>
      <c r="F2044" s="72" t="s">
        <v>1311</v>
      </c>
      <c r="G2044" s="67" t="s">
        <v>915</v>
      </c>
      <c r="H2044" s="342" t="s">
        <v>598</v>
      </c>
      <c r="I2044" s="437"/>
      <c r="J2044" s="437"/>
      <c r="K2044" s="428">
        <v>2.76</v>
      </c>
      <c r="L2044" s="437">
        <v>22350</v>
      </c>
      <c r="M2044" s="65">
        <f t="shared" si="223"/>
        <v>61686</v>
      </c>
      <c r="N2044" s="66" t="s">
        <v>9</v>
      </c>
      <c r="O2044" s="66" t="s">
        <v>585</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x</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2" ht="15.75" customHeight="1">
      <c r="A2045" s="334" t="str">
        <f>IF(B2045&lt;&gt;"",IF(AND(B2045='IN-TC'!$S$4,OR(TH!N2045="1111",TH!O2045="1111")),TH!D2045,""),"")</f>
        <v/>
      </c>
      <c r="B2045" s="63">
        <f t="shared" si="220"/>
        <v>6</v>
      </c>
      <c r="C2045" s="64">
        <v>42536</v>
      </c>
      <c r="D2045" s="64" t="s">
        <v>579</v>
      </c>
      <c r="E2045" s="64">
        <f t="shared" si="222"/>
        <v>42536</v>
      </c>
      <c r="F2045" s="72" t="s">
        <v>1513</v>
      </c>
      <c r="G2045" s="67" t="s">
        <v>915</v>
      </c>
      <c r="H2045" s="342" t="s">
        <v>598</v>
      </c>
      <c r="I2045" s="437"/>
      <c r="J2045" s="437"/>
      <c r="K2045" s="428">
        <v>35</v>
      </c>
      <c r="L2045" s="437">
        <v>22350</v>
      </c>
      <c r="M2045" s="65">
        <f t="shared" si="223"/>
        <v>782250</v>
      </c>
      <c r="N2045" s="66" t="s">
        <v>101</v>
      </c>
      <c r="O2045" s="66" t="s">
        <v>585</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2" ht="15.75" customHeight="1">
      <c r="A2046" s="334" t="str">
        <f>IF(B2046&lt;&gt;"",IF(AND(B2046='IN-TC'!$S$4,OR(TH!N2046="1111",TH!O2046="1111")),TH!D2046,""),"")</f>
        <v/>
      </c>
      <c r="B2046" s="63">
        <f t="shared" si="220"/>
        <v>6</v>
      </c>
      <c r="C2046" s="64">
        <v>42536</v>
      </c>
      <c r="D2046" s="64" t="s">
        <v>702</v>
      </c>
      <c r="E2046" s="64">
        <f t="shared" si="222"/>
        <v>42536</v>
      </c>
      <c r="F2046" s="72" t="s">
        <v>1636</v>
      </c>
      <c r="G2046" s="67" t="s">
        <v>915</v>
      </c>
      <c r="H2046" s="72"/>
      <c r="I2046" s="437"/>
      <c r="J2046" s="437"/>
      <c r="K2046" s="428"/>
      <c r="L2046" s="437"/>
      <c r="M2046" s="65">
        <v>50000</v>
      </c>
      <c r="N2046" s="66" t="s">
        <v>101</v>
      </c>
      <c r="O2046" s="66" t="s">
        <v>26</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c r="AF2046" s="328">
        <v>1</v>
      </c>
    </row>
    <row r="2047" spans="1:32" ht="15.75" customHeight="1">
      <c r="A2047" s="334" t="str">
        <f>IF(B2047&lt;&gt;"",IF(AND(B2047='IN-TC'!$S$4,OR(TH!N2047="1111",TH!O2047="1111")),TH!D2047,""),"")</f>
        <v/>
      </c>
      <c r="B2047" s="63">
        <f t="shared" si="220"/>
        <v>6</v>
      </c>
      <c r="C2047" s="64">
        <v>42536</v>
      </c>
      <c r="D2047" s="64" t="s">
        <v>702</v>
      </c>
      <c r="E2047" s="64">
        <f t="shared" si="222"/>
        <v>42536</v>
      </c>
      <c r="F2047" s="72" t="s">
        <v>1197</v>
      </c>
      <c r="G2047" s="67" t="s">
        <v>915</v>
      </c>
      <c r="H2047" s="72"/>
      <c r="I2047" s="437"/>
      <c r="J2047" s="437"/>
      <c r="K2047" s="428"/>
      <c r="L2047" s="437"/>
      <c r="M2047" s="65">
        <v>5000</v>
      </c>
      <c r="N2047" s="66" t="s">
        <v>9</v>
      </c>
      <c r="O2047" s="66" t="s">
        <v>26</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x</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2" ht="15.75" customHeight="1">
      <c r="A2048" s="334" t="str">
        <f>IF(B2048&lt;&gt;"",IF(AND(B2048='IN-TC'!$S$4,OR(TH!N2048="1111",TH!O2048="1111")),TH!D2048,""),"")</f>
        <v/>
      </c>
      <c r="B2048" s="63">
        <f t="shared" si="220"/>
        <v>6</v>
      </c>
      <c r="C2048" s="64">
        <v>42537</v>
      </c>
      <c r="D2048" s="64" t="s">
        <v>702</v>
      </c>
      <c r="E2048" s="64">
        <f t="shared" si="222"/>
        <v>42537</v>
      </c>
      <c r="F2048" s="72" t="s">
        <v>1206</v>
      </c>
      <c r="G2048" s="67" t="s">
        <v>915</v>
      </c>
      <c r="H2048" s="72"/>
      <c r="I2048" s="437"/>
      <c r="J2048" s="437"/>
      <c r="K2048" s="428"/>
      <c r="L2048" s="437"/>
      <c r="M2048" s="1147">
        <v>90000000</v>
      </c>
      <c r="N2048" s="66" t="s">
        <v>590</v>
      </c>
      <c r="O2048" s="66" t="s">
        <v>26</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c r="AE2048" s="349"/>
      <c r="AF2048" s="349"/>
    </row>
    <row r="2049" spans="1:32" ht="15.75" customHeight="1">
      <c r="A2049" s="334" t="str">
        <f>IF(B2049&lt;&gt;"",IF(AND(B2049='IN-TC'!$S$4,OR(TH!N2049="1111",TH!O2049="1111")),TH!D2049,""),"")</f>
        <v/>
      </c>
      <c r="B2049" s="63">
        <f t="shared" si="220"/>
        <v>6</v>
      </c>
      <c r="C2049" s="64">
        <v>42537</v>
      </c>
      <c r="D2049" s="64" t="s">
        <v>702</v>
      </c>
      <c r="E2049" s="64">
        <f t="shared" si="222"/>
        <v>42537</v>
      </c>
      <c r="F2049" s="72" t="s">
        <v>1169</v>
      </c>
      <c r="G2049" s="67" t="s">
        <v>915</v>
      </c>
      <c r="H2049" s="72"/>
      <c r="I2049" s="437"/>
      <c r="J2049" s="437"/>
      <c r="K2049" s="428"/>
      <c r="L2049" s="437"/>
      <c r="M2049" s="65">
        <v>45000</v>
      </c>
      <c r="N2049" s="66" t="s">
        <v>101</v>
      </c>
      <c r="O2049" s="66" t="s">
        <v>26</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c r="AF2049" s="328">
        <v>1</v>
      </c>
    </row>
    <row r="2050" spans="1:32" s="1156" customFormat="1" ht="15.75" customHeight="1">
      <c r="A2050" s="334" t="str">
        <f>IF(B2050&lt;&gt;"",IF(AND(B2050='IN-TC'!$S$4,OR(TH!N2050="1111",TH!O2050="1111")),TH!D2050,""),"")</f>
        <v/>
      </c>
      <c r="B2050" s="63">
        <f t="shared" si="220"/>
        <v>6</v>
      </c>
      <c r="C2050" s="64">
        <v>42537</v>
      </c>
      <c r="D2050" s="64" t="s">
        <v>702</v>
      </c>
      <c r="E2050" s="64">
        <f t="shared" si="222"/>
        <v>42537</v>
      </c>
      <c r="F2050" s="72" t="s">
        <v>1637</v>
      </c>
      <c r="G2050" s="67" t="s">
        <v>915</v>
      </c>
      <c r="H2050" s="72"/>
      <c r="I2050" s="437"/>
      <c r="J2050" s="437"/>
      <c r="K2050" s="428"/>
      <c r="L2050" s="437"/>
      <c r="M2050" s="65">
        <v>4500</v>
      </c>
      <c r="N2050" s="66" t="s">
        <v>9</v>
      </c>
      <c r="O2050" s="66" t="s">
        <v>26</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x</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c r="AE2050" s="328"/>
      <c r="AF2050" s="328"/>
    </row>
    <row r="2051" spans="1:32" ht="15.75" customHeight="1">
      <c r="A2051" s="334" t="str">
        <f>IF(B2051&lt;&gt;"",IF(AND(B2051='IN-TC'!$S$4,OR(TH!N2051="1111",TH!O2051="1111")),TH!D2051,""),"")</f>
        <v/>
      </c>
      <c r="B2051" s="63">
        <f t="shared" si="220"/>
        <v>6</v>
      </c>
      <c r="C2051" s="64">
        <v>42537</v>
      </c>
      <c r="D2051" s="64" t="s">
        <v>702</v>
      </c>
      <c r="E2051" s="64">
        <f t="shared" si="222"/>
        <v>42537</v>
      </c>
      <c r="F2051" s="72" t="s">
        <v>1638</v>
      </c>
      <c r="G2051" s="67" t="s">
        <v>915</v>
      </c>
      <c r="H2051" s="318" t="s">
        <v>1132</v>
      </c>
      <c r="I2051" s="437"/>
      <c r="J2051" s="437"/>
      <c r="K2051" s="428"/>
      <c r="L2051" s="437"/>
      <c r="M2051" s="65">
        <v>16269120</v>
      </c>
      <c r="N2051" s="66" t="s">
        <v>8</v>
      </c>
      <c r="O2051" s="66" t="s">
        <v>26</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c r="AE2051" s="1136" t="str">
        <f>IF(H2051&lt;&gt;VLOOKUP(H2051,DSKH,1,0),"","x")</f>
        <v>x</v>
      </c>
    </row>
    <row r="2052" spans="1:32" ht="15.75" customHeight="1">
      <c r="A2052" s="334" t="str">
        <f>IF(B2052&lt;&gt;"",IF(AND(B2052='IN-TC'!$S$4,OR(TH!N2052="1111",TH!O2052="1111")),TH!D2052,""),"")</f>
        <v/>
      </c>
      <c r="B2052" s="63">
        <f t="shared" si="220"/>
        <v>6</v>
      </c>
      <c r="C2052" s="64">
        <v>42537</v>
      </c>
      <c r="D2052" s="64" t="s">
        <v>702</v>
      </c>
      <c r="E2052" s="64">
        <f t="shared" si="222"/>
        <v>42537</v>
      </c>
      <c r="F2052" s="72" t="s">
        <v>1169</v>
      </c>
      <c r="G2052" s="67" t="s">
        <v>915</v>
      </c>
      <c r="H2052" s="72"/>
      <c r="I2052" s="437"/>
      <c r="J2052" s="437"/>
      <c r="K2052" s="428"/>
      <c r="L2052" s="437"/>
      <c r="M2052" s="65">
        <v>25000</v>
      </c>
      <c r="N2052" s="66" t="s">
        <v>101</v>
      </c>
      <c r="O2052" s="66" t="s">
        <v>26</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c r="AF2052" s="328">
        <v>1</v>
      </c>
    </row>
    <row r="2053" spans="1:32" ht="15.75" customHeight="1">
      <c r="A2053" s="334" t="str">
        <f>IF(B2053&lt;&gt;"",IF(AND(B2053='IN-TC'!$S$4,OR(TH!N2053="1111",TH!O2053="1111")),TH!D2053,""),"")</f>
        <v/>
      </c>
      <c r="B2053" s="63">
        <f t="shared" si="220"/>
        <v>6</v>
      </c>
      <c r="C2053" s="64">
        <v>42537</v>
      </c>
      <c r="D2053" s="64" t="s">
        <v>702</v>
      </c>
      <c r="E2053" s="64">
        <f t="shared" si="222"/>
        <v>42537</v>
      </c>
      <c r="F2053" s="72" t="s">
        <v>1631</v>
      </c>
      <c r="G2053" s="67" t="s">
        <v>915</v>
      </c>
      <c r="H2053" s="72"/>
      <c r="I2053" s="437"/>
      <c r="J2053" s="437"/>
      <c r="K2053" s="428"/>
      <c r="L2053" s="437"/>
      <c r="M2053" s="65">
        <v>2500</v>
      </c>
      <c r="N2053" s="66" t="s">
        <v>9</v>
      </c>
      <c r="O2053" s="66" t="s">
        <v>26</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x</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2" ht="15.75" customHeight="1">
      <c r="A2054" s="334" t="str">
        <f>IF(B2054&lt;&gt;"",IF(AND(B2054='IN-TC'!$S$4,OR(TH!N2054="1111",TH!O2054="1111")),TH!D2054,""),"")</f>
        <v/>
      </c>
      <c r="B2054" s="63">
        <f t="shared" si="220"/>
        <v>6</v>
      </c>
      <c r="C2054" s="64">
        <v>42537</v>
      </c>
      <c r="D2054" s="64" t="s">
        <v>702</v>
      </c>
      <c r="E2054" s="64">
        <f t="shared" si="222"/>
        <v>42537</v>
      </c>
      <c r="F2054" s="72" t="s">
        <v>1639</v>
      </c>
      <c r="G2054" s="67" t="s">
        <v>915</v>
      </c>
      <c r="H2054" s="342" t="s">
        <v>626</v>
      </c>
      <c r="I2054" s="437"/>
      <c r="J2054" s="437"/>
      <c r="K2054" s="428"/>
      <c r="L2054" s="437"/>
      <c r="M2054" s="65">
        <v>990000</v>
      </c>
      <c r="N2054" s="66" t="s">
        <v>8</v>
      </c>
      <c r="O2054" s="66" t="s">
        <v>26</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c r="AE2054" s="1136" t="str">
        <f>IF(H2054&lt;&gt;VLOOKUP(H2054,DSKH,1,0),"","x")</f>
        <v>x</v>
      </c>
    </row>
    <row r="2055" spans="1:32" ht="15.75" customHeight="1">
      <c r="A2055" s="334" t="str">
        <f>IF(B2055&lt;&gt;"",IF(AND(B2055='IN-TC'!$S$4,OR(TH!N2055="1111",TH!O2055="1111")),TH!D2055,""),"")</f>
        <v/>
      </c>
      <c r="B2055" s="63">
        <f t="shared" si="220"/>
        <v>6</v>
      </c>
      <c r="C2055" s="64">
        <v>42537</v>
      </c>
      <c r="D2055" s="64" t="s">
        <v>702</v>
      </c>
      <c r="E2055" s="64">
        <f t="shared" si="222"/>
        <v>42537</v>
      </c>
      <c r="F2055" s="72" t="s">
        <v>1169</v>
      </c>
      <c r="G2055" s="67" t="s">
        <v>915</v>
      </c>
      <c r="H2055" s="72"/>
      <c r="I2055" s="437"/>
      <c r="J2055" s="437"/>
      <c r="K2055" s="428"/>
      <c r="L2055" s="437"/>
      <c r="M2055" s="65">
        <v>20000</v>
      </c>
      <c r="N2055" s="66" t="s">
        <v>101</v>
      </c>
      <c r="O2055" s="66" t="s">
        <v>26</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c r="AF2055" s="328">
        <v>1</v>
      </c>
    </row>
    <row r="2056" spans="1:32" ht="15.75" customHeight="1">
      <c r="A2056" s="334" t="str">
        <f>IF(B2056&lt;&gt;"",IF(AND(B2056='IN-TC'!$S$4,OR(TH!N2056="1111",TH!O2056="1111")),TH!D2056,""),"")</f>
        <v/>
      </c>
      <c r="B2056" s="63">
        <f t="shared" si="220"/>
        <v>6</v>
      </c>
      <c r="C2056" s="64">
        <v>42537</v>
      </c>
      <c r="D2056" s="64" t="s">
        <v>702</v>
      </c>
      <c r="E2056" s="64">
        <f t="shared" si="222"/>
        <v>42537</v>
      </c>
      <c r="F2056" s="72" t="s">
        <v>1631</v>
      </c>
      <c r="G2056" s="67" t="s">
        <v>915</v>
      </c>
      <c r="H2056" s="72"/>
      <c r="I2056" s="437"/>
      <c r="J2056" s="437"/>
      <c r="K2056" s="428"/>
      <c r="L2056" s="437"/>
      <c r="M2056" s="65">
        <v>2000</v>
      </c>
      <c r="N2056" s="66" t="s">
        <v>9</v>
      </c>
      <c r="O2056" s="66" t="s">
        <v>26</v>
      </c>
      <c r="P2056" s="82" t="str">
        <f>IF(AND('331-CT'!$E$7=TH!H2056,OR(N2056="331",O2056="331")),"x","")</f>
        <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x</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2" ht="15.75" customHeight="1">
      <c r="A2057" s="334" t="str">
        <f>IF(B2057&lt;&gt;"",IF(AND(B2057='IN-TC'!$S$4,OR(TH!N2057="1111",TH!O2057="1111")),TH!D2057,""),"")</f>
        <v/>
      </c>
      <c r="B2057" s="63">
        <f t="shared" si="220"/>
        <v>6</v>
      </c>
      <c r="C2057" s="64">
        <v>42537</v>
      </c>
      <c r="D2057" s="64" t="s">
        <v>702</v>
      </c>
      <c r="E2057" s="64">
        <f t="shared" si="222"/>
        <v>42537</v>
      </c>
      <c r="F2057" s="72" t="s">
        <v>1639</v>
      </c>
      <c r="G2057" s="67" t="s">
        <v>915</v>
      </c>
      <c r="H2057" s="342" t="s">
        <v>626</v>
      </c>
      <c r="I2057" s="437"/>
      <c r="J2057" s="437"/>
      <c r="K2057" s="428"/>
      <c r="L2057" s="437"/>
      <c r="M2057" s="65">
        <v>5500000</v>
      </c>
      <c r="N2057" s="66" t="s">
        <v>8</v>
      </c>
      <c r="O2057" s="66" t="s">
        <v>26</v>
      </c>
      <c r="P2057" s="82" t="str">
        <f>IF(AND('331-CT'!$E$7=TH!H2057,OR(N2057="331",O2057="331")),"x","")</f>
        <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c r="AE2057" s="1136" t="str">
        <f>IF(H2057&lt;&gt;VLOOKUP(H2057,DSKH,1,0),"","x")</f>
        <v>x</v>
      </c>
    </row>
    <row r="2058" spans="1:32" ht="15.75" customHeight="1">
      <c r="A2058" s="334" t="str">
        <f>IF(B2058&lt;&gt;"",IF(AND(B2058='IN-TC'!$S$4,OR(TH!N2058="1111",TH!O2058="1111")),TH!D2058,""),"")</f>
        <v/>
      </c>
      <c r="B2058" s="63">
        <f t="shared" si="220"/>
        <v>6</v>
      </c>
      <c r="C2058" s="64">
        <v>42537</v>
      </c>
      <c r="D2058" s="64" t="s">
        <v>702</v>
      </c>
      <c r="E2058" s="64">
        <f t="shared" si="222"/>
        <v>42537</v>
      </c>
      <c r="F2058" s="72" t="s">
        <v>1169</v>
      </c>
      <c r="G2058" s="67" t="s">
        <v>915</v>
      </c>
      <c r="H2058" s="72"/>
      <c r="I2058" s="437"/>
      <c r="J2058" s="437"/>
      <c r="K2058" s="428"/>
      <c r="L2058" s="437"/>
      <c r="M2058" s="65">
        <v>20000</v>
      </c>
      <c r="N2058" s="66" t="s">
        <v>101</v>
      </c>
      <c r="O2058" s="66" t="s">
        <v>26</v>
      </c>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c r="AF2058" s="328">
        <v>1</v>
      </c>
    </row>
    <row r="2059" spans="1:32" ht="15.75" customHeight="1">
      <c r="A2059" s="334" t="str">
        <f>IF(B2059&lt;&gt;"",IF(AND(B2059='IN-TC'!$S$4,OR(TH!N2059="1111",TH!O2059="1111")),TH!D2059,""),"")</f>
        <v/>
      </c>
      <c r="B2059" s="63">
        <f t="shared" si="220"/>
        <v>6</v>
      </c>
      <c r="C2059" s="64">
        <v>42537</v>
      </c>
      <c r="D2059" s="64" t="s">
        <v>702</v>
      </c>
      <c r="E2059" s="64">
        <f t="shared" si="222"/>
        <v>42537</v>
      </c>
      <c r="F2059" s="72" t="s">
        <v>1631</v>
      </c>
      <c r="G2059" s="67" t="s">
        <v>915</v>
      </c>
      <c r="H2059" s="72"/>
      <c r="I2059" s="437"/>
      <c r="J2059" s="437"/>
      <c r="K2059" s="428"/>
      <c r="L2059" s="437"/>
      <c r="M2059" s="65">
        <v>2000</v>
      </c>
      <c r="N2059" s="66" t="s">
        <v>9</v>
      </c>
      <c r="O2059" s="66" t="s">
        <v>26</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x</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2" ht="15.75" customHeight="1">
      <c r="A2060" s="334" t="str">
        <f>IF(B2060&lt;&gt;"",IF(AND(B2060='IN-TC'!$S$4,OR(TH!N2060="1111",TH!O2060="1111")),TH!D2060,""),"")</f>
        <v/>
      </c>
      <c r="B2060" s="63">
        <f t="shared" si="220"/>
        <v>6</v>
      </c>
      <c r="C2060" s="64">
        <v>42537</v>
      </c>
      <c r="D2060" s="64" t="s">
        <v>702</v>
      </c>
      <c r="E2060" s="64">
        <f t="shared" si="222"/>
        <v>42537</v>
      </c>
      <c r="F2060" s="72" t="s">
        <v>1640</v>
      </c>
      <c r="G2060" s="67" t="s">
        <v>915</v>
      </c>
      <c r="H2060" s="342" t="s">
        <v>619</v>
      </c>
      <c r="I2060" s="437"/>
      <c r="J2060" s="437"/>
      <c r="K2060" s="428"/>
      <c r="L2060" s="437"/>
      <c r="M2060" s="65">
        <v>6400000</v>
      </c>
      <c r="N2060" s="66" t="s">
        <v>8</v>
      </c>
      <c r="O2060" s="66" t="s">
        <v>26</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c r="AE2060" s="1136" t="str">
        <f>IF(H2060&lt;&gt;VLOOKUP(H2060,DSKH,1,0),"","x")</f>
        <v>x</v>
      </c>
    </row>
    <row r="2061" spans="1:32" ht="15.75" customHeight="1">
      <c r="A2061" s="334" t="str">
        <f>IF(B2061&lt;&gt;"",IF(AND(B2061='IN-TC'!$S$4,OR(TH!N2061="1111",TH!O2061="1111")),TH!D2061,""),"")</f>
        <v/>
      </c>
      <c r="B2061" s="63">
        <f t="shared" ref="B2061:B2124" si="224">IF(C2061&lt;&gt;"",MONTH(C2061),"")</f>
        <v>6</v>
      </c>
      <c r="C2061" s="64">
        <v>42537</v>
      </c>
      <c r="D2061" s="64" t="s">
        <v>702</v>
      </c>
      <c r="E2061" s="64">
        <f t="shared" si="222"/>
        <v>42537</v>
      </c>
      <c r="F2061" s="72" t="s">
        <v>1169</v>
      </c>
      <c r="G2061" s="67" t="s">
        <v>915</v>
      </c>
      <c r="H2061" s="72"/>
      <c r="I2061" s="437"/>
      <c r="J2061" s="437"/>
      <c r="K2061" s="428"/>
      <c r="L2061" s="437"/>
      <c r="M2061" s="1147">
        <v>20000</v>
      </c>
      <c r="N2061" s="66" t="s">
        <v>101</v>
      </c>
      <c r="O2061" s="66" t="s">
        <v>26</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c r="AF2061" s="328">
        <v>1</v>
      </c>
    </row>
    <row r="2062" spans="1:32" ht="15.75" customHeight="1">
      <c r="A2062" s="334" t="str">
        <f>IF(B2062&lt;&gt;"",IF(AND(B2062='IN-TC'!$S$4,OR(TH!N2062="1111",TH!O2062="1111")),TH!D2062,""),"")</f>
        <v/>
      </c>
      <c r="B2062" s="63">
        <f t="shared" si="224"/>
        <v>6</v>
      </c>
      <c r="C2062" s="64">
        <v>42537</v>
      </c>
      <c r="D2062" s="64" t="s">
        <v>702</v>
      </c>
      <c r="E2062" s="64">
        <f t="shared" si="222"/>
        <v>42537</v>
      </c>
      <c r="F2062" s="72" t="s">
        <v>1631</v>
      </c>
      <c r="G2062" s="67" t="s">
        <v>915</v>
      </c>
      <c r="H2062" s="72"/>
      <c r="I2062" s="437"/>
      <c r="J2062" s="437"/>
      <c r="K2062" s="428"/>
      <c r="L2062" s="437"/>
      <c r="M2062" s="65">
        <v>2000</v>
      </c>
      <c r="N2062" s="66" t="s">
        <v>9</v>
      </c>
      <c r="O2062" s="66" t="s">
        <v>26</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x</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2" ht="15.75" customHeight="1">
      <c r="A2063" s="334" t="str">
        <f>IF(B2063&lt;&gt;"",IF(AND(B2063='IN-TC'!$S$4,OR(TH!N2063="1111",TH!O2063="1111")),TH!D2063,""),"")</f>
        <v/>
      </c>
      <c r="B2063" s="63">
        <f t="shared" si="224"/>
        <v>6</v>
      </c>
      <c r="C2063" s="64">
        <v>42537</v>
      </c>
      <c r="D2063" s="64" t="s">
        <v>702</v>
      </c>
      <c r="E2063" s="64">
        <f t="shared" si="222"/>
        <v>42537</v>
      </c>
      <c r="F2063" s="72" t="s">
        <v>1641</v>
      </c>
      <c r="G2063" s="67" t="s">
        <v>915</v>
      </c>
      <c r="H2063" s="72" t="s">
        <v>1427</v>
      </c>
      <c r="I2063" s="437"/>
      <c r="J2063" s="437"/>
      <c r="K2063" s="428"/>
      <c r="L2063" s="437"/>
      <c r="M2063" s="65">
        <v>7920000</v>
      </c>
      <c r="N2063" s="66" t="s">
        <v>8</v>
      </c>
      <c r="O2063" s="66" t="s">
        <v>26</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c r="AE2063" s="1136" t="str">
        <f>IF(H2063&lt;&gt;VLOOKUP(H2063,DSKH,1,0),"","x")</f>
        <v>x</v>
      </c>
    </row>
    <row r="2064" spans="1:32" ht="15.75" customHeight="1">
      <c r="A2064" s="334" t="str">
        <f>IF(B2064&lt;&gt;"",IF(AND(B2064='IN-TC'!$S$4,OR(TH!N2064="1111",TH!O2064="1111")),TH!D2064,""),"")</f>
        <v/>
      </c>
      <c r="B2064" s="63">
        <f t="shared" si="224"/>
        <v>6</v>
      </c>
      <c r="C2064" s="64">
        <v>42537</v>
      </c>
      <c r="D2064" s="64" t="s">
        <v>702</v>
      </c>
      <c r="E2064" s="64">
        <f t="shared" si="222"/>
        <v>42537</v>
      </c>
      <c r="F2064" s="72" t="s">
        <v>1169</v>
      </c>
      <c r="G2064" s="67" t="s">
        <v>915</v>
      </c>
      <c r="H2064" s="72"/>
      <c r="I2064" s="437"/>
      <c r="J2064" s="437"/>
      <c r="K2064" s="428"/>
      <c r="L2064" s="437"/>
      <c r="M2064" s="65">
        <v>20000</v>
      </c>
      <c r="N2064" s="66" t="s">
        <v>101</v>
      </c>
      <c r="O2064" s="66" t="s">
        <v>26</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c r="AF2064" s="328">
        <v>1</v>
      </c>
    </row>
    <row r="2065" spans="1:32" ht="15.75" customHeight="1">
      <c r="A2065" s="334" t="str">
        <f>IF(B2065&lt;&gt;"",IF(AND(B2065='IN-TC'!$S$4,OR(TH!N2065="1111",TH!O2065="1111")),TH!D2065,""),"")</f>
        <v/>
      </c>
      <c r="B2065" s="63">
        <f t="shared" si="224"/>
        <v>6</v>
      </c>
      <c r="C2065" s="64">
        <v>42537</v>
      </c>
      <c r="D2065" s="64" t="s">
        <v>702</v>
      </c>
      <c r="E2065" s="64">
        <f t="shared" si="222"/>
        <v>42537</v>
      </c>
      <c r="F2065" s="72" t="s">
        <v>1631</v>
      </c>
      <c r="G2065" s="67" t="s">
        <v>915</v>
      </c>
      <c r="H2065" s="72"/>
      <c r="I2065" s="437"/>
      <c r="J2065" s="437"/>
      <c r="K2065" s="428"/>
      <c r="L2065" s="437"/>
      <c r="M2065" s="65">
        <v>2000</v>
      </c>
      <c r="N2065" s="66" t="s">
        <v>9</v>
      </c>
      <c r="O2065" s="66" t="s">
        <v>26</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x</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2" ht="15.75" customHeight="1">
      <c r="A2066" s="334" t="str">
        <f>IF(B2066&lt;&gt;"",IF(AND(B2066='IN-TC'!$S$4,OR(TH!N2066="1111",TH!O2066="1111")),TH!D2066,""),"")</f>
        <v/>
      </c>
      <c r="B2066" s="63">
        <f t="shared" si="224"/>
        <v>6</v>
      </c>
      <c r="C2066" s="64">
        <v>42537</v>
      </c>
      <c r="D2066" s="64" t="s">
        <v>702</v>
      </c>
      <c r="E2066" s="64">
        <f t="shared" si="222"/>
        <v>42537</v>
      </c>
      <c r="F2066" s="72" t="s">
        <v>1638</v>
      </c>
      <c r="G2066" s="67" t="s">
        <v>915</v>
      </c>
      <c r="H2066" s="342" t="s">
        <v>628</v>
      </c>
      <c r="I2066" s="437"/>
      <c r="J2066" s="437"/>
      <c r="K2066" s="428"/>
      <c r="L2066" s="437"/>
      <c r="M2066" s="65">
        <v>40000000</v>
      </c>
      <c r="N2066" s="66" t="s">
        <v>8</v>
      </c>
      <c r="O2066" s="66" t="s">
        <v>26</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c r="AE2066" s="1136" t="str">
        <f>IF(H2066&lt;&gt;VLOOKUP(H2066,DSKH,1,0),"","x")</f>
        <v>x</v>
      </c>
    </row>
    <row r="2067" spans="1:32" ht="15.75" customHeight="1">
      <c r="A2067" s="334" t="str">
        <f>IF(B2067&lt;&gt;"",IF(AND(B2067='IN-TC'!$S$4,OR(TH!N2067="1111",TH!O2067="1111")),TH!D2067,""),"")</f>
        <v/>
      </c>
      <c r="B2067" s="63">
        <f t="shared" si="224"/>
        <v>6</v>
      </c>
      <c r="C2067" s="64">
        <v>42537</v>
      </c>
      <c r="D2067" s="64" t="s">
        <v>702</v>
      </c>
      <c r="E2067" s="64">
        <f t="shared" si="222"/>
        <v>42537</v>
      </c>
      <c r="F2067" s="72" t="s">
        <v>1169</v>
      </c>
      <c r="G2067" s="67" t="s">
        <v>915</v>
      </c>
      <c r="H2067" s="72"/>
      <c r="I2067" s="437"/>
      <c r="J2067" s="437"/>
      <c r="K2067" s="428"/>
      <c r="L2067" s="437"/>
      <c r="M2067" s="65">
        <v>20000</v>
      </c>
      <c r="N2067" s="66" t="s">
        <v>101</v>
      </c>
      <c r="O2067" s="66" t="s">
        <v>26</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c r="AF2067" s="328">
        <v>1</v>
      </c>
    </row>
    <row r="2068" spans="1:32" ht="15.75" customHeight="1">
      <c r="A2068" s="334" t="str">
        <f>IF(B2068&lt;&gt;"",IF(AND(B2068='IN-TC'!$S$4,OR(TH!N2068="1111",TH!O2068="1111")),TH!D2068,""),"")</f>
        <v/>
      </c>
      <c r="B2068" s="63">
        <f t="shared" si="224"/>
        <v>6</v>
      </c>
      <c r="C2068" s="64">
        <v>42537</v>
      </c>
      <c r="D2068" s="64" t="s">
        <v>702</v>
      </c>
      <c r="E2068" s="64">
        <f t="shared" si="222"/>
        <v>42537</v>
      </c>
      <c r="F2068" s="72" t="s">
        <v>1631</v>
      </c>
      <c r="G2068" s="67" t="s">
        <v>915</v>
      </c>
      <c r="H2068" s="72"/>
      <c r="I2068" s="437"/>
      <c r="J2068" s="437"/>
      <c r="K2068" s="428"/>
      <c r="L2068" s="437"/>
      <c r="M2068" s="65">
        <v>2000</v>
      </c>
      <c r="N2068" s="66" t="s">
        <v>9</v>
      </c>
      <c r="O2068" s="66" t="s">
        <v>26</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x</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2" ht="15.75" customHeight="1">
      <c r="A2069" s="334" t="str">
        <f>IF(B2069&lt;&gt;"",IF(AND(B2069='IN-TC'!$S$4,OR(TH!N2107="1111",TH!O2107="1111")),TH!D2107,""),"")</f>
        <v/>
      </c>
      <c r="B2069" s="63">
        <f t="shared" si="224"/>
        <v>6</v>
      </c>
      <c r="C2069" s="64">
        <v>42541</v>
      </c>
      <c r="D2069" s="64" t="s">
        <v>890</v>
      </c>
      <c r="E2069" s="64">
        <v>42541</v>
      </c>
      <c r="F2069" s="72" t="s">
        <v>1575</v>
      </c>
      <c r="G2069" s="972" t="s">
        <v>1577</v>
      </c>
      <c r="H2069" s="72" t="s">
        <v>1578</v>
      </c>
      <c r="I2069" s="437"/>
      <c r="J2069" s="437"/>
      <c r="K2069" s="428"/>
      <c r="L2069" s="437"/>
      <c r="M2069" s="65">
        <v>2548279</v>
      </c>
      <c r="N2069" s="66" t="s">
        <v>101</v>
      </c>
      <c r="O2069" s="66" t="s">
        <v>63</v>
      </c>
      <c r="P2069" s="82" t="str">
        <f>IF(AND('331-CT'!$E$7=TH!H2107,OR(N2069="331",O2069="331")),"x","")</f>
        <v/>
      </c>
      <c r="Q2069" s="82" t="str">
        <f>IF(AND(B2069='111'!$L$11,OR($N2069=$Q$7,$O2069=$Q$7)),"x","")</f>
        <v/>
      </c>
      <c r="R2069" s="82" t="str">
        <f>IF(AND($N2069=$Q$7,$B2069&lt;'111'!$L$11),"x","")</f>
        <v/>
      </c>
      <c r="S2069" s="82" t="str">
        <f>IF(AND($O2069=$Q$7,$B2069&lt;'111'!$L$11),"x","")</f>
        <v>x</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IF(OR(TH!N2107=TH!$X$7,O2069=TH!$X$7),"x","")</f>
        <v/>
      </c>
      <c r="Y2069" s="82" t="str">
        <f>IF(AND(OR(N2069="131",O2069="131"),H2069='131-CT'!$H$9),"x","")</f>
        <v/>
      </c>
      <c r="Z2069" s="82"/>
      <c r="AA2069" s="82" t="str">
        <f>IF(AND(MONTH(E2069)='IN-NX'!$J$5,'IN-NX'!$D$7=D2069),"x","")</f>
        <v/>
      </c>
      <c r="AB2069" s="82" t="str">
        <f>IF(AND(OR(LEFT(TH!N2107,2)="15",LEFT(TH!O2107,2)="15"),LEFT(TH!O2107,3)&lt;&gt;"111",'152-CT'!$J$8=TH!F2107),"x","")</f>
        <v/>
      </c>
      <c r="AC2069" s="82" t="str">
        <f>IF(AND(OR(LEFT(TH!N2107,2)="15",LEFT(TH!O2107,2)="15"),TK!$E$7=TH!F2107),"x","")</f>
        <v/>
      </c>
      <c r="AD2069" s="82" t="str">
        <f>IF(AND(N2069="1521",MONTH(C2069)='BK-NL'!$M$11),"x","")</f>
        <v/>
      </c>
      <c r="AF2069" s="328">
        <v>1</v>
      </c>
    </row>
    <row r="2070" spans="1:32" ht="15.75" customHeight="1">
      <c r="A2070" s="334" t="str">
        <f>IF(B2070&lt;&gt;"",IF(AND(B2070='IN-TC'!$S$4,OR(TH!N2108="1111",TH!O2108="1111")),TH!D2108,""),"")</f>
        <v/>
      </c>
      <c r="B2070" s="63">
        <f t="shared" si="224"/>
        <v>6</v>
      </c>
      <c r="C2070" s="64">
        <v>42541</v>
      </c>
      <c r="D2070" s="64" t="s">
        <v>890</v>
      </c>
      <c r="E2070" s="64">
        <v>42541</v>
      </c>
      <c r="F2070" s="72" t="s">
        <v>1576</v>
      </c>
      <c r="G2070" s="972" t="s">
        <v>1577</v>
      </c>
      <c r="H2070" s="72" t="s">
        <v>1578</v>
      </c>
      <c r="I2070" s="437"/>
      <c r="J2070" s="437"/>
      <c r="K2070" s="428"/>
      <c r="L2070" s="437"/>
      <c r="M2070" s="65">
        <v>254828</v>
      </c>
      <c r="N2070" s="66" t="s">
        <v>9</v>
      </c>
      <c r="O2070" s="66" t="s">
        <v>63</v>
      </c>
      <c r="P2070" s="82" t="str">
        <f>IF(AND('331-CT'!$E$7=TH!H2108,OR(N2070="331",O2070="331")),"x","")</f>
        <v/>
      </c>
      <c r="Q2070" s="82" t="str">
        <f>IF(AND(B2070='111'!$L$11,OR($N2070=$Q$7,$O2070=$Q$7)),"x","")</f>
        <v/>
      </c>
      <c r="R2070" s="82" t="str">
        <f>IF(AND($N2070=$Q$7,$B2070&lt;'111'!$L$11),"x","")</f>
        <v/>
      </c>
      <c r="S2070" s="82" t="str">
        <f>IF(AND($O2070=$Q$7,$B2070&lt;'111'!$L$11),"x","")</f>
        <v>x</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IF(OR(TH!N2108=TH!$X$7,O2070=TH!$X$7),"x","")</f>
        <v>x</v>
      </c>
      <c r="Y2070" s="82" t="str">
        <f>IF(AND(OR(N2070="131",O2070="131"),H2070='131-CT'!$H$9),"x","")</f>
        <v/>
      </c>
      <c r="Z2070" s="82"/>
      <c r="AA2070" s="82" t="str">
        <f>IF(AND(MONTH(E2070)='IN-NX'!$J$5,'IN-NX'!$D$7=D2070),"x","")</f>
        <v/>
      </c>
      <c r="AB2070" s="82" t="str">
        <f>IF(AND(OR(LEFT(TH!N2108,2)="15",LEFT(TH!O2108,2)="15"),LEFT(TH!O2108,3)&lt;&gt;"111",'152-CT'!$J$8=TH!F2108),"x","")</f>
        <v/>
      </c>
      <c r="AC2070" s="82" t="str">
        <f>IF(AND(OR(LEFT(TH!N2108,2)="15",LEFT(TH!O2108,2)="15"),TK!$E$7=TH!F2108),"x","")</f>
        <v/>
      </c>
      <c r="AD2070" s="82" t="str">
        <f>IF(AND(N2070="1521",MONTH(C2070)='BK-NL'!$M$11),"x","")</f>
        <v/>
      </c>
    </row>
    <row r="2071" spans="1:32" ht="15.75" customHeight="1">
      <c r="A2071" s="334" t="str">
        <f>IF(B2071&lt;&gt;"",IF(AND(B2071='IN-TC'!$S$4,OR(TH!N2071="1111",TH!O2071="1111")),TH!D2071,""),"")</f>
        <v/>
      </c>
      <c r="B2071" s="63">
        <f t="shared" si="224"/>
        <v>6</v>
      </c>
      <c r="C2071" s="64">
        <v>42538</v>
      </c>
      <c r="D2071" s="64" t="s">
        <v>906</v>
      </c>
      <c r="E2071" s="64">
        <v>42538</v>
      </c>
      <c r="F2071" s="72" t="s">
        <v>1139</v>
      </c>
      <c r="G2071" s="67" t="s">
        <v>915</v>
      </c>
      <c r="H2071" s="72" t="s">
        <v>760</v>
      </c>
      <c r="I2071" s="437"/>
      <c r="J2071" s="437"/>
      <c r="K2071" s="428"/>
      <c r="L2071" s="437"/>
      <c r="M2071" s="65">
        <v>40000000</v>
      </c>
      <c r="N2071" s="66" t="s">
        <v>63</v>
      </c>
      <c r="O2071" s="66" t="s">
        <v>26</v>
      </c>
      <c r="P2071" s="82" t="str">
        <f>IF(AND('331-CT'!$E$7=TH!H2071,OR(N2071="331",O2071="331")),"x","")</f>
        <v/>
      </c>
      <c r="Q2071" s="82" t="str">
        <f>IF(AND(B2071='111'!$L$11,OR($N2071=$Q$7,$O2071=$Q$7)),"x","")</f>
        <v/>
      </c>
      <c r="R2071" s="82" t="str">
        <f>IF(AND($N2071=$Q$7,$B2071&lt;'111'!$L$11),"x","")</f>
        <v>x</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2" ht="15.75" customHeight="1">
      <c r="A2072" s="334" t="str">
        <f>IF(B2072&lt;&gt;"",IF(AND(B2072='IN-TC'!$S$4,OR(TH!N2072="1111",TH!O2072="1111")),TH!D2072,""),"")</f>
        <v/>
      </c>
      <c r="B2072" s="63">
        <f t="shared" si="224"/>
        <v>6</v>
      </c>
      <c r="C2072" s="92">
        <v>42538</v>
      </c>
      <c r="D2072" s="92" t="s">
        <v>699</v>
      </c>
      <c r="E2072" s="92">
        <f t="shared" ref="E2072:E2097" si="225">C2072</f>
        <v>42538</v>
      </c>
      <c r="F2072" s="72" t="s">
        <v>1886</v>
      </c>
      <c r="G2072" s="93" t="s">
        <v>915</v>
      </c>
      <c r="H2072" s="1164" t="s">
        <v>1887</v>
      </c>
      <c r="I2072" s="443"/>
      <c r="J2072" s="443"/>
      <c r="K2072" s="428">
        <v>76050</v>
      </c>
      <c r="L2072" s="437">
        <v>22320</v>
      </c>
      <c r="M2072" s="95">
        <v>1697436000</v>
      </c>
      <c r="N2072" s="83" t="s">
        <v>260</v>
      </c>
      <c r="O2072" s="66" t="s">
        <v>26</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c r="AE2072" s="348"/>
      <c r="AF2072" s="348"/>
    </row>
    <row r="2073" spans="1:32" ht="15.75" customHeight="1">
      <c r="A2073" s="334" t="str">
        <f>IF(B2073&lt;&gt;"",IF(AND(B2073='IN-TC'!$S$4,OR(TH!N2073="1111",TH!O2073="1111")),TH!D2073,""),"")</f>
        <v/>
      </c>
      <c r="B2073" s="63">
        <f t="shared" si="224"/>
        <v>6</v>
      </c>
      <c r="C2073" s="64">
        <v>42538</v>
      </c>
      <c r="D2073" s="64" t="s">
        <v>702</v>
      </c>
      <c r="E2073" s="64">
        <f t="shared" si="225"/>
        <v>42538</v>
      </c>
      <c r="F2073" s="72" t="s">
        <v>1438</v>
      </c>
      <c r="G2073" s="67" t="s">
        <v>915</v>
      </c>
      <c r="H2073" s="72"/>
      <c r="I2073" s="437"/>
      <c r="J2073" s="437"/>
      <c r="K2073" s="428">
        <v>96000</v>
      </c>
      <c r="L2073" s="437">
        <v>22300</v>
      </c>
      <c r="M2073" s="65">
        <v>2140800000</v>
      </c>
      <c r="N2073" s="66" t="s">
        <v>26</v>
      </c>
      <c r="O2073" s="66" t="s">
        <v>266</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2" ht="15.75" customHeight="1">
      <c r="A2074" s="334" t="str">
        <f>IF(B2074&lt;&gt;"",IF(AND(B2074='IN-TC'!$S$4,OR(TH!N2074="1111",TH!O2074="1111")),TH!D2074,""),"")</f>
        <v/>
      </c>
      <c r="B2074" s="63">
        <f t="shared" si="224"/>
        <v>6</v>
      </c>
      <c r="C2074" s="64">
        <v>42538</v>
      </c>
      <c r="D2074" s="64" t="s">
        <v>699</v>
      </c>
      <c r="E2074" s="64">
        <f t="shared" si="225"/>
        <v>42538</v>
      </c>
      <c r="F2074" s="72" t="s">
        <v>1450</v>
      </c>
      <c r="G2074" s="67" t="s">
        <v>915</v>
      </c>
      <c r="H2074" s="342" t="s">
        <v>1552</v>
      </c>
      <c r="I2074" s="437"/>
      <c r="J2074" s="437"/>
      <c r="K2074" s="428">
        <v>84270.57</v>
      </c>
      <c r="L2074" s="437">
        <v>22280</v>
      </c>
      <c r="M2074" s="65">
        <f>ROUND(K2074*L2074,0)</f>
        <v>1877548300</v>
      </c>
      <c r="N2074" s="66" t="s">
        <v>266</v>
      </c>
      <c r="O2074" s="66" t="s">
        <v>585</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2" ht="15.75" customHeight="1">
      <c r="A2075" s="334" t="str">
        <f>IF(B2075&lt;&gt;"",IF(AND(B2075='IN-TC'!$S$4,OR(TH!N2075="1111",TH!O2075="1111")),TH!D2075,""),"")</f>
        <v/>
      </c>
      <c r="B2075" s="63">
        <f t="shared" si="224"/>
        <v>6</v>
      </c>
      <c r="C2075" s="64">
        <v>42538</v>
      </c>
      <c r="D2075" s="64" t="s">
        <v>702</v>
      </c>
      <c r="E2075" s="64">
        <f t="shared" si="225"/>
        <v>42538</v>
      </c>
      <c r="F2075" s="72" t="s">
        <v>1888</v>
      </c>
      <c r="G2075" s="67" t="s">
        <v>915</v>
      </c>
      <c r="H2075" s="342" t="s">
        <v>1552</v>
      </c>
      <c r="I2075" s="437"/>
      <c r="J2075" s="437"/>
      <c r="K2075" s="428">
        <v>90</v>
      </c>
      <c r="L2075" s="437">
        <v>22280</v>
      </c>
      <c r="M2075" s="65">
        <f>ROUND(K2075*L2075,0)</f>
        <v>2005200</v>
      </c>
      <c r="N2075" s="66" t="s">
        <v>101</v>
      </c>
      <c r="O2075" s="66" t="s">
        <v>585</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2" ht="15.75" customHeight="1">
      <c r="A2076" s="334" t="str">
        <f>IF(B2076&lt;&gt;"",IF(AND(B2076='IN-TC'!$S$4,OR(TH!N2076="1111",TH!O2076="1111")),TH!D2076,""),"")</f>
        <v/>
      </c>
      <c r="B2076" s="63">
        <f t="shared" si="224"/>
        <v>6</v>
      </c>
      <c r="C2076" s="64">
        <v>42538</v>
      </c>
      <c r="D2076" s="64" t="s">
        <v>702</v>
      </c>
      <c r="E2076" s="64">
        <f t="shared" si="225"/>
        <v>42538</v>
      </c>
      <c r="F2076" s="72" t="s">
        <v>1065</v>
      </c>
      <c r="G2076" s="67" t="s">
        <v>915</v>
      </c>
      <c r="H2076" s="342" t="s">
        <v>1552</v>
      </c>
      <c r="I2076" s="437"/>
      <c r="J2076" s="437"/>
      <c r="K2076" s="428">
        <v>126.75</v>
      </c>
      <c r="L2076" s="437">
        <v>22280</v>
      </c>
      <c r="M2076" s="65">
        <f>ROUND(K2076*L2076,0)</f>
        <v>2823990</v>
      </c>
      <c r="N2076" s="66" t="s">
        <v>101</v>
      </c>
      <c r="O2076" s="66" t="s">
        <v>585</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2" ht="15.75" customHeight="1">
      <c r="A2077" s="334" t="str">
        <f>IF(B2077&lt;&gt;"",IF(AND(B2077='IN-TC'!$S$4,OR(TH!N2077="1111",TH!O2077="1111")),TH!D2077,""),"")</f>
        <v/>
      </c>
      <c r="B2077" s="63">
        <f t="shared" si="224"/>
        <v>6</v>
      </c>
      <c r="C2077" s="64">
        <v>42538</v>
      </c>
      <c r="D2077" s="64" t="s">
        <v>702</v>
      </c>
      <c r="E2077" s="64">
        <f t="shared" si="225"/>
        <v>42538</v>
      </c>
      <c r="F2077" s="72" t="s">
        <v>1066</v>
      </c>
      <c r="G2077" s="67" t="s">
        <v>915</v>
      </c>
      <c r="H2077" s="342" t="s">
        <v>1552</v>
      </c>
      <c r="I2077" s="437"/>
      <c r="J2077" s="437"/>
      <c r="K2077" s="428">
        <v>12.68</v>
      </c>
      <c r="L2077" s="437">
        <v>22280</v>
      </c>
      <c r="M2077" s="65">
        <f>ROUND(K2077*L2077,0)</f>
        <v>282510</v>
      </c>
      <c r="N2077" s="66" t="s">
        <v>9</v>
      </c>
      <c r="O2077" s="66" t="s">
        <v>585</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x</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2" ht="15.75" customHeight="1">
      <c r="A2078" s="334" t="str">
        <f>IF(B2078&lt;&gt;"",IF(AND(B2078='IN-TC'!$S$4,OR(TH!N2078="1111",TH!O2078="1111")),TH!D2078,""),"")</f>
        <v/>
      </c>
      <c r="B2078" s="63">
        <f t="shared" si="224"/>
        <v>6</v>
      </c>
      <c r="C2078" s="64">
        <v>42538</v>
      </c>
      <c r="D2078" s="64" t="s">
        <v>702</v>
      </c>
      <c r="E2078" s="64">
        <f t="shared" si="225"/>
        <v>42538</v>
      </c>
      <c r="F2078" s="72" t="s">
        <v>1062</v>
      </c>
      <c r="G2078" s="67"/>
      <c r="H2078" s="342" t="s">
        <v>1552</v>
      </c>
      <c r="I2078" s="437"/>
      <c r="J2078" s="437"/>
      <c r="K2078" s="428"/>
      <c r="L2078" s="437"/>
      <c r="M2078" s="65">
        <v>10562500</v>
      </c>
      <c r="N2078" s="66" t="s">
        <v>99</v>
      </c>
      <c r="O2078" s="66" t="s">
        <v>585</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2" ht="15.75" customHeight="1">
      <c r="A2079" s="334" t="str">
        <f>IF(B2079&lt;&gt;"",IF(AND(B2079='IN-TC'!$S$4,OR(TH!N2079="1111",TH!O2079="1111")),TH!D2079,""),"")</f>
        <v/>
      </c>
      <c r="B2079" s="63">
        <f t="shared" si="224"/>
        <v>6</v>
      </c>
      <c r="C2079" s="92">
        <v>42538</v>
      </c>
      <c r="D2079" s="92" t="s">
        <v>702</v>
      </c>
      <c r="E2079" s="92">
        <f t="shared" si="225"/>
        <v>42538</v>
      </c>
      <c r="F2079" s="72" t="s">
        <v>1060</v>
      </c>
      <c r="G2079" s="93" t="s">
        <v>915</v>
      </c>
      <c r="H2079" s="72"/>
      <c r="I2079" s="443"/>
      <c r="J2079" s="443"/>
      <c r="K2079" s="434"/>
      <c r="L2079" s="443"/>
      <c r="M2079" s="95">
        <v>1651820</v>
      </c>
      <c r="N2079" s="66" t="s">
        <v>99</v>
      </c>
      <c r="O2079" s="66" t="s">
        <v>26</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c r="AE2079" s="348"/>
      <c r="AF2079" s="348"/>
    </row>
    <row r="2080" spans="1:32" ht="15.75" customHeight="1">
      <c r="A2080" s="334" t="str">
        <f>IF(B2080&lt;&gt;"",IF(AND(B2080='IN-TC'!$S$4,OR(TH!N2080="1111",TH!O2080="1111")),TH!D2080,""),"")</f>
        <v/>
      </c>
      <c r="B2080" s="63">
        <f t="shared" si="224"/>
        <v>6</v>
      </c>
      <c r="C2080" s="64">
        <v>42538</v>
      </c>
      <c r="D2080" s="64" t="s">
        <v>702</v>
      </c>
      <c r="E2080" s="64">
        <f t="shared" si="225"/>
        <v>42538</v>
      </c>
      <c r="F2080" s="72" t="s">
        <v>1438</v>
      </c>
      <c r="G2080" s="67" t="s">
        <v>915</v>
      </c>
      <c r="H2080" s="72"/>
      <c r="I2080" s="437"/>
      <c r="J2080" s="437"/>
      <c r="K2080" s="428">
        <v>76050</v>
      </c>
      <c r="L2080" s="437">
        <v>22320</v>
      </c>
      <c r="M2080" s="65">
        <v>1697436000</v>
      </c>
      <c r="N2080" s="66" t="s">
        <v>26</v>
      </c>
      <c r="O2080" s="66" t="s">
        <v>266</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2" ht="15.75" customHeight="1">
      <c r="A2081" s="334" t="str">
        <f>IF(B2081&lt;&gt;"",IF(AND(B2081='IN-TC'!$S$4,OR(TH!N2081="1111",TH!O2081="1111")),TH!D2081,""),"")</f>
        <v/>
      </c>
      <c r="B2081" s="63">
        <f t="shared" si="224"/>
        <v>6</v>
      </c>
      <c r="C2081" s="64">
        <v>42538</v>
      </c>
      <c r="D2081" s="64" t="s">
        <v>702</v>
      </c>
      <c r="E2081" s="64">
        <f t="shared" si="225"/>
        <v>42538</v>
      </c>
      <c r="F2081" s="72" t="s">
        <v>1642</v>
      </c>
      <c r="G2081" s="67" t="s">
        <v>915</v>
      </c>
      <c r="H2081" s="72"/>
      <c r="I2081" s="437"/>
      <c r="J2081" s="437"/>
      <c r="K2081" s="428"/>
      <c r="L2081" s="437"/>
      <c r="M2081" s="65">
        <v>446800</v>
      </c>
      <c r="N2081" s="66" t="s">
        <v>101</v>
      </c>
      <c r="O2081" s="66" t="s">
        <v>26</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F2081" s="328">
        <v>1</v>
      </c>
    </row>
    <row r="2082" spans="1:32" ht="15.75" customHeight="1">
      <c r="A2082" s="334" t="str">
        <f>IF(B2082&lt;&gt;"",IF(AND(B2082='IN-TC'!$S$4,OR(TH!N2082="1111",TH!O2082="1111")),TH!D2082,""),"")</f>
        <v/>
      </c>
      <c r="B2082" s="63">
        <f t="shared" si="224"/>
        <v>6</v>
      </c>
      <c r="C2082" s="64">
        <v>42538</v>
      </c>
      <c r="D2082" s="64" t="s">
        <v>702</v>
      </c>
      <c r="E2082" s="64">
        <f t="shared" si="225"/>
        <v>42538</v>
      </c>
      <c r="F2082" s="72" t="s">
        <v>1688</v>
      </c>
      <c r="G2082" s="67" t="s">
        <v>915</v>
      </c>
      <c r="H2082" s="72"/>
      <c r="I2082" s="437"/>
      <c r="J2082" s="437"/>
      <c r="K2082" s="428"/>
      <c r="L2082" s="437"/>
      <c r="M2082" s="65">
        <v>44680</v>
      </c>
      <c r="N2082" s="66" t="s">
        <v>9</v>
      </c>
      <c r="O2082" s="66" t="s">
        <v>26</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x</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2" ht="15.75" customHeight="1">
      <c r="A2083" s="334" t="str">
        <f>IF(B2083&lt;&gt;"",IF(AND(B2083='IN-TC'!$S$4,OR(TH!N2083="1111",TH!O2083="1111")),TH!D2083,""),"")</f>
        <v/>
      </c>
      <c r="B2083" s="63">
        <f t="shared" si="224"/>
        <v>6</v>
      </c>
      <c r="C2083" s="64">
        <v>42538</v>
      </c>
      <c r="D2083" s="64" t="s">
        <v>702</v>
      </c>
      <c r="E2083" s="64">
        <f t="shared" si="225"/>
        <v>42538</v>
      </c>
      <c r="F2083" s="72" t="s">
        <v>2241</v>
      </c>
      <c r="G2083" s="67" t="s">
        <v>915</v>
      </c>
      <c r="H2083" s="72" t="s">
        <v>1211</v>
      </c>
      <c r="I2083" s="437"/>
      <c r="J2083" s="437"/>
      <c r="K2083" s="428"/>
      <c r="L2083" s="437"/>
      <c r="M2083" s="65">
        <v>1975000000</v>
      </c>
      <c r="N2083" s="66" t="s">
        <v>8</v>
      </c>
      <c r="O2083" s="66" t="s">
        <v>26</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2" s="349" customFormat="1" ht="15.75" customHeight="1">
      <c r="A2084" s="334" t="str">
        <f>IF(B2084&lt;&gt;"",IF(AND(B2084='IN-TC'!$S$4,OR(TH!N2084="1111",TH!O2084="1111")),TH!D2084,""),"")</f>
        <v/>
      </c>
      <c r="B2084" s="1134">
        <f t="shared" si="224"/>
        <v>6</v>
      </c>
      <c r="C2084" s="92">
        <v>42538</v>
      </c>
      <c r="D2084" s="64" t="s">
        <v>702</v>
      </c>
      <c r="E2084" s="92">
        <f t="shared" si="225"/>
        <v>42538</v>
      </c>
      <c r="F2084" s="72" t="s">
        <v>1978</v>
      </c>
      <c r="G2084" s="93" t="s">
        <v>915</v>
      </c>
      <c r="H2084" s="1194" t="s">
        <v>1977</v>
      </c>
      <c r="I2084" s="443"/>
      <c r="J2084" s="443"/>
      <c r="K2084" s="434">
        <v>2200</v>
      </c>
      <c r="L2084" s="437">
        <v>22265</v>
      </c>
      <c r="M2084" s="95">
        <f t="shared" ref="M2084:M2092" si="226">ROUND(K2084*L2084,0)</f>
        <v>48983000</v>
      </c>
      <c r="N2084" s="83" t="s">
        <v>8</v>
      </c>
      <c r="O2084" s="83" t="s">
        <v>266</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s="1136" t="str">
        <f>IF(H2084&lt;&gt;VLOOKUP(H2084,DSKH,1,0),"","x")</f>
        <v>x</v>
      </c>
      <c r="AF2084" s="348"/>
    </row>
    <row r="2085" spans="1:32" ht="15.75" customHeight="1">
      <c r="A2085" s="334" t="str">
        <f>IF(B2085&lt;&gt;"",IF(AND(B2085='IN-TC'!$S$4,OR(TH!N2085="1111",TH!O2085="1111")),TH!D2085,""),"")</f>
        <v/>
      </c>
      <c r="B2085" s="63">
        <f t="shared" si="224"/>
        <v>6</v>
      </c>
      <c r="C2085" s="64">
        <v>42538</v>
      </c>
      <c r="D2085" s="64" t="s">
        <v>702</v>
      </c>
      <c r="E2085" s="64">
        <f t="shared" si="225"/>
        <v>42538</v>
      </c>
      <c r="F2085" s="72" t="s">
        <v>1436</v>
      </c>
      <c r="G2085" s="67" t="s">
        <v>915</v>
      </c>
      <c r="H2085" s="342"/>
      <c r="I2085" s="437"/>
      <c r="J2085" s="437"/>
      <c r="K2085" s="428">
        <v>5</v>
      </c>
      <c r="L2085" s="437">
        <v>22280</v>
      </c>
      <c r="M2085" s="65">
        <f t="shared" si="226"/>
        <v>111400</v>
      </c>
      <c r="N2085" s="66" t="s">
        <v>101</v>
      </c>
      <c r="O2085" s="66" t="s">
        <v>266</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F2085" s="328">
        <v>1</v>
      </c>
    </row>
    <row r="2086" spans="1:32" ht="15.75" customHeight="1">
      <c r="A2086" s="334" t="str">
        <f>IF(B2086&lt;&gt;"",IF(AND(B2086='IN-TC'!$S$4,OR(TH!N2086="1111",TH!O2086="1111")),TH!D2086,""),"")</f>
        <v/>
      </c>
      <c r="B2086" s="63">
        <f t="shared" si="224"/>
        <v>6</v>
      </c>
      <c r="C2086" s="64">
        <v>42538</v>
      </c>
      <c r="D2086" s="64" t="s">
        <v>702</v>
      </c>
      <c r="E2086" s="64">
        <f t="shared" si="225"/>
        <v>42538</v>
      </c>
      <c r="F2086" s="72" t="s">
        <v>1437</v>
      </c>
      <c r="G2086" s="67" t="s">
        <v>915</v>
      </c>
      <c r="H2086" s="342"/>
      <c r="I2086" s="437"/>
      <c r="J2086" s="437"/>
      <c r="K2086" s="428">
        <v>0.5</v>
      </c>
      <c r="L2086" s="437">
        <v>22280</v>
      </c>
      <c r="M2086" s="65">
        <f t="shared" si="226"/>
        <v>11140</v>
      </c>
      <c r="N2086" s="66" t="s">
        <v>9</v>
      </c>
      <c r="O2086" s="66" t="s">
        <v>266</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x</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row>
    <row r="2087" spans="1:32" ht="15.75" customHeight="1">
      <c r="A2087" s="334" t="str">
        <f>IF(B2087&lt;&gt;"",IF(AND(B2087='IN-TC'!$S$4,OR(TH!N2087="1111",TH!O2087="1111")),TH!D2087,""),"")</f>
        <v/>
      </c>
      <c r="B2087" s="63">
        <f t="shared" si="224"/>
        <v>6</v>
      </c>
      <c r="C2087" s="64">
        <v>42538</v>
      </c>
      <c r="D2087" s="64" t="s">
        <v>699</v>
      </c>
      <c r="E2087" s="64">
        <f t="shared" si="225"/>
        <v>42538</v>
      </c>
      <c r="F2087" s="72" t="s">
        <v>1184</v>
      </c>
      <c r="G2087" s="67" t="s">
        <v>915</v>
      </c>
      <c r="H2087" s="342" t="s">
        <v>1687</v>
      </c>
      <c r="I2087" s="437"/>
      <c r="J2087" s="437"/>
      <c r="K2087" s="428">
        <v>166113.62100000001</v>
      </c>
      <c r="L2087" s="437">
        <v>22340</v>
      </c>
      <c r="M2087" s="65">
        <f t="shared" si="226"/>
        <v>3710978293</v>
      </c>
      <c r="N2087" s="66" t="s">
        <v>266</v>
      </c>
      <c r="O2087" s="66" t="s">
        <v>585</v>
      </c>
      <c r="P2087" s="82" t="str">
        <f>IF(AND('331-CT'!$E$7=TH!H2087,OR(N2087="331",O2087="331")),"x","")</f>
        <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2" ht="15.75" customHeight="1">
      <c r="A2088" s="334" t="str">
        <f>IF(B2088&lt;&gt;"",IF(AND(B2088='IN-TC'!$S$4,OR(TH!N2088="1111",TH!O2088="1111")),TH!D2088,""),"")</f>
        <v/>
      </c>
      <c r="B2088" s="63">
        <f t="shared" si="224"/>
        <v>6</v>
      </c>
      <c r="C2088" s="64">
        <v>42538</v>
      </c>
      <c r="D2088" s="64" t="s">
        <v>579</v>
      </c>
      <c r="E2088" s="64">
        <f t="shared" si="225"/>
        <v>42538</v>
      </c>
      <c r="F2088" s="72" t="s">
        <v>611</v>
      </c>
      <c r="G2088" s="67" t="s">
        <v>915</v>
      </c>
      <c r="H2088" s="342" t="s">
        <v>1687</v>
      </c>
      <c r="I2088" s="437"/>
      <c r="J2088" s="437"/>
      <c r="K2088" s="428">
        <v>10</v>
      </c>
      <c r="L2088" s="437">
        <v>22340</v>
      </c>
      <c r="M2088" s="65">
        <f t="shared" si="226"/>
        <v>223400</v>
      </c>
      <c r="N2088" s="66" t="s">
        <v>101</v>
      </c>
      <c r="O2088" s="66" t="s">
        <v>585</v>
      </c>
      <c r="P2088" s="82" t="str">
        <f>IF(AND('331-CT'!$E$7=TH!H2088,OR(N2088="331",O2088="331")),"x","")</f>
        <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F2088" s="328">
        <v>1</v>
      </c>
    </row>
    <row r="2089" spans="1:32" ht="15.75" customHeight="1">
      <c r="A2089" s="334" t="str">
        <f>IF(B2089&lt;&gt;"",IF(AND(B2089='IN-TC'!$S$4,OR(TH!N2089="1111",TH!O2089="1111")),TH!D2089,""),"")</f>
        <v/>
      </c>
      <c r="B2089" s="63">
        <f t="shared" si="224"/>
        <v>6</v>
      </c>
      <c r="C2089" s="64">
        <v>42538</v>
      </c>
      <c r="D2089" s="64" t="s">
        <v>579</v>
      </c>
      <c r="E2089" s="64">
        <f t="shared" si="225"/>
        <v>42538</v>
      </c>
      <c r="F2089" s="72" t="s">
        <v>1187</v>
      </c>
      <c r="G2089" s="67" t="s">
        <v>915</v>
      </c>
      <c r="H2089" s="342" t="s">
        <v>1687</v>
      </c>
      <c r="I2089" s="437"/>
      <c r="J2089" s="437"/>
      <c r="K2089" s="428">
        <v>1</v>
      </c>
      <c r="L2089" s="437">
        <v>22340</v>
      </c>
      <c r="M2089" s="65">
        <f t="shared" si="226"/>
        <v>22340</v>
      </c>
      <c r="N2089" s="66" t="s">
        <v>9</v>
      </c>
      <c r="O2089" s="66" t="s">
        <v>585</v>
      </c>
      <c r="P2089" s="82" t="str">
        <f>IF(AND('331-CT'!$E$7=TH!H2089,OR(N2089="331",O2089="331")),"x","")</f>
        <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x</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2" ht="15.75" customHeight="1">
      <c r="A2090" s="334" t="str">
        <f>IF(B2090&lt;&gt;"",IF(AND(B2090='IN-TC'!$S$4,OR(TH!N2090="1111",TH!O2090="1111")),TH!D2090,""),"")</f>
        <v/>
      </c>
      <c r="B2090" s="63">
        <f t="shared" si="224"/>
        <v>6</v>
      </c>
      <c r="C2090" s="64">
        <v>42538</v>
      </c>
      <c r="D2090" s="64" t="s">
        <v>579</v>
      </c>
      <c r="E2090" s="64">
        <f t="shared" si="225"/>
        <v>42538</v>
      </c>
      <c r="F2090" s="72" t="s">
        <v>612</v>
      </c>
      <c r="G2090" s="67" t="s">
        <v>915</v>
      </c>
      <c r="H2090" s="342" t="s">
        <v>1687</v>
      </c>
      <c r="I2090" s="437"/>
      <c r="J2090" s="437"/>
      <c r="K2090" s="428">
        <v>27.62</v>
      </c>
      <c r="L2090" s="437">
        <v>22340</v>
      </c>
      <c r="M2090" s="65">
        <f t="shared" si="226"/>
        <v>617031</v>
      </c>
      <c r="N2090" s="66" t="s">
        <v>101</v>
      </c>
      <c r="O2090" s="66" t="s">
        <v>585</v>
      </c>
      <c r="P2090" s="82" t="str">
        <f>IF(AND('331-CT'!$E$7=TH!H2090,OR(N2090="331",O2090="331")),"x","")</f>
        <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c r="AF2090" s="328">
        <v>1</v>
      </c>
    </row>
    <row r="2091" spans="1:32" ht="15.75" customHeight="1">
      <c r="A2091" s="334" t="str">
        <f>IF(B2091&lt;&gt;"",IF(AND(B2091='IN-TC'!$S$4,OR(TH!N2091="1111",TH!O2091="1111")),TH!D2091,""),"")</f>
        <v/>
      </c>
      <c r="B2091" s="63">
        <f t="shared" si="224"/>
        <v>6</v>
      </c>
      <c r="C2091" s="64">
        <v>42538</v>
      </c>
      <c r="D2091" s="64" t="s">
        <v>579</v>
      </c>
      <c r="E2091" s="64">
        <f t="shared" si="225"/>
        <v>42538</v>
      </c>
      <c r="F2091" s="72" t="s">
        <v>1311</v>
      </c>
      <c r="G2091" s="67" t="s">
        <v>915</v>
      </c>
      <c r="H2091" s="342" t="s">
        <v>1687</v>
      </c>
      <c r="I2091" s="437"/>
      <c r="J2091" s="437"/>
      <c r="K2091" s="428">
        <v>2.76</v>
      </c>
      <c r="L2091" s="437">
        <v>22340</v>
      </c>
      <c r="M2091" s="65">
        <f t="shared" si="226"/>
        <v>61658</v>
      </c>
      <c r="N2091" s="66" t="s">
        <v>9</v>
      </c>
      <c r="O2091" s="66" t="s">
        <v>585</v>
      </c>
      <c r="P2091" s="82" t="str">
        <f>IF(AND('331-CT'!$E$7=TH!H2091,OR(N2091="331",O2091="331")),"x","")</f>
        <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x</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2" ht="15.75" customHeight="1">
      <c r="A2092" s="334" t="str">
        <f>IF(B2092&lt;&gt;"",IF(AND(B2092='IN-TC'!$S$4,OR(TH!N2092="1111",TH!O2092="1111")),TH!D2092,""),"")</f>
        <v/>
      </c>
      <c r="B2092" s="993">
        <f t="shared" si="224"/>
        <v>6</v>
      </c>
      <c r="C2092" s="78">
        <v>42538</v>
      </c>
      <c r="D2092" s="78" t="s">
        <v>579</v>
      </c>
      <c r="E2092" s="78">
        <f t="shared" si="225"/>
        <v>42538</v>
      </c>
      <c r="F2092" s="72" t="s">
        <v>1513</v>
      </c>
      <c r="G2092" s="79" t="s">
        <v>915</v>
      </c>
      <c r="H2092" s="959" t="s">
        <v>1687</v>
      </c>
      <c r="I2092" s="435"/>
      <c r="J2092" s="435"/>
      <c r="K2092" s="426">
        <v>90</v>
      </c>
      <c r="L2092" s="435">
        <v>22340</v>
      </c>
      <c r="M2092" s="81">
        <f t="shared" si="226"/>
        <v>2010600</v>
      </c>
      <c r="N2092" s="82" t="s">
        <v>101</v>
      </c>
      <c r="O2092" s="82" t="s">
        <v>585</v>
      </c>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s="345"/>
      <c r="AF2092" s="345"/>
    </row>
    <row r="2093" spans="1:32" ht="15.75" customHeight="1">
      <c r="A2093" s="334" t="str">
        <f>IF(B2093&lt;&gt;"",IF(AND(B2093='IN-TC'!$S$4,OR(TH!N2093="1111",TH!O2093="1111")),TH!D2093,""),"")</f>
        <v/>
      </c>
      <c r="B2093" s="993">
        <f t="shared" si="224"/>
        <v>6</v>
      </c>
      <c r="C2093" s="78">
        <v>42538</v>
      </c>
      <c r="D2093" s="78" t="s">
        <v>579</v>
      </c>
      <c r="E2093" s="78">
        <f t="shared" si="225"/>
        <v>42538</v>
      </c>
      <c r="F2093" s="72" t="s">
        <v>1062</v>
      </c>
      <c r="G2093" s="79" t="s">
        <v>915</v>
      </c>
      <c r="H2093" s="959" t="s">
        <v>1687</v>
      </c>
      <c r="I2093" s="435"/>
      <c r="J2093" s="435"/>
      <c r="K2093" s="426"/>
      <c r="L2093" s="435"/>
      <c r="M2093" s="81">
        <v>6476722</v>
      </c>
      <c r="N2093" s="82" t="s">
        <v>585</v>
      </c>
      <c r="O2093" s="66" t="s">
        <v>43</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E2093" s="345"/>
      <c r="AF2093" s="345"/>
    </row>
    <row r="2094" spans="1:32" ht="15.75" customHeight="1">
      <c r="A2094" s="334" t="str">
        <f>IF(B2094&lt;&gt;"",IF(AND(B2094='IN-TC'!$S$4,OR(TH!N2094="1111",TH!O2094="1111")),TH!D2094,""),"")</f>
        <v/>
      </c>
      <c r="B2094" s="63">
        <f t="shared" si="224"/>
        <v>6</v>
      </c>
      <c r="C2094" s="64">
        <v>42538</v>
      </c>
      <c r="D2094" s="64" t="s">
        <v>702</v>
      </c>
      <c r="E2094" s="64">
        <f t="shared" si="225"/>
        <v>42538</v>
      </c>
      <c r="F2094" s="72" t="s">
        <v>1668</v>
      </c>
      <c r="G2094" s="67" t="s">
        <v>914</v>
      </c>
      <c r="H2094" s="72"/>
      <c r="I2094" s="437"/>
      <c r="J2094" s="437"/>
      <c r="K2094" s="428"/>
      <c r="L2094" s="437"/>
      <c r="M2094" s="65">
        <v>50000</v>
      </c>
      <c r="N2094" s="66" t="s">
        <v>101</v>
      </c>
      <c r="O2094" s="66" t="s">
        <v>26</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F2094" s="328">
        <v>1</v>
      </c>
    </row>
    <row r="2095" spans="1:32" ht="15.75" customHeight="1">
      <c r="A2095" s="334" t="str">
        <f>IF(B2095&lt;&gt;"",IF(AND(B2095='IN-TC'!$S$4,OR(TH!N2095="1111",TH!O2095="1111")),TH!D2095,""),"")</f>
        <v/>
      </c>
      <c r="B2095" s="63">
        <f t="shared" si="224"/>
        <v>6</v>
      </c>
      <c r="C2095" s="64">
        <v>42538</v>
      </c>
      <c r="D2095" s="64" t="s">
        <v>702</v>
      </c>
      <c r="E2095" s="64">
        <f t="shared" si="225"/>
        <v>42538</v>
      </c>
      <c r="F2095" s="72" t="s">
        <v>1669</v>
      </c>
      <c r="G2095" s="67" t="s">
        <v>914</v>
      </c>
      <c r="H2095" s="72"/>
      <c r="I2095" s="437"/>
      <c r="J2095" s="437"/>
      <c r="K2095" s="428"/>
      <c r="L2095" s="437"/>
      <c r="M2095" s="65">
        <v>5000</v>
      </c>
      <c r="N2095" s="66" t="s">
        <v>9</v>
      </c>
      <c r="O2095" s="66" t="s">
        <v>26</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x</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2" ht="15.75" customHeight="1">
      <c r="A2096" s="334" t="str">
        <f>IF(B2096&lt;&gt;"",IF(AND(B2096='IN-TC'!$S$4,OR(TH!N2096="1111",TH!O2096="1111")),TH!D2096,""),"")</f>
        <v/>
      </c>
      <c r="B2096" s="63">
        <f t="shared" si="224"/>
        <v>6</v>
      </c>
      <c r="C2096" s="64">
        <v>42538</v>
      </c>
      <c r="D2096" s="64" t="s">
        <v>702</v>
      </c>
      <c r="E2096" s="64">
        <f t="shared" si="225"/>
        <v>42538</v>
      </c>
      <c r="F2096" s="72" t="s">
        <v>1668</v>
      </c>
      <c r="G2096" s="67" t="s">
        <v>914</v>
      </c>
      <c r="H2096" s="72"/>
      <c r="I2096" s="437"/>
      <c r="J2096" s="437"/>
      <c r="K2096" s="428"/>
      <c r="L2096" s="437"/>
      <c r="M2096" s="65">
        <v>50000</v>
      </c>
      <c r="N2096" s="66" t="s">
        <v>101</v>
      </c>
      <c r="O2096" s="66" t="s">
        <v>26</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c r="AF2096" s="328">
        <v>1</v>
      </c>
    </row>
    <row r="2097" spans="1:32" ht="15.75" customHeight="1">
      <c r="A2097" s="334" t="str">
        <f>IF(B2097&lt;&gt;"",IF(AND(B2097='IN-TC'!$S$4,OR(TH!N2097="1111",TH!O2097="1111")),TH!D2097,""),"")</f>
        <v/>
      </c>
      <c r="B2097" s="63">
        <f t="shared" si="224"/>
        <v>6</v>
      </c>
      <c r="C2097" s="64">
        <v>42538</v>
      </c>
      <c r="D2097" s="64" t="s">
        <v>702</v>
      </c>
      <c r="E2097" s="64">
        <f t="shared" si="225"/>
        <v>42538</v>
      </c>
      <c r="F2097" s="72" t="s">
        <v>1669</v>
      </c>
      <c r="G2097" s="67" t="s">
        <v>914</v>
      </c>
      <c r="H2097" s="72"/>
      <c r="I2097" s="437"/>
      <c r="J2097" s="437"/>
      <c r="K2097" s="428"/>
      <c r="L2097" s="437"/>
      <c r="M2097" s="65">
        <v>5000</v>
      </c>
      <c r="N2097" s="66" t="s">
        <v>9</v>
      </c>
      <c r="O2097" s="66" t="s">
        <v>26</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x</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row>
    <row r="2098" spans="1:32" ht="15.75" customHeight="1">
      <c r="A2098" s="334" t="str">
        <f>IF(B2098&lt;&gt;"",IF(AND(B2098='IN-TC'!$S$4,OR(TH!N2098="1111",TH!O2098="1111")),TH!D2098,""),"")</f>
        <v/>
      </c>
      <c r="B2098" s="63">
        <f t="shared" si="224"/>
        <v>6</v>
      </c>
      <c r="C2098" s="64">
        <v>42539</v>
      </c>
      <c r="D2098" s="64" t="s">
        <v>913</v>
      </c>
      <c r="E2098" s="64">
        <v>42539</v>
      </c>
      <c r="F2098" s="72" t="s">
        <v>1139</v>
      </c>
      <c r="G2098" s="67" t="s">
        <v>915</v>
      </c>
      <c r="H2098" s="72" t="s">
        <v>760</v>
      </c>
      <c r="I2098" s="437"/>
      <c r="J2098" s="437"/>
      <c r="K2098" s="428"/>
      <c r="L2098" s="437"/>
      <c r="M2098" s="65">
        <v>160000000</v>
      </c>
      <c r="N2098" s="66" t="s">
        <v>63</v>
      </c>
      <c r="O2098" s="66" t="s">
        <v>26</v>
      </c>
      <c r="P2098" s="82" t="str">
        <f>IF(AND('331-CT'!$E$7=TH!H2098,OR(N2098="331",O2098="331")),"x","")</f>
        <v/>
      </c>
      <c r="Q2098" s="82" t="str">
        <f>IF(AND(B2098='111'!$L$11,OR($N2098=$Q$7,$O2098=$Q$7)),"x","")</f>
        <v/>
      </c>
      <c r="R2098" s="82" t="str">
        <f>IF(AND($N2098=$Q$7,$B2098&lt;'111'!$L$11),"x","")</f>
        <v>x</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row>
    <row r="2099" spans="1:32" ht="15.75" customHeight="1">
      <c r="A2099" s="334" t="str">
        <f>IF(B2099&lt;&gt;"",IF(AND(B2099='IN-TC'!$S$4,OR(TH!N2099="1111",TH!O2099="1111")),TH!D2099,""),"")</f>
        <v/>
      </c>
      <c r="B2099" s="63">
        <f t="shared" si="224"/>
        <v>6</v>
      </c>
      <c r="C2099" s="64">
        <v>42539</v>
      </c>
      <c r="D2099" s="64" t="s">
        <v>702</v>
      </c>
      <c r="E2099" s="64">
        <f t="shared" ref="E2099:E2106" si="227">C2099</f>
        <v>42539</v>
      </c>
      <c r="F2099" s="72" t="s">
        <v>748</v>
      </c>
      <c r="G2099" s="67" t="s">
        <v>915</v>
      </c>
      <c r="H2099" s="72" t="s">
        <v>722</v>
      </c>
      <c r="I2099" s="437"/>
      <c r="J2099" s="437"/>
      <c r="K2099" s="428"/>
      <c r="L2099" s="437"/>
      <c r="M2099" s="65">
        <v>6886975</v>
      </c>
      <c r="N2099" s="66" t="s">
        <v>99</v>
      </c>
      <c r="O2099" s="66" t="s">
        <v>26</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2" ht="15.75" customHeight="1">
      <c r="A2100" s="334" t="str">
        <f>IF(B2100&lt;&gt;"",IF(AND(B2100='IN-TC'!$S$4,OR(TH!N2100="1111",TH!O2100="1111")),TH!D2100,""),"")</f>
        <v/>
      </c>
      <c r="B2100" s="63">
        <f t="shared" si="224"/>
        <v>6</v>
      </c>
      <c r="C2100" s="64">
        <v>42539</v>
      </c>
      <c r="D2100" s="64" t="s">
        <v>702</v>
      </c>
      <c r="E2100" s="64">
        <f t="shared" si="227"/>
        <v>42539</v>
      </c>
      <c r="F2100" s="72" t="s">
        <v>749</v>
      </c>
      <c r="G2100" s="67" t="s">
        <v>915</v>
      </c>
      <c r="H2100" s="342" t="s">
        <v>723</v>
      </c>
      <c r="I2100" s="437"/>
      <c r="J2100" s="437"/>
      <c r="K2100" s="428">
        <v>306.56</v>
      </c>
      <c r="L2100" s="437">
        <v>22300</v>
      </c>
      <c r="M2100" s="65">
        <f t="shared" ref="M2100:M2106" si="228">ROUND(K2100*L2100,0)</f>
        <v>6836288</v>
      </c>
      <c r="N2100" s="66" t="s">
        <v>99</v>
      </c>
      <c r="O2100" s="66" t="s">
        <v>266</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row>
    <row r="2101" spans="1:32" ht="15.75" customHeight="1">
      <c r="A2101" s="334" t="str">
        <f>IF(B2101&lt;&gt;"",IF(AND(B2101='IN-TC'!$S$4,OR(TH!N2101="1111",TH!O2101="1111")),TH!D2101,""),"")</f>
        <v/>
      </c>
      <c r="B2101" s="63">
        <f t="shared" si="224"/>
        <v>6</v>
      </c>
      <c r="C2101" s="64">
        <v>42539</v>
      </c>
      <c r="D2101" s="64" t="s">
        <v>702</v>
      </c>
      <c r="E2101" s="64">
        <f t="shared" si="227"/>
        <v>42539</v>
      </c>
      <c r="F2101" s="72" t="s">
        <v>1054</v>
      </c>
      <c r="G2101" s="67" t="s">
        <v>915</v>
      </c>
      <c r="H2101" s="342" t="s">
        <v>730</v>
      </c>
      <c r="I2101" s="437"/>
      <c r="J2101" s="437"/>
      <c r="K2101" s="428">
        <v>210.11</v>
      </c>
      <c r="L2101" s="437">
        <v>22300</v>
      </c>
      <c r="M2101" s="65">
        <f t="shared" si="228"/>
        <v>4685453</v>
      </c>
      <c r="N2101" s="66" t="s">
        <v>99</v>
      </c>
      <c r="O2101" s="66" t="s">
        <v>266</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row>
    <row r="2102" spans="1:32" ht="15.75" customHeight="1">
      <c r="A2102" s="334" t="str">
        <f>IF(B2102&lt;&gt;"",IF(AND(B2102='IN-TC'!$S$4,OR(TH!N2102="1111",TH!O2102="1111")),TH!D2102,""),"")</f>
        <v/>
      </c>
      <c r="B2102" s="63">
        <f t="shared" si="224"/>
        <v>6</v>
      </c>
      <c r="C2102" s="64">
        <v>42539</v>
      </c>
      <c r="D2102" s="64" t="s">
        <v>702</v>
      </c>
      <c r="E2102" s="64">
        <f t="shared" si="227"/>
        <v>42539</v>
      </c>
      <c r="F2102" s="72" t="s">
        <v>751</v>
      </c>
      <c r="G2102" s="67" t="s">
        <v>915</v>
      </c>
      <c r="H2102" s="342" t="s">
        <v>724</v>
      </c>
      <c r="I2102" s="437"/>
      <c r="J2102" s="437"/>
      <c r="K2102" s="428">
        <v>306.56</v>
      </c>
      <c r="L2102" s="437">
        <v>22300</v>
      </c>
      <c r="M2102" s="65">
        <f t="shared" si="228"/>
        <v>6836288</v>
      </c>
      <c r="N2102" s="66" t="s">
        <v>99</v>
      </c>
      <c r="O2102" s="66" t="s">
        <v>266</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2" ht="15.75" customHeight="1">
      <c r="A2103" s="334" t="str">
        <f>IF(B2103&lt;&gt;"",IF(AND(B2103='IN-TC'!$S$4,OR(TH!N2103="1111",TH!O2103="1111")),TH!D2103,""),"")</f>
        <v/>
      </c>
      <c r="B2103" s="63">
        <f t="shared" si="224"/>
        <v>6</v>
      </c>
      <c r="C2103" s="64">
        <v>42539</v>
      </c>
      <c r="D2103" s="64" t="s">
        <v>702</v>
      </c>
      <c r="E2103" s="64">
        <f t="shared" si="227"/>
        <v>42539</v>
      </c>
      <c r="F2103" s="72" t="s">
        <v>1055</v>
      </c>
      <c r="G2103" s="67" t="s">
        <v>915</v>
      </c>
      <c r="H2103" s="342" t="s">
        <v>725</v>
      </c>
      <c r="I2103" s="437"/>
      <c r="J2103" s="437"/>
      <c r="K2103" s="428">
        <v>303.11</v>
      </c>
      <c r="L2103" s="437">
        <v>22300</v>
      </c>
      <c r="M2103" s="65">
        <f t="shared" si="228"/>
        <v>6759353</v>
      </c>
      <c r="N2103" s="66" t="s">
        <v>99</v>
      </c>
      <c r="O2103" s="66" t="s">
        <v>266</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2" s="348" customFormat="1" ht="15.75" customHeight="1">
      <c r="A2104" s="334" t="str">
        <f>IF(B2104&lt;&gt;"",IF(AND(B2104='IN-TC'!$S$4,OR(TH!N2104="1111",TH!O2104="1111")),TH!D2104,""),"")</f>
        <v/>
      </c>
      <c r="B2104" s="63">
        <f t="shared" si="224"/>
        <v>6</v>
      </c>
      <c r="C2104" s="64">
        <v>42539</v>
      </c>
      <c r="D2104" s="64" t="s">
        <v>702</v>
      </c>
      <c r="E2104" s="64">
        <f t="shared" si="227"/>
        <v>42539</v>
      </c>
      <c r="F2104" s="72" t="s">
        <v>1644</v>
      </c>
      <c r="G2104" s="67" t="s">
        <v>915</v>
      </c>
      <c r="H2104" s="342" t="s">
        <v>733</v>
      </c>
      <c r="I2104" s="437"/>
      <c r="J2104" s="437"/>
      <c r="K2104" s="428">
        <v>334.11</v>
      </c>
      <c r="L2104" s="437">
        <v>22300</v>
      </c>
      <c r="M2104" s="65">
        <f t="shared" si="228"/>
        <v>7450653</v>
      </c>
      <c r="N2104" s="66" t="s">
        <v>99</v>
      </c>
      <c r="O2104" s="66" t="s">
        <v>266</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s="328"/>
      <c r="AF2104" s="328"/>
    </row>
    <row r="2105" spans="1:32" ht="15.75" customHeight="1">
      <c r="A2105" s="334" t="str">
        <f>IF(B2105&lt;&gt;"",IF(AND(B2105='IN-TC'!$S$4,OR(TH!N2105="1111",TH!O2105="1111")),TH!D2105,""),"")</f>
        <v/>
      </c>
      <c r="B2105" s="63">
        <f t="shared" si="224"/>
        <v>6</v>
      </c>
      <c r="C2105" s="64">
        <v>42539</v>
      </c>
      <c r="D2105" s="64" t="s">
        <v>702</v>
      </c>
      <c r="E2105" s="64">
        <f t="shared" si="227"/>
        <v>42539</v>
      </c>
      <c r="F2105" s="72" t="s">
        <v>1645</v>
      </c>
      <c r="G2105" s="67" t="s">
        <v>915</v>
      </c>
      <c r="H2105" s="72" t="s">
        <v>1181</v>
      </c>
      <c r="I2105" s="437"/>
      <c r="J2105" s="437"/>
      <c r="K2105" s="428">
        <v>282.44</v>
      </c>
      <c r="L2105" s="437">
        <v>22300</v>
      </c>
      <c r="M2105" s="65">
        <f t="shared" si="228"/>
        <v>6298412</v>
      </c>
      <c r="N2105" s="66" t="s">
        <v>99</v>
      </c>
      <c r="O2105" s="66" t="s">
        <v>266</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row>
    <row r="2106" spans="1:32" s="348" customFormat="1" ht="15.75" customHeight="1">
      <c r="A2106" s="334" t="str">
        <f>IF(B2106&lt;&gt;"",IF(AND(B2106='IN-TC'!$S$4,OR(TH!N2106="1111",TH!O2106="1111")),TH!D2106,""),"")</f>
        <v/>
      </c>
      <c r="B2106" s="63">
        <f t="shared" si="224"/>
        <v>6</v>
      </c>
      <c r="C2106" s="64">
        <v>42539</v>
      </c>
      <c r="D2106" s="64" t="s">
        <v>702</v>
      </c>
      <c r="E2106" s="64">
        <f t="shared" si="227"/>
        <v>42539</v>
      </c>
      <c r="F2106" s="72" t="s">
        <v>1646</v>
      </c>
      <c r="G2106" s="67" t="s">
        <v>915</v>
      </c>
      <c r="H2106" s="72" t="s">
        <v>1182</v>
      </c>
      <c r="I2106" s="437"/>
      <c r="J2106" s="437"/>
      <c r="K2106" s="428">
        <v>310</v>
      </c>
      <c r="L2106" s="437">
        <v>22300</v>
      </c>
      <c r="M2106" s="65">
        <f t="shared" si="228"/>
        <v>6913000</v>
      </c>
      <c r="N2106" s="66" t="s">
        <v>99</v>
      </c>
      <c r="O2106" s="66" t="s">
        <v>266</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s="328"/>
      <c r="AF2106" s="328"/>
    </row>
    <row r="2107" spans="1:32" ht="15.75" customHeight="1">
      <c r="A2107" s="334" t="str">
        <f>IF(B2107&lt;&gt;"",IF(AND(B2107='IN-TC'!$S$4,OR(TH!N2109="1111",TH!O2109="1111")),TH!D2109,""),"")</f>
        <v/>
      </c>
      <c r="B2107" s="63">
        <f t="shared" si="224"/>
        <v>6</v>
      </c>
      <c r="C2107" s="64">
        <v>42541</v>
      </c>
      <c r="D2107" s="64" t="s">
        <v>891</v>
      </c>
      <c r="E2107" s="64">
        <v>42541</v>
      </c>
      <c r="F2107" s="72" t="s">
        <v>773</v>
      </c>
      <c r="G2107" s="972" t="s">
        <v>1579</v>
      </c>
      <c r="H2107" s="72" t="s">
        <v>805</v>
      </c>
      <c r="I2107" s="437"/>
      <c r="J2107" s="437"/>
      <c r="K2107" s="428"/>
      <c r="L2107" s="437"/>
      <c r="M2107" s="65">
        <v>1469818</v>
      </c>
      <c r="N2107" s="66" t="s">
        <v>101</v>
      </c>
      <c r="O2107" s="66" t="s">
        <v>63</v>
      </c>
      <c r="P2107" s="82" t="str">
        <f>IF(AND('331-CT'!$E$7=TH!H2109,OR(N2107="331",O2107="331")),"x","")</f>
        <v/>
      </c>
      <c r="Q2107" s="82" t="str">
        <f>IF(AND(B2107='111'!$L$11,OR($N2107=$Q$7,$O2107=$Q$7)),"x","")</f>
        <v/>
      </c>
      <c r="R2107" s="82" t="str">
        <f>IF(AND($N2107=$Q$7,$B2107&lt;'111'!$L$11),"x","")</f>
        <v/>
      </c>
      <c r="S2107" s="82" t="str">
        <f>IF(AND($O2107=$Q$7,$B2107&lt;'111'!$L$11),"x","")</f>
        <v>x</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IF(OR(TH!N2109=TH!$X$7,O2107=TH!$X$7),"x","")</f>
        <v/>
      </c>
      <c r="Y2107" s="82" t="str">
        <f>IF(AND(OR(N2107="131",O2107="131"),H2107='131-CT'!$H$9),"x","")</f>
        <v/>
      </c>
      <c r="Z2107" s="82"/>
      <c r="AA2107" s="82" t="str">
        <f>IF(AND(MONTH(E2107)='IN-NX'!$J$5,'IN-NX'!$D$7=D2107),"x","")</f>
        <v/>
      </c>
      <c r="AB2107" s="82" t="str">
        <f>IF(AND(OR(LEFT(TH!N2109,2)="15",LEFT(TH!O2109,2)="15"),LEFT(TH!O2109,3)&lt;&gt;"111",'152-CT'!$J$8=TH!F2109),"x","")</f>
        <v/>
      </c>
      <c r="AC2107" s="82" t="str">
        <f>IF(AND(OR(LEFT(TH!N2109,2)="15",LEFT(TH!O2109,2)="15"),TK!$E$7=TH!F2109),"x","")</f>
        <v/>
      </c>
      <c r="AD2107" s="82" t="str">
        <f>IF(AND(N2107="1521",MONTH(C2107)='BK-NL'!$M$11),"x","")</f>
        <v/>
      </c>
      <c r="AF2107" s="328">
        <v>1</v>
      </c>
    </row>
    <row r="2108" spans="1:32" ht="15.75" customHeight="1">
      <c r="A2108" s="334" t="str">
        <f>IF(B2108&lt;&gt;"",IF(AND(B2108='IN-TC'!$S$4,OR(TH!N2110="1111",TH!O2110="1111")),TH!D2110,""),"")</f>
        <v/>
      </c>
      <c r="B2108" s="63">
        <f t="shared" si="224"/>
        <v>6</v>
      </c>
      <c r="C2108" s="64">
        <v>42541</v>
      </c>
      <c r="D2108" s="64" t="s">
        <v>891</v>
      </c>
      <c r="E2108" s="64">
        <v>42541</v>
      </c>
      <c r="F2108" s="72" t="s">
        <v>774</v>
      </c>
      <c r="G2108" s="972" t="s">
        <v>1579</v>
      </c>
      <c r="H2108" s="72" t="s">
        <v>805</v>
      </c>
      <c r="I2108" s="437"/>
      <c r="J2108" s="437"/>
      <c r="K2108" s="428"/>
      <c r="L2108" s="437"/>
      <c r="M2108" s="65">
        <v>146982</v>
      </c>
      <c r="N2108" s="66" t="s">
        <v>9</v>
      </c>
      <c r="O2108" s="66" t="s">
        <v>63</v>
      </c>
      <c r="P2108" s="82" t="str">
        <f>IF(AND('331-CT'!$E$7=TH!H2110,OR(N2108="331",O2108="331")),"x","")</f>
        <v/>
      </c>
      <c r="Q2108" s="82" t="str">
        <f>IF(AND(B2108='111'!$L$11,OR($N2108=$Q$7,$O2108=$Q$7)),"x","")</f>
        <v/>
      </c>
      <c r="R2108" s="82" t="str">
        <f>IF(AND($N2108=$Q$7,$B2108&lt;'111'!$L$11),"x","")</f>
        <v/>
      </c>
      <c r="S2108" s="82" t="str">
        <f>IF(AND($O2108=$Q$7,$B2108&lt;'111'!$L$11),"x","")</f>
        <v>x</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IF(OR(TH!N2110=TH!$X$7,O2108=TH!$X$7),"x","")</f>
        <v/>
      </c>
      <c r="Y2108" s="82" t="str">
        <f>IF(AND(OR(N2108="131",O2108="131"),H2108='131-CT'!$H$9),"x","")</f>
        <v/>
      </c>
      <c r="Z2108" s="82"/>
      <c r="AA2108" s="82" t="str">
        <f>IF(AND(MONTH(E2108)='IN-NX'!$J$5,'IN-NX'!$D$7=D2108),"x","")</f>
        <v/>
      </c>
      <c r="AB2108" s="82" t="str">
        <f>IF(AND(OR(LEFT(TH!N2110,2)="15",LEFT(TH!O2110,2)="15"),LEFT(TH!O2110,3)&lt;&gt;"111",'152-CT'!$J$8=TH!F2110),"x","")</f>
        <v/>
      </c>
      <c r="AC2108" s="82" t="str">
        <f>IF(AND(OR(LEFT(TH!N2110,2)="15",LEFT(TH!O2110,2)="15"),TK!$E$7=TH!F2110),"x","")</f>
        <v/>
      </c>
      <c r="AD2108" s="82" t="str">
        <f>IF(AND(N2108="1521",MONTH(C2108)='BK-NL'!$M$11),"x","")</f>
        <v/>
      </c>
    </row>
    <row r="2109" spans="1:32" ht="15.75" customHeight="1">
      <c r="A2109" s="334" t="str">
        <f>IF(B2109&lt;&gt;"",IF(AND(B2109='IN-TC'!$S$4,OR(TH!N2111="1111",TH!O2111="1111")),TH!D2111,""),"")</f>
        <v/>
      </c>
      <c r="B2109" s="63">
        <f t="shared" si="224"/>
        <v>6</v>
      </c>
      <c r="C2109" s="64">
        <v>42541</v>
      </c>
      <c r="D2109" s="64" t="s">
        <v>892</v>
      </c>
      <c r="E2109" s="64">
        <v>42541</v>
      </c>
      <c r="F2109" s="72" t="s">
        <v>1009</v>
      </c>
      <c r="G2109" s="972" t="s">
        <v>1580</v>
      </c>
      <c r="H2109" s="72" t="s">
        <v>1033</v>
      </c>
      <c r="I2109" s="437"/>
      <c r="J2109" s="437"/>
      <c r="K2109" s="428"/>
      <c r="L2109" s="437"/>
      <c r="M2109" s="65">
        <v>1520000</v>
      </c>
      <c r="N2109" s="66" t="s">
        <v>101</v>
      </c>
      <c r="O2109" s="66" t="s">
        <v>63</v>
      </c>
      <c r="P2109" s="82" t="str">
        <f>IF(AND('331-CT'!$E$7=TH!H2111,OR(N2109="331",O2109="331")),"x","")</f>
        <v/>
      </c>
      <c r="Q2109" s="82" t="str">
        <f>IF(AND(B2109='111'!$L$11,OR($N2109=$Q$7,$O2109=$Q$7)),"x","")</f>
        <v/>
      </c>
      <c r="R2109" s="82" t="str">
        <f>IF(AND($N2109=$Q$7,$B2109&lt;'111'!$L$11),"x","")</f>
        <v/>
      </c>
      <c r="S2109" s="82" t="str">
        <f>IF(AND($O2109=$Q$7,$B2109&lt;'111'!$L$11),"x","")</f>
        <v>x</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IF(OR(TH!N2111=TH!$X$7,O2109=TH!$X$7),"x","")</f>
        <v/>
      </c>
      <c r="Y2109" s="82" t="str">
        <f>IF(AND(OR(N2109="131",O2109="131"),H2109='131-CT'!$H$9),"x","")</f>
        <v/>
      </c>
      <c r="Z2109" s="82"/>
      <c r="AA2109" s="82" t="str">
        <f>IF(AND(MONTH(E2109)='IN-NX'!$J$5,'IN-NX'!$D$7=D2109),"x","")</f>
        <v/>
      </c>
      <c r="AB2109" s="82" t="str">
        <f>IF(AND(OR(LEFT(TH!N2111,2)="15",LEFT(TH!O2111,2)="15"),LEFT(TH!O2111,3)&lt;&gt;"111",'152-CT'!$J$8=TH!F2111),"x","")</f>
        <v/>
      </c>
      <c r="AC2109" s="82" t="str">
        <f>IF(AND(OR(LEFT(TH!N2111,2)="15",LEFT(TH!O2111,2)="15"),TK!$E$7=TH!F2111),"x","")</f>
        <v/>
      </c>
      <c r="AD2109" s="82" t="str">
        <f>IF(AND(N2109="1521",MONTH(C2109)='BK-NL'!$M$11),"x","")</f>
        <v/>
      </c>
    </row>
    <row r="2110" spans="1:32" ht="15.75" customHeight="1">
      <c r="A2110" s="334" t="str">
        <f>IF(B2110&lt;&gt;"",IF(AND(B2110='IN-TC'!$S$4,OR(TH!N2112="1111",TH!O2112="1111")),TH!D2112,""),"")</f>
        <v/>
      </c>
      <c r="B2110" s="63">
        <f t="shared" si="224"/>
        <v>6</v>
      </c>
      <c r="C2110" s="64">
        <v>42542</v>
      </c>
      <c r="D2110" s="64" t="s">
        <v>893</v>
      </c>
      <c r="E2110" s="64">
        <v>42542</v>
      </c>
      <c r="F2110" s="72" t="s">
        <v>1581</v>
      </c>
      <c r="G2110" s="67"/>
      <c r="H2110" s="72" t="s">
        <v>1582</v>
      </c>
      <c r="I2110" s="437"/>
      <c r="J2110" s="437"/>
      <c r="K2110" s="428"/>
      <c r="L2110" s="437"/>
      <c r="M2110" s="65">
        <v>4898300</v>
      </c>
      <c r="N2110" s="66" t="s">
        <v>1583</v>
      </c>
      <c r="O2110" s="66" t="s">
        <v>63</v>
      </c>
      <c r="P2110" s="82" t="str">
        <f>IF(AND('331-CT'!$E$7=TH!H2112,OR(N2110="331",O2110="331")),"x","")</f>
        <v/>
      </c>
      <c r="Q2110" s="82" t="str">
        <f>IF(AND(B2110='111'!$L$11,OR($N2110=$Q$7,$O2110=$Q$7)),"x","")</f>
        <v/>
      </c>
      <c r="R2110" s="82" t="str">
        <f>IF(AND($N2110=$Q$7,$B2110&lt;'111'!$L$11),"x","")</f>
        <v/>
      </c>
      <c r="S2110" s="82" t="str">
        <f>IF(AND($O2110=$Q$7,$B2110&lt;'111'!$L$11),"x","")</f>
        <v>x</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IF(OR(TH!N2112=TH!$X$7,O2110=TH!$X$7),"x","")</f>
        <v/>
      </c>
      <c r="Y2110" s="82" t="str">
        <f>IF(AND(OR(N2110="131",O2110="131"),H2110='131-CT'!$H$9),"x","")</f>
        <v/>
      </c>
      <c r="Z2110" s="82"/>
      <c r="AA2110" s="82" t="str">
        <f>IF(AND(MONTH(E2110)='IN-NX'!$J$5,'IN-NX'!$D$7=D2110),"x","")</f>
        <v/>
      </c>
      <c r="AB2110" s="82" t="str">
        <f>IF(AND(OR(LEFT(TH!N2112,2)="15",LEFT(TH!O2112,2)="15"),LEFT(TH!O2112,3)&lt;&gt;"111",'152-CT'!$J$8=TH!F2112),"x","")</f>
        <v/>
      </c>
      <c r="AC2110" s="82" t="str">
        <f>IF(AND(OR(LEFT(TH!N2112,2)="15",LEFT(TH!O2112,2)="15"),TK!$E$7=TH!F2112),"x","")</f>
        <v/>
      </c>
      <c r="AD2110" s="82" t="str">
        <f>IF(AND(N2110="1521",MONTH(C2110)='BK-NL'!$M$11),"x","")</f>
        <v/>
      </c>
      <c r="AE2110" s="349"/>
      <c r="AF2110" s="349"/>
    </row>
    <row r="2111" spans="1:32" ht="15.75" customHeight="1">
      <c r="A2111" s="334" t="str">
        <f>IF(B2111&lt;&gt;"",IF(AND(B2111='IN-TC'!$S$4,OR(TH!N2113="1111",TH!O2113="1111")),TH!D2113,""),"")</f>
        <v/>
      </c>
      <c r="B2111" s="63">
        <f t="shared" si="224"/>
        <v>6</v>
      </c>
      <c r="C2111" s="64">
        <v>42542</v>
      </c>
      <c r="D2111" s="64" t="s">
        <v>894</v>
      </c>
      <c r="E2111" s="64">
        <v>42542</v>
      </c>
      <c r="F2111" s="72" t="s">
        <v>1192</v>
      </c>
      <c r="G2111" s="67"/>
      <c r="H2111" s="72" t="s">
        <v>1694</v>
      </c>
      <c r="I2111" s="437"/>
      <c r="J2111" s="437"/>
      <c r="K2111" s="428"/>
      <c r="L2111" s="437"/>
      <c r="M2111" s="65">
        <v>22000</v>
      </c>
      <c r="N2111" s="66" t="s">
        <v>101</v>
      </c>
      <c r="O2111" s="66" t="s">
        <v>63</v>
      </c>
      <c r="P2111" s="82" t="str">
        <f>IF(AND('331-CT'!$E$7=TH!H2113,OR(N2111="331",O2111="331")),"x","")</f>
        <v/>
      </c>
      <c r="Q2111" s="82" t="str">
        <f>IF(AND(B2111='111'!$L$11,OR($N2111=$Q$7,$O2111=$Q$7)),"x","")</f>
        <v/>
      </c>
      <c r="R2111" s="82" t="str">
        <f>IF(AND($N2111=$Q$7,$B2111&lt;'111'!$L$11),"x","")</f>
        <v/>
      </c>
      <c r="S2111" s="82" t="str">
        <f>IF(AND($O2111=$Q$7,$B2111&lt;'111'!$L$11),"x","")</f>
        <v>x</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IF(OR(TH!N2113=TH!$X$7,O2111=TH!$X$7),"x","")</f>
        <v>x</v>
      </c>
      <c r="Y2111" s="82" t="str">
        <f>IF(AND(OR(N2111="131",O2111="131"),H2111='131-CT'!$H$9),"x","")</f>
        <v/>
      </c>
      <c r="Z2111" s="82"/>
      <c r="AA2111" s="82" t="str">
        <f>IF(AND(MONTH(E2111)='IN-NX'!$J$5,'IN-NX'!$D$7=D2111),"x","")</f>
        <v/>
      </c>
      <c r="AB2111" s="82" t="str">
        <f>IF(AND(OR(LEFT(TH!N2113,2)="15",LEFT(TH!O2113,2)="15"),LEFT(TH!O2113,3)&lt;&gt;"111",'152-CT'!$J$8=TH!F2113),"x","")</f>
        <v/>
      </c>
      <c r="AC2111" s="82" t="str">
        <f>IF(AND(OR(LEFT(TH!N2113,2)="15",LEFT(TH!O2113,2)="15"),TK!$E$7=TH!F2113),"x","")</f>
        <v/>
      </c>
      <c r="AD2111" s="82" t="str">
        <f>IF(AND(N2111="1521",MONTH(C2111)='BK-NL'!$M$11),"x","")</f>
        <v/>
      </c>
      <c r="AE2111" s="349"/>
      <c r="AF2111" s="349"/>
    </row>
    <row r="2112" spans="1:32" ht="15.75" customHeight="1">
      <c r="A2112" s="334" t="str">
        <f>IF(B2112&lt;&gt;"",IF(AND(B2112='IN-TC'!$S$4,OR(TH!N2121="1111",TH!O2121="1111")),TH!D2121,""),"")</f>
        <v/>
      </c>
      <c r="B2112" s="63">
        <f t="shared" si="224"/>
        <v>6</v>
      </c>
      <c r="C2112" s="64">
        <v>42543</v>
      </c>
      <c r="D2112" s="64" t="s">
        <v>895</v>
      </c>
      <c r="E2112" s="64">
        <v>42543</v>
      </c>
      <c r="F2112" s="72" t="s">
        <v>1584</v>
      </c>
      <c r="G2112" s="972" t="s">
        <v>1585</v>
      </c>
      <c r="H2112" s="72" t="s">
        <v>1586</v>
      </c>
      <c r="I2112" s="437"/>
      <c r="J2112" s="437"/>
      <c r="K2112" s="428"/>
      <c r="L2112" s="437"/>
      <c r="M2112" s="65">
        <v>107563</v>
      </c>
      <c r="N2112" s="82" t="s">
        <v>588</v>
      </c>
      <c r="O2112" s="66" t="s">
        <v>63</v>
      </c>
      <c r="P2112" s="82" t="str">
        <f>IF(AND('331-CT'!$E$7=TH!H2121,OR(N2112="331",O2112="331")),"x","")</f>
        <v/>
      </c>
      <c r="Q2112" s="82" t="str">
        <f>IF(AND(B2112='111'!$L$11,OR($N2112=$Q$7,$O2112=$Q$7)),"x","")</f>
        <v/>
      </c>
      <c r="R2112" s="82" t="str">
        <f>IF(AND($N2112=$Q$7,$B2112&lt;'111'!$L$11),"x","")</f>
        <v/>
      </c>
      <c r="S2112" s="82" t="str">
        <f>IF(AND($O2112=$Q$7,$B2112&lt;'111'!$L$11),"x","")</f>
        <v>x</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IF(OR(TH!N2121=TH!$X$7,O2112=TH!$X$7),"x","")</f>
        <v/>
      </c>
      <c r="Y2112" s="82" t="str">
        <f>IF(AND(OR(N2112="131",O2112="131"),H2112='131-CT'!$H$9),"x","")</f>
        <v/>
      </c>
      <c r="Z2112" s="82"/>
      <c r="AA2112" s="82" t="str">
        <f>IF(AND(MONTH(E2112)='IN-NX'!$J$5,'IN-NX'!$D$7=D2112),"x","")</f>
        <v/>
      </c>
      <c r="AB2112" s="82" t="str">
        <f>IF(AND(OR(LEFT(TH!N2121,2)="15",LEFT(TH!O2121,2)="15"),LEFT(TH!O2121,3)&lt;&gt;"111",'152-CT'!$J$8=TH!F2121),"x","")</f>
        <v/>
      </c>
      <c r="AC2112" s="82" t="str">
        <f>IF(AND(OR(LEFT(TH!N2121,2)="15",LEFT(TH!O2121,2)="15"),TK!$E$7=TH!F2121),"x","")</f>
        <v/>
      </c>
      <c r="AD2112" s="82" t="str">
        <f>IF(AND(N2112="1521",MONTH(C2112)='BK-NL'!$M$11),"x","")</f>
        <v/>
      </c>
      <c r="AF2112" s="328">
        <v>1</v>
      </c>
    </row>
    <row r="2113" spans="1:32" ht="15.75" customHeight="1">
      <c r="A2113" s="334" t="str">
        <f>IF(B2113&lt;&gt;"",IF(AND(B2113='IN-TC'!$S$4,OR(TH!N2122="1111",TH!O2122="1111")),TH!D2122,""),"")</f>
        <v/>
      </c>
      <c r="B2113" s="63">
        <f t="shared" si="224"/>
        <v>6</v>
      </c>
      <c r="C2113" s="64">
        <v>42543</v>
      </c>
      <c r="D2113" s="64" t="s">
        <v>895</v>
      </c>
      <c r="E2113" s="64">
        <v>42543</v>
      </c>
      <c r="F2113" s="72" t="s">
        <v>1587</v>
      </c>
      <c r="G2113" s="972" t="s">
        <v>1585</v>
      </c>
      <c r="H2113" s="72" t="s">
        <v>1586</v>
      </c>
      <c r="I2113" s="437"/>
      <c r="J2113" s="437"/>
      <c r="K2113" s="428"/>
      <c r="L2113" s="437"/>
      <c r="M2113" s="65">
        <v>10756</v>
      </c>
      <c r="N2113" s="66" t="s">
        <v>9</v>
      </c>
      <c r="O2113" s="66" t="s">
        <v>63</v>
      </c>
      <c r="P2113" s="82" t="str">
        <f>IF(AND('331-CT'!$E$7=TH!H2122,OR(N2113="331",O2113="331")),"x","")</f>
        <v/>
      </c>
      <c r="Q2113" s="82" t="str">
        <f>IF(AND(B2113='111'!$L$11,OR($N2113=$Q$7,$O2113=$Q$7)),"x","")</f>
        <v/>
      </c>
      <c r="R2113" s="82" t="str">
        <f>IF(AND($N2113=$Q$7,$B2113&lt;'111'!$L$11),"x","")</f>
        <v/>
      </c>
      <c r="S2113" s="82" t="str">
        <f>IF(AND($O2113=$Q$7,$B2113&lt;'111'!$L$11),"x","")</f>
        <v>x</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IF(OR(TH!N2122=TH!$X$7,O2113=TH!$X$7),"x","")</f>
        <v/>
      </c>
      <c r="Y2113" s="82" t="str">
        <f>IF(AND(OR(N2113="131",O2113="131"),H2113='131-CT'!$H$9),"x","")</f>
        <v/>
      </c>
      <c r="Z2113" s="82"/>
      <c r="AA2113" s="82" t="str">
        <f>IF(AND(MONTH(E2113)='IN-NX'!$J$5,'IN-NX'!$D$7=D2113),"x","")</f>
        <v/>
      </c>
      <c r="AB2113" s="82" t="str">
        <f>IF(AND(OR(LEFT(TH!N2122,2)="15",LEFT(TH!O2122,2)="15"),LEFT(TH!O2122,3)&lt;&gt;"111",'152-CT'!$J$8=TH!F2122),"x","")</f>
        <v/>
      </c>
      <c r="AC2113" s="82" t="str">
        <f>IF(AND(OR(LEFT(TH!N2122,2)="15",LEFT(TH!O2122,2)="15"),TK!$E$7=TH!F2122),"x","")</f>
        <v/>
      </c>
      <c r="AD2113" s="82" t="str">
        <f>IF(AND(N2113="1521",MONTH(C2113)='BK-NL'!$M$11),"x","")</f>
        <v/>
      </c>
    </row>
    <row r="2114" spans="1:32" ht="15.75" customHeight="1">
      <c r="A2114" s="334" t="str">
        <f>IF(B2114&lt;&gt;"",IF(AND(B2114='IN-TC'!$S$4,OR(TH!N2114="1111",TH!O2114="1111")),TH!D2114,""),"")</f>
        <v/>
      </c>
      <c r="B2114" s="63">
        <f t="shared" si="224"/>
        <v>6</v>
      </c>
      <c r="C2114" s="64">
        <v>42542</v>
      </c>
      <c r="D2114" s="64" t="s">
        <v>1556</v>
      </c>
      <c r="E2114" s="64">
        <v>42542</v>
      </c>
      <c r="F2114" s="72" t="s">
        <v>1139</v>
      </c>
      <c r="G2114" s="67" t="s">
        <v>915</v>
      </c>
      <c r="H2114" s="72" t="s">
        <v>760</v>
      </c>
      <c r="I2114" s="437"/>
      <c r="J2114" s="437"/>
      <c r="K2114" s="428"/>
      <c r="L2114" s="437"/>
      <c r="M2114" s="65">
        <v>1700000000</v>
      </c>
      <c r="N2114" s="66" t="s">
        <v>63</v>
      </c>
      <c r="O2114" s="66" t="s">
        <v>26</v>
      </c>
      <c r="P2114" s="82" t="str">
        <f>IF(AND('331-CT'!$E$7=TH!H2114,OR(N2114="331",O2114="331")),"x","")</f>
        <v/>
      </c>
      <c r="Q2114" s="82" t="str">
        <f>IF(AND(B2114='111'!$L$11,OR($N2114=$Q$7,$O2114=$Q$7)),"x","")</f>
        <v/>
      </c>
      <c r="R2114" s="82" t="str">
        <f>IF(AND($N2114=$Q$7,$B2114&lt;'111'!$L$11),"x","")</f>
        <v>x</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2" ht="15.75" customHeight="1">
      <c r="A2115" s="334" t="str">
        <f>IF(B2115&lt;&gt;"",IF(AND(B2115='IN-TC'!$S$4,OR(TH!N2115="1111",TH!O2115="1111")),TH!D2115,""),"")</f>
        <v/>
      </c>
      <c r="B2115" s="63">
        <f t="shared" si="224"/>
        <v>6</v>
      </c>
      <c r="C2115" s="64">
        <v>42542</v>
      </c>
      <c r="D2115" s="64" t="s">
        <v>699</v>
      </c>
      <c r="E2115" s="64">
        <f t="shared" ref="E2115:E2120" si="229">C2115</f>
        <v>42542</v>
      </c>
      <c r="F2115" s="72" t="s">
        <v>1190</v>
      </c>
      <c r="G2115" s="67" t="s">
        <v>915</v>
      </c>
      <c r="H2115" s="72" t="s">
        <v>598</v>
      </c>
      <c r="I2115" s="437"/>
      <c r="J2115" s="437"/>
      <c r="K2115" s="428">
        <v>1600.73</v>
      </c>
      <c r="L2115" s="437">
        <v>22270</v>
      </c>
      <c r="M2115" s="65">
        <f>ROUND(K2115*L2115,0)</f>
        <v>35648257</v>
      </c>
      <c r="N2115" s="66" t="s">
        <v>266</v>
      </c>
      <c r="O2115" s="66" t="s">
        <v>585</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2" ht="15.75" customHeight="1">
      <c r="A2116" s="334" t="str">
        <f>IF(B2116&lt;&gt;"",IF(AND(B2116='IN-TC'!$S$4,OR(TH!N2116="1111",TH!O2116="1111")),TH!D2116,""),"")</f>
        <v/>
      </c>
      <c r="B2116" s="63">
        <f t="shared" si="224"/>
        <v>6</v>
      </c>
      <c r="C2116" s="64">
        <v>42542</v>
      </c>
      <c r="D2116" s="64" t="s">
        <v>702</v>
      </c>
      <c r="E2116" s="64">
        <f t="shared" si="229"/>
        <v>42542</v>
      </c>
      <c r="F2116" s="72" t="s">
        <v>1438</v>
      </c>
      <c r="G2116" s="67" t="s">
        <v>915</v>
      </c>
      <c r="H2116" s="72"/>
      <c r="I2116" s="437"/>
      <c r="J2116" s="437"/>
      <c r="K2116" s="428">
        <v>78000</v>
      </c>
      <c r="L2116" s="437">
        <v>22300</v>
      </c>
      <c r="M2116" s="65">
        <f>ROUND(K2116*L2116,0)</f>
        <v>1739400000</v>
      </c>
      <c r="N2116" s="66" t="s">
        <v>26</v>
      </c>
      <c r="O2116" s="66" t="s">
        <v>266</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row>
    <row r="2117" spans="1:32" ht="15.75" customHeight="1">
      <c r="A2117" s="334" t="str">
        <f>IF(B2117&lt;&gt;"",IF(AND(B2117='IN-TC'!$S$4,OR(TH!N2117="1111",TH!O2117="1111")),TH!D2117,""),"")</f>
        <v/>
      </c>
      <c r="B2117" s="63">
        <f t="shared" si="224"/>
        <v>6</v>
      </c>
      <c r="C2117" s="64">
        <v>42542</v>
      </c>
      <c r="D2117" s="64" t="s">
        <v>579</v>
      </c>
      <c r="E2117" s="64">
        <f t="shared" si="229"/>
        <v>42542</v>
      </c>
      <c r="F2117" s="72" t="s">
        <v>1058</v>
      </c>
      <c r="G2117" s="67" t="s">
        <v>915</v>
      </c>
      <c r="H2117" s="72" t="s">
        <v>598</v>
      </c>
      <c r="I2117" s="437"/>
      <c r="J2117" s="437"/>
      <c r="K2117" s="428">
        <v>48.74</v>
      </c>
      <c r="L2117" s="437">
        <v>22270</v>
      </c>
      <c r="M2117" s="65">
        <f>ROUND(K2117*L2117,0)</f>
        <v>1085440</v>
      </c>
      <c r="N2117" s="66" t="s">
        <v>101</v>
      </c>
      <c r="O2117" s="66" t="s">
        <v>585</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F2117" s="328">
        <v>1</v>
      </c>
    </row>
    <row r="2118" spans="1:32" ht="15.75" customHeight="1">
      <c r="A2118" s="334" t="str">
        <f>IF(B2118&lt;&gt;"",IF(AND(B2118='IN-TC'!$S$4,OR(TH!N2118="1111",TH!O2118="1111")),TH!D2118,""),"")</f>
        <v/>
      </c>
      <c r="B2118" s="63">
        <f t="shared" si="224"/>
        <v>6</v>
      </c>
      <c r="C2118" s="64">
        <v>42542</v>
      </c>
      <c r="D2118" s="64" t="s">
        <v>579</v>
      </c>
      <c r="E2118" s="64">
        <f t="shared" si="229"/>
        <v>42542</v>
      </c>
      <c r="F2118" s="72" t="s">
        <v>1059</v>
      </c>
      <c r="G2118" s="67" t="s">
        <v>915</v>
      </c>
      <c r="H2118" s="72" t="s">
        <v>598</v>
      </c>
      <c r="I2118" s="437"/>
      <c r="J2118" s="437"/>
      <c r="K2118" s="428">
        <v>4.87</v>
      </c>
      <c r="L2118" s="437">
        <v>22270</v>
      </c>
      <c r="M2118" s="65">
        <f>ROUND(K2118*L2118,0)</f>
        <v>108455</v>
      </c>
      <c r="N2118" s="66" t="s">
        <v>9</v>
      </c>
      <c r="O2118" s="66" t="s">
        <v>585</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x</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2" ht="15.75" customHeight="1">
      <c r="A2119" s="334" t="str">
        <f>IF(B2119&lt;&gt;"",IF(AND(B2119='IN-TC'!$S$4,OR(TH!N2119="1111",TH!O2119="1111")),TH!D2119,""),"")</f>
        <v/>
      </c>
      <c r="B2119" s="63">
        <f t="shared" si="224"/>
        <v>6</v>
      </c>
      <c r="C2119" s="64">
        <v>42542</v>
      </c>
      <c r="D2119" s="64" t="s">
        <v>579</v>
      </c>
      <c r="E2119" s="64">
        <f t="shared" si="229"/>
        <v>42542</v>
      </c>
      <c r="F2119" s="72" t="s">
        <v>1060</v>
      </c>
      <c r="G2119" s="67" t="s">
        <v>915</v>
      </c>
      <c r="H2119" s="72" t="s">
        <v>598</v>
      </c>
      <c r="I2119" s="437"/>
      <c r="J2119" s="437"/>
      <c r="K2119" s="428">
        <v>21.66</v>
      </c>
      <c r="L2119" s="437">
        <v>22270</v>
      </c>
      <c r="M2119" s="65">
        <f>ROUND(K2119*L2119,0)</f>
        <v>482368</v>
      </c>
      <c r="N2119" s="66" t="s">
        <v>99</v>
      </c>
      <c r="O2119" s="66" t="s">
        <v>585</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2" ht="15.75" customHeight="1">
      <c r="A2120" s="334" t="str">
        <f>IF(B2120&lt;&gt;"",IF(AND(B2120='IN-TC'!$S$4,OR(TH!N2120="1111",TH!O2120="1111")),TH!D2120,""),"")</f>
        <v/>
      </c>
      <c r="B2120" s="993">
        <f t="shared" si="224"/>
        <v>6</v>
      </c>
      <c r="C2120" s="78">
        <v>42542</v>
      </c>
      <c r="D2120" s="78" t="s">
        <v>579</v>
      </c>
      <c r="E2120" s="64">
        <f t="shared" si="229"/>
        <v>42542</v>
      </c>
      <c r="F2120" s="72" t="s">
        <v>1062</v>
      </c>
      <c r="G2120" s="79" t="s">
        <v>915</v>
      </c>
      <c r="H2120" s="959" t="s">
        <v>598</v>
      </c>
      <c r="I2120" s="435"/>
      <c r="J2120" s="435"/>
      <c r="K2120" s="426"/>
      <c r="L2120" s="435"/>
      <c r="M2120" s="81">
        <v>2015300</v>
      </c>
      <c r="N2120" s="66" t="s">
        <v>99</v>
      </c>
      <c r="O2120" s="82" t="s">
        <v>585</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s="345"/>
      <c r="AF2120" s="345"/>
    </row>
    <row r="2121" spans="1:32" ht="15.75" customHeight="1">
      <c r="A2121" s="334" t="str">
        <f>IF(B2121&lt;&gt;"",IF(AND(B2121='IN-TC'!$S$4,OR(TH!N2124="1111",TH!O2124="1111")),TH!D2124,""),"")</f>
        <v/>
      </c>
      <c r="B2121" s="1148">
        <f t="shared" si="224"/>
        <v>6</v>
      </c>
      <c r="C2121" s="1149">
        <v>42543</v>
      </c>
      <c r="D2121" s="1149" t="s">
        <v>896</v>
      </c>
      <c r="E2121" s="1149">
        <v>42543</v>
      </c>
      <c r="F2121" s="72" t="s">
        <v>1100</v>
      </c>
      <c r="G2121" s="1151" t="s">
        <v>1558</v>
      </c>
      <c r="H2121" s="1150" t="s">
        <v>1778</v>
      </c>
      <c r="I2121" s="1152"/>
      <c r="J2121" s="1152"/>
      <c r="K2121" s="1153"/>
      <c r="L2121" s="1152"/>
      <c r="M2121" s="1154">
        <v>1100000</v>
      </c>
      <c r="N2121" s="66" t="s">
        <v>26</v>
      </c>
      <c r="O2121" s="66" t="s">
        <v>63</v>
      </c>
      <c r="P2121" s="82" t="str">
        <f>IF(AND('331-CT'!$E$7=TH!H2124,OR(N2121="331",O2121="331")),"x","")</f>
        <v/>
      </c>
      <c r="Q2121" s="82" t="str">
        <f>IF(AND(B2121='111'!$L$11,OR($N2121=$Q$7,$O2121=$Q$7)),"x","")</f>
        <v/>
      </c>
      <c r="R2121" s="82" t="str">
        <f>IF(AND($N2121=$Q$7,$B2121&lt;'111'!$L$11),"x","")</f>
        <v/>
      </c>
      <c r="S2121" s="82" t="str">
        <f>IF(AND($O2121=$Q$7,$B2121&lt;'111'!$L$11),"x","")</f>
        <v>x</v>
      </c>
      <c r="T2121" s="82" t="str">
        <f>IF(ISERROR(FIND('112'!$M$9,G2121,1)),"",IF((AND(FIND('112'!$M$9,G2121,1)&gt;=1,B2121='112'!$K$9,OR($N2121='112'!$I$6,$O2121='112'!$I$6))),"x",""))</f>
        <v/>
      </c>
      <c r="U2121" s="82" t="str">
        <f>IF(ISERROR(FIND('112'!$M$9,G2121,1)),"",IF((AND(LEFT(G2121,2)=LEFT('112'!$M$9,2),B2121&lt;'112'!$K$9,$N2121='112'!$I$6)),"x",""))</f>
        <v>x</v>
      </c>
      <c r="V2121" s="82" t="str">
        <f>IF(ISERROR(FIND('112'!$M$9,G2121,1)),"",IF((AND(RIGHT(G2121,2)=RIGHT('112'!$M$9,2),B2121&lt;'112'!$K$9,$O2121='112'!$I$6)),"x",""))</f>
        <v/>
      </c>
      <c r="W2121" s="82" t="str">
        <f>IF(AND('341-CT'!$H$9=H2121,OR(LEFT(N2121,3)=$W$7,LEFT(O2121,3)=$W$7)),"x","")</f>
        <v/>
      </c>
      <c r="X2121" s="82" t="str">
        <f>IF(OR(TH!N2124=TH!$X$7,O2121=TH!$X$7),"x","")</f>
        <v>x</v>
      </c>
      <c r="Y2121" s="82" t="str">
        <f>IF(AND(OR(N2121="131",O2121="131"),H2121='131-CT'!$H$9),"x","")</f>
        <v/>
      </c>
      <c r="Z2121" s="82"/>
      <c r="AA2121" s="82" t="str">
        <f>IF(AND(MONTH(E2121)='IN-NX'!$J$5,'IN-NX'!$D$7=D2121),"x","")</f>
        <v/>
      </c>
      <c r="AB2121" s="82" t="str">
        <f>IF(AND(OR(LEFT(TH!N2124,2)="15",LEFT(TH!O2124,2)="15"),LEFT(TH!O2124,3)&lt;&gt;"111",'152-CT'!$J$8=TH!F2124),"x","")</f>
        <v/>
      </c>
      <c r="AC2121" s="82" t="str">
        <f>IF(AND(OR(LEFT(TH!N2124,2)="15",LEFT(TH!O2124,2)="15"),TK!$E$7=TH!F2124),"x","")</f>
        <v/>
      </c>
      <c r="AD2121" s="82" t="str">
        <f>IF(AND(N2121="1521",MONTH(C2121)='BK-NL'!$M$11),"x","")</f>
        <v/>
      </c>
      <c r="AE2121" s="1156"/>
      <c r="AF2121" s="1156"/>
    </row>
    <row r="2122" spans="1:32" ht="15.75" customHeight="1">
      <c r="A2122" s="334" t="str">
        <f>IF(B2122&lt;&gt;"",IF(AND(B2122='IN-TC'!$S$4,OR(TH!N2170="1111",TH!O2170="1111")),TH!D2170,""),"")</f>
        <v/>
      </c>
      <c r="B2122" s="63">
        <f t="shared" si="224"/>
        <v>6</v>
      </c>
      <c r="C2122" s="64">
        <v>42544</v>
      </c>
      <c r="D2122" s="316" t="s">
        <v>897</v>
      </c>
      <c r="E2122" s="316">
        <v>42544</v>
      </c>
      <c r="F2122" s="72" t="s">
        <v>773</v>
      </c>
      <c r="G2122" s="972" t="s">
        <v>1588</v>
      </c>
      <c r="H2122" s="72" t="s">
        <v>805</v>
      </c>
      <c r="I2122" s="437"/>
      <c r="J2122" s="437"/>
      <c r="K2122" s="428"/>
      <c r="L2122" s="437"/>
      <c r="M2122" s="65">
        <v>858327</v>
      </c>
      <c r="N2122" s="66" t="s">
        <v>101</v>
      </c>
      <c r="O2122" s="66" t="s">
        <v>63</v>
      </c>
      <c r="P2122" s="82" t="str">
        <f>IF(AND('331-CT'!$E$7=TH!H2170,OR(N2122="331",O2122="331")),"x","")</f>
        <v/>
      </c>
      <c r="Q2122" s="82" t="str">
        <f>IF(AND(B2122='111'!$L$11,OR($N2122=$Q$7,$O2122=$Q$7)),"x","")</f>
        <v/>
      </c>
      <c r="R2122" s="82" t="str">
        <f>IF(AND($N2122=$Q$7,$B2122&lt;'111'!$L$11),"x","")</f>
        <v/>
      </c>
      <c r="S2122" s="82" t="str">
        <f>IF(AND($O2122=$Q$7,$B2122&lt;'111'!$L$11),"x","")</f>
        <v>x</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IF(OR(TH!N2170=TH!$X$7,O2122=TH!$X$7),"x","")</f>
        <v/>
      </c>
      <c r="Y2122" s="82" t="str">
        <f>IF(AND(OR(N2122="131",O2122="131"),H2122='131-CT'!$H$9),"x","")</f>
        <v/>
      </c>
      <c r="Z2122" s="82"/>
      <c r="AA2122" s="82" t="str">
        <f>IF(AND(MONTH(E2122)='IN-NX'!$J$5,'IN-NX'!$D$7=D2122),"x","")</f>
        <v/>
      </c>
      <c r="AB2122" s="82" t="str">
        <f>IF(AND(OR(LEFT(TH!N2170,2)="15",LEFT(TH!O2170,2)="15"),LEFT(TH!O2170,3)&lt;&gt;"111",'152-CT'!$J$8=TH!F2170),"x","")</f>
        <v/>
      </c>
      <c r="AC2122" s="82" t="str">
        <f>IF(AND(OR(LEFT(TH!N2170,2)="15",LEFT(TH!O2170,2)="15"),TK!$E$7=TH!F2170),"x","")</f>
        <v/>
      </c>
      <c r="AD2122" s="82" t="str">
        <f>IF(AND(N2122="1521",MONTH(C2122)='BK-NL'!$M$11),"x","")</f>
        <v/>
      </c>
      <c r="AF2122" s="328">
        <v>1</v>
      </c>
    </row>
    <row r="2123" spans="1:32" ht="15.75" customHeight="1">
      <c r="A2123" s="334" t="str">
        <f>IF(B2123&lt;&gt;"",IF(AND(B2123='IN-TC'!$S$4,OR(TH!N2123="1111",TH!O2123="1111")),TH!D2123,""),"")</f>
        <v/>
      </c>
      <c r="B2123" s="1148">
        <f t="shared" si="224"/>
        <v>6</v>
      </c>
      <c r="C2123" s="1149">
        <v>42543</v>
      </c>
      <c r="D2123" s="1149" t="s">
        <v>702</v>
      </c>
      <c r="E2123" s="1149">
        <f>C2123</f>
        <v>42543</v>
      </c>
      <c r="F2123" s="67" t="s">
        <v>1779</v>
      </c>
      <c r="G2123" s="1151" t="s">
        <v>1558</v>
      </c>
      <c r="H2123" s="1150"/>
      <c r="I2123" s="1152"/>
      <c r="J2123" s="1152"/>
      <c r="K2123" s="1153"/>
      <c r="L2123" s="1152"/>
      <c r="M2123" s="1154">
        <v>73755</v>
      </c>
      <c r="N2123" s="1155" t="s">
        <v>101</v>
      </c>
      <c r="O2123" s="66" t="s">
        <v>26</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x</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s="1156"/>
      <c r="AF2123" s="1156"/>
    </row>
    <row r="2124" spans="1:32" ht="15.75" customHeight="1">
      <c r="A2124" s="334" t="str">
        <f>IF(B2124&lt;&gt;"",IF(AND(B2124='IN-TC'!$S$4,OR(TH!N2171="1111",TH!O2171="1111")),TH!D2171,""),"")</f>
        <v/>
      </c>
      <c r="B2124" s="63">
        <f t="shared" si="224"/>
        <v>6</v>
      </c>
      <c r="C2124" s="64">
        <v>42544</v>
      </c>
      <c r="D2124" s="316" t="s">
        <v>897</v>
      </c>
      <c r="E2124" s="316">
        <v>42544</v>
      </c>
      <c r="F2124" s="72" t="s">
        <v>774</v>
      </c>
      <c r="G2124" s="972" t="s">
        <v>1588</v>
      </c>
      <c r="H2124" s="72" t="s">
        <v>805</v>
      </c>
      <c r="I2124" s="437"/>
      <c r="J2124" s="437"/>
      <c r="K2124" s="428"/>
      <c r="L2124" s="437"/>
      <c r="M2124" s="65">
        <v>85833</v>
      </c>
      <c r="N2124" s="66" t="s">
        <v>9</v>
      </c>
      <c r="O2124" s="66" t="s">
        <v>63</v>
      </c>
      <c r="P2124" s="82" t="str">
        <f>IF(AND('331-CT'!$E$7=TH!H2171,OR(N2124="331",O2124="331")),"x","")</f>
        <v/>
      </c>
      <c r="Q2124" s="82" t="str">
        <f>IF(AND(B2124='111'!$L$11,OR($N2124=$Q$7,$O2124=$Q$7)),"x","")</f>
        <v/>
      </c>
      <c r="R2124" s="82" t="str">
        <f>IF(AND($N2124=$Q$7,$B2124&lt;'111'!$L$11),"x","")</f>
        <v/>
      </c>
      <c r="S2124" s="82" t="str">
        <f>IF(AND($O2124=$Q$7,$B2124&lt;'111'!$L$11),"x","")</f>
        <v>x</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IF(OR(TH!N2171=TH!$X$7,O2124=TH!$X$7),"x","")</f>
        <v>x</v>
      </c>
      <c r="Y2124" s="82" t="str">
        <f>IF(AND(OR(N2124="131",O2124="131"),H2124='131-CT'!$H$9),"x","")</f>
        <v/>
      </c>
      <c r="Z2124" s="82"/>
      <c r="AA2124" s="82" t="str">
        <f>IF(AND(MONTH(E2124)='IN-NX'!$J$5,'IN-NX'!$D$7=D2124),"x","")</f>
        <v/>
      </c>
      <c r="AB2124" s="82" t="str">
        <f>IF(AND(OR(LEFT(TH!N2171,2)="15",LEFT(TH!O2171,2)="15"),LEFT(TH!O2171,3)&lt;&gt;"111",'152-CT'!$J$8=TH!F2171),"x","")</f>
        <v/>
      </c>
      <c r="AC2124" s="82" t="str">
        <f>IF(AND(OR(LEFT(TH!N2171,2)="15",LEFT(TH!O2171,2)="15"),TK!$E$7=TH!F2171),"x","")</f>
        <v/>
      </c>
      <c r="AD2124" s="82" t="str">
        <f>IF(AND(N2124="1521",MONTH(C2124)='BK-NL'!$M$11),"x","")</f>
        <v/>
      </c>
    </row>
    <row r="2125" spans="1:32" ht="15.75" customHeight="1">
      <c r="A2125" s="334" t="str">
        <f>IF(B2125&lt;&gt;"",IF(AND(B2125='IN-TC'!$S$4,OR(TH!N2125="1111",TH!O2125="1111")),TH!D2125,""),"")</f>
        <v/>
      </c>
      <c r="B2125" s="1119">
        <f t="shared" ref="B2125:B2188" si="230">IF(C2125&lt;&gt;"",MONTH(C2125),"")</f>
        <v>6</v>
      </c>
      <c r="C2125" s="966">
        <v>42543</v>
      </c>
      <c r="D2125" s="64" t="s">
        <v>699</v>
      </c>
      <c r="E2125" s="966">
        <f t="shared" ref="E2125:E2169" si="231">C2125</f>
        <v>42543</v>
      </c>
      <c r="F2125" s="72" t="s">
        <v>1874</v>
      </c>
      <c r="G2125" s="1159" t="s">
        <v>1558</v>
      </c>
      <c r="H2125" s="963" t="s">
        <v>1875</v>
      </c>
      <c r="I2125" s="964"/>
      <c r="J2125" s="964"/>
      <c r="K2125" s="965">
        <v>781969.73</v>
      </c>
      <c r="L2125" s="964">
        <v>22308</v>
      </c>
      <c r="M2125" s="1120">
        <f>ROUND(K2125*L2125,0)</f>
        <v>17444180737</v>
      </c>
      <c r="N2125" s="1121" t="s">
        <v>266</v>
      </c>
      <c r="O2125" s="1121" t="s">
        <v>260</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c r="AE2125" s="1122"/>
      <c r="AF2125" s="1122"/>
    </row>
    <row r="2126" spans="1:32" ht="15.75" customHeight="1">
      <c r="A2126" s="334" t="str">
        <f>IF(B2126&lt;&gt;"",IF(AND(B2126='IN-TC'!$S$4,OR(TH!N2126="1111",TH!O2126="1111")),TH!D2126,""),"")</f>
        <v/>
      </c>
      <c r="B2126" s="63">
        <f t="shared" si="230"/>
        <v>6</v>
      </c>
      <c r="C2126" s="64">
        <v>42543</v>
      </c>
      <c r="D2126" s="64" t="s">
        <v>702</v>
      </c>
      <c r="E2126" s="64">
        <f t="shared" si="231"/>
        <v>42543</v>
      </c>
      <c r="F2126" s="72" t="s">
        <v>1891</v>
      </c>
      <c r="G2126" s="67" t="s">
        <v>914</v>
      </c>
      <c r="H2126" s="72" t="s">
        <v>1211</v>
      </c>
      <c r="I2126" s="437"/>
      <c r="J2126" s="437"/>
      <c r="K2126" s="428"/>
      <c r="L2126" s="437"/>
      <c r="M2126" s="65">
        <v>8000000</v>
      </c>
      <c r="N2126" s="66" t="s">
        <v>26</v>
      </c>
      <c r="O2126" s="66" t="s">
        <v>72</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c r="AF2126" s="328">
        <v>1</v>
      </c>
    </row>
    <row r="2127" spans="1:32" ht="15.75" customHeight="1">
      <c r="A2127" s="334" t="str">
        <f>IF(B2127&lt;&gt;"",IF(AND(B2127='IN-TC'!$S$4,OR(TH!N2127="1111",TH!O2127="1111")),TH!D2127,""),"")</f>
        <v/>
      </c>
      <c r="B2127" s="63">
        <f t="shared" si="230"/>
        <v>6</v>
      </c>
      <c r="C2127" s="64">
        <v>42543</v>
      </c>
      <c r="D2127" s="64" t="s">
        <v>702</v>
      </c>
      <c r="E2127" s="64">
        <f t="shared" si="231"/>
        <v>42543</v>
      </c>
      <c r="F2127" s="72" t="s">
        <v>1643</v>
      </c>
      <c r="G2127" s="67" t="s">
        <v>915</v>
      </c>
      <c r="H2127" s="72" t="s">
        <v>629</v>
      </c>
      <c r="I2127" s="437"/>
      <c r="J2127" s="437"/>
      <c r="K2127" s="428"/>
      <c r="L2127" s="437"/>
      <c r="M2127" s="65">
        <v>36668390</v>
      </c>
      <c r="N2127" s="66" t="s">
        <v>8</v>
      </c>
      <c r="O2127" s="66" t="s">
        <v>26</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s="1136" t="str">
        <f>IF(H2127&lt;&gt;VLOOKUP(H2127,DSKH,1,0),"","x")</f>
        <v>x</v>
      </c>
    </row>
    <row r="2128" spans="1:32" ht="15.75" customHeight="1">
      <c r="A2128" s="334" t="str">
        <f>IF(B2128&lt;&gt;"",IF(AND(B2128='IN-TC'!$S$4,OR(TH!N2128="1111",TH!O2128="1111")),TH!D2128,""),"")</f>
        <v/>
      </c>
      <c r="B2128" s="63">
        <f t="shared" si="230"/>
        <v>6</v>
      </c>
      <c r="C2128" s="64">
        <v>42543</v>
      </c>
      <c r="D2128" s="64" t="s">
        <v>702</v>
      </c>
      <c r="E2128" s="64">
        <f t="shared" si="231"/>
        <v>42543</v>
      </c>
      <c r="F2128" s="72" t="s">
        <v>1169</v>
      </c>
      <c r="G2128" s="67" t="s">
        <v>915</v>
      </c>
      <c r="H2128" s="72"/>
      <c r="I2128" s="437"/>
      <c r="J2128" s="437"/>
      <c r="K2128" s="428"/>
      <c r="L2128" s="437"/>
      <c r="M2128" s="65">
        <v>25000</v>
      </c>
      <c r="N2128" s="66" t="s">
        <v>101</v>
      </c>
      <c r="O2128" s="66" t="s">
        <v>26</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F2128" s="328">
        <v>1</v>
      </c>
    </row>
    <row r="2129" spans="1:32" ht="15.75" customHeight="1">
      <c r="A2129" s="334" t="str">
        <f>IF(B2129&lt;&gt;"",IF(AND(B2129='IN-TC'!$S$4,OR(TH!N2129="1111",TH!O2129="1111")),TH!D2129,""),"")</f>
        <v/>
      </c>
      <c r="B2129" s="63">
        <f t="shared" si="230"/>
        <v>6</v>
      </c>
      <c r="C2129" s="64">
        <v>42543</v>
      </c>
      <c r="D2129" s="64" t="s">
        <v>702</v>
      </c>
      <c r="E2129" s="64">
        <f t="shared" si="231"/>
        <v>42543</v>
      </c>
      <c r="F2129" s="72" t="s">
        <v>1631</v>
      </c>
      <c r="G2129" s="67" t="s">
        <v>915</v>
      </c>
      <c r="H2129" s="72"/>
      <c r="I2129" s="437"/>
      <c r="J2129" s="437"/>
      <c r="K2129" s="428"/>
      <c r="L2129" s="437"/>
      <c r="M2129" s="65">
        <v>2500</v>
      </c>
      <c r="N2129" s="66" t="s">
        <v>9</v>
      </c>
      <c r="O2129" s="66" t="s">
        <v>26</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x</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2" ht="15.75" customHeight="1">
      <c r="A2130" s="334" t="str">
        <f>IF(B2130&lt;&gt;"",IF(AND(B2130='IN-TC'!$S$4,OR(TH!N2130="1111",TH!O2130="1111")),TH!D2130,""),"")</f>
        <v/>
      </c>
      <c r="B2130" s="63">
        <f t="shared" si="230"/>
        <v>6</v>
      </c>
      <c r="C2130" s="64">
        <v>42543</v>
      </c>
      <c r="D2130" s="64" t="s">
        <v>699</v>
      </c>
      <c r="E2130" s="64">
        <f t="shared" si="231"/>
        <v>42543</v>
      </c>
      <c r="F2130" s="72" t="s">
        <v>1891</v>
      </c>
      <c r="G2130" s="67" t="s">
        <v>915</v>
      </c>
      <c r="H2130" s="72" t="s">
        <v>1211</v>
      </c>
      <c r="I2130" s="437"/>
      <c r="J2130" s="437"/>
      <c r="K2130" s="428"/>
      <c r="L2130" s="437"/>
      <c r="M2130" s="65">
        <v>7000000</v>
      </c>
      <c r="N2130" s="66" t="s">
        <v>26</v>
      </c>
      <c r="O2130" s="66" t="s">
        <v>72</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2" ht="15.75" customHeight="1">
      <c r="A2131" s="334" t="str">
        <f>IF(B2131&lt;&gt;"",IF(AND(B2131='IN-TC'!$S$4,OR(TH!N2131="1111",TH!O2131="1111")),TH!D2131,""),"")</f>
        <v/>
      </c>
      <c r="B2131" s="1119">
        <f t="shared" si="230"/>
        <v>6</v>
      </c>
      <c r="C2131" s="966">
        <v>42543</v>
      </c>
      <c r="D2131" s="64" t="s">
        <v>699</v>
      </c>
      <c r="E2131" s="966">
        <f t="shared" si="231"/>
        <v>42543</v>
      </c>
      <c r="F2131" s="72" t="s">
        <v>1876</v>
      </c>
      <c r="G2131" s="1159" t="s">
        <v>1655</v>
      </c>
      <c r="H2131" s="963"/>
      <c r="I2131" s="964"/>
      <c r="J2131" s="964"/>
      <c r="K2131" s="965">
        <v>781969.73</v>
      </c>
      <c r="L2131" s="964">
        <v>22308</v>
      </c>
      <c r="M2131" s="1120">
        <f>ROUND(K2131*L2131,0)</f>
        <v>17444180737</v>
      </c>
      <c r="N2131" s="1121" t="s">
        <v>266</v>
      </c>
      <c r="O2131" s="1121" t="s">
        <v>266</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s="1122"/>
      <c r="AF2131" s="1122"/>
    </row>
    <row r="2132" spans="1:32" ht="15.75" customHeight="1">
      <c r="A2132" s="334" t="str">
        <f>IF(B2132&lt;&gt;"",IF(AND(B2132='IN-TC'!$S$4,OR(TH!N2132="1111",TH!O2132="1111")),TH!D2132,""),"")</f>
        <v/>
      </c>
      <c r="B2132" s="993">
        <f t="shared" si="230"/>
        <v>6</v>
      </c>
      <c r="C2132" s="78">
        <v>42543</v>
      </c>
      <c r="D2132" s="64" t="s">
        <v>702</v>
      </c>
      <c r="E2132" s="78">
        <f t="shared" si="231"/>
        <v>42543</v>
      </c>
      <c r="F2132" s="67" t="s">
        <v>1873</v>
      </c>
      <c r="G2132" s="79" t="s">
        <v>915</v>
      </c>
      <c r="H2132" s="80" t="s">
        <v>717</v>
      </c>
      <c r="I2132" s="435"/>
      <c r="J2132" s="435"/>
      <c r="K2132" s="426">
        <v>13915</v>
      </c>
      <c r="L2132" s="435">
        <v>22308</v>
      </c>
      <c r="M2132" s="81">
        <f>ROUND(K2132*L2132,0)</f>
        <v>310415820</v>
      </c>
      <c r="N2132" s="82" t="s">
        <v>87</v>
      </c>
      <c r="O2132" s="82" t="s">
        <v>266</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c r="AE2132" s="345"/>
      <c r="AF2132" s="345"/>
    </row>
    <row r="2133" spans="1:32" ht="15.75" customHeight="1">
      <c r="A2133" s="334" t="str">
        <f>IF(B2133&lt;&gt;"",IF(AND(B2133='IN-TC'!$S$4,OR(TH!N2133="1111",TH!O2133="1111")),TH!D2133,""),"")</f>
        <v/>
      </c>
      <c r="B2133" s="993">
        <f t="shared" si="230"/>
        <v>6</v>
      </c>
      <c r="C2133" s="78">
        <v>42543</v>
      </c>
      <c r="D2133" s="78" t="s">
        <v>579</v>
      </c>
      <c r="E2133" s="78">
        <f t="shared" si="231"/>
        <v>42543</v>
      </c>
      <c r="F2133" s="67" t="s">
        <v>1062</v>
      </c>
      <c r="G2133" s="79"/>
      <c r="H2133" s="80" t="s">
        <v>717</v>
      </c>
      <c r="I2133" s="435"/>
      <c r="J2133" s="435"/>
      <c r="K2133" s="426"/>
      <c r="L2133" s="435"/>
      <c r="M2133" s="81">
        <v>2462955</v>
      </c>
      <c r="N2133" s="82" t="s">
        <v>87</v>
      </c>
      <c r="O2133" s="66" t="s">
        <v>43</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s="345"/>
      <c r="AF2133" s="345"/>
    </row>
    <row r="2134" spans="1:32" ht="15.75" customHeight="1">
      <c r="A2134" s="334" t="str">
        <f>IF(B2134&lt;&gt;"",IF(AND(B2134='IN-TC'!$S$4,OR(TH!N2134="1111",TH!O2134="1111")),TH!D2134,""),"")</f>
        <v/>
      </c>
      <c r="B2134" s="63">
        <f t="shared" si="230"/>
        <v>6</v>
      </c>
      <c r="C2134" s="64">
        <v>42543</v>
      </c>
      <c r="D2134" s="64" t="s">
        <v>702</v>
      </c>
      <c r="E2134" s="64">
        <f t="shared" si="231"/>
        <v>42543</v>
      </c>
      <c r="F2134" s="72" t="s">
        <v>1042</v>
      </c>
      <c r="G2134" s="67" t="s">
        <v>915</v>
      </c>
      <c r="H2134" s="80" t="s">
        <v>717</v>
      </c>
      <c r="I2134" s="437"/>
      <c r="J2134" s="437"/>
      <c r="K2134" s="428"/>
      <c r="L2134" s="437"/>
      <c r="M2134" s="65">
        <v>621444</v>
      </c>
      <c r="N2134" s="66" t="s">
        <v>99</v>
      </c>
      <c r="O2134" s="66" t="s">
        <v>26</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2" ht="15.75" customHeight="1">
      <c r="A2135" s="334" t="str">
        <f>IF(B2135&lt;&gt;"",IF(AND(B2135='IN-TC'!$S$4,OR(TH!N2135="1111",TH!O2135="1111")),TH!D2135,""),"")</f>
        <v/>
      </c>
      <c r="B2135" s="993">
        <f t="shared" si="230"/>
        <v>6</v>
      </c>
      <c r="C2135" s="78">
        <v>42543</v>
      </c>
      <c r="D2135" s="64" t="s">
        <v>702</v>
      </c>
      <c r="E2135" s="78">
        <f t="shared" si="231"/>
        <v>42543</v>
      </c>
      <c r="F2135" s="67" t="s">
        <v>1873</v>
      </c>
      <c r="G2135" s="79" t="s">
        <v>915</v>
      </c>
      <c r="H2135" s="80" t="s">
        <v>710</v>
      </c>
      <c r="I2135" s="435"/>
      <c r="J2135" s="435"/>
      <c r="K2135" s="426">
        <v>33319.39</v>
      </c>
      <c r="L2135" s="435">
        <v>22308</v>
      </c>
      <c r="M2135" s="81">
        <f>ROUND(K2135*L2135,0)</f>
        <v>743288952</v>
      </c>
      <c r="N2135" s="82" t="s">
        <v>87</v>
      </c>
      <c r="O2135" s="82" t="s">
        <v>266</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c r="AE2135" s="345"/>
      <c r="AF2135" s="345"/>
    </row>
    <row r="2136" spans="1:32" ht="15.75" customHeight="1">
      <c r="A2136" s="334" t="str">
        <f>IF(B2136&lt;&gt;"",IF(AND(B2136='IN-TC'!$S$4,OR(TH!N2136="1111",TH!O2136="1111")),TH!D2136,""),"")</f>
        <v/>
      </c>
      <c r="B2136" s="993">
        <f t="shared" si="230"/>
        <v>6</v>
      </c>
      <c r="C2136" s="78">
        <v>42543</v>
      </c>
      <c r="D2136" s="78" t="s">
        <v>579</v>
      </c>
      <c r="E2136" s="78">
        <f t="shared" si="231"/>
        <v>42543</v>
      </c>
      <c r="F2136" s="67" t="s">
        <v>1062</v>
      </c>
      <c r="G2136" s="79"/>
      <c r="H2136" s="80" t="s">
        <v>710</v>
      </c>
      <c r="I2136" s="435"/>
      <c r="J2136" s="435"/>
      <c r="K2136" s="426"/>
      <c r="L2136" s="435"/>
      <c r="M2136" s="81">
        <v>5897532</v>
      </c>
      <c r="N2136" s="82" t="s">
        <v>87</v>
      </c>
      <c r="O2136" s="66" t="s">
        <v>43</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s="345"/>
      <c r="AF2136" s="345"/>
    </row>
    <row r="2137" spans="1:32" ht="15.75" customHeight="1">
      <c r="A2137" s="334" t="str">
        <f>IF(B2137&lt;&gt;"",IF(AND(B2137='IN-TC'!$S$4,OR(TH!N2137="1111",TH!O2137="1111")),TH!D2137,""),"")</f>
        <v/>
      </c>
      <c r="B2137" s="63">
        <f t="shared" si="230"/>
        <v>6</v>
      </c>
      <c r="C2137" s="64">
        <v>42543</v>
      </c>
      <c r="D2137" s="64" t="s">
        <v>702</v>
      </c>
      <c r="E2137" s="64">
        <f t="shared" si="231"/>
        <v>42543</v>
      </c>
      <c r="F2137" s="72" t="s">
        <v>1043</v>
      </c>
      <c r="G2137" s="67" t="s">
        <v>915</v>
      </c>
      <c r="H2137" s="80" t="s">
        <v>710</v>
      </c>
      <c r="I2137" s="437"/>
      <c r="J2137" s="437"/>
      <c r="K2137" s="428"/>
      <c r="L2137" s="437"/>
      <c r="M2137" s="65">
        <v>1488071</v>
      </c>
      <c r="N2137" s="66" t="s">
        <v>99</v>
      </c>
      <c r="O2137" s="66" t="s">
        <v>26</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2" ht="15.75" customHeight="1">
      <c r="A2138" s="334" t="str">
        <f>IF(B2138&lt;&gt;"",IF(AND(B2138='IN-TC'!$S$4,OR(TH!N2138="1111",TH!O2138="1111")),TH!D2138,""),"")</f>
        <v/>
      </c>
      <c r="B2138" s="993">
        <f t="shared" si="230"/>
        <v>6</v>
      </c>
      <c r="C2138" s="78">
        <v>42543</v>
      </c>
      <c r="D2138" s="64" t="s">
        <v>702</v>
      </c>
      <c r="E2138" s="78">
        <f t="shared" si="231"/>
        <v>42543</v>
      </c>
      <c r="F2138" s="67" t="s">
        <v>1873</v>
      </c>
      <c r="G2138" s="79" t="s">
        <v>915</v>
      </c>
      <c r="H2138" s="80" t="s">
        <v>711</v>
      </c>
      <c r="I2138" s="435"/>
      <c r="J2138" s="435"/>
      <c r="K2138" s="426">
        <v>20515.96</v>
      </c>
      <c r="L2138" s="435">
        <v>22308</v>
      </c>
      <c r="M2138" s="81">
        <f>ROUND(K2138*L2138,0)</f>
        <v>457670036</v>
      </c>
      <c r="N2138" s="82" t="s">
        <v>87</v>
      </c>
      <c r="O2138" s="82" t="s">
        <v>266</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s="345"/>
      <c r="AF2138" s="345"/>
    </row>
    <row r="2139" spans="1:32" ht="15.75" customHeight="1">
      <c r="A2139" s="334" t="str">
        <f>IF(B2139&lt;&gt;"",IF(AND(B2139='IN-TC'!$S$4,OR(TH!N2139="1111",TH!O2139="1111")),TH!D2139,""),"")</f>
        <v/>
      </c>
      <c r="B2139" s="993">
        <f t="shared" si="230"/>
        <v>6</v>
      </c>
      <c r="C2139" s="78">
        <v>42543</v>
      </c>
      <c r="D2139" s="78" t="s">
        <v>579</v>
      </c>
      <c r="E2139" s="78">
        <f t="shared" si="231"/>
        <v>42543</v>
      </c>
      <c r="F2139" s="67" t="s">
        <v>1062</v>
      </c>
      <c r="G2139" s="79"/>
      <c r="H2139" s="80" t="s">
        <v>711</v>
      </c>
      <c r="I2139" s="435"/>
      <c r="J2139" s="435"/>
      <c r="K2139" s="426"/>
      <c r="L2139" s="435"/>
      <c r="M2139" s="81">
        <v>3631325</v>
      </c>
      <c r="N2139" s="82" t="s">
        <v>87</v>
      </c>
      <c r="O2139" s="66" t="s">
        <v>43</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s="345"/>
      <c r="AF2139" s="345"/>
    </row>
    <row r="2140" spans="1:32" ht="15.75" customHeight="1">
      <c r="A2140" s="334" t="str">
        <f>IF(B2140&lt;&gt;"",IF(AND(B2140='IN-TC'!$S$4,OR(TH!N2140="1111",TH!O2140="1111")),TH!D2140,""),"")</f>
        <v/>
      </c>
      <c r="B2140" s="63">
        <f t="shared" si="230"/>
        <v>6</v>
      </c>
      <c r="C2140" s="64">
        <v>42543</v>
      </c>
      <c r="D2140" s="64" t="s">
        <v>702</v>
      </c>
      <c r="E2140" s="64">
        <f t="shared" si="231"/>
        <v>42543</v>
      </c>
      <c r="F2140" s="72" t="s">
        <v>1044</v>
      </c>
      <c r="G2140" s="67" t="s">
        <v>915</v>
      </c>
      <c r="H2140" s="80" t="s">
        <v>711</v>
      </c>
      <c r="I2140" s="437"/>
      <c r="J2140" s="437"/>
      <c r="K2140" s="428"/>
      <c r="L2140" s="437"/>
      <c r="M2140" s="65">
        <v>916200</v>
      </c>
      <c r="N2140" s="66" t="s">
        <v>99</v>
      </c>
      <c r="O2140" s="66" t="s">
        <v>26</v>
      </c>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2" ht="15.75" customHeight="1">
      <c r="A2141" s="334" t="str">
        <f>IF(B2141&lt;&gt;"",IF(AND(B2141='IN-TC'!$S$4,OR(TH!N2141="1111",TH!O2141="1111")),TH!D2141,""),"")</f>
        <v/>
      </c>
      <c r="B2141" s="993">
        <f t="shared" si="230"/>
        <v>6</v>
      </c>
      <c r="C2141" s="78">
        <v>42543</v>
      </c>
      <c r="D2141" s="64" t="s">
        <v>702</v>
      </c>
      <c r="E2141" s="78">
        <f t="shared" si="231"/>
        <v>42543</v>
      </c>
      <c r="F2141" s="67" t="s">
        <v>1873</v>
      </c>
      <c r="G2141" s="79" t="s">
        <v>915</v>
      </c>
      <c r="H2141" s="80" t="s">
        <v>718</v>
      </c>
      <c r="I2141" s="435"/>
      <c r="J2141" s="435"/>
      <c r="K2141" s="426">
        <v>28719.38</v>
      </c>
      <c r="L2141" s="435">
        <v>22308</v>
      </c>
      <c r="M2141" s="81">
        <f>ROUND(K2141*L2141,0)</f>
        <v>640671929</v>
      </c>
      <c r="N2141" s="82" t="s">
        <v>87</v>
      </c>
      <c r="O2141" s="82" t="s">
        <v>266</v>
      </c>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s="345"/>
      <c r="AF2141" s="345"/>
    </row>
    <row r="2142" spans="1:32" ht="15.75" customHeight="1">
      <c r="A2142" s="334" t="str">
        <f>IF(B2142&lt;&gt;"",IF(AND(B2142='IN-TC'!$S$4,OR(TH!N2142="1111",TH!O2142="1111")),TH!D2142,""),"")</f>
        <v/>
      </c>
      <c r="B2142" s="993">
        <f t="shared" si="230"/>
        <v>6</v>
      </c>
      <c r="C2142" s="78">
        <v>42543</v>
      </c>
      <c r="D2142" s="78" t="s">
        <v>579</v>
      </c>
      <c r="E2142" s="78">
        <f t="shared" si="231"/>
        <v>42543</v>
      </c>
      <c r="F2142" s="67" t="s">
        <v>1062</v>
      </c>
      <c r="G2142" s="79"/>
      <c r="H2142" s="80" t="s">
        <v>718</v>
      </c>
      <c r="I2142" s="435"/>
      <c r="J2142" s="435"/>
      <c r="K2142" s="426"/>
      <c r="L2142" s="435"/>
      <c r="M2142" s="81">
        <v>5083330</v>
      </c>
      <c r="N2142" s="82" t="s">
        <v>87</v>
      </c>
      <c r="O2142" s="66" t="s">
        <v>43</v>
      </c>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s="345"/>
      <c r="AF2142" s="345"/>
    </row>
    <row r="2143" spans="1:32" ht="15.75" customHeight="1">
      <c r="A2143" s="334" t="str">
        <f>IF(B2143&lt;&gt;"",IF(AND(B2143='IN-TC'!$S$4,OR(TH!N2143="1111",TH!O2143="1111")),TH!D2143,""),"")</f>
        <v/>
      </c>
      <c r="B2143" s="63">
        <f t="shared" si="230"/>
        <v>6</v>
      </c>
      <c r="C2143" s="64">
        <v>42543</v>
      </c>
      <c r="D2143" s="64" t="s">
        <v>702</v>
      </c>
      <c r="E2143" s="64">
        <f t="shared" si="231"/>
        <v>42543</v>
      </c>
      <c r="F2143" s="72" t="s">
        <v>1045</v>
      </c>
      <c r="G2143" s="67" t="s">
        <v>915</v>
      </c>
      <c r="H2143" s="80" t="s">
        <v>718</v>
      </c>
      <c r="I2143" s="437"/>
      <c r="J2143" s="437"/>
      <c r="K2143" s="428"/>
      <c r="L2143" s="437"/>
      <c r="M2143" s="65">
        <v>1282635</v>
      </c>
      <c r="N2143" s="66" t="s">
        <v>99</v>
      </c>
      <c r="O2143" s="66" t="s">
        <v>26</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2" ht="15.75" customHeight="1">
      <c r="A2144" s="334" t="str">
        <f>IF(B2144&lt;&gt;"",IF(AND(B2144='IN-TC'!$S$4,OR(TH!N2144="1111",TH!O2144="1111")),TH!D2144,""),"")</f>
        <v/>
      </c>
      <c r="B2144" s="63">
        <f t="shared" si="230"/>
        <v>6</v>
      </c>
      <c r="C2144" s="64">
        <v>42543</v>
      </c>
      <c r="D2144" s="64" t="s">
        <v>702</v>
      </c>
      <c r="E2144" s="64">
        <f t="shared" si="231"/>
        <v>42543</v>
      </c>
      <c r="F2144" s="72" t="s">
        <v>748</v>
      </c>
      <c r="G2144" s="67" t="s">
        <v>915</v>
      </c>
      <c r="H2144" s="342" t="s">
        <v>722</v>
      </c>
      <c r="I2144" s="437"/>
      <c r="J2144" s="437"/>
      <c r="K2144" s="428"/>
      <c r="L2144" s="437"/>
      <c r="M2144" s="65">
        <v>888287</v>
      </c>
      <c r="N2144" s="66" t="s">
        <v>99</v>
      </c>
      <c r="O2144" s="66" t="s">
        <v>26</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2" ht="15.75" customHeight="1">
      <c r="A2145" s="334" t="str">
        <f>IF(B2145&lt;&gt;"",IF(AND(B2145='IN-TC'!$S$4,OR(TH!N2145="1111",TH!O2145="1111")),TH!D2145,""),"")</f>
        <v/>
      </c>
      <c r="B2145" s="993">
        <f t="shared" si="230"/>
        <v>6</v>
      </c>
      <c r="C2145" s="78">
        <v>42543</v>
      </c>
      <c r="D2145" s="64" t="s">
        <v>702</v>
      </c>
      <c r="E2145" s="78">
        <f t="shared" si="231"/>
        <v>42543</v>
      </c>
      <c r="F2145" s="67" t="s">
        <v>1873</v>
      </c>
      <c r="G2145" s="79" t="s">
        <v>915</v>
      </c>
      <c r="H2145" s="80" t="s">
        <v>722</v>
      </c>
      <c r="I2145" s="435"/>
      <c r="J2145" s="435"/>
      <c r="K2145" s="426">
        <v>89500</v>
      </c>
      <c r="L2145" s="435">
        <v>22308</v>
      </c>
      <c r="M2145" s="81">
        <f>ROUND(K2145*L2145,0)</f>
        <v>1996566000</v>
      </c>
      <c r="N2145" s="82" t="s">
        <v>260</v>
      </c>
      <c r="O2145" s="82" t="s">
        <v>266</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s="345"/>
      <c r="AF2145" s="345"/>
    </row>
    <row r="2146" spans="1:32" ht="15.75" customHeight="1">
      <c r="A2146" s="334" t="str">
        <f>IF(B2146&lt;&gt;"",IF(AND(B2146='IN-TC'!$S$4,OR(TH!N2146="1111",TH!O2146="1111")),TH!D2146,""),"")</f>
        <v/>
      </c>
      <c r="B2146" s="993">
        <f t="shared" si="230"/>
        <v>6</v>
      </c>
      <c r="C2146" s="78">
        <v>42543</v>
      </c>
      <c r="D2146" s="78" t="s">
        <v>579</v>
      </c>
      <c r="E2146" s="78">
        <f t="shared" si="231"/>
        <v>42543</v>
      </c>
      <c r="F2146" s="67" t="s">
        <v>1062</v>
      </c>
      <c r="G2146" s="79"/>
      <c r="H2146" s="80" t="s">
        <v>722</v>
      </c>
      <c r="I2146" s="435"/>
      <c r="J2146" s="435"/>
      <c r="K2146" s="426"/>
      <c r="L2146" s="435"/>
      <c r="M2146" s="81">
        <v>14678000</v>
      </c>
      <c r="N2146" s="82" t="s">
        <v>260</v>
      </c>
      <c r="O2146" s="66" t="s">
        <v>43</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s="345"/>
      <c r="AF2146" s="345"/>
    </row>
    <row r="2147" spans="1:32" ht="15.75" customHeight="1">
      <c r="A2147" s="334" t="str">
        <f>IF(B2147&lt;&gt;"",IF(AND(B2147='IN-TC'!$S$4,OR(TH!N2147="1111",TH!O2147="1111")),TH!D2147,""),"")</f>
        <v/>
      </c>
      <c r="B2147" s="63">
        <f t="shared" si="230"/>
        <v>6</v>
      </c>
      <c r="C2147" s="64">
        <v>42543</v>
      </c>
      <c r="D2147" s="64" t="s">
        <v>702</v>
      </c>
      <c r="E2147" s="64">
        <f t="shared" si="231"/>
        <v>42543</v>
      </c>
      <c r="F2147" s="72" t="s">
        <v>749</v>
      </c>
      <c r="G2147" s="67" t="s">
        <v>915</v>
      </c>
      <c r="H2147" s="342" t="s">
        <v>723</v>
      </c>
      <c r="I2147" s="437"/>
      <c r="J2147" s="437"/>
      <c r="K2147" s="428"/>
      <c r="L2147" s="437"/>
      <c r="M2147" s="65">
        <v>883375</v>
      </c>
      <c r="N2147" s="66" t="s">
        <v>99</v>
      </c>
      <c r="O2147" s="66" t="s">
        <v>26</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2" ht="15.75" customHeight="1">
      <c r="A2148" s="334" t="str">
        <f>IF(B2148&lt;&gt;"",IF(AND(B2148='IN-TC'!$S$4,OR(TH!N2148="1111",TH!O2148="1111")),TH!D2148,""),"")</f>
        <v/>
      </c>
      <c r="B2148" s="993">
        <f t="shared" si="230"/>
        <v>6</v>
      </c>
      <c r="C2148" s="78">
        <v>42543</v>
      </c>
      <c r="D2148" s="64" t="s">
        <v>702</v>
      </c>
      <c r="E2148" s="78">
        <f t="shared" si="231"/>
        <v>42543</v>
      </c>
      <c r="F2148" s="67" t="s">
        <v>1873</v>
      </c>
      <c r="G2148" s="79" t="s">
        <v>915</v>
      </c>
      <c r="H2148" s="80" t="s">
        <v>723</v>
      </c>
      <c r="I2148" s="435"/>
      <c r="J2148" s="435"/>
      <c r="K2148" s="426">
        <v>89000</v>
      </c>
      <c r="L2148" s="435">
        <v>22308</v>
      </c>
      <c r="M2148" s="81">
        <f>ROUND(K2148*L2148,0)</f>
        <v>1985412000</v>
      </c>
      <c r="N2148" s="82" t="s">
        <v>260</v>
      </c>
      <c r="O2148" s="82" t="s">
        <v>266</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s="345"/>
      <c r="AF2148" s="345"/>
    </row>
    <row r="2149" spans="1:32" ht="15.75" customHeight="1">
      <c r="A2149" s="334" t="str">
        <f>IF(B2149&lt;&gt;"",IF(AND(B2149='IN-TC'!$S$4,OR(TH!N2149="1111",TH!O2149="1111")),TH!D2149,""),"")</f>
        <v/>
      </c>
      <c r="B2149" s="993">
        <f t="shared" si="230"/>
        <v>6</v>
      </c>
      <c r="C2149" s="78">
        <v>42543</v>
      </c>
      <c r="D2149" s="78" t="s">
        <v>579</v>
      </c>
      <c r="E2149" s="78">
        <f t="shared" si="231"/>
        <v>42543</v>
      </c>
      <c r="F2149" s="67" t="s">
        <v>1062</v>
      </c>
      <c r="G2149" s="79"/>
      <c r="H2149" s="80" t="s">
        <v>723</v>
      </c>
      <c r="I2149" s="435"/>
      <c r="J2149" s="435"/>
      <c r="K2149" s="426"/>
      <c r="L2149" s="435"/>
      <c r="M2149" s="81">
        <v>15753000</v>
      </c>
      <c r="N2149" s="82" t="s">
        <v>260</v>
      </c>
      <c r="O2149" s="66" t="s">
        <v>43</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s="345"/>
      <c r="AF2149" s="345"/>
    </row>
    <row r="2150" spans="1:32" ht="15.75" customHeight="1">
      <c r="A2150" s="334" t="str">
        <f>IF(B2150&lt;&gt;"",IF(AND(B2150='IN-TC'!$S$4,OR(TH!N2150="1111",TH!O2150="1111")),TH!D2150,""),"")</f>
        <v/>
      </c>
      <c r="B2150" s="63">
        <f t="shared" si="230"/>
        <v>6</v>
      </c>
      <c r="C2150" s="64">
        <v>42543</v>
      </c>
      <c r="D2150" s="64" t="s">
        <v>702</v>
      </c>
      <c r="E2150" s="64">
        <f t="shared" si="231"/>
        <v>42543</v>
      </c>
      <c r="F2150" s="72" t="s">
        <v>1054</v>
      </c>
      <c r="G2150" s="67" t="s">
        <v>915</v>
      </c>
      <c r="H2150" s="342" t="s">
        <v>730</v>
      </c>
      <c r="I2150" s="437"/>
      <c r="J2150" s="437"/>
      <c r="K2150" s="428"/>
      <c r="L2150" s="437"/>
      <c r="M2150" s="65">
        <v>605366</v>
      </c>
      <c r="N2150" s="66" t="s">
        <v>99</v>
      </c>
      <c r="O2150" s="66" t="s">
        <v>26</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2" ht="15.75" customHeight="1">
      <c r="A2151" s="334" t="str">
        <f>IF(B2151&lt;&gt;"",IF(AND(B2151='IN-TC'!$S$4,OR(TH!N2151="1111",TH!O2151="1111")),TH!D2151,""),"")</f>
        <v/>
      </c>
      <c r="B2151" s="993">
        <f t="shared" si="230"/>
        <v>6</v>
      </c>
      <c r="C2151" s="78">
        <v>42543</v>
      </c>
      <c r="D2151" s="64" t="s">
        <v>702</v>
      </c>
      <c r="E2151" s="78">
        <f t="shared" si="231"/>
        <v>42543</v>
      </c>
      <c r="F2151" s="67" t="s">
        <v>1873</v>
      </c>
      <c r="G2151" s="79" t="s">
        <v>915</v>
      </c>
      <c r="H2151" s="80" t="s">
        <v>730</v>
      </c>
      <c r="I2151" s="435"/>
      <c r="J2151" s="435"/>
      <c r="K2151" s="426">
        <v>61000</v>
      </c>
      <c r="L2151" s="435">
        <v>22308</v>
      </c>
      <c r="M2151" s="81">
        <f>ROUND(K2151*L2151,0)</f>
        <v>1360788000</v>
      </c>
      <c r="N2151" s="82" t="s">
        <v>260</v>
      </c>
      <c r="O2151" s="82" t="s">
        <v>266</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c r="AE2151" s="345"/>
      <c r="AF2151" s="345"/>
    </row>
    <row r="2152" spans="1:32" ht="15.75" customHeight="1">
      <c r="A2152" s="334" t="str">
        <f>IF(B2152&lt;&gt;"",IF(AND(B2152='IN-TC'!$S$4,OR(TH!N2152="1111",TH!O2152="1111")),TH!D2152,""),"")</f>
        <v/>
      </c>
      <c r="B2152" s="993">
        <f t="shared" si="230"/>
        <v>6</v>
      </c>
      <c r="C2152" s="78">
        <v>42543</v>
      </c>
      <c r="D2152" s="78" t="s">
        <v>579</v>
      </c>
      <c r="E2152" s="78">
        <f t="shared" si="231"/>
        <v>42543</v>
      </c>
      <c r="F2152" s="67" t="s">
        <v>1062</v>
      </c>
      <c r="G2152" s="79"/>
      <c r="H2152" s="80" t="s">
        <v>730</v>
      </c>
      <c r="I2152" s="435"/>
      <c r="J2152" s="435"/>
      <c r="K2152" s="426"/>
      <c r="L2152" s="435"/>
      <c r="M2152" s="81">
        <v>8052000</v>
      </c>
      <c r="N2152" s="82" t="s">
        <v>260</v>
      </c>
      <c r="O2152" s="66" t="s">
        <v>43</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s="345"/>
      <c r="AF2152" s="345"/>
    </row>
    <row r="2153" spans="1:32" ht="15.75" customHeight="1">
      <c r="A2153" s="334" t="str">
        <f>IF(B2153&lt;&gt;"",IF(AND(B2153='IN-TC'!$S$4,OR(TH!N2153="1111",TH!O2153="1111")),TH!D2153,""),"")</f>
        <v/>
      </c>
      <c r="B2153" s="63">
        <f t="shared" si="230"/>
        <v>6</v>
      </c>
      <c r="C2153" s="64">
        <v>42543</v>
      </c>
      <c r="D2153" s="64" t="s">
        <v>702</v>
      </c>
      <c r="E2153" s="64">
        <f t="shared" si="231"/>
        <v>42543</v>
      </c>
      <c r="F2153" s="72" t="s">
        <v>751</v>
      </c>
      <c r="G2153" s="67" t="s">
        <v>915</v>
      </c>
      <c r="H2153" s="342" t="s">
        <v>724</v>
      </c>
      <c r="I2153" s="437"/>
      <c r="J2153" s="437"/>
      <c r="K2153" s="428"/>
      <c r="L2153" s="437"/>
      <c r="M2153" s="65">
        <v>883375</v>
      </c>
      <c r="N2153" s="66" t="s">
        <v>99</v>
      </c>
      <c r="O2153" s="66" t="s">
        <v>26</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2" ht="15.75" customHeight="1">
      <c r="A2154" s="334" t="str">
        <f>IF(B2154&lt;&gt;"",IF(AND(B2154='IN-TC'!$S$4,OR(TH!N2154="1111",TH!O2154="1111")),TH!D2154,""),"")</f>
        <v/>
      </c>
      <c r="B2154" s="993">
        <f t="shared" si="230"/>
        <v>6</v>
      </c>
      <c r="C2154" s="78">
        <v>42543</v>
      </c>
      <c r="D2154" s="64" t="s">
        <v>702</v>
      </c>
      <c r="E2154" s="78">
        <f t="shared" si="231"/>
        <v>42543</v>
      </c>
      <c r="F2154" s="67" t="s">
        <v>1873</v>
      </c>
      <c r="G2154" s="79" t="s">
        <v>915</v>
      </c>
      <c r="H2154" s="80" t="s">
        <v>724</v>
      </c>
      <c r="I2154" s="435"/>
      <c r="J2154" s="435"/>
      <c r="K2154" s="426">
        <v>89000</v>
      </c>
      <c r="L2154" s="435">
        <v>22308</v>
      </c>
      <c r="M2154" s="81">
        <f>ROUND(K2154*L2154,0)</f>
        <v>1985412000</v>
      </c>
      <c r="N2154" s="82" t="s">
        <v>260</v>
      </c>
      <c r="O2154" s="82" t="s">
        <v>266</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s="345"/>
      <c r="AF2154" s="345"/>
    </row>
    <row r="2155" spans="1:32" ht="15.75" customHeight="1">
      <c r="A2155" s="334" t="str">
        <f>IF(B2155&lt;&gt;"",IF(AND(B2155='IN-TC'!$S$4,OR(TH!N2155="1111",TH!O2155="1111")),TH!D2155,""),"")</f>
        <v/>
      </c>
      <c r="B2155" s="993">
        <f t="shared" si="230"/>
        <v>6</v>
      </c>
      <c r="C2155" s="78">
        <v>42543</v>
      </c>
      <c r="D2155" s="78" t="s">
        <v>579</v>
      </c>
      <c r="E2155" s="78">
        <f t="shared" si="231"/>
        <v>42543</v>
      </c>
      <c r="F2155" s="67" t="s">
        <v>1062</v>
      </c>
      <c r="G2155" s="79"/>
      <c r="H2155" s="80" t="s">
        <v>724</v>
      </c>
      <c r="I2155" s="435"/>
      <c r="J2155" s="435"/>
      <c r="K2155" s="426"/>
      <c r="L2155" s="435"/>
      <c r="M2155" s="81">
        <v>15931000</v>
      </c>
      <c r="N2155" s="82" t="s">
        <v>260</v>
      </c>
      <c r="O2155" s="66" t="s">
        <v>43</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s="345"/>
      <c r="AF2155" s="345"/>
    </row>
    <row r="2156" spans="1:32" ht="15.75" customHeight="1">
      <c r="A2156" s="334" t="str">
        <f>IF(B2156&lt;&gt;"",IF(AND(B2156='IN-TC'!$S$4,OR(TH!N2156="1111",TH!O2156="1111")),TH!D2156,""),"")</f>
        <v/>
      </c>
      <c r="B2156" s="63">
        <f t="shared" si="230"/>
        <v>6</v>
      </c>
      <c r="C2156" s="64">
        <v>42543</v>
      </c>
      <c r="D2156" s="64" t="s">
        <v>702</v>
      </c>
      <c r="E2156" s="64">
        <f t="shared" si="231"/>
        <v>42543</v>
      </c>
      <c r="F2156" s="72" t="s">
        <v>1055</v>
      </c>
      <c r="G2156" s="67" t="s">
        <v>915</v>
      </c>
      <c r="H2156" s="342" t="s">
        <v>725</v>
      </c>
      <c r="I2156" s="437"/>
      <c r="J2156" s="437"/>
      <c r="K2156" s="428"/>
      <c r="L2156" s="437"/>
      <c r="M2156" s="65">
        <v>873326</v>
      </c>
      <c r="N2156" s="66" t="s">
        <v>99</v>
      </c>
      <c r="O2156" s="66" t="s">
        <v>26</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row>
    <row r="2157" spans="1:32" ht="15.75" customHeight="1">
      <c r="A2157" s="334" t="str">
        <f>IF(B2157&lt;&gt;"",IF(AND(B2157='IN-TC'!$S$4,OR(TH!N2157="1111",TH!O2157="1111")),TH!D2157,""),"")</f>
        <v/>
      </c>
      <c r="B2157" s="993">
        <f t="shared" si="230"/>
        <v>6</v>
      </c>
      <c r="C2157" s="78">
        <v>42543</v>
      </c>
      <c r="D2157" s="64" t="s">
        <v>702</v>
      </c>
      <c r="E2157" s="78">
        <f t="shared" si="231"/>
        <v>42543</v>
      </c>
      <c r="F2157" s="67" t="s">
        <v>1873</v>
      </c>
      <c r="G2157" s="79" t="s">
        <v>915</v>
      </c>
      <c r="H2157" s="80" t="s">
        <v>725</v>
      </c>
      <c r="I2157" s="435"/>
      <c r="J2157" s="435"/>
      <c r="K2157" s="426">
        <v>88000</v>
      </c>
      <c r="L2157" s="435">
        <v>22308</v>
      </c>
      <c r="M2157" s="81">
        <f>ROUND(K2157*L2157,0)</f>
        <v>1963104000</v>
      </c>
      <c r="N2157" s="82" t="s">
        <v>260</v>
      </c>
      <c r="O2157" s="82" t="s">
        <v>266</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s="345"/>
      <c r="AF2157" s="345"/>
    </row>
    <row r="2158" spans="1:32" ht="15.75" customHeight="1">
      <c r="A2158" s="334" t="str">
        <f>IF(B2158&lt;&gt;"",IF(AND(B2158='IN-TC'!$S$4,OR(TH!N2158="1111",TH!O2158="1111")),TH!D2158,""),"")</f>
        <v/>
      </c>
      <c r="B2158" s="993">
        <f t="shared" si="230"/>
        <v>6</v>
      </c>
      <c r="C2158" s="78">
        <v>42543</v>
      </c>
      <c r="D2158" s="78" t="s">
        <v>579</v>
      </c>
      <c r="E2158" s="78">
        <f t="shared" si="231"/>
        <v>42543</v>
      </c>
      <c r="F2158" s="67" t="s">
        <v>1062</v>
      </c>
      <c r="G2158" s="79"/>
      <c r="H2158" s="80" t="s">
        <v>725</v>
      </c>
      <c r="I2158" s="435"/>
      <c r="J2158" s="435"/>
      <c r="K2158" s="426"/>
      <c r="L2158" s="435"/>
      <c r="M2158" s="81">
        <v>20416000</v>
      </c>
      <c r="N2158" s="82" t="s">
        <v>260</v>
      </c>
      <c r="O2158" s="66" t="s">
        <v>43</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s="345"/>
      <c r="AF2158" s="345"/>
    </row>
    <row r="2159" spans="1:32" ht="15.75" customHeight="1">
      <c r="A2159" s="334" t="str">
        <f>IF(B2159&lt;&gt;"",IF(AND(B2159='IN-TC'!$S$4,OR(TH!N2159="1111",TH!O2159="1111")),TH!D2159,""),"")</f>
        <v/>
      </c>
      <c r="B2159" s="63">
        <f t="shared" si="230"/>
        <v>6</v>
      </c>
      <c r="C2159" s="64">
        <v>42543</v>
      </c>
      <c r="D2159" s="64" t="s">
        <v>702</v>
      </c>
      <c r="E2159" s="64">
        <f t="shared" si="231"/>
        <v>42543</v>
      </c>
      <c r="F2159" s="72" t="s">
        <v>1644</v>
      </c>
      <c r="G2159" s="67" t="s">
        <v>915</v>
      </c>
      <c r="H2159" s="342" t="s">
        <v>733</v>
      </c>
      <c r="I2159" s="437"/>
      <c r="J2159" s="437"/>
      <c r="K2159" s="428"/>
      <c r="L2159" s="437"/>
      <c r="M2159" s="65">
        <v>962646</v>
      </c>
      <c r="N2159" s="66" t="s">
        <v>99</v>
      </c>
      <c r="O2159" s="66" t="s">
        <v>26</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row>
    <row r="2160" spans="1:32" ht="15.75" customHeight="1">
      <c r="A2160" s="334" t="str">
        <f>IF(B2160&lt;&gt;"",IF(AND(B2160='IN-TC'!$S$4,OR(TH!N2160="1111",TH!O2160="1111")),TH!D2160,""),"")</f>
        <v/>
      </c>
      <c r="B2160" s="993">
        <f t="shared" si="230"/>
        <v>6</v>
      </c>
      <c r="C2160" s="78">
        <v>42543</v>
      </c>
      <c r="D2160" s="64" t="s">
        <v>702</v>
      </c>
      <c r="E2160" s="78">
        <f t="shared" si="231"/>
        <v>42543</v>
      </c>
      <c r="F2160" s="67" t="s">
        <v>1873</v>
      </c>
      <c r="G2160" s="79" t="s">
        <v>915</v>
      </c>
      <c r="H2160" s="80" t="s">
        <v>733</v>
      </c>
      <c r="I2160" s="435"/>
      <c r="J2160" s="435"/>
      <c r="K2160" s="426">
        <v>97000</v>
      </c>
      <c r="L2160" s="435">
        <v>22308</v>
      </c>
      <c r="M2160" s="81">
        <f>ROUND(K2160*L2160,0)</f>
        <v>2163876000</v>
      </c>
      <c r="N2160" s="82" t="s">
        <v>260</v>
      </c>
      <c r="O2160" s="82" t="s">
        <v>266</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s="345"/>
      <c r="AF2160" s="345"/>
    </row>
    <row r="2161" spans="1:32" ht="15.75" customHeight="1">
      <c r="A2161" s="334" t="str">
        <f>IF(B2161&lt;&gt;"",IF(AND(B2161='IN-TC'!$S$4,OR(TH!N2161="1111",TH!O2161="1111")),TH!D2161,""),"")</f>
        <v/>
      </c>
      <c r="B2161" s="993">
        <f t="shared" si="230"/>
        <v>6</v>
      </c>
      <c r="C2161" s="78">
        <v>42543</v>
      </c>
      <c r="D2161" s="78" t="s">
        <v>579</v>
      </c>
      <c r="E2161" s="78">
        <f t="shared" si="231"/>
        <v>42543</v>
      </c>
      <c r="F2161" s="67" t="s">
        <v>1062</v>
      </c>
      <c r="G2161" s="79"/>
      <c r="H2161" s="80" t="s">
        <v>733</v>
      </c>
      <c r="I2161" s="435"/>
      <c r="J2161" s="435"/>
      <c r="K2161" s="426"/>
      <c r="L2161" s="435"/>
      <c r="M2161" s="81">
        <v>5044000</v>
      </c>
      <c r="N2161" s="82" t="s">
        <v>260</v>
      </c>
      <c r="O2161" s="66" t="s">
        <v>43</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s="345"/>
      <c r="AF2161" s="345"/>
    </row>
    <row r="2162" spans="1:32" ht="15.75" customHeight="1">
      <c r="A2162" s="334" t="str">
        <f>IF(B2162&lt;&gt;"",IF(AND(B2162='IN-TC'!$S$4,OR(TH!N2162="1111",TH!O2162="1111")),TH!D2162,""),"")</f>
        <v/>
      </c>
      <c r="B2162" s="63">
        <f t="shared" si="230"/>
        <v>6</v>
      </c>
      <c r="C2162" s="64">
        <v>42543</v>
      </c>
      <c r="D2162" s="64" t="s">
        <v>702</v>
      </c>
      <c r="E2162" s="64">
        <f t="shared" si="231"/>
        <v>42543</v>
      </c>
      <c r="F2162" s="72" t="s">
        <v>1645</v>
      </c>
      <c r="G2162" s="67" t="s">
        <v>915</v>
      </c>
      <c r="H2162" s="342" t="s">
        <v>1181</v>
      </c>
      <c r="I2162" s="437"/>
      <c r="J2162" s="437"/>
      <c r="K2162" s="428"/>
      <c r="L2162" s="437"/>
      <c r="M2162" s="65">
        <v>813705</v>
      </c>
      <c r="N2162" s="66" t="s">
        <v>99</v>
      </c>
      <c r="O2162" s="66" t="s">
        <v>26</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2" ht="15.75" customHeight="1">
      <c r="A2163" s="334" t="str">
        <f>IF(B2163&lt;&gt;"",IF(AND(B2163='IN-TC'!$S$4,OR(TH!N2163="1111",TH!O2163="1111")),TH!D2163,""),"")</f>
        <v/>
      </c>
      <c r="B2163" s="993">
        <f t="shared" si="230"/>
        <v>6</v>
      </c>
      <c r="C2163" s="78">
        <v>42543</v>
      </c>
      <c r="D2163" s="64" t="s">
        <v>702</v>
      </c>
      <c r="E2163" s="78">
        <f t="shared" si="231"/>
        <v>42543</v>
      </c>
      <c r="F2163" s="67" t="s">
        <v>1873</v>
      </c>
      <c r="G2163" s="79" t="s">
        <v>915</v>
      </c>
      <c r="H2163" s="80" t="s">
        <v>1181</v>
      </c>
      <c r="I2163" s="435"/>
      <c r="J2163" s="435"/>
      <c r="K2163" s="426">
        <v>82000</v>
      </c>
      <c r="L2163" s="435">
        <v>22308</v>
      </c>
      <c r="M2163" s="81">
        <f>ROUND(K2163*L2163,0)</f>
        <v>1829256000</v>
      </c>
      <c r="N2163" s="82" t="s">
        <v>260</v>
      </c>
      <c r="O2163" s="82" t="s">
        <v>266</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s="345"/>
      <c r="AF2163" s="345"/>
    </row>
    <row r="2164" spans="1:32" ht="15.75" customHeight="1">
      <c r="A2164" s="334" t="str">
        <f>IF(B2164&lt;&gt;"",IF(AND(B2164='IN-TC'!$S$4,OR(TH!N2164="1111",TH!O2164="1111")),TH!D2164,""),"")</f>
        <v/>
      </c>
      <c r="B2164" s="993">
        <f t="shared" si="230"/>
        <v>6</v>
      </c>
      <c r="C2164" s="78">
        <v>42543</v>
      </c>
      <c r="D2164" s="78" t="s">
        <v>579</v>
      </c>
      <c r="E2164" s="78">
        <f t="shared" si="231"/>
        <v>42543</v>
      </c>
      <c r="F2164" s="67" t="s">
        <v>1062</v>
      </c>
      <c r="G2164" s="79"/>
      <c r="H2164" s="80" t="s">
        <v>1181</v>
      </c>
      <c r="I2164" s="435"/>
      <c r="J2164" s="435"/>
      <c r="K2164" s="426"/>
      <c r="L2164" s="435"/>
      <c r="M2164" s="81">
        <v>656000</v>
      </c>
      <c r="N2164" s="66" t="s">
        <v>99</v>
      </c>
      <c r="O2164" s="82" t="s">
        <v>260</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s="345"/>
      <c r="AF2164" s="345"/>
    </row>
    <row r="2165" spans="1:32" s="345" customFormat="1" ht="15.75" customHeight="1">
      <c r="A2165" s="334" t="str">
        <f>IF(B2165&lt;&gt;"",IF(AND(B2165='IN-TC'!$S$4,OR(TH!N2165="1111",TH!O2165="1111")),TH!D2165,""),"")</f>
        <v/>
      </c>
      <c r="B2165" s="63">
        <f t="shared" si="230"/>
        <v>6</v>
      </c>
      <c r="C2165" s="64">
        <v>42543</v>
      </c>
      <c r="D2165" s="64" t="s">
        <v>702</v>
      </c>
      <c r="E2165" s="64">
        <f t="shared" si="231"/>
        <v>42543</v>
      </c>
      <c r="F2165" s="72" t="s">
        <v>1646</v>
      </c>
      <c r="G2165" s="67" t="s">
        <v>915</v>
      </c>
      <c r="H2165" s="342" t="s">
        <v>1182</v>
      </c>
      <c r="I2165" s="437"/>
      <c r="J2165" s="437"/>
      <c r="K2165" s="428"/>
      <c r="L2165" s="437"/>
      <c r="M2165" s="65">
        <v>893200</v>
      </c>
      <c r="N2165" s="66" t="s">
        <v>99</v>
      </c>
      <c r="O2165" s="66" t="s">
        <v>26</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s="328"/>
      <c r="AF2165" s="328"/>
    </row>
    <row r="2166" spans="1:32" ht="15.75" customHeight="1">
      <c r="A2166" s="334" t="str">
        <f>IF(B2166&lt;&gt;"",IF(AND(B2166='IN-TC'!$S$4,OR(TH!N2166="1111",TH!O2166="1111")),TH!D2166,""),"")</f>
        <v/>
      </c>
      <c r="B2166" s="993">
        <f t="shared" si="230"/>
        <v>6</v>
      </c>
      <c r="C2166" s="78">
        <v>42543</v>
      </c>
      <c r="D2166" s="64" t="s">
        <v>702</v>
      </c>
      <c r="E2166" s="78">
        <f t="shared" si="231"/>
        <v>42543</v>
      </c>
      <c r="F2166" s="67" t="s">
        <v>1873</v>
      </c>
      <c r="G2166" s="79" t="s">
        <v>915</v>
      </c>
      <c r="H2166" s="80" t="s">
        <v>1182</v>
      </c>
      <c r="I2166" s="435"/>
      <c r="J2166" s="435"/>
      <c r="K2166" s="426">
        <v>90000</v>
      </c>
      <c r="L2166" s="435">
        <v>22308</v>
      </c>
      <c r="M2166" s="81">
        <f>ROUND(K2166*L2166,0)</f>
        <v>2007720000</v>
      </c>
      <c r="N2166" s="82" t="s">
        <v>260</v>
      </c>
      <c r="O2166" s="82" t="s">
        <v>266</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s="345"/>
      <c r="AF2166" s="345"/>
    </row>
    <row r="2167" spans="1:32" ht="15.75" customHeight="1">
      <c r="A2167" s="334" t="str">
        <f>IF(B2167&lt;&gt;"",IF(AND(B2167='IN-TC'!$S$4,OR(TH!N2167="1111",TH!O2167="1111")),TH!D2167,""),"")</f>
        <v/>
      </c>
      <c r="B2167" s="993">
        <f t="shared" si="230"/>
        <v>6</v>
      </c>
      <c r="C2167" s="78">
        <v>42543</v>
      </c>
      <c r="D2167" s="78" t="s">
        <v>579</v>
      </c>
      <c r="E2167" s="78">
        <f t="shared" si="231"/>
        <v>42543</v>
      </c>
      <c r="F2167" s="67" t="s">
        <v>1062</v>
      </c>
      <c r="G2167" s="79"/>
      <c r="H2167" s="80" t="s">
        <v>1182</v>
      </c>
      <c r="I2167" s="435"/>
      <c r="J2167" s="435"/>
      <c r="K2167" s="426"/>
      <c r="L2167" s="435"/>
      <c r="M2167" s="81">
        <v>720000</v>
      </c>
      <c r="N2167" s="66" t="s">
        <v>99</v>
      </c>
      <c r="O2167" s="82" t="s">
        <v>260</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s="345"/>
      <c r="AF2167" s="345"/>
    </row>
    <row r="2168" spans="1:32" ht="15.75" customHeight="1">
      <c r="A2168" s="334" t="str">
        <f>IF(B2168&lt;&gt;"",IF(AND(B2168='IN-TC'!$S$4,OR(TH!N2168="1111",TH!O2168="1111")),TH!D2168,""),"")</f>
        <v/>
      </c>
      <c r="B2168" s="63">
        <f t="shared" si="230"/>
        <v>6</v>
      </c>
      <c r="C2168" s="64">
        <v>42543</v>
      </c>
      <c r="D2168" s="64" t="s">
        <v>702</v>
      </c>
      <c r="E2168" s="64">
        <f t="shared" si="231"/>
        <v>42543</v>
      </c>
      <c r="F2168" s="512" t="s">
        <v>1057</v>
      </c>
      <c r="G2168" s="67" t="s">
        <v>914</v>
      </c>
      <c r="H2168" s="72" t="s">
        <v>729</v>
      </c>
      <c r="I2168" s="437"/>
      <c r="J2168" s="437"/>
      <c r="K2168" s="428"/>
      <c r="L2168" s="437"/>
      <c r="M2168" s="65">
        <v>3311092</v>
      </c>
      <c r="N2168" s="66" t="s">
        <v>99</v>
      </c>
      <c r="O2168" s="66" t="s">
        <v>26</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2" ht="15.75" customHeight="1">
      <c r="A2169" s="334" t="str">
        <f>IF(B2169&lt;&gt;"",IF(AND(B2169='IN-TC'!$S$4,OR(TH!N2169="1111",TH!O2169="1111")),TH!D2169,""),"")</f>
        <v/>
      </c>
      <c r="B2169" s="63">
        <f t="shared" si="230"/>
        <v>6</v>
      </c>
      <c r="C2169" s="64">
        <v>42543</v>
      </c>
      <c r="D2169" s="64" t="s">
        <v>702</v>
      </c>
      <c r="E2169" s="64">
        <f t="shared" si="231"/>
        <v>42543</v>
      </c>
      <c r="F2169" s="512" t="s">
        <v>1697</v>
      </c>
      <c r="G2169" s="67" t="s">
        <v>914</v>
      </c>
      <c r="H2169" s="72" t="s">
        <v>739</v>
      </c>
      <c r="I2169" s="437"/>
      <c r="J2169" s="437"/>
      <c r="K2169" s="428"/>
      <c r="L2169" s="437"/>
      <c r="M2169" s="65">
        <v>4027216</v>
      </c>
      <c r="N2169" s="66" t="s">
        <v>99</v>
      </c>
      <c r="O2169" s="66" t="s">
        <v>26</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2" ht="15.75" customHeight="1">
      <c r="A2170" s="334" t="str">
        <f>IF(B2170&lt;&gt;"",IF(AND(B2170='IN-TC'!$S$4,OR(TH!N2172="1111",TH!O2172="1111")),TH!D2172,""),"")</f>
        <v/>
      </c>
      <c r="B2170" s="63">
        <f t="shared" si="230"/>
        <v>6</v>
      </c>
      <c r="C2170" s="64">
        <v>42544</v>
      </c>
      <c r="D2170" s="64" t="s">
        <v>898</v>
      </c>
      <c r="E2170" s="64">
        <v>42544</v>
      </c>
      <c r="F2170" s="72" t="s">
        <v>1599</v>
      </c>
      <c r="G2170" s="972" t="s">
        <v>1601</v>
      </c>
      <c r="H2170" s="72" t="s">
        <v>1586</v>
      </c>
      <c r="I2170" s="437"/>
      <c r="J2170" s="437"/>
      <c r="K2170" s="428"/>
      <c r="L2170" s="437"/>
      <c r="M2170" s="65">
        <v>51927</v>
      </c>
      <c r="N2170" s="82" t="s">
        <v>588</v>
      </c>
      <c r="O2170" s="66" t="s">
        <v>63</v>
      </c>
      <c r="P2170" s="82" t="str">
        <f>IF(AND('331-CT'!$E$7=TH!H2172,OR(N2170="331",O2170="331")),"x","")</f>
        <v/>
      </c>
      <c r="Q2170" s="82" t="str">
        <f>IF(AND(B2170='111'!$L$11,OR($N2170=$Q$7,$O2170=$Q$7)),"x","")</f>
        <v/>
      </c>
      <c r="R2170" s="82" t="str">
        <f>IF(AND($N2170=$Q$7,$B2170&lt;'111'!$L$11),"x","")</f>
        <v/>
      </c>
      <c r="S2170" s="82" t="str">
        <f>IF(AND($O2170=$Q$7,$B2170&lt;'111'!$L$11),"x","")</f>
        <v>x</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IF(OR(TH!N2172=TH!$X$7,O2170=TH!$X$7),"x","")</f>
        <v/>
      </c>
      <c r="Y2170" s="82" t="str">
        <f>IF(AND(OR(N2170="131",O2170="131"),H2170='131-CT'!$H$9),"x","")</f>
        <v/>
      </c>
      <c r="Z2170" s="82"/>
      <c r="AA2170" s="82" t="str">
        <f>IF(AND(MONTH(E2170)='IN-NX'!$J$5,'IN-NX'!$D$7=D2170),"x","")</f>
        <v/>
      </c>
      <c r="AB2170" s="82" t="str">
        <f>IF(AND(OR(LEFT(TH!N2172,2)="15",LEFT(TH!O2172,2)="15"),LEFT(TH!O2172,3)&lt;&gt;"111",'152-CT'!$J$8=TH!F2172),"x","")</f>
        <v/>
      </c>
      <c r="AC2170" s="82" t="str">
        <f>IF(AND(OR(LEFT(TH!N2172,2)="15",LEFT(TH!O2172,2)="15"),TK!$E$7=TH!F2172),"x","")</f>
        <v/>
      </c>
      <c r="AD2170" s="82" t="str">
        <f>IF(AND(N2170="1521",MONTH(C2170)='BK-NL'!$M$11),"x","")</f>
        <v/>
      </c>
      <c r="AF2170" s="328">
        <v>1</v>
      </c>
    </row>
    <row r="2171" spans="1:32" s="348" customFormat="1" ht="15.75" customHeight="1">
      <c r="A2171" s="334" t="str">
        <f>IF(B2171&lt;&gt;"",IF(AND(B2171='IN-TC'!$S$4,OR(TH!N2173="1111",TH!O2173="1111")),TH!D2173,""),"")</f>
        <v/>
      </c>
      <c r="B2171" s="63">
        <f t="shared" si="230"/>
        <v>6</v>
      </c>
      <c r="C2171" s="64">
        <v>42544</v>
      </c>
      <c r="D2171" s="64" t="s">
        <v>898</v>
      </c>
      <c r="E2171" s="64">
        <v>42544</v>
      </c>
      <c r="F2171" s="72" t="s">
        <v>1600</v>
      </c>
      <c r="G2171" s="972" t="s">
        <v>1601</v>
      </c>
      <c r="H2171" s="72" t="s">
        <v>1586</v>
      </c>
      <c r="I2171" s="437"/>
      <c r="J2171" s="437"/>
      <c r="K2171" s="428"/>
      <c r="L2171" s="437"/>
      <c r="M2171" s="65">
        <v>5193</v>
      </c>
      <c r="N2171" s="66" t="s">
        <v>9</v>
      </c>
      <c r="O2171" s="66" t="s">
        <v>63</v>
      </c>
      <c r="P2171" s="82" t="str">
        <f>IF(AND('331-CT'!$E$7=TH!H2173,OR(N2171="331",O2171="331")),"x","")</f>
        <v/>
      </c>
      <c r="Q2171" s="82" t="str">
        <f>IF(AND(B2171='111'!$L$11,OR($N2171=$Q$7,$O2171=$Q$7)),"x","")</f>
        <v/>
      </c>
      <c r="R2171" s="82" t="str">
        <f>IF(AND($N2171=$Q$7,$B2171&lt;'111'!$L$11),"x","")</f>
        <v/>
      </c>
      <c r="S2171" s="82" t="str">
        <f>IF(AND($O2171=$Q$7,$B2171&lt;'111'!$L$11),"x","")</f>
        <v>x</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IF(OR(TH!N2173=TH!$X$7,O2171=TH!$X$7),"x","")</f>
        <v>x</v>
      </c>
      <c r="Y2171" s="82" t="str">
        <f>IF(AND(OR(N2171="131",O2171="131"),H2171='131-CT'!$H$9),"x","")</f>
        <v/>
      </c>
      <c r="Z2171" s="82"/>
      <c r="AA2171" s="82" t="str">
        <f>IF(AND(MONTH(E2171)='IN-NX'!$J$5,'IN-NX'!$D$7=D2171),"x","")</f>
        <v/>
      </c>
      <c r="AB2171" s="82" t="str">
        <f>IF(AND(OR(LEFT(TH!N2173,2)="15",LEFT(TH!O2173,2)="15"),LEFT(TH!O2173,3)&lt;&gt;"111",'152-CT'!$J$8=TH!F2173),"x","")</f>
        <v/>
      </c>
      <c r="AC2171" s="82" t="str">
        <f>IF(AND(OR(LEFT(TH!N2173,2)="15",LEFT(TH!O2173,2)="15"),TK!$E$7=TH!F2173),"x","")</f>
        <v/>
      </c>
      <c r="AD2171" s="82" t="str">
        <f>IF(AND(N2171="1521",MONTH(C2171)='BK-NL'!$M$11),"x","")</f>
        <v/>
      </c>
      <c r="AE2171" s="328"/>
      <c r="AF2171" s="328"/>
    </row>
    <row r="2172" spans="1:32" s="348" customFormat="1" ht="15.75" customHeight="1">
      <c r="A2172" s="334" t="str">
        <f>IF(B2172&lt;&gt;"",IF(AND(B2172='IN-TC'!$S$4,OR(TH!N2174="1111",TH!O2174="1111")),TH!D2174,""),"")</f>
        <v/>
      </c>
      <c r="B2172" s="63">
        <f t="shared" si="230"/>
        <v>6</v>
      </c>
      <c r="C2172" s="64">
        <v>42544</v>
      </c>
      <c r="D2172" s="64" t="s">
        <v>900</v>
      </c>
      <c r="E2172" s="64">
        <v>42544</v>
      </c>
      <c r="F2172" s="72" t="s">
        <v>1602</v>
      </c>
      <c r="G2172" s="972" t="s">
        <v>1604</v>
      </c>
      <c r="H2172" s="72" t="s">
        <v>1605</v>
      </c>
      <c r="I2172" s="437"/>
      <c r="J2172" s="437"/>
      <c r="K2172" s="428"/>
      <c r="L2172" s="437"/>
      <c r="M2172" s="65">
        <v>800000</v>
      </c>
      <c r="N2172" s="82" t="s">
        <v>588</v>
      </c>
      <c r="O2172" s="66" t="s">
        <v>63</v>
      </c>
      <c r="P2172" s="82" t="str">
        <f>IF(AND('331-CT'!$E$7=TH!H2174,OR(N2172="331",O2172="331")),"x","")</f>
        <v/>
      </c>
      <c r="Q2172" s="82" t="str">
        <f>IF(AND(B2172='111'!$L$11,OR($N2172=$Q$7,$O2172=$Q$7)),"x","")</f>
        <v/>
      </c>
      <c r="R2172" s="82" t="str">
        <f>IF(AND($N2172=$Q$7,$B2172&lt;'111'!$L$11),"x","")</f>
        <v/>
      </c>
      <c r="S2172" s="82" t="str">
        <f>IF(AND($O2172=$Q$7,$B2172&lt;'111'!$L$11),"x","")</f>
        <v>x</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IF(OR(TH!N2174=TH!$X$7,O2172=TH!$X$7),"x","")</f>
        <v/>
      </c>
      <c r="Y2172" s="82" t="str">
        <f>IF(AND(OR(N2172="131",O2172="131"),H2172='131-CT'!$H$9),"x","")</f>
        <v/>
      </c>
      <c r="Z2172" s="82"/>
      <c r="AA2172" s="82" t="str">
        <f>IF(AND(MONTH(E2172)='IN-NX'!$J$5,'IN-NX'!$D$7=D2172),"x","")</f>
        <v/>
      </c>
      <c r="AB2172" s="82" t="str">
        <f>IF(AND(OR(LEFT(TH!N2174,2)="15",LEFT(TH!O2174,2)="15"),LEFT(TH!O2174,3)&lt;&gt;"111",'152-CT'!$J$8=TH!F2174),"x","")</f>
        <v/>
      </c>
      <c r="AC2172" s="82" t="str">
        <f>IF(AND(OR(LEFT(TH!N2174,2)="15",LEFT(TH!O2174,2)="15"),TK!$E$7=TH!F2174),"x","")</f>
        <v/>
      </c>
      <c r="AD2172" s="82" t="str">
        <f>IF(AND(N2172="1521",MONTH(C2172)='BK-NL'!$M$11),"x","")</f>
        <v/>
      </c>
      <c r="AE2172" s="328"/>
      <c r="AF2172" s="328">
        <v>1</v>
      </c>
    </row>
    <row r="2173" spans="1:32" s="348" customFormat="1" ht="15.75" customHeight="1">
      <c r="A2173" s="334" t="str">
        <f>IF(B2173&lt;&gt;"",IF(AND(B2173='IN-TC'!$S$4,OR(TH!N2175="1111",TH!O2175="1111")),TH!D2175,""),"")</f>
        <v/>
      </c>
      <c r="B2173" s="63">
        <f t="shared" si="230"/>
        <v>6</v>
      </c>
      <c r="C2173" s="64">
        <v>42544</v>
      </c>
      <c r="D2173" s="64" t="s">
        <v>900</v>
      </c>
      <c r="E2173" s="64">
        <v>42544</v>
      </c>
      <c r="F2173" s="72" t="s">
        <v>1603</v>
      </c>
      <c r="G2173" s="972" t="s">
        <v>1604</v>
      </c>
      <c r="H2173" s="72" t="s">
        <v>1605</v>
      </c>
      <c r="I2173" s="437"/>
      <c r="J2173" s="437"/>
      <c r="K2173" s="428"/>
      <c r="L2173" s="437"/>
      <c r="M2173" s="65">
        <v>80000</v>
      </c>
      <c r="N2173" s="66" t="s">
        <v>9</v>
      </c>
      <c r="O2173" s="66" t="s">
        <v>63</v>
      </c>
      <c r="P2173" s="82" t="str">
        <f>IF(AND('331-CT'!$E$7=TH!H2175,OR(N2173="331",O2173="331")),"x","")</f>
        <v/>
      </c>
      <c r="Q2173" s="82" t="str">
        <f>IF(AND(B2173='111'!$L$11,OR($N2173=$Q$7,$O2173=$Q$7)),"x","")</f>
        <v/>
      </c>
      <c r="R2173" s="82" t="str">
        <f>IF(AND($N2173=$Q$7,$B2173&lt;'111'!$L$11),"x","")</f>
        <v/>
      </c>
      <c r="S2173" s="82" t="str">
        <f>IF(AND($O2173=$Q$7,$B2173&lt;'111'!$L$11),"x","")</f>
        <v>x</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IF(OR(TH!N2175=TH!$X$7,O2173=TH!$X$7),"x","")</f>
        <v/>
      </c>
      <c r="Y2173" s="82" t="str">
        <f>IF(AND(OR(N2173="131",O2173="131"),H2173='131-CT'!$H$9),"x","")</f>
        <v/>
      </c>
      <c r="Z2173" s="82"/>
      <c r="AA2173" s="82" t="str">
        <f>IF(AND(MONTH(E2173)='IN-NX'!$J$5,'IN-NX'!$D$7=D2173),"x","")</f>
        <v/>
      </c>
      <c r="AB2173" s="82" t="str">
        <f>IF(AND(OR(LEFT(TH!N2175,2)="15",LEFT(TH!O2175,2)="15"),LEFT(TH!O2175,3)&lt;&gt;"111",'152-CT'!$J$8=TH!F2175),"x","")</f>
        <v/>
      </c>
      <c r="AC2173" s="82" t="str">
        <f>IF(AND(OR(LEFT(TH!N2175,2)="15",LEFT(TH!O2175,2)="15"),TK!$E$7=TH!F2175),"x","")</f>
        <v/>
      </c>
      <c r="AD2173" s="82" t="str">
        <f>IF(AND(N2173="1521",MONTH(C2173)='BK-NL'!$M$11),"x","")</f>
        <v/>
      </c>
      <c r="AE2173" s="328"/>
      <c r="AF2173" s="328"/>
    </row>
    <row r="2174" spans="1:32" ht="15.75" customHeight="1">
      <c r="A2174" s="334" t="str">
        <f>IF(B2174&lt;&gt;"",IF(AND(B2174='IN-TC'!$S$4,OR(TH!N1565="1111",TH!O1565="1111")),TH!D1565,""),"")</f>
        <v/>
      </c>
      <c r="B2174" s="1148">
        <f t="shared" si="230"/>
        <v>6</v>
      </c>
      <c r="C2174" s="1149">
        <v>42548</v>
      </c>
      <c r="D2174" s="1149" t="s">
        <v>901</v>
      </c>
      <c r="E2174" s="1149">
        <f>C2174</f>
        <v>42548</v>
      </c>
      <c r="F2174" s="512" t="s">
        <v>960</v>
      </c>
      <c r="G2174" s="1151"/>
      <c r="H2174" s="1150" t="s">
        <v>959</v>
      </c>
      <c r="I2174" s="1152"/>
      <c r="J2174" s="1152"/>
      <c r="K2174" s="1153"/>
      <c r="L2174" s="1152"/>
      <c r="M2174" s="1154">
        <v>500000000</v>
      </c>
      <c r="N2174" s="1155" t="s">
        <v>272</v>
      </c>
      <c r="O2174" s="1155" t="s">
        <v>63</v>
      </c>
      <c r="P2174" s="1155" t="str">
        <f>IF(AND('331-CT'!$E$7=TH!H1565,OR(N2174="331",O2174="331")),"x","")</f>
        <v/>
      </c>
      <c r="Q2174" s="1155" t="str">
        <f>IF(AND(B2174='111'!$L$11,OR($N2174=$Q$7,$O2174=$Q$7)),"x","")</f>
        <v/>
      </c>
      <c r="R2174" s="1155" t="str">
        <f>IF(AND($N2174=$Q$7,$B2174&lt;'111'!$L$11),"x","")</f>
        <v/>
      </c>
      <c r="S2174" s="1155" t="str">
        <f>IF(AND($O2174=$Q$7,$B2174&lt;'111'!$L$11),"x","")</f>
        <v>x</v>
      </c>
      <c r="T2174" s="1155" t="str">
        <f>IF(ISERROR(FIND('112'!$M$9,G2174,1)),"",IF((AND(FIND('112'!$M$9,G2174,1)&gt;=1,B2174='112'!$K$9,OR($N2174='112'!$I$6,$O2174='112'!$I$6))),"x",""))</f>
        <v/>
      </c>
      <c r="U2174" s="1155" t="str">
        <f>IF(ISERROR(FIND('112'!$M$9,G2174,1)),"",IF((AND(LEFT(G2174,2)=LEFT('112'!$M$9,2),B2174&lt;'112'!$K$9,$N2174='112'!$I$6)),"x",""))</f>
        <v/>
      </c>
      <c r="V2174" s="1155" t="str">
        <f>IF(ISERROR(FIND('112'!$M$9,G2174,1)),"",IF((AND(RIGHT(G2174,2)=RIGHT('112'!$M$9,2),B2174&lt;'112'!$K$9,$O2174='112'!$I$6)),"x",""))</f>
        <v/>
      </c>
      <c r="W2174" s="1155" t="str">
        <f>IF(AND('341-CT'!$H$9=H2174,OR(LEFT(N2174,3)=$W$7,LEFT(O2174,3)=$W$7)),"x","")</f>
        <v/>
      </c>
      <c r="X2174" s="1155" t="str">
        <f>IF(OR(TH!N1565=TH!$X$7,O2174=TH!$X$7),"x","")</f>
        <v>x</v>
      </c>
      <c r="Y2174" s="1155" t="str">
        <f>IF(AND(OR(N2174="131",O2174="131"),H2174='131-CT'!$H$9),"x","")</f>
        <v/>
      </c>
      <c r="Z2174" s="1155"/>
      <c r="AA2174" s="1155" t="str">
        <f>IF(AND(MONTH(E2174)='IN-NX'!$J$5,'IN-NX'!$D$7=D2174),"x","")</f>
        <v/>
      </c>
      <c r="AB2174" s="1155" t="str">
        <f>IF(AND(OR(LEFT(TH!N1565,2)="15",LEFT(TH!O1565,2)="15"),LEFT(TH!O1565,3)&lt;&gt;"111",'152-CT'!$J$8=TH!F1565),"x","")</f>
        <v/>
      </c>
      <c r="AC2174" s="1155" t="str">
        <f>IF(AND(OR(LEFT(TH!N1565,2)="15",LEFT(TH!O1565,2)="15"),TK!$E$7=TH!F1565),"x","")</f>
        <v/>
      </c>
      <c r="AD2174" s="1155" t="str">
        <f>IF(AND(N2174="1521",MONTH(C2174)='BK-NL'!$M$11),"x","")</f>
        <v/>
      </c>
      <c r="AE2174" s="1156"/>
      <c r="AF2174" s="1156"/>
    </row>
    <row r="2175" spans="1:32" ht="15.75" customHeight="1">
      <c r="A2175" s="334" t="str">
        <f>IF(B2175&lt;&gt;"",IF(AND(B2175='IN-TC'!$S$4,OR(TH!N2190="1111",TH!O2190="1111")),TH!D2190,""),"")</f>
        <v/>
      </c>
      <c r="B2175" s="63">
        <f t="shared" si="230"/>
        <v>6</v>
      </c>
      <c r="C2175" s="64">
        <v>42548</v>
      </c>
      <c r="D2175" s="64" t="s">
        <v>903</v>
      </c>
      <c r="E2175" s="64">
        <v>42548</v>
      </c>
      <c r="F2175" s="72" t="s">
        <v>1100</v>
      </c>
      <c r="G2175" s="67" t="s">
        <v>915</v>
      </c>
      <c r="H2175" s="72" t="s">
        <v>760</v>
      </c>
      <c r="I2175" s="437"/>
      <c r="J2175" s="437"/>
      <c r="K2175" s="428"/>
      <c r="L2175" s="437"/>
      <c r="M2175" s="65">
        <v>1170000000</v>
      </c>
      <c r="N2175" s="66" t="s">
        <v>26</v>
      </c>
      <c r="O2175" s="66" t="s">
        <v>63</v>
      </c>
      <c r="P2175" s="82" t="str">
        <f>IF(AND('331-CT'!$E$7=TH!H2190,OR(N2175="331",O2175="331")),"x","")</f>
        <v/>
      </c>
      <c r="Q2175" s="82" t="str">
        <f>IF(AND(B2175='111'!$L$11,OR($N2175=$Q$7,$O2175=$Q$7)),"x","")</f>
        <v/>
      </c>
      <c r="R2175" s="82" t="str">
        <f>IF(AND($N2175=$Q$7,$B2175&lt;'111'!$L$11),"x","")</f>
        <v/>
      </c>
      <c r="S2175" s="82" t="str">
        <f>IF(AND($O2175=$Q$7,$B2175&lt;'111'!$L$11),"x","")</f>
        <v>x</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IF(OR(TH!N2190=TH!$X$7,O2175=TH!$X$7),"x","")</f>
        <v/>
      </c>
      <c r="Y2175" s="82" t="str">
        <f>IF(AND(OR(N2175="131",O2175="131"),H2175='131-CT'!$H$9),"x","")</f>
        <v/>
      </c>
      <c r="Z2175" s="82"/>
      <c r="AA2175" s="82" t="str">
        <f>IF(AND(MONTH(E2175)='IN-NX'!$J$5,'IN-NX'!$D$7=D2175),"x","")</f>
        <v/>
      </c>
      <c r="AB2175" s="82" t="str">
        <f>IF(AND(OR(LEFT(TH!N2190,2)="15",LEFT(TH!O2190,2)="15"),LEFT(TH!O2190,3)&lt;&gt;"111",'152-CT'!$J$8=TH!F2190),"x","")</f>
        <v/>
      </c>
      <c r="AC2175" s="82" t="str">
        <f>IF(AND(OR(LEFT(TH!N2190,2)="15",LEFT(TH!O2190,2)="15"),TK!$E$7=TH!F2190),"x","")</f>
        <v/>
      </c>
      <c r="AD2175" s="82" t="str">
        <f>IF(AND(N2175="1521",MONTH(C2175)='BK-NL'!$M$11),"x","")</f>
        <v/>
      </c>
    </row>
    <row r="2176" spans="1:32" ht="15.75" customHeight="1">
      <c r="A2176" s="334" t="str">
        <f>IF(B2176&lt;&gt;"",IF(AND(B2176='IN-TC'!$S$4,OR(TH!N2176="1111",TH!O2176="1111")),TH!D2176,""),"")</f>
        <v/>
      </c>
      <c r="B2176" s="1148">
        <f t="shared" si="230"/>
        <v>6</v>
      </c>
      <c r="C2176" s="1149">
        <v>42545</v>
      </c>
      <c r="D2176" s="1149" t="s">
        <v>1557</v>
      </c>
      <c r="E2176" s="1149">
        <v>42545</v>
      </c>
      <c r="F2176" s="72" t="s">
        <v>1139</v>
      </c>
      <c r="G2176" s="1151" t="s">
        <v>1558</v>
      </c>
      <c r="H2176" s="1150" t="s">
        <v>760</v>
      </c>
      <c r="I2176" s="1152"/>
      <c r="J2176" s="1152"/>
      <c r="K2176" s="1153"/>
      <c r="L2176" s="1152"/>
      <c r="M2176" s="1154">
        <v>3348750000</v>
      </c>
      <c r="N2176" s="1155" t="s">
        <v>63</v>
      </c>
      <c r="O2176" s="66" t="s">
        <v>26</v>
      </c>
      <c r="P2176" s="82" t="str">
        <f>IF(AND('331-CT'!$E$7=TH!H2176,OR(N2176="331",O2176="331")),"x","")</f>
        <v/>
      </c>
      <c r="Q2176" s="82" t="str">
        <f>IF(AND(B2176='111'!$L$11,OR($N2176=$Q$7,$O2176=$Q$7)),"x","")</f>
        <v/>
      </c>
      <c r="R2176" s="82" t="str">
        <f>IF(AND($N2176=$Q$7,$B2176&lt;'111'!$L$11),"x","")</f>
        <v>x</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x</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s="1156"/>
      <c r="AF2176" s="1156"/>
    </row>
    <row r="2177" spans="1:32" ht="15.75" customHeight="1">
      <c r="A2177" s="334" t="str">
        <f>IF(B2177&lt;&gt;"",IF(AND(B2177='IN-TC'!$S$4,OR(TH!N2177="1111",TH!O2177="1111")),TH!D2177,""),"")</f>
        <v/>
      </c>
      <c r="B2177" s="1148">
        <f t="shared" si="230"/>
        <v>6</v>
      </c>
      <c r="C2177" s="1149">
        <v>42545</v>
      </c>
      <c r="D2177" s="64" t="s">
        <v>702</v>
      </c>
      <c r="E2177" s="1149">
        <f t="shared" ref="E2177:E2189" si="232">C2177</f>
        <v>42545</v>
      </c>
      <c r="F2177" s="67" t="s">
        <v>1878</v>
      </c>
      <c r="G2177" s="1151" t="s">
        <v>1558</v>
      </c>
      <c r="H2177" s="1150" t="s">
        <v>1879</v>
      </c>
      <c r="I2177" s="1152"/>
      <c r="J2177" s="1152"/>
      <c r="K2177" s="1153">
        <v>150000</v>
      </c>
      <c r="L2177" s="1152">
        <v>22325</v>
      </c>
      <c r="M2177" s="1154">
        <v>3348750000</v>
      </c>
      <c r="N2177" s="1155" t="s">
        <v>266</v>
      </c>
      <c r="O2177" s="1155" t="s">
        <v>260</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c r="AE2177" s="1156"/>
      <c r="AF2177" s="1156"/>
    </row>
    <row r="2178" spans="1:32" ht="15.75" customHeight="1">
      <c r="A2178" s="334" t="str">
        <f>IF(B2178&lt;&gt;"",IF(AND(B2178='IN-TC'!$S$4,OR(TH!N2178="1111",TH!O2178="1111")),TH!D2178,""),"")</f>
        <v/>
      </c>
      <c r="B2178" s="1148">
        <f t="shared" si="230"/>
        <v>6</v>
      </c>
      <c r="C2178" s="1149">
        <v>42545</v>
      </c>
      <c r="D2178" s="64" t="s">
        <v>702</v>
      </c>
      <c r="E2178" s="1149">
        <f t="shared" si="232"/>
        <v>42545</v>
      </c>
      <c r="F2178" s="67" t="s">
        <v>1438</v>
      </c>
      <c r="G2178" s="1151" t="s">
        <v>1558</v>
      </c>
      <c r="H2178" s="1150"/>
      <c r="I2178" s="1152"/>
      <c r="J2178" s="1152"/>
      <c r="K2178" s="1153">
        <v>150000</v>
      </c>
      <c r="L2178" s="1152">
        <v>22325</v>
      </c>
      <c r="M2178" s="1154">
        <v>3348750000</v>
      </c>
      <c r="N2178" s="66" t="s">
        <v>26</v>
      </c>
      <c r="O2178" s="1155" t="s">
        <v>266</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x</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s="1156"/>
      <c r="AF2178" s="1156"/>
    </row>
    <row r="2179" spans="1:32" ht="15.75" customHeight="1">
      <c r="A2179" s="334" t="str">
        <f>IF(B2179&lt;&gt;"",IF(AND(B2179='IN-TC'!$S$4,OR(TH!N2179="1111",TH!O2179="1111")),TH!D2179,""),"")</f>
        <v/>
      </c>
      <c r="B2179" s="63">
        <f t="shared" si="230"/>
        <v>6</v>
      </c>
      <c r="C2179" s="64">
        <v>42545</v>
      </c>
      <c r="D2179" s="64" t="s">
        <v>699</v>
      </c>
      <c r="E2179" s="64">
        <f t="shared" si="232"/>
        <v>42545</v>
      </c>
      <c r="F2179" s="72" t="s">
        <v>1647</v>
      </c>
      <c r="G2179" s="67" t="s">
        <v>915</v>
      </c>
      <c r="H2179" s="342"/>
      <c r="I2179" s="437"/>
      <c r="J2179" s="437"/>
      <c r="K2179" s="428"/>
      <c r="L2179" s="437"/>
      <c r="M2179" s="65">
        <v>9632</v>
      </c>
      <c r="N2179" s="66" t="s">
        <v>26</v>
      </c>
      <c r="O2179" s="66" t="s">
        <v>43</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row>
    <row r="2180" spans="1:32" s="345" customFormat="1" ht="15.75" customHeight="1">
      <c r="A2180" s="334" t="str">
        <f>IF(B2180&lt;&gt;"",IF(AND(B2180='IN-TC'!$S$4,OR(TH!N2180="1111",TH!O2180="1111")),TH!D2180,""),"")</f>
        <v/>
      </c>
      <c r="B2180" s="63">
        <f t="shared" si="230"/>
        <v>6</v>
      </c>
      <c r="C2180" s="64">
        <v>42545</v>
      </c>
      <c r="D2180" s="64" t="s">
        <v>699</v>
      </c>
      <c r="E2180" s="64">
        <f t="shared" si="232"/>
        <v>42545</v>
      </c>
      <c r="F2180" s="72" t="s">
        <v>1647</v>
      </c>
      <c r="G2180" s="67" t="s">
        <v>914</v>
      </c>
      <c r="H2180" s="72"/>
      <c r="I2180" s="437"/>
      <c r="J2180" s="437"/>
      <c r="K2180" s="428"/>
      <c r="L2180" s="437"/>
      <c r="M2180" s="65">
        <v>5688</v>
      </c>
      <c r="N2180" s="66" t="s">
        <v>26</v>
      </c>
      <c r="O2180" s="66" t="s">
        <v>43</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E2180" s="328"/>
      <c r="AF2180" s="328"/>
    </row>
    <row r="2181" spans="1:32" s="345" customFormat="1" ht="15.75" customHeight="1">
      <c r="A2181" s="334" t="str">
        <f>IF(B2181&lt;&gt;"",IF(AND(B2181='IN-TC'!$S$4,OR(TH!N2181="1111",TH!O2181="1111")),TH!D2181,""),"")</f>
        <v/>
      </c>
      <c r="B2181" s="1148">
        <f t="shared" si="230"/>
        <v>6</v>
      </c>
      <c r="C2181" s="1149">
        <v>42546</v>
      </c>
      <c r="D2181" s="1149" t="s">
        <v>699</v>
      </c>
      <c r="E2181" s="1149">
        <f t="shared" si="232"/>
        <v>42546</v>
      </c>
      <c r="F2181" s="67" t="s">
        <v>1647</v>
      </c>
      <c r="G2181" s="1151" t="s">
        <v>1558</v>
      </c>
      <c r="H2181" s="1150"/>
      <c r="I2181" s="1152"/>
      <c r="J2181" s="1152"/>
      <c r="K2181" s="1153"/>
      <c r="L2181" s="1152"/>
      <c r="M2181" s="1154">
        <v>26</v>
      </c>
      <c r="N2181" s="66" t="s">
        <v>26</v>
      </c>
      <c r="O2181" s="66" t="s">
        <v>43</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x</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s="1156"/>
      <c r="AF2181" s="1156"/>
    </row>
    <row r="2182" spans="1:32" ht="15.75" customHeight="1">
      <c r="A2182" s="334" t="str">
        <f>IF(B2182&lt;&gt;"",IF(AND(B2182='IN-TC'!$S$4,OR(TH!N2182="1111",TH!O2182="1111")),TH!D2182,""),"")</f>
        <v/>
      </c>
      <c r="B2182" s="63">
        <f t="shared" si="230"/>
        <v>6</v>
      </c>
      <c r="C2182" s="64">
        <v>42546</v>
      </c>
      <c r="D2182" s="64" t="s">
        <v>702</v>
      </c>
      <c r="E2182" s="64">
        <f t="shared" si="232"/>
        <v>42546</v>
      </c>
      <c r="F2182" s="72" t="s">
        <v>1648</v>
      </c>
      <c r="G2182" s="67" t="s">
        <v>915</v>
      </c>
      <c r="H2182" s="342"/>
      <c r="I2182" s="437"/>
      <c r="J2182" s="437"/>
      <c r="K2182" s="428"/>
      <c r="L2182" s="437"/>
      <c r="M2182" s="65">
        <v>50000</v>
      </c>
      <c r="N2182" s="66" t="s">
        <v>101</v>
      </c>
      <c r="O2182" s="66" t="s">
        <v>26</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F2182" s="328">
        <v>1</v>
      </c>
    </row>
    <row r="2183" spans="1:32" ht="15.75" customHeight="1">
      <c r="A2183" s="334" t="str">
        <f>IF(B2183&lt;&gt;"",IF(AND(B2183='IN-TC'!$S$4,OR(TH!N2183="1111",TH!O2183="1111")),TH!D2183,""),"")</f>
        <v/>
      </c>
      <c r="B2183" s="63">
        <f t="shared" si="230"/>
        <v>6</v>
      </c>
      <c r="C2183" s="64">
        <v>42546</v>
      </c>
      <c r="D2183" s="64" t="s">
        <v>702</v>
      </c>
      <c r="E2183" s="64">
        <f t="shared" si="232"/>
        <v>42546</v>
      </c>
      <c r="F2183" s="72" t="s">
        <v>1649</v>
      </c>
      <c r="G2183" s="67" t="s">
        <v>915</v>
      </c>
      <c r="H2183" s="342"/>
      <c r="I2183" s="437"/>
      <c r="J2183" s="437"/>
      <c r="K2183" s="428"/>
      <c r="L2183" s="437"/>
      <c r="M2183" s="65">
        <v>5000</v>
      </c>
      <c r="N2183" s="66" t="s">
        <v>9</v>
      </c>
      <c r="O2183" s="66" t="s">
        <v>26</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x</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2" ht="15.75" customHeight="1">
      <c r="A2184" s="334" t="str">
        <f>IF(B2184&lt;&gt;"",IF(AND(B2184='IN-TC'!$S$4,OR(TH!N2184="1111",TH!O2184="1111")),TH!D2184,""),"")</f>
        <v/>
      </c>
      <c r="B2184" s="63">
        <f t="shared" si="230"/>
        <v>6</v>
      </c>
      <c r="C2184" s="64">
        <v>42546</v>
      </c>
      <c r="D2184" s="64" t="s">
        <v>702</v>
      </c>
      <c r="E2184" s="64">
        <f t="shared" si="232"/>
        <v>42546</v>
      </c>
      <c r="F2184" s="72" t="s">
        <v>1648</v>
      </c>
      <c r="G2184" s="67" t="s">
        <v>915</v>
      </c>
      <c r="H2184" s="342"/>
      <c r="I2184" s="437"/>
      <c r="J2184" s="437"/>
      <c r="K2184" s="428"/>
      <c r="L2184" s="437"/>
      <c r="M2184" s="65">
        <v>50000</v>
      </c>
      <c r="N2184" s="66" t="s">
        <v>101</v>
      </c>
      <c r="O2184" s="66" t="s">
        <v>26</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F2184" s="328">
        <v>1</v>
      </c>
    </row>
    <row r="2185" spans="1:32" ht="15.75" customHeight="1">
      <c r="A2185" s="334" t="str">
        <f>IF(B2185&lt;&gt;"",IF(AND(B2185='IN-TC'!$S$4,OR(TH!N2185="1111",TH!O2185="1111")),TH!D2185,""),"")</f>
        <v/>
      </c>
      <c r="B2185" s="63">
        <f t="shared" si="230"/>
        <v>6</v>
      </c>
      <c r="C2185" s="64">
        <v>42546</v>
      </c>
      <c r="D2185" s="64" t="s">
        <v>702</v>
      </c>
      <c r="E2185" s="64">
        <f t="shared" si="232"/>
        <v>42546</v>
      </c>
      <c r="F2185" s="72" t="s">
        <v>1649</v>
      </c>
      <c r="G2185" s="67" t="s">
        <v>915</v>
      </c>
      <c r="H2185" s="342"/>
      <c r="I2185" s="437"/>
      <c r="J2185" s="437"/>
      <c r="K2185" s="428"/>
      <c r="L2185" s="437"/>
      <c r="M2185" s="65">
        <v>5000</v>
      </c>
      <c r="N2185" s="66" t="s">
        <v>9</v>
      </c>
      <c r="O2185" s="66" t="s">
        <v>26</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x</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2" ht="15.75" customHeight="1">
      <c r="A2186" s="334" t="str">
        <f>IF(B2186&lt;&gt;"",IF(AND(B2186='IN-TC'!$S$4,OR(TH!N2186="1111",TH!O2186="1111")),TH!D2186,""),"")</f>
        <v/>
      </c>
      <c r="B2186" s="63">
        <f t="shared" si="230"/>
        <v>6</v>
      </c>
      <c r="C2186" s="64">
        <v>42546</v>
      </c>
      <c r="D2186" s="64" t="s">
        <v>702</v>
      </c>
      <c r="E2186" s="64">
        <f t="shared" si="232"/>
        <v>42546</v>
      </c>
      <c r="F2186" s="72" t="s">
        <v>1648</v>
      </c>
      <c r="G2186" s="67" t="s">
        <v>915</v>
      </c>
      <c r="H2186" s="342"/>
      <c r="I2186" s="437"/>
      <c r="J2186" s="437"/>
      <c r="K2186" s="428"/>
      <c r="L2186" s="437"/>
      <c r="M2186" s="65">
        <v>50000</v>
      </c>
      <c r="N2186" s="66" t="s">
        <v>101</v>
      </c>
      <c r="O2186" s="66" t="s">
        <v>26</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F2186" s="328">
        <v>1</v>
      </c>
    </row>
    <row r="2187" spans="1:32" ht="15.75" customHeight="1">
      <c r="A2187" s="334" t="str">
        <f>IF(B2187&lt;&gt;"",IF(AND(B2187='IN-TC'!$S$4,OR(TH!N2187="1111",TH!O2187="1111")),TH!D2187,""),"")</f>
        <v/>
      </c>
      <c r="B2187" s="63">
        <f t="shared" si="230"/>
        <v>6</v>
      </c>
      <c r="C2187" s="64">
        <v>42546</v>
      </c>
      <c r="D2187" s="64" t="s">
        <v>702</v>
      </c>
      <c r="E2187" s="64">
        <f t="shared" si="232"/>
        <v>42546</v>
      </c>
      <c r="F2187" s="72" t="s">
        <v>1649</v>
      </c>
      <c r="G2187" s="67" t="s">
        <v>915</v>
      </c>
      <c r="H2187" s="342"/>
      <c r="I2187" s="437"/>
      <c r="J2187" s="437"/>
      <c r="K2187" s="428"/>
      <c r="L2187" s="437"/>
      <c r="M2187" s="65">
        <v>5000</v>
      </c>
      <c r="N2187" s="66" t="s">
        <v>9</v>
      </c>
      <c r="O2187" s="66" t="s">
        <v>26</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x</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2" s="345" customFormat="1" ht="15.75" customHeight="1">
      <c r="A2188" s="334" t="str">
        <f>IF(B2188&lt;&gt;"",IF(AND(B2188='IN-TC'!$S$4,OR(TH!N2188="1111",TH!O2188="1111")),TH!D2188,""),"")</f>
        <v/>
      </c>
      <c r="B2188" s="63">
        <f t="shared" si="230"/>
        <v>6</v>
      </c>
      <c r="C2188" s="64">
        <v>42546</v>
      </c>
      <c r="D2188" s="64" t="s">
        <v>702</v>
      </c>
      <c r="E2188" s="64">
        <f t="shared" si="232"/>
        <v>42546</v>
      </c>
      <c r="F2188" s="72" t="s">
        <v>1648</v>
      </c>
      <c r="G2188" s="67" t="s">
        <v>915</v>
      </c>
      <c r="H2188" s="342"/>
      <c r="I2188" s="437"/>
      <c r="J2188" s="437"/>
      <c r="K2188" s="428"/>
      <c r="L2188" s="437"/>
      <c r="M2188" s="65">
        <v>50000</v>
      </c>
      <c r="N2188" s="66" t="s">
        <v>101</v>
      </c>
      <c r="O2188" s="66" t="s">
        <v>26</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c r="AE2188" s="328"/>
      <c r="AF2188" s="328">
        <v>1</v>
      </c>
    </row>
    <row r="2189" spans="1:32" s="345" customFormat="1" ht="15.75" customHeight="1">
      <c r="A2189" s="334" t="str">
        <f>IF(B2189&lt;&gt;"",IF(AND(B2189='IN-TC'!$S$4,OR(TH!N2189="1111",TH!O2189="1111")),TH!D2189,""),"")</f>
        <v/>
      </c>
      <c r="B2189" s="63">
        <f t="shared" ref="B2189:B2252" si="233">IF(C2189&lt;&gt;"",MONTH(C2189),"")</f>
        <v>6</v>
      </c>
      <c r="C2189" s="64">
        <v>42546</v>
      </c>
      <c r="D2189" s="64" t="s">
        <v>702</v>
      </c>
      <c r="E2189" s="64">
        <f t="shared" si="232"/>
        <v>42546</v>
      </c>
      <c r="F2189" s="72" t="s">
        <v>1649</v>
      </c>
      <c r="G2189" s="67" t="s">
        <v>915</v>
      </c>
      <c r="H2189" s="342"/>
      <c r="I2189" s="437"/>
      <c r="J2189" s="437"/>
      <c r="K2189" s="428"/>
      <c r="L2189" s="437"/>
      <c r="M2189" s="65">
        <v>5000</v>
      </c>
      <c r="N2189" s="66" t="s">
        <v>9</v>
      </c>
      <c r="O2189" s="66" t="s">
        <v>26</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x</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s="328"/>
      <c r="AF2189" s="328"/>
    </row>
    <row r="2190" spans="1:32" s="345" customFormat="1" ht="15.75" customHeight="1">
      <c r="A2190" s="334" t="str">
        <f>IF(B2190&lt;&gt;"",IF(AND(B2190='IN-TC'!$S$4,OR(TH!N2191="1111",TH!O2191="1111")),TH!D2191,""),"")</f>
        <v/>
      </c>
      <c r="B2190" s="63">
        <f t="shared" si="233"/>
        <v>6</v>
      </c>
      <c r="C2190" s="64">
        <v>42548</v>
      </c>
      <c r="D2190" s="64" t="s">
        <v>904</v>
      </c>
      <c r="E2190" s="64">
        <v>42548</v>
      </c>
      <c r="F2190" s="72" t="s">
        <v>1010</v>
      </c>
      <c r="G2190" s="972" t="s">
        <v>1606</v>
      </c>
      <c r="H2190" s="72" t="s">
        <v>805</v>
      </c>
      <c r="I2190" s="437"/>
      <c r="J2190" s="437"/>
      <c r="K2190" s="428"/>
      <c r="L2190" s="437"/>
      <c r="M2190" s="65">
        <v>1225009</v>
      </c>
      <c r="N2190" s="66" t="s">
        <v>101</v>
      </c>
      <c r="O2190" s="66" t="s">
        <v>63</v>
      </c>
      <c r="P2190" s="82" t="str">
        <f>IF(AND('331-CT'!$E$7=TH!H2191,OR(N2190="331",O2190="331")),"x","")</f>
        <v/>
      </c>
      <c r="Q2190" s="82" t="str">
        <f>IF(AND(B2190='111'!$L$11,OR($N2190=$Q$7,$O2190=$Q$7)),"x","")</f>
        <v/>
      </c>
      <c r="R2190" s="82" t="str">
        <f>IF(AND($N2190=$Q$7,$B2190&lt;'111'!$L$11),"x","")</f>
        <v/>
      </c>
      <c r="S2190" s="82" t="str">
        <f>IF(AND($O2190=$Q$7,$B2190&lt;'111'!$L$11),"x","")</f>
        <v>x</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IF(OR(TH!N2191=TH!$X$7,O2190=TH!$X$7),"x","")</f>
        <v>x</v>
      </c>
      <c r="Y2190" s="82" t="str">
        <f>IF(AND(OR(N2190="131",O2190="131"),H2190='131-CT'!$H$9),"x","")</f>
        <v/>
      </c>
      <c r="Z2190" s="82"/>
      <c r="AA2190" s="82" t="str">
        <f>IF(AND(MONTH(E2190)='IN-NX'!$J$5,'IN-NX'!$D$7=D2190),"x","")</f>
        <v/>
      </c>
      <c r="AB2190" s="82" t="str">
        <f>IF(AND(OR(LEFT(TH!N2191,2)="15",LEFT(TH!O2191,2)="15"),LEFT(TH!O2191,3)&lt;&gt;"111",'152-CT'!$J$8=TH!F2191),"x","")</f>
        <v/>
      </c>
      <c r="AC2190" s="82" t="str">
        <f>IF(AND(OR(LEFT(TH!N2191,2)="15",LEFT(TH!O2191,2)="15"),TK!$E$7=TH!F2191),"x","")</f>
        <v/>
      </c>
      <c r="AD2190" s="82" t="str">
        <f>IF(AND(N2190="1521",MONTH(C2190)='BK-NL'!$M$11),"x","")</f>
        <v/>
      </c>
      <c r="AE2190" s="328"/>
      <c r="AF2190" s="328">
        <v>1</v>
      </c>
    </row>
    <row r="2191" spans="1:32" s="345" customFormat="1" ht="15.75" customHeight="1">
      <c r="A2191" s="334" t="str">
        <f>IF(B2191&lt;&gt;"",IF(AND(B2191='IN-TC'!$S$4,OR(TH!N2192="1111",TH!O2192="1111")),TH!D2192,""),"")</f>
        <v/>
      </c>
      <c r="B2191" s="63">
        <f t="shared" si="233"/>
        <v>6</v>
      </c>
      <c r="C2191" s="64">
        <v>42548</v>
      </c>
      <c r="D2191" s="64" t="s">
        <v>904</v>
      </c>
      <c r="E2191" s="64">
        <v>42548</v>
      </c>
      <c r="F2191" s="72" t="s">
        <v>1011</v>
      </c>
      <c r="G2191" s="972" t="s">
        <v>1606</v>
      </c>
      <c r="H2191" s="72" t="s">
        <v>805</v>
      </c>
      <c r="I2191" s="437"/>
      <c r="J2191" s="437"/>
      <c r="K2191" s="428"/>
      <c r="L2191" s="437"/>
      <c r="M2191" s="65">
        <v>122501</v>
      </c>
      <c r="N2191" s="66" t="s">
        <v>9</v>
      </c>
      <c r="O2191" s="66" t="s">
        <v>63</v>
      </c>
      <c r="P2191" s="82" t="str">
        <f>IF(AND('331-CT'!$E$7=TH!H2192,OR(N2191="331",O2191="331")),"x","")</f>
        <v/>
      </c>
      <c r="Q2191" s="82" t="str">
        <f>IF(AND(B2191='111'!$L$11,OR($N2191=$Q$7,$O2191=$Q$7)),"x","")</f>
        <v/>
      </c>
      <c r="R2191" s="82" t="str">
        <f>IF(AND($N2191=$Q$7,$B2191&lt;'111'!$L$11),"x","")</f>
        <v/>
      </c>
      <c r="S2191" s="82" t="str">
        <f>IF(AND($O2191=$Q$7,$B2191&lt;'111'!$L$11),"x","")</f>
        <v>x</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IF(OR(TH!N2192=TH!$X$7,O2191=TH!$X$7),"x","")</f>
        <v/>
      </c>
      <c r="Y2191" s="82" t="str">
        <f>IF(AND(OR(N2191="131",O2191="131"),H2191='131-CT'!$H$9),"x","")</f>
        <v/>
      </c>
      <c r="Z2191" s="82"/>
      <c r="AA2191" s="82" t="str">
        <f>IF(AND(MONTH(E2191)='IN-NX'!$J$5,'IN-NX'!$D$7=D2191),"x","")</f>
        <v/>
      </c>
      <c r="AB2191" s="82" t="str">
        <f>IF(AND(OR(LEFT(TH!N2192,2)="15",LEFT(TH!O2192,2)="15"),LEFT(TH!O2192,3)&lt;&gt;"111",'152-CT'!$J$8=TH!F2192),"x","")</f>
        <v/>
      </c>
      <c r="AC2191" s="82" t="str">
        <f>IF(AND(OR(LEFT(TH!N2192,2)="15",LEFT(TH!O2192,2)="15"),TK!$E$7=TH!F2192),"x","")</f>
        <v/>
      </c>
      <c r="AD2191" s="82" t="str">
        <f>IF(AND(N2191="1521",MONTH(C2191)='BK-NL'!$M$11),"x","")</f>
        <v/>
      </c>
      <c r="AE2191" s="328"/>
      <c r="AF2191" s="328"/>
    </row>
    <row r="2192" spans="1:32" s="345" customFormat="1" ht="15.75" customHeight="1">
      <c r="A2192" s="334" t="str">
        <f>IF(B2192&lt;&gt;"",IF(AND(B2192='IN-TC'!$S$4,OR(TH!N2193="1111",TH!O2193="1111")),TH!D2193,""),"")</f>
        <v/>
      </c>
      <c r="B2192" s="63">
        <f t="shared" si="233"/>
        <v>6</v>
      </c>
      <c r="C2192" s="64">
        <v>42548</v>
      </c>
      <c r="D2192" s="64" t="s">
        <v>907</v>
      </c>
      <c r="E2192" s="64">
        <v>42548</v>
      </c>
      <c r="F2192" s="72" t="s">
        <v>1607</v>
      </c>
      <c r="G2192" s="972" t="s">
        <v>1609</v>
      </c>
      <c r="H2192" s="72" t="s">
        <v>1610</v>
      </c>
      <c r="I2192" s="437"/>
      <c r="J2192" s="437"/>
      <c r="K2192" s="428"/>
      <c r="L2192" s="437"/>
      <c r="M2192" s="1147">
        <v>16200000</v>
      </c>
      <c r="N2192" s="66" t="s">
        <v>101</v>
      </c>
      <c r="O2192" s="66" t="s">
        <v>63</v>
      </c>
      <c r="P2192" s="82" t="str">
        <f>IF(AND('331-CT'!$E$7=TH!H2193,OR(N2192="331",O2192="331")),"x","")</f>
        <v/>
      </c>
      <c r="Q2192" s="82" t="str">
        <f>IF(AND(B2192='111'!$L$11,OR($N2192=$Q$7,$O2192=$Q$7)),"x","")</f>
        <v/>
      </c>
      <c r="R2192" s="82" t="str">
        <f>IF(AND($N2192=$Q$7,$B2192&lt;'111'!$L$11),"x","")</f>
        <v/>
      </c>
      <c r="S2192" s="82" t="str">
        <f>IF(AND($O2192=$Q$7,$B2192&lt;'111'!$L$11),"x","")</f>
        <v>x</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IF(OR(TH!N2193=TH!$X$7,O2192=TH!$X$7),"x","")</f>
        <v>x</v>
      </c>
      <c r="Y2192" s="82" t="str">
        <f>IF(AND(OR(N2192="131",O2192="131"),H2192='131-CT'!$H$9),"x","")</f>
        <v/>
      </c>
      <c r="Z2192" s="82"/>
      <c r="AA2192" s="82" t="str">
        <f>IF(AND(MONTH(E2192)='IN-NX'!$J$5,'IN-NX'!$D$7=D2192),"x","")</f>
        <v/>
      </c>
      <c r="AB2192" s="82" t="str">
        <f>IF(AND(OR(LEFT(TH!N2193,2)="15",LEFT(TH!O2193,2)="15"),LEFT(TH!O2193,3)&lt;&gt;"111",'152-CT'!$J$8=TH!F2193),"x","")</f>
        <v/>
      </c>
      <c r="AC2192" s="82" t="str">
        <f>IF(AND(OR(LEFT(TH!N2193,2)="15",LEFT(TH!O2193,2)="15"),TK!$E$7=TH!F2193),"x","")</f>
        <v/>
      </c>
      <c r="AD2192" s="82" t="str">
        <f>IF(AND(N2192="1521",MONTH(C2192)='BK-NL'!$M$11),"x","")</f>
        <v/>
      </c>
      <c r="AE2192" s="328"/>
      <c r="AF2192" s="328">
        <v>1</v>
      </c>
    </row>
    <row r="2193" spans="1:32" s="345" customFormat="1" ht="15.75" customHeight="1">
      <c r="A2193" s="334" t="str">
        <f>IF(B2193&lt;&gt;"",IF(AND(B2193='IN-TC'!$S$4,OR(TH!N2194="1111",TH!O2194="1111")),TH!D2194,""),"")</f>
        <v/>
      </c>
      <c r="B2193" s="63">
        <f t="shared" si="233"/>
        <v>6</v>
      </c>
      <c r="C2193" s="64">
        <v>42548</v>
      </c>
      <c r="D2193" s="64" t="s">
        <v>907</v>
      </c>
      <c r="E2193" s="64">
        <v>42548</v>
      </c>
      <c r="F2193" s="72" t="s">
        <v>1608</v>
      </c>
      <c r="G2193" s="972" t="s">
        <v>1609</v>
      </c>
      <c r="H2193" s="72" t="s">
        <v>1610</v>
      </c>
      <c r="I2193" s="437"/>
      <c r="J2193" s="437"/>
      <c r="K2193" s="428"/>
      <c r="L2193" s="437"/>
      <c r="M2193" s="1147">
        <v>1620000</v>
      </c>
      <c r="N2193" s="66" t="s">
        <v>9</v>
      </c>
      <c r="O2193" s="66" t="s">
        <v>63</v>
      </c>
      <c r="P2193" s="82" t="str">
        <f>IF(AND('331-CT'!$E$7=TH!H2194,OR(N2193="331",O2193="331")),"x","")</f>
        <v/>
      </c>
      <c r="Q2193" s="82" t="str">
        <f>IF(AND(B2193='111'!$L$11,OR($N2193=$Q$7,$O2193=$Q$7)),"x","")</f>
        <v/>
      </c>
      <c r="R2193" s="82" t="str">
        <f>IF(AND($N2193=$Q$7,$B2193&lt;'111'!$L$11),"x","")</f>
        <v/>
      </c>
      <c r="S2193" s="82" t="str">
        <f>IF(AND($O2193=$Q$7,$B2193&lt;'111'!$L$11),"x","")</f>
        <v>x</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IF(OR(TH!N2194=TH!$X$7,O2193=TH!$X$7),"x","")</f>
        <v/>
      </c>
      <c r="Y2193" s="82" t="str">
        <f>IF(AND(OR(N2193="131",O2193="131"),H2193='131-CT'!$H$9),"x","")</f>
        <v/>
      </c>
      <c r="Z2193" s="82"/>
      <c r="AA2193" s="82" t="str">
        <f>IF(AND(MONTH(E2193)='IN-NX'!$J$5,'IN-NX'!$D$7=D2193),"x","")</f>
        <v/>
      </c>
      <c r="AB2193" s="82" t="str">
        <f>IF(AND(OR(LEFT(TH!N2194,2)="15",LEFT(TH!O2194,2)="15"),LEFT(TH!O2194,3)&lt;&gt;"111",'152-CT'!$J$8=TH!F2194),"x","")</f>
        <v/>
      </c>
      <c r="AC2193" s="82" t="str">
        <f>IF(AND(OR(LEFT(TH!N2194,2)="15",LEFT(TH!O2194,2)="15"),TK!$E$7=TH!F2194),"x","")</f>
        <v/>
      </c>
      <c r="AD2193" s="82" t="str">
        <f>IF(AND(N2193="1521",MONTH(C2193)='BK-NL'!$M$11),"x","")</f>
        <v/>
      </c>
      <c r="AE2193" s="328"/>
      <c r="AF2193" s="328"/>
    </row>
    <row r="2194" spans="1:32" s="345" customFormat="1" ht="15.75" customHeight="1">
      <c r="A2194" s="334" t="str">
        <f>IF(B2194&lt;&gt;"",IF(AND(B2194='IN-TC'!$S$4,OR(TH!N2195="1111",TH!O2195="1111")),TH!D2195,""),"")</f>
        <v/>
      </c>
      <c r="B2194" s="63">
        <f t="shared" si="233"/>
        <v>6</v>
      </c>
      <c r="C2194" s="64">
        <v>42548</v>
      </c>
      <c r="D2194" s="64" t="s">
        <v>908</v>
      </c>
      <c r="E2194" s="64">
        <v>42548</v>
      </c>
      <c r="F2194" s="72" t="s">
        <v>1613</v>
      </c>
      <c r="G2194" s="972" t="s">
        <v>1615</v>
      </c>
      <c r="H2194" s="72" t="s">
        <v>836</v>
      </c>
      <c r="I2194" s="437"/>
      <c r="J2194" s="437"/>
      <c r="K2194" s="428"/>
      <c r="L2194" s="437"/>
      <c r="M2194" s="1147">
        <v>16050000</v>
      </c>
      <c r="N2194" s="66" t="s">
        <v>101</v>
      </c>
      <c r="O2194" s="66" t="s">
        <v>63</v>
      </c>
      <c r="P2194" s="82" t="str">
        <f>IF(AND('331-CT'!$E$7=TH!H2195,OR(N2194="331",O2194="331")),"x","")</f>
        <v/>
      </c>
      <c r="Q2194" s="82" t="str">
        <f>IF(AND(B2194='111'!$L$11,OR($N2194=$Q$7,$O2194=$Q$7)),"x","")</f>
        <v/>
      </c>
      <c r="R2194" s="82" t="str">
        <f>IF(AND($N2194=$Q$7,$B2194&lt;'111'!$L$11),"x","")</f>
        <v/>
      </c>
      <c r="S2194" s="82" t="str">
        <f>IF(AND($O2194=$Q$7,$B2194&lt;'111'!$L$11),"x","")</f>
        <v>x</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IF(OR(TH!N2195=TH!$X$7,O2194=TH!$X$7),"x","")</f>
        <v>x</v>
      </c>
      <c r="Y2194" s="82" t="str">
        <f>IF(AND(OR(N2194="131",O2194="131"),H2194='131-CT'!$H$9),"x","")</f>
        <v/>
      </c>
      <c r="Z2194" s="82"/>
      <c r="AA2194" s="82" t="str">
        <f>IF(AND(MONTH(E2194)='IN-NX'!$J$5,'IN-NX'!$D$7=D2194),"x","")</f>
        <v/>
      </c>
      <c r="AB2194" s="82" t="str">
        <f>IF(AND(OR(LEFT(TH!N2195,2)="15",LEFT(TH!O2195,2)="15"),LEFT(TH!O2195,3)&lt;&gt;"111",'152-CT'!$J$8=TH!F2195),"x","")</f>
        <v/>
      </c>
      <c r="AC2194" s="82" t="str">
        <f>IF(AND(OR(LEFT(TH!N2195,2)="15",LEFT(TH!O2195,2)="15"),TK!$E$7=TH!F2195),"x","")</f>
        <v/>
      </c>
      <c r="AD2194" s="82" t="str">
        <f>IF(AND(N2194="1521",MONTH(C2194)='BK-NL'!$M$11),"x","")</f>
        <v/>
      </c>
      <c r="AE2194" s="328"/>
      <c r="AF2194" s="328">
        <v>1</v>
      </c>
    </row>
    <row r="2195" spans="1:32" s="345" customFormat="1" ht="15.75" customHeight="1">
      <c r="A2195" s="334" t="str">
        <f>IF(B2195&lt;&gt;"",IF(AND(B2195='IN-TC'!$S$4,OR(TH!N2196="1111",TH!O2196="1111")),TH!D2196,""),"")</f>
        <v/>
      </c>
      <c r="B2195" s="63">
        <f t="shared" si="233"/>
        <v>6</v>
      </c>
      <c r="C2195" s="64">
        <v>42548</v>
      </c>
      <c r="D2195" s="64" t="s">
        <v>908</v>
      </c>
      <c r="E2195" s="64">
        <v>42548</v>
      </c>
      <c r="F2195" s="72" t="s">
        <v>1614</v>
      </c>
      <c r="G2195" s="972" t="s">
        <v>1615</v>
      </c>
      <c r="H2195" s="72" t="s">
        <v>836</v>
      </c>
      <c r="I2195" s="437"/>
      <c r="J2195" s="437"/>
      <c r="K2195" s="428"/>
      <c r="L2195" s="437"/>
      <c r="M2195" s="1147">
        <v>1605000</v>
      </c>
      <c r="N2195" s="66" t="s">
        <v>9</v>
      </c>
      <c r="O2195" s="66" t="s">
        <v>63</v>
      </c>
      <c r="P2195" s="82" t="str">
        <f>IF(AND('331-CT'!$E$7=TH!H2196,OR(N2195="331",O2195="331")),"x","")</f>
        <v/>
      </c>
      <c r="Q2195" s="82" t="str">
        <f>IF(AND(B2195='111'!$L$11,OR($N2195=$Q$7,$O2195=$Q$7)),"x","")</f>
        <v/>
      </c>
      <c r="R2195" s="82" t="str">
        <f>IF(AND($N2195=$Q$7,$B2195&lt;'111'!$L$11),"x","")</f>
        <v/>
      </c>
      <c r="S2195" s="82" t="str">
        <f>IF(AND($O2195=$Q$7,$B2195&lt;'111'!$L$11),"x","")</f>
        <v>x</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IF(OR(TH!N2196=TH!$X$7,O2195=TH!$X$7),"x","")</f>
        <v/>
      </c>
      <c r="Y2195" s="82" t="str">
        <f>IF(AND(OR(N2195="131",O2195="131"),H2195='131-CT'!$H$9),"x","")</f>
        <v/>
      </c>
      <c r="Z2195" s="82"/>
      <c r="AA2195" s="82" t="str">
        <f>IF(AND(MONTH(E2195)='IN-NX'!$J$5,'IN-NX'!$D$7=D2195),"x","")</f>
        <v/>
      </c>
      <c r="AB2195" s="82" t="str">
        <f>IF(AND(OR(LEFT(TH!N2196,2)="15",LEFT(TH!O2196,2)="15"),LEFT(TH!O2196,3)&lt;&gt;"111",'152-CT'!$J$8=TH!F2196),"x","")</f>
        <v/>
      </c>
      <c r="AC2195" s="82" t="str">
        <f>IF(AND(OR(LEFT(TH!N2196,2)="15",LEFT(TH!O2196,2)="15"),TK!$E$7=TH!F2196),"x","")</f>
        <v/>
      </c>
      <c r="AD2195" s="82" t="str">
        <f>IF(AND(N2195="1521",MONTH(C2195)='BK-NL'!$M$11),"x","")</f>
        <v/>
      </c>
      <c r="AE2195" s="328"/>
      <c r="AF2195" s="328"/>
    </row>
    <row r="2196" spans="1:32" s="345" customFormat="1" ht="15.75" customHeight="1">
      <c r="A2196" s="334" t="str">
        <f>IF(B2196&lt;&gt;"",IF(AND(B2196='IN-TC'!$S$4,OR(TH!N2197="1111",TH!O2197="1111")),TH!D2197,""),"")</f>
        <v/>
      </c>
      <c r="B2196" s="63">
        <f t="shared" si="233"/>
        <v>6</v>
      </c>
      <c r="C2196" s="64">
        <v>42549</v>
      </c>
      <c r="D2196" s="64" t="s">
        <v>909</v>
      </c>
      <c r="E2196" s="64">
        <v>42549</v>
      </c>
      <c r="F2196" s="72" t="s">
        <v>1611</v>
      </c>
      <c r="G2196" s="972" t="s">
        <v>1315</v>
      </c>
      <c r="H2196" s="72" t="s">
        <v>1610</v>
      </c>
      <c r="I2196" s="437"/>
      <c r="J2196" s="437"/>
      <c r="K2196" s="428"/>
      <c r="L2196" s="437"/>
      <c r="M2196" s="65">
        <v>3450000</v>
      </c>
      <c r="N2196" s="66" t="s">
        <v>101</v>
      </c>
      <c r="O2196" s="66" t="s">
        <v>63</v>
      </c>
      <c r="P2196" s="82" t="str">
        <f>IF(AND('331-CT'!$E$7=TH!H2197,OR(N2196="331",O2196="331")),"x","")</f>
        <v/>
      </c>
      <c r="Q2196" s="82" t="str">
        <f>IF(AND(B2196='111'!$L$11,OR($N2196=$Q$7,$O2196=$Q$7)),"x","")</f>
        <v/>
      </c>
      <c r="R2196" s="82" t="str">
        <f>IF(AND($N2196=$Q$7,$B2196&lt;'111'!$L$11),"x","")</f>
        <v/>
      </c>
      <c r="S2196" s="82" t="str">
        <f>IF(AND($O2196=$Q$7,$B2196&lt;'111'!$L$11),"x","")</f>
        <v>x</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IF(OR(TH!N2197=TH!$X$7,O2196=TH!$X$7),"x","")</f>
        <v>x</v>
      </c>
      <c r="Y2196" s="82" t="str">
        <f>IF(AND(OR(N2196="131",O2196="131"),H2196='131-CT'!$H$9),"x","")</f>
        <v/>
      </c>
      <c r="Z2196" s="82"/>
      <c r="AA2196" s="82" t="str">
        <f>IF(AND(MONTH(E2196)='IN-NX'!$J$5,'IN-NX'!$D$7=D2196),"x","")</f>
        <v/>
      </c>
      <c r="AB2196" s="82" t="str">
        <f>IF(AND(OR(LEFT(TH!N2197,2)="15",LEFT(TH!O2197,2)="15"),LEFT(TH!O2197,3)&lt;&gt;"111",'152-CT'!$J$8=TH!F2197),"x","")</f>
        <v/>
      </c>
      <c r="AC2196" s="82" t="str">
        <f>IF(AND(OR(LEFT(TH!N2197,2)="15",LEFT(TH!O2197,2)="15"),TK!$E$7=TH!F2197),"x","")</f>
        <v/>
      </c>
      <c r="AD2196" s="82" t="str">
        <f>IF(AND(N2196="1521",MONTH(C2196)='BK-NL'!$M$11),"x","")</f>
        <v/>
      </c>
      <c r="AE2196" s="328"/>
      <c r="AF2196" s="328">
        <v>1</v>
      </c>
    </row>
    <row r="2197" spans="1:32" s="345" customFormat="1" ht="15.75" customHeight="1">
      <c r="A2197" s="334" t="str">
        <f>IF(B2197&lt;&gt;"",IF(AND(B2197='IN-TC'!$S$4,OR(TH!N2198="1111",TH!O2198="1111")),TH!D2198,""),"")</f>
        <v/>
      </c>
      <c r="B2197" s="63">
        <f t="shared" si="233"/>
        <v>6</v>
      </c>
      <c r="C2197" s="64">
        <v>42549</v>
      </c>
      <c r="D2197" s="64" t="s">
        <v>909</v>
      </c>
      <c r="E2197" s="64">
        <v>42549</v>
      </c>
      <c r="F2197" s="72" t="s">
        <v>1612</v>
      </c>
      <c r="G2197" s="972" t="s">
        <v>1315</v>
      </c>
      <c r="H2197" s="72" t="s">
        <v>1610</v>
      </c>
      <c r="I2197" s="437"/>
      <c r="J2197" s="437"/>
      <c r="K2197" s="428"/>
      <c r="L2197" s="437"/>
      <c r="M2197" s="65">
        <v>345000</v>
      </c>
      <c r="N2197" s="66" t="s">
        <v>9</v>
      </c>
      <c r="O2197" s="66" t="s">
        <v>63</v>
      </c>
      <c r="P2197" s="82" t="str">
        <f>IF(AND('331-CT'!$E$7=TH!H2198,OR(N2197="331",O2197="331")),"x","")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IF(OR(TH!N2198=TH!$X$7,O2197=TH!$X$7),"x","")</f>
        <v/>
      </c>
      <c r="Y2197" s="82" t="str">
        <f>IF(AND(OR(N2197="131",O2197="131"),H2197='131-CT'!$H$9),"x","")</f>
        <v/>
      </c>
      <c r="Z2197" s="82"/>
      <c r="AA2197" s="82" t="str">
        <f>IF(AND(MONTH(E2197)='IN-NX'!$J$5,'IN-NX'!$D$7=D2197),"x","")</f>
        <v/>
      </c>
      <c r="AB2197" s="82" t="str">
        <f>IF(AND(OR(LEFT(TH!N2198,2)="15",LEFT(TH!O2198,2)="15"),LEFT(TH!O2198,3)&lt;&gt;"111",'152-CT'!$J$8=TH!F2198),"x","")</f>
        <v/>
      </c>
      <c r="AC2197" s="82" t="str">
        <f>IF(AND(OR(LEFT(TH!N2198,2)="15",LEFT(TH!O2198,2)="15"),TK!$E$7=TH!F2198),"x","")</f>
        <v/>
      </c>
      <c r="AD2197" s="82" t="str">
        <f>IF(AND(N2197="1521",MONTH(C2197)='BK-NL'!$M$11),"x","")</f>
        <v/>
      </c>
      <c r="AE2197" s="328"/>
      <c r="AF2197" s="328"/>
    </row>
    <row r="2198" spans="1:32" s="345" customFormat="1" ht="15.75" customHeight="1">
      <c r="A2198" s="334" t="str">
        <f>IF(B2198&lt;&gt;"",IF(AND(B2198='IN-TC'!$S$4,OR(TH!N1566="1111",TH!O1566="1111")),TH!D1566,""),"")</f>
        <v/>
      </c>
      <c r="B2198" s="1148">
        <f t="shared" si="233"/>
        <v>6</v>
      </c>
      <c r="C2198" s="1149">
        <v>42551</v>
      </c>
      <c r="D2198" s="1149" t="s">
        <v>910</v>
      </c>
      <c r="E2198" s="1149">
        <f t="shared" ref="E2198:E2224" si="234">C2198</f>
        <v>42551</v>
      </c>
      <c r="F2198" s="512" t="s">
        <v>960</v>
      </c>
      <c r="G2198" s="1151"/>
      <c r="H2198" s="1150" t="s">
        <v>959</v>
      </c>
      <c r="I2198" s="1152"/>
      <c r="J2198" s="1152"/>
      <c r="K2198" s="1153"/>
      <c r="L2198" s="1152"/>
      <c r="M2198" s="1154">
        <v>530000000</v>
      </c>
      <c r="N2198" s="1155" t="s">
        <v>272</v>
      </c>
      <c r="O2198" s="1155" t="s">
        <v>63</v>
      </c>
      <c r="P2198" s="1155" t="str">
        <f>IF(AND('331-CT'!$E$7=TH!H1566,OR(N2198="331",O2198="331")),"x","")</f>
        <v/>
      </c>
      <c r="Q2198" s="1155" t="str">
        <f>IF(AND(B2198='111'!$L$11,OR($N2198=$Q$7,$O2198=$Q$7)),"x","")</f>
        <v/>
      </c>
      <c r="R2198" s="1155" t="str">
        <f>IF(AND($N2198=$Q$7,$B2198&lt;'111'!$L$11),"x","")</f>
        <v/>
      </c>
      <c r="S2198" s="1155" t="str">
        <f>IF(AND($O2198=$Q$7,$B2198&lt;'111'!$L$11),"x","")</f>
        <v>x</v>
      </c>
      <c r="T2198" s="1155" t="str">
        <f>IF(ISERROR(FIND('112'!$M$9,G2198,1)),"",IF((AND(FIND('112'!$M$9,G2198,1)&gt;=1,B2198='112'!$K$9,OR($N2198='112'!$I$6,$O2198='112'!$I$6))),"x",""))</f>
        <v/>
      </c>
      <c r="U2198" s="1155" t="str">
        <f>IF(ISERROR(FIND('112'!$M$9,G2198,1)),"",IF((AND(LEFT(G2198,2)=LEFT('112'!$M$9,2),B2198&lt;'112'!$K$9,$N2198='112'!$I$6)),"x",""))</f>
        <v/>
      </c>
      <c r="V2198" s="1155" t="str">
        <f>IF(ISERROR(FIND('112'!$M$9,G2198,1)),"",IF((AND(RIGHT(G2198,2)=RIGHT('112'!$M$9,2),B2198&lt;'112'!$K$9,$O2198='112'!$I$6)),"x",""))</f>
        <v/>
      </c>
      <c r="W2198" s="1155" t="str">
        <f>IF(AND('341-CT'!$H$9=H2198,OR(LEFT(N2198,3)=$W$7,LEFT(O2198,3)=$W$7)),"x","")</f>
        <v/>
      </c>
      <c r="X2198" s="1155" t="str">
        <f>IF(OR(TH!N1566=TH!$X$7,O2198=TH!$X$7),"x","")</f>
        <v/>
      </c>
      <c r="Y2198" s="1155" t="str">
        <f>IF(AND(OR(N2198="131",O2198="131"),H2198='131-CT'!$H$9),"x","")</f>
        <v/>
      </c>
      <c r="Z2198" s="1155"/>
      <c r="AA2198" s="1155" t="str">
        <f>IF(AND(MONTH(E2198)='IN-NX'!$J$5,'IN-NX'!$D$7=D2198),"x","")</f>
        <v/>
      </c>
      <c r="AB2198" s="1155" t="str">
        <f>IF(AND(OR(LEFT(TH!N1566,2)="15",LEFT(TH!O1566,2)="15"),LEFT(TH!O1566,3)&lt;&gt;"111",'152-CT'!$J$8=TH!F1566),"x","")</f>
        <v/>
      </c>
      <c r="AC2198" s="1155" t="str">
        <f>IF(AND(OR(LEFT(TH!N1566,2)="15",LEFT(TH!O1566,2)="15"),TK!$E$7=TH!F1566),"x","")</f>
        <v/>
      </c>
      <c r="AD2198" s="1155" t="str">
        <f>IF(AND(N2198="1521",MONTH(C2198)='BK-NL'!$M$11),"x","")</f>
        <v/>
      </c>
      <c r="AE2198" s="1156"/>
      <c r="AF2198" s="1156"/>
    </row>
    <row r="2199" spans="1:32" s="345" customFormat="1" ht="15.75" customHeight="1">
      <c r="A2199" s="334" t="str">
        <f>IF(B2199&lt;&gt;"",IF(AND(B2199='IN-TC'!$S$4,OR(TH!N2199="1111",TH!O2199="1111")),TH!D2199,""),"")</f>
        <v/>
      </c>
      <c r="B2199" s="63">
        <f t="shared" si="233"/>
        <v>6</v>
      </c>
      <c r="C2199" s="64">
        <v>42549</v>
      </c>
      <c r="D2199" s="64" t="s">
        <v>702</v>
      </c>
      <c r="E2199" s="64">
        <f t="shared" si="234"/>
        <v>42549</v>
      </c>
      <c r="F2199" s="72" t="s">
        <v>1650</v>
      </c>
      <c r="G2199" s="67" t="s">
        <v>915</v>
      </c>
      <c r="H2199" s="342"/>
      <c r="I2199" s="437"/>
      <c r="J2199" s="437"/>
      <c r="K2199" s="428"/>
      <c r="L2199" s="437"/>
      <c r="M2199" s="65">
        <v>290993</v>
      </c>
      <c r="N2199" s="66" t="s">
        <v>101</v>
      </c>
      <c r="O2199" s="66" t="s">
        <v>26</v>
      </c>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c r="AE2199" s="328"/>
      <c r="AF2199" s="328">
        <v>1</v>
      </c>
    </row>
    <row r="2200" spans="1:32" s="345" customFormat="1" ht="15.75" customHeight="1">
      <c r="A2200" s="334" t="str">
        <f>IF(B2200&lt;&gt;"",IF(AND(B2200='IN-TC'!$S$4,OR(TH!N2200="1111",TH!O2200="1111")),TH!D2200,""),"")</f>
        <v/>
      </c>
      <c r="B2200" s="63">
        <f t="shared" si="233"/>
        <v>6</v>
      </c>
      <c r="C2200" s="64">
        <v>42549</v>
      </c>
      <c r="D2200" s="64" t="s">
        <v>702</v>
      </c>
      <c r="E2200" s="64">
        <f t="shared" si="234"/>
        <v>42549</v>
      </c>
      <c r="F2200" s="72" t="s">
        <v>1689</v>
      </c>
      <c r="G2200" s="67" t="s">
        <v>915</v>
      </c>
      <c r="H2200" s="342"/>
      <c r="I2200" s="437"/>
      <c r="J2200" s="437"/>
      <c r="K2200" s="428"/>
      <c r="L2200" s="437"/>
      <c r="M2200" s="65">
        <v>29099</v>
      </c>
      <c r="N2200" s="66" t="s">
        <v>9</v>
      </c>
      <c r="O2200" s="66" t="s">
        <v>26</v>
      </c>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x</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c r="AE2200" s="328"/>
      <c r="AF2200" s="328"/>
    </row>
    <row r="2201" spans="1:32" s="345" customFormat="1" ht="15.75" customHeight="1">
      <c r="A2201" s="334" t="str">
        <f>IF(B2201&lt;&gt;"",IF(AND(B2201='IN-TC'!$S$4,OR(TH!N2201="1111",TH!O2201="1111")),TH!D2201,""),"")</f>
        <v/>
      </c>
      <c r="B2201" s="63">
        <f t="shared" si="233"/>
        <v>6</v>
      </c>
      <c r="C2201" s="64">
        <v>42549</v>
      </c>
      <c r="D2201" s="64" t="s">
        <v>702</v>
      </c>
      <c r="E2201" s="64">
        <f t="shared" si="234"/>
        <v>42549</v>
      </c>
      <c r="F2201" s="72" t="s">
        <v>1651</v>
      </c>
      <c r="G2201" s="67" t="s">
        <v>915</v>
      </c>
      <c r="H2201" s="342" t="s">
        <v>627</v>
      </c>
      <c r="I2201" s="437"/>
      <c r="J2201" s="437"/>
      <c r="K2201" s="428"/>
      <c r="L2201" s="437"/>
      <c r="M2201" s="65">
        <v>139997985</v>
      </c>
      <c r="N2201" s="66" t="s">
        <v>8</v>
      </c>
      <c r="O2201" s="66" t="s">
        <v>26</v>
      </c>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c r="AE2201" s="1136" t="str">
        <f>IF(H2201&lt;&gt;VLOOKUP(H2201,DSKH,1,0),"","x")</f>
        <v>x</v>
      </c>
      <c r="AF2201" s="328"/>
    </row>
    <row r="2202" spans="1:32" s="345" customFormat="1" ht="15.75" customHeight="1">
      <c r="A2202" s="334" t="str">
        <f>IF(B2202&lt;&gt;"",IF(AND(B2202='IN-TC'!$S$4,OR(TH!N2202="1111",TH!O2202="1111")),TH!D2202,""),"")</f>
        <v/>
      </c>
      <c r="B2202" s="63">
        <f t="shared" si="233"/>
        <v>6</v>
      </c>
      <c r="C2202" s="64">
        <v>42549</v>
      </c>
      <c r="D2202" s="64" t="s">
        <v>702</v>
      </c>
      <c r="E2202" s="64">
        <f t="shared" si="234"/>
        <v>42549</v>
      </c>
      <c r="F2202" s="72" t="s">
        <v>1169</v>
      </c>
      <c r="G2202" s="67" t="s">
        <v>915</v>
      </c>
      <c r="H2202" s="342"/>
      <c r="I2202" s="437"/>
      <c r="J2202" s="437"/>
      <c r="K2202" s="428"/>
      <c r="L2202" s="437"/>
      <c r="M2202" s="65">
        <v>69999</v>
      </c>
      <c r="N2202" s="66" t="s">
        <v>101</v>
      </c>
      <c r="O2202" s="66" t="s">
        <v>26</v>
      </c>
      <c r="P2202" s="82" t="str">
        <f>IF(AND('331-CT'!$E$7=TH!H2202,OR(N2202="331",O2202="331")),"x","")</f>
        <v/>
      </c>
      <c r="Q2202" s="82" t="str">
        <f>IF(AND(B2202='111'!$L$11,OR($N2202=$Q$7,$O2202=$Q$7)),"x","")</f>
        <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c r="AE2202" s="328"/>
      <c r="AF2202" s="328">
        <v>1</v>
      </c>
    </row>
    <row r="2203" spans="1:32" s="345" customFormat="1" ht="15.75" customHeight="1">
      <c r="A2203" s="334" t="str">
        <f>IF(B2203&lt;&gt;"",IF(AND(B2203='IN-TC'!$S$4,OR(TH!N2203="1111",TH!O2203="1111")),TH!D2203,""),"")</f>
        <v/>
      </c>
      <c r="B2203" s="63">
        <f t="shared" si="233"/>
        <v>6</v>
      </c>
      <c r="C2203" s="64">
        <v>42549</v>
      </c>
      <c r="D2203" s="64" t="s">
        <v>702</v>
      </c>
      <c r="E2203" s="64">
        <f t="shared" si="234"/>
        <v>42549</v>
      </c>
      <c r="F2203" s="72" t="s">
        <v>1631</v>
      </c>
      <c r="G2203" s="67" t="s">
        <v>915</v>
      </c>
      <c r="H2203" s="342"/>
      <c r="I2203" s="437"/>
      <c r="J2203" s="437"/>
      <c r="K2203" s="428"/>
      <c r="L2203" s="437"/>
      <c r="M2203" s="65">
        <v>7000</v>
      </c>
      <c r="N2203" s="66" t="s">
        <v>9</v>
      </c>
      <c r="O2203" s="66" t="s">
        <v>26</v>
      </c>
      <c r="P2203" s="82" t="str">
        <f>IF(AND('331-CT'!$E$7=TH!H2203,OR(N2203="331",O2203="331")),"x","")</f>
        <v/>
      </c>
      <c r="Q2203" s="82" t="str">
        <f>IF(AND(B2203='111'!$L$11,OR($N2203=$Q$7,$O2203=$Q$7)),"x","")</f>
        <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x</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c r="AE2203" s="328"/>
      <c r="AF2203" s="328"/>
    </row>
    <row r="2204" spans="1:32" s="345" customFormat="1" ht="15.75" customHeight="1">
      <c r="A2204" s="334" t="str">
        <f>IF(B2204&lt;&gt;"",IF(AND(B2204='IN-TC'!$S$4,OR(TH!N2204="1111",TH!O2204="1111")),TH!D2204,""),"")</f>
        <v/>
      </c>
      <c r="B2204" s="63">
        <f t="shared" si="233"/>
        <v>6</v>
      </c>
      <c r="C2204" s="64">
        <v>42549</v>
      </c>
      <c r="D2204" s="64" t="s">
        <v>702</v>
      </c>
      <c r="E2204" s="64">
        <f t="shared" si="234"/>
        <v>42549</v>
      </c>
      <c r="F2204" s="72" t="s">
        <v>1652</v>
      </c>
      <c r="G2204" s="67" t="s">
        <v>915</v>
      </c>
      <c r="H2204" s="342" t="s">
        <v>1625</v>
      </c>
      <c r="I2204" s="437"/>
      <c r="J2204" s="437"/>
      <c r="K2204" s="428"/>
      <c r="L2204" s="437"/>
      <c r="M2204" s="65">
        <v>20293420</v>
      </c>
      <c r="N2204" s="66" t="s">
        <v>8</v>
      </c>
      <c r="O2204" s="66" t="s">
        <v>26</v>
      </c>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c r="AE2204" s="1136" t="str">
        <f>IF(H2204&lt;&gt;VLOOKUP(H2204,DSKH,1,0),"","x")</f>
        <v>x</v>
      </c>
      <c r="AF2204" s="328"/>
    </row>
    <row r="2205" spans="1:32" s="345" customFormat="1" ht="15.75" customHeight="1">
      <c r="A2205" s="334" t="str">
        <f>IF(B2205&lt;&gt;"",IF(AND(B2205='IN-TC'!$S$4,OR(TH!N2205="1111",TH!O2205="1111")),TH!D2205,""),"")</f>
        <v/>
      </c>
      <c r="B2205" s="63">
        <f t="shared" si="233"/>
        <v>6</v>
      </c>
      <c r="C2205" s="64">
        <v>42549</v>
      </c>
      <c r="D2205" s="64" t="s">
        <v>702</v>
      </c>
      <c r="E2205" s="64">
        <f t="shared" si="234"/>
        <v>42549</v>
      </c>
      <c r="F2205" s="72" t="s">
        <v>1169</v>
      </c>
      <c r="G2205" s="67" t="s">
        <v>915</v>
      </c>
      <c r="H2205" s="342"/>
      <c r="I2205" s="437"/>
      <c r="J2205" s="437"/>
      <c r="K2205" s="428"/>
      <c r="L2205" s="437"/>
      <c r="M2205" s="65">
        <v>20000</v>
      </c>
      <c r="N2205" s="66" t="s">
        <v>101</v>
      </c>
      <c r="O2205" s="66" t="s">
        <v>26</v>
      </c>
      <c r="P2205" s="82" t="str">
        <f>IF(AND('331-CT'!$E$7=TH!H2205,OR(N2205="331",O2205="331")),"x","")</f>
        <v/>
      </c>
      <c r="Q2205" s="82" t="str">
        <f>IF(AND(B2205='111'!$L$11,OR($N2205=$Q$7,$O2205=$Q$7)),"x","")</f>
        <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c r="AE2205" s="328"/>
      <c r="AF2205" s="328">
        <v>1</v>
      </c>
    </row>
    <row r="2206" spans="1:32" s="345" customFormat="1" ht="15.75" customHeight="1">
      <c r="A2206" s="334" t="str">
        <f>IF(B2206&lt;&gt;"",IF(AND(B2206='IN-TC'!$S$4,OR(TH!N2206="1111",TH!O2206="1111")),TH!D2206,""),"")</f>
        <v/>
      </c>
      <c r="B2206" s="63">
        <f t="shared" si="233"/>
        <v>6</v>
      </c>
      <c r="C2206" s="64">
        <v>42549</v>
      </c>
      <c r="D2206" s="64" t="s">
        <v>702</v>
      </c>
      <c r="E2206" s="64">
        <f t="shared" si="234"/>
        <v>42549</v>
      </c>
      <c r="F2206" s="72" t="s">
        <v>1631</v>
      </c>
      <c r="G2206" s="67" t="s">
        <v>915</v>
      </c>
      <c r="H2206" s="342"/>
      <c r="I2206" s="437"/>
      <c r="J2206" s="437"/>
      <c r="K2206" s="428"/>
      <c r="L2206" s="437"/>
      <c r="M2206" s="65">
        <v>2000</v>
      </c>
      <c r="N2206" s="66" t="s">
        <v>9</v>
      </c>
      <c r="O2206" s="66" t="s">
        <v>26</v>
      </c>
      <c r="P2206" s="82" t="str">
        <f>IF(AND('331-CT'!$E$7=TH!H2206,OR(N2206="331",O2206="331")),"x","")</f>
        <v/>
      </c>
      <c r="Q2206" s="82" t="str">
        <f>IF(AND(B2206='111'!$L$11,OR($N2206=$Q$7,$O2206=$Q$7)),"x","")</f>
        <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x</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c r="AE2206" s="328"/>
      <c r="AF2206" s="328"/>
    </row>
    <row r="2207" spans="1:32" s="345" customFormat="1" ht="15.75" customHeight="1">
      <c r="A2207" s="334" t="str">
        <f>IF(B2207&lt;&gt;"",IF(AND(B2207='IN-TC'!$S$4,OR(TH!N2207="1111",TH!O2207="1111")),TH!D2207,""),"")</f>
        <v/>
      </c>
      <c r="B2207" s="63">
        <f t="shared" si="233"/>
        <v>6</v>
      </c>
      <c r="C2207" s="64">
        <v>42549</v>
      </c>
      <c r="D2207" s="64" t="s">
        <v>702</v>
      </c>
      <c r="E2207" s="64">
        <f t="shared" si="234"/>
        <v>42549</v>
      </c>
      <c r="F2207" s="72" t="s">
        <v>1443</v>
      </c>
      <c r="G2207" s="67" t="s">
        <v>915</v>
      </c>
      <c r="H2207" s="342" t="s">
        <v>1211</v>
      </c>
      <c r="I2207" s="437"/>
      <c r="J2207" s="437"/>
      <c r="K2207" s="428"/>
      <c r="L2207" s="437"/>
      <c r="M2207" s="65">
        <v>31000000</v>
      </c>
      <c r="N2207" s="66" t="s">
        <v>72</v>
      </c>
      <c r="O2207" s="66" t="s">
        <v>26</v>
      </c>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c r="AE2207" s="328"/>
      <c r="AF2207" s="328"/>
    </row>
    <row r="2208" spans="1:32" s="345" customFormat="1" ht="15.75" customHeight="1">
      <c r="A2208" s="334" t="str">
        <f>IF(B2208&lt;&gt;"",IF(AND(B2208='IN-TC'!$S$4,OR(TH!N2208="1111",TH!O2208="1111")),TH!D2208,""),"")</f>
        <v/>
      </c>
      <c r="B2208" s="63">
        <f t="shared" si="233"/>
        <v>6</v>
      </c>
      <c r="C2208" s="64">
        <v>42549</v>
      </c>
      <c r="D2208" s="64" t="s">
        <v>699</v>
      </c>
      <c r="E2208" s="64">
        <f t="shared" si="234"/>
        <v>42549</v>
      </c>
      <c r="F2208" s="72" t="s">
        <v>1190</v>
      </c>
      <c r="G2208" s="67" t="s">
        <v>915</v>
      </c>
      <c r="H2208" s="72" t="s">
        <v>1687</v>
      </c>
      <c r="I2208" s="437"/>
      <c r="J2208" s="437"/>
      <c r="K2208" s="428">
        <v>8231.92</v>
      </c>
      <c r="L2208" s="437">
        <v>22280</v>
      </c>
      <c r="M2208" s="65">
        <f>ROUND(K2208*L2208,0)</f>
        <v>183407178</v>
      </c>
      <c r="N2208" s="66" t="s">
        <v>266</v>
      </c>
      <c r="O2208" s="66" t="s">
        <v>585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c r="AE2208" s="328"/>
      <c r="AF2208" s="328"/>
    </row>
    <row r="2209" spans="1:32" s="345" customFormat="1" ht="15.75" customHeight="1">
      <c r="A2209" s="334" t="str">
        <f>IF(B2209&lt;&gt;"",IF(AND(B2209='IN-TC'!$S$4,OR(TH!N2209="1111",TH!O2209="1111")),TH!D2209,""),"")</f>
        <v/>
      </c>
      <c r="B2209" s="63">
        <f t="shared" si="233"/>
        <v>6</v>
      </c>
      <c r="C2209" s="64">
        <v>42549</v>
      </c>
      <c r="D2209" s="64" t="s">
        <v>579</v>
      </c>
      <c r="E2209" s="64">
        <f t="shared" si="234"/>
        <v>42549</v>
      </c>
      <c r="F2209" s="72" t="s">
        <v>1058</v>
      </c>
      <c r="G2209" s="67" t="s">
        <v>915</v>
      </c>
      <c r="H2209" s="72" t="s">
        <v>1687</v>
      </c>
      <c r="I2209" s="437"/>
      <c r="J2209" s="437"/>
      <c r="K2209" s="428">
        <v>200</v>
      </c>
      <c r="L2209" s="437">
        <v>22280</v>
      </c>
      <c r="M2209" s="65">
        <f>ROUND(K2209*L2209,0)</f>
        <v>4456000</v>
      </c>
      <c r="N2209" s="66" t="s">
        <v>101</v>
      </c>
      <c r="O2209" s="66" t="s">
        <v>585</v>
      </c>
      <c r="P2209" s="82" t="str">
        <f>IF(AND('331-CT'!$E$7=TH!H2209,OR(N2209="331",O2209="331")),"x","")</f>
        <v/>
      </c>
      <c r="Q2209" s="82" t="str">
        <f>IF(AND(B2209='111'!$L$11,OR($N2209=$Q$7,$O2209=$Q$7)),"x","")</f>
        <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c r="AE2209" s="328"/>
      <c r="AF2209" s="328"/>
    </row>
    <row r="2210" spans="1:32" s="1122" customFormat="1" ht="15.75" customHeight="1">
      <c r="A2210" s="334" t="str">
        <f>IF(B2210&lt;&gt;"",IF(AND(B2210='IN-TC'!$S$4,OR(TH!N2210="1111",TH!O2210="1111")),TH!D2210,""),"")</f>
        <v/>
      </c>
      <c r="B2210" s="63">
        <f t="shared" si="233"/>
        <v>6</v>
      </c>
      <c r="C2210" s="64">
        <v>42549</v>
      </c>
      <c r="D2210" s="64" t="s">
        <v>579</v>
      </c>
      <c r="E2210" s="64">
        <f t="shared" si="234"/>
        <v>42549</v>
      </c>
      <c r="F2210" s="72" t="s">
        <v>1059</v>
      </c>
      <c r="G2210" s="67" t="s">
        <v>915</v>
      </c>
      <c r="H2210" s="72" t="s">
        <v>1687</v>
      </c>
      <c r="I2210" s="437"/>
      <c r="J2210" s="437"/>
      <c r="K2210" s="428">
        <v>20</v>
      </c>
      <c r="L2210" s="437">
        <v>22280</v>
      </c>
      <c r="M2210" s="65">
        <f>ROUND(K2210*L2210,0)</f>
        <v>445600</v>
      </c>
      <c r="N2210" s="66" t="s">
        <v>9</v>
      </c>
      <c r="O2210" s="66" t="s">
        <v>585</v>
      </c>
      <c r="P2210" s="82" t="str">
        <f>IF(AND('331-CT'!$E$7=TH!H2210,OR(N2210="331",O2210="331")),"x","")</f>
        <v/>
      </c>
      <c r="Q2210" s="82" t="str">
        <f>IF(AND(B2210='111'!$L$11,OR($N2210=$Q$7,$O2210=$Q$7)),"x","")</f>
        <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x</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c r="AE2210" s="328"/>
      <c r="AF2210" s="328"/>
    </row>
    <row r="2211" spans="1:32" s="1122" customFormat="1" ht="15.75" customHeight="1">
      <c r="A2211" s="334" t="str">
        <f>IF(B2211&lt;&gt;"",IF(AND(B2211='IN-TC'!$S$4,OR(TH!N2211="1111",TH!O2211="1111")),TH!D2211,""),"")</f>
        <v/>
      </c>
      <c r="B2211" s="63">
        <f t="shared" si="233"/>
        <v>6</v>
      </c>
      <c r="C2211" s="64">
        <v>42549</v>
      </c>
      <c r="D2211" s="64" t="s">
        <v>579</v>
      </c>
      <c r="E2211" s="64">
        <f t="shared" si="234"/>
        <v>42549</v>
      </c>
      <c r="F2211" s="72" t="s">
        <v>1060</v>
      </c>
      <c r="G2211" s="67" t="s">
        <v>915</v>
      </c>
      <c r="H2211" s="72" t="s">
        <v>1687</v>
      </c>
      <c r="I2211" s="437"/>
      <c r="J2211" s="437"/>
      <c r="K2211" s="428">
        <v>203.08</v>
      </c>
      <c r="L2211" s="437">
        <v>22280</v>
      </c>
      <c r="M2211" s="65">
        <f>ROUND(K2211*L2211,0)</f>
        <v>4524622</v>
      </c>
      <c r="N2211" s="66" t="s">
        <v>99</v>
      </c>
      <c r="O2211" s="66" t="s">
        <v>585</v>
      </c>
      <c r="P2211" s="82" t="str">
        <f>IF(AND('331-CT'!$E$7=TH!H2211,OR(N2211="331",O2211="331")),"x","")</f>
        <v/>
      </c>
      <c r="Q2211" s="82" t="str">
        <f>IF(AND(B2211='111'!$L$11,OR($N2211=$Q$7,$O2211=$Q$7)),"x","")</f>
        <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c r="AE2211" s="328"/>
      <c r="AF2211" s="328"/>
    </row>
    <row r="2212" spans="1:32" ht="15.75" customHeight="1">
      <c r="A2212" s="334" t="str">
        <f>IF(B2212&lt;&gt;"",IF(AND(B2212='IN-TC'!$S$4,OR(TH!N2212="1111",TH!O2212="1111")),TH!D2212,""),"")</f>
        <v/>
      </c>
      <c r="B2212" s="63">
        <f t="shared" si="233"/>
        <v>6</v>
      </c>
      <c r="C2212" s="64">
        <v>42549</v>
      </c>
      <c r="D2212" s="64" t="s">
        <v>702</v>
      </c>
      <c r="E2212" s="64">
        <f t="shared" si="234"/>
        <v>42549</v>
      </c>
      <c r="F2212" s="72" t="s">
        <v>1194</v>
      </c>
      <c r="G2212" s="67" t="s">
        <v>921</v>
      </c>
      <c r="H2212" s="342"/>
      <c r="I2212" s="437"/>
      <c r="J2212" s="437"/>
      <c r="K2212" s="428"/>
      <c r="L2212" s="437"/>
      <c r="M2212" s="65">
        <v>970000000</v>
      </c>
      <c r="N2212" s="66" t="s">
        <v>26</v>
      </c>
      <c r="O2212" s="66" t="s">
        <v>26</v>
      </c>
      <c r="P2212" s="82" t="str">
        <f>IF(AND('331-CT'!$E$7=TH!H2212,OR(N2212="331",O2212="331")),"x","")</f>
        <v/>
      </c>
      <c r="Q2212" s="82" t="str">
        <f>IF(AND(B2212='111'!$L$11,OR($N2212=$Q$7,$O2212=$Q$7)),"x","")</f>
        <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2" ht="15.75" customHeight="1">
      <c r="A2213" s="334" t="str">
        <f>IF(B2213&lt;&gt;"",IF(AND(B2213='IN-TC'!$S$4,OR(TH!N2213="1111",TH!O2213="1111")),TH!D2213,""),"")</f>
        <v/>
      </c>
      <c r="B2213" s="63">
        <f t="shared" si="233"/>
        <v>6</v>
      </c>
      <c r="C2213" s="64">
        <v>42549</v>
      </c>
      <c r="D2213" s="64" t="s">
        <v>699</v>
      </c>
      <c r="E2213" s="64">
        <f t="shared" si="234"/>
        <v>42549</v>
      </c>
      <c r="F2213" s="72" t="s">
        <v>1180</v>
      </c>
      <c r="G2213" s="67" t="s">
        <v>914</v>
      </c>
      <c r="H2213" s="72"/>
      <c r="I2213" s="437"/>
      <c r="J2213" s="437"/>
      <c r="K2213" s="428">
        <v>43000</v>
      </c>
      <c r="L2213" s="437">
        <v>22340</v>
      </c>
      <c r="M2213" s="65">
        <f>ROUND(K2213*L2213,0)</f>
        <v>960620000</v>
      </c>
      <c r="N2213" s="66" t="s">
        <v>266</v>
      </c>
      <c r="O2213" s="66" t="s">
        <v>26</v>
      </c>
      <c r="P2213" s="82" t="str">
        <f>IF(AND('331-CT'!$E$7=TH!H2213,OR(N2213="331",O2213="331")),"x","")</f>
        <v/>
      </c>
      <c r="Q2213" s="82" t="str">
        <f>IF(AND(B2213='111'!$L$11,OR($N2213=$Q$7,$O2213=$Q$7)),"x","")</f>
        <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2" ht="15.75" customHeight="1">
      <c r="A2214" s="334" t="str">
        <f>IF(B2214&lt;&gt;"",IF(AND(B2214='IN-TC'!$S$4,OR(TH!N2214="1111",TH!O2214="1111")),TH!D2214,""),"")</f>
        <v/>
      </c>
      <c r="B2214" s="63">
        <f t="shared" si="233"/>
        <v>6</v>
      </c>
      <c r="C2214" s="64">
        <v>42549</v>
      </c>
      <c r="D2214" s="64" t="s">
        <v>702</v>
      </c>
      <c r="E2214" s="64">
        <f t="shared" si="234"/>
        <v>42549</v>
      </c>
      <c r="F2214" s="512" t="s">
        <v>1057</v>
      </c>
      <c r="G2214" s="67" t="s">
        <v>914</v>
      </c>
      <c r="H2214" s="72" t="s">
        <v>729</v>
      </c>
      <c r="I2214" s="437"/>
      <c r="J2214" s="437"/>
      <c r="K2214" s="428"/>
      <c r="L2214" s="437"/>
      <c r="M2214" s="65">
        <v>2403700</v>
      </c>
      <c r="N2214" s="66" t="s">
        <v>99</v>
      </c>
      <c r="O2214" s="66" t="s">
        <v>26</v>
      </c>
      <c r="P2214" s="82" t="str">
        <f>IF(AND('331-CT'!$E$7=TH!H2214,OR(N2214="331",O2214="331")),"x","")</f>
        <v/>
      </c>
      <c r="Q2214" s="82" t="str">
        <f>IF(AND(B2214='111'!$L$11,OR($N2214=$Q$7,$O2214=$Q$7)),"x","")</f>
        <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2" ht="15.75" customHeight="1">
      <c r="A2215" s="334" t="str">
        <f>IF(B2215&lt;&gt;"",IF(AND(B2215='IN-TC'!$S$4,OR(TH!N2215="1111",TH!O2215="1111")),TH!D2215,""),"")</f>
        <v/>
      </c>
      <c r="B2215" s="63">
        <f t="shared" si="233"/>
        <v>6</v>
      </c>
      <c r="C2215" s="64">
        <v>42549</v>
      </c>
      <c r="D2215" s="64" t="s">
        <v>702</v>
      </c>
      <c r="E2215" s="64">
        <f t="shared" si="234"/>
        <v>42549</v>
      </c>
      <c r="F2215" s="72" t="s">
        <v>1670</v>
      </c>
      <c r="G2215" s="67" t="s">
        <v>914</v>
      </c>
      <c r="H2215" s="342" t="s">
        <v>626</v>
      </c>
      <c r="I2215" s="437"/>
      <c r="J2215" s="437"/>
      <c r="K2215" s="428"/>
      <c r="L2215" s="437"/>
      <c r="M2215" s="65">
        <v>600000</v>
      </c>
      <c r="N2215" s="66" t="s">
        <v>8</v>
      </c>
      <c r="O2215" s="66" t="s">
        <v>26</v>
      </c>
      <c r="P2215" s="82" t="str">
        <f>IF(AND('331-CT'!$E$7=TH!H2215,OR(N2215="331",O2215="331")),"x","")</f>
        <v/>
      </c>
      <c r="Q2215" s="82" t="str">
        <f>IF(AND(B2215='111'!$L$11,OR($N2215=$Q$7,$O2215=$Q$7)),"x","")</f>
        <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c r="AE2215" s="1136" t="str">
        <f>IF(H2215&lt;&gt;VLOOKUP(H2215,DSKH,1,0),"","x")</f>
        <v>x</v>
      </c>
    </row>
    <row r="2216" spans="1:32" ht="15.75" customHeight="1">
      <c r="A2216" s="334" t="str">
        <f>IF(B2216&lt;&gt;"",IF(AND(B2216='IN-TC'!$S$4,OR(TH!N2216="1111",TH!O2216="1111")),TH!D2216,""),"")</f>
        <v/>
      </c>
      <c r="B2216" s="63">
        <f t="shared" si="233"/>
        <v>6</v>
      </c>
      <c r="C2216" s="64">
        <v>42549</v>
      </c>
      <c r="D2216" s="64" t="s">
        <v>702</v>
      </c>
      <c r="E2216" s="64">
        <f t="shared" si="234"/>
        <v>42549</v>
      </c>
      <c r="F2216" s="72" t="s">
        <v>1169</v>
      </c>
      <c r="G2216" s="67" t="s">
        <v>914</v>
      </c>
      <c r="H2216" s="342"/>
      <c r="I2216" s="437"/>
      <c r="J2216" s="437"/>
      <c r="K2216" s="428"/>
      <c r="L2216" s="437"/>
      <c r="M2216" s="65">
        <v>20000</v>
      </c>
      <c r="N2216" s="66" t="s">
        <v>101</v>
      </c>
      <c r="O2216" s="66" t="s">
        <v>26</v>
      </c>
      <c r="P2216" s="82" t="str">
        <f>IF(AND('331-CT'!$E$7=TH!H2216,OR(N2216="331",O2216="331")),"x","")</f>
        <v/>
      </c>
      <c r="Q2216" s="82" t="str">
        <f>IF(AND(B2216='111'!$L$11,OR($N2216=$Q$7,$O2216=$Q$7)),"x","")</f>
        <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c r="AF2216" s="328">
        <v>1</v>
      </c>
    </row>
    <row r="2217" spans="1:32" ht="15.75" customHeight="1">
      <c r="A2217" s="334" t="str">
        <f>IF(B2217&lt;&gt;"",IF(AND(B2217='IN-TC'!$S$4,OR(TH!N2217="1111",TH!O2217="1111")),TH!D2217,""),"")</f>
        <v/>
      </c>
      <c r="B2217" s="63">
        <f t="shared" si="233"/>
        <v>6</v>
      </c>
      <c r="C2217" s="64">
        <v>42549</v>
      </c>
      <c r="D2217" s="64" t="s">
        <v>702</v>
      </c>
      <c r="E2217" s="64">
        <f t="shared" si="234"/>
        <v>42549</v>
      </c>
      <c r="F2217" s="72" t="s">
        <v>1631</v>
      </c>
      <c r="G2217" s="67" t="s">
        <v>914</v>
      </c>
      <c r="H2217" s="342"/>
      <c r="I2217" s="437"/>
      <c r="J2217" s="437"/>
      <c r="K2217" s="428"/>
      <c r="L2217" s="437"/>
      <c r="M2217" s="65">
        <v>2000</v>
      </c>
      <c r="N2217" s="66" t="s">
        <v>9</v>
      </c>
      <c r="O2217" s="66" t="s">
        <v>26</v>
      </c>
      <c r="P2217" s="82" t="str">
        <f>IF(AND('331-CT'!$E$7=TH!H2217,OR(N2217="331",O2217="331")),"x","")</f>
        <v/>
      </c>
      <c r="Q2217" s="82" t="str">
        <f>IF(AND(B2217='111'!$L$11,OR($N2217=$Q$7,$O2217=$Q$7)),"x","")</f>
        <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x</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2" ht="15.75" customHeight="1">
      <c r="A2218" s="334" t="str">
        <f>IF(B2218&lt;&gt;"",IF(AND(B2218='IN-TC'!$S$4,OR(TH!N2218="1111",TH!O2218="1111")),TH!D2218,""),"")</f>
        <v/>
      </c>
      <c r="B2218" s="63">
        <f t="shared" si="233"/>
        <v>6</v>
      </c>
      <c r="C2218" s="64">
        <v>42549</v>
      </c>
      <c r="D2218" s="64" t="s">
        <v>702</v>
      </c>
      <c r="E2218" s="64">
        <f t="shared" si="234"/>
        <v>42549</v>
      </c>
      <c r="F2218" s="72" t="s">
        <v>1670</v>
      </c>
      <c r="G2218" s="67" t="s">
        <v>914</v>
      </c>
      <c r="H2218" s="342" t="s">
        <v>626</v>
      </c>
      <c r="I2218" s="437"/>
      <c r="J2218" s="437"/>
      <c r="K2218" s="428"/>
      <c r="L2218" s="437"/>
      <c r="M2218" s="65">
        <v>9785000</v>
      </c>
      <c r="N2218" s="66" t="s">
        <v>8</v>
      </c>
      <c r="O2218" s="66" t="s">
        <v>26</v>
      </c>
      <c r="P2218" s="82" t="str">
        <f>IF(AND('331-CT'!$E$7=TH!H2218,OR(N2218="331",O2218="331")),"x","")</f>
        <v/>
      </c>
      <c r="Q2218" s="82" t="str">
        <f>IF(AND(B2218='111'!$L$11,OR($N2218=$Q$7,$O2218=$Q$7)),"x","")</f>
        <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c r="AE2218" s="1136" t="str">
        <f>IF(H2218&lt;&gt;VLOOKUP(H2218,DSKH,1,0),"","x")</f>
        <v>x</v>
      </c>
    </row>
    <row r="2219" spans="1:32" ht="15.75" customHeight="1">
      <c r="A2219" s="334" t="str">
        <f>IF(B2219&lt;&gt;"",IF(AND(B2219='IN-TC'!$S$4,OR(TH!N2219="1111",TH!O2219="1111")),TH!D2219,""),"")</f>
        <v/>
      </c>
      <c r="B2219" s="63">
        <f t="shared" si="233"/>
        <v>6</v>
      </c>
      <c r="C2219" s="64">
        <v>42549</v>
      </c>
      <c r="D2219" s="64" t="s">
        <v>702</v>
      </c>
      <c r="E2219" s="64">
        <f t="shared" si="234"/>
        <v>42549</v>
      </c>
      <c r="F2219" s="72" t="s">
        <v>1169</v>
      </c>
      <c r="G2219" s="67" t="s">
        <v>914</v>
      </c>
      <c r="H2219" s="342"/>
      <c r="I2219" s="437"/>
      <c r="J2219" s="437"/>
      <c r="K2219" s="428"/>
      <c r="L2219" s="437"/>
      <c r="M2219" s="65">
        <v>20000</v>
      </c>
      <c r="N2219" s="66" t="s">
        <v>101</v>
      </c>
      <c r="O2219" s="66" t="s">
        <v>26</v>
      </c>
      <c r="P2219" s="82" t="str">
        <f>IF(AND('331-CT'!$E$7=TH!H2219,OR(N2219="331",O2219="331")),"x","")</f>
        <v/>
      </c>
      <c r="Q2219" s="82" t="str">
        <f>IF(AND(B2219='111'!$L$11,OR($N2219=$Q$7,$O2219=$Q$7)),"x","")</f>
        <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c r="AF2219" s="328">
        <v>1</v>
      </c>
    </row>
    <row r="2220" spans="1:32" ht="15.75" customHeight="1">
      <c r="A2220" s="334" t="str">
        <f>IF(B2220&lt;&gt;"",IF(AND(B2220='IN-TC'!$S$4,OR(TH!N2220="1111",TH!O2220="1111")),TH!D2220,""),"")</f>
        <v/>
      </c>
      <c r="B2220" s="63">
        <f t="shared" si="233"/>
        <v>6</v>
      </c>
      <c r="C2220" s="64">
        <v>42549</v>
      </c>
      <c r="D2220" s="64" t="s">
        <v>702</v>
      </c>
      <c r="E2220" s="64">
        <f t="shared" si="234"/>
        <v>42549</v>
      </c>
      <c r="F2220" s="72" t="s">
        <v>1631</v>
      </c>
      <c r="G2220" s="67" t="s">
        <v>914</v>
      </c>
      <c r="H2220" s="342"/>
      <c r="I2220" s="437"/>
      <c r="J2220" s="437"/>
      <c r="K2220" s="428"/>
      <c r="L2220" s="437"/>
      <c r="M2220" s="65">
        <v>2000</v>
      </c>
      <c r="N2220" s="66" t="s">
        <v>9</v>
      </c>
      <c r="O2220" s="66" t="s">
        <v>26</v>
      </c>
      <c r="P2220" s="82" t="str">
        <f>IF(AND('331-CT'!$E$7=TH!H2220,OR(N2220="331",O2220="331")),"x","")</f>
        <v/>
      </c>
      <c r="Q2220" s="82" t="str">
        <f>IF(AND(B2220='111'!$L$11,OR($N2220=$Q$7,$O2220=$Q$7)),"x","")</f>
        <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x</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2" ht="15.75" customHeight="1">
      <c r="A2221" s="334" t="str">
        <f>IF(B2221&lt;&gt;"",IF(AND(B2221='IN-TC'!$S$4,OR(TH!N2221="1111",TH!O2221="1111")),TH!D2221,""),"")</f>
        <v/>
      </c>
      <c r="B2221" s="63">
        <f t="shared" si="233"/>
        <v>6</v>
      </c>
      <c r="C2221" s="64">
        <v>42549</v>
      </c>
      <c r="D2221" s="64" t="s">
        <v>702</v>
      </c>
      <c r="E2221" s="64">
        <f t="shared" si="234"/>
        <v>42549</v>
      </c>
      <c r="F2221" s="72" t="s">
        <v>1183</v>
      </c>
      <c r="G2221" s="67" t="s">
        <v>914</v>
      </c>
      <c r="H2221" s="72" t="s">
        <v>729</v>
      </c>
      <c r="I2221" s="437"/>
      <c r="J2221" s="437"/>
      <c r="K2221" s="428">
        <v>43000</v>
      </c>
      <c r="L2221" s="437">
        <v>22360</v>
      </c>
      <c r="M2221" s="65">
        <f>ROUND(K2221*L2221,0)</f>
        <v>961480000</v>
      </c>
      <c r="N2221" s="66" t="s">
        <v>260</v>
      </c>
      <c r="O2221" s="66" t="s">
        <v>266</v>
      </c>
      <c r="P2221" s="82" t="str">
        <f>IF(AND('331-CT'!$E$7=TH!H2221,OR(N2221="331",O2221="331")),"x","")</f>
        <v/>
      </c>
      <c r="Q2221" s="82" t="str">
        <f>IF(AND(B2221='111'!$L$11,OR($N2221=$Q$7,$O2221=$Q$7)),"x","")</f>
        <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2" ht="15.75" customHeight="1">
      <c r="A2222" s="334" t="str">
        <f>IF(B2222&lt;&gt;"",IF(AND(B2222='IN-TC'!$S$4,OR(TH!N2222="1111",TH!O2222="1111")),TH!D2222,""),"")</f>
        <v/>
      </c>
      <c r="B2222" s="63">
        <f t="shared" si="233"/>
        <v>6</v>
      </c>
      <c r="C2222" s="64">
        <v>42549</v>
      </c>
      <c r="D2222" s="64" t="s">
        <v>579</v>
      </c>
      <c r="E2222" s="64">
        <f t="shared" si="234"/>
        <v>42549</v>
      </c>
      <c r="F2222" s="72" t="s">
        <v>1062</v>
      </c>
      <c r="G2222" s="67" t="s">
        <v>914</v>
      </c>
      <c r="H2222" s="72" t="s">
        <v>729</v>
      </c>
      <c r="I2222" s="437"/>
      <c r="J2222" s="437"/>
      <c r="K2222" s="428"/>
      <c r="L2222" s="437"/>
      <c r="M2222" s="65">
        <v>7310000</v>
      </c>
      <c r="N2222" s="66" t="s">
        <v>260</v>
      </c>
      <c r="O2222" s="66" t="s">
        <v>43</v>
      </c>
      <c r="P2222" s="82" t="str">
        <f>IF(AND('331-CT'!$E$7=TH!H2222,OR(N2222="331",O2222="331")),"x","")</f>
        <v/>
      </c>
      <c r="Q2222" s="82" t="str">
        <f>IF(AND(B2222='111'!$L$11,OR($N2222=$Q$7,$O2222=$Q$7)),"x","")</f>
        <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2" ht="15.75" customHeight="1">
      <c r="A2223" s="334" t="str">
        <f>IF(B2223&lt;&gt;"",IF(AND(B2223='IN-TC'!$S$4,OR(TH!N2223="1111",TH!O2223="1111")),TH!D2223,""),"")</f>
        <v/>
      </c>
      <c r="B2223" s="63">
        <f t="shared" si="233"/>
        <v>6</v>
      </c>
      <c r="C2223" s="64">
        <v>42550</v>
      </c>
      <c r="D2223" s="64" t="s">
        <v>702</v>
      </c>
      <c r="E2223" s="64">
        <f t="shared" si="234"/>
        <v>42550</v>
      </c>
      <c r="F2223" s="72" t="s">
        <v>1662</v>
      </c>
      <c r="G2223" s="67" t="s">
        <v>915</v>
      </c>
      <c r="H2223" s="72"/>
      <c r="I2223" s="437"/>
      <c r="J2223" s="437"/>
      <c r="K2223" s="428">
        <v>12</v>
      </c>
      <c r="L2223" s="437">
        <v>22280</v>
      </c>
      <c r="M2223" s="65">
        <f>ROUND(K2223*L2223,0)</f>
        <v>267360</v>
      </c>
      <c r="N2223" s="66" t="s">
        <v>101</v>
      </c>
      <c r="O2223" s="66" t="s">
        <v>266</v>
      </c>
      <c r="P2223" s="82" t="str">
        <f>IF(AND('331-CT'!$E$7=TH!H2223,OR(N2223="331",O2223="331")),"x","")</f>
        <v/>
      </c>
      <c r="Q2223" s="82" t="str">
        <f>IF(AND(B2223='111'!$L$11,OR($N2223=$Q$7,$O2223=$Q$7)),"x","")</f>
        <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2" s="348" customFormat="1" ht="15.75" customHeight="1">
      <c r="A2224" s="1229" t="str">
        <f>IF(B2224&lt;&gt;"",IF(AND(B2224='IN-TC'!$S$4,OR(TH!N2224="1111",TH!O2224="1111")),TH!D2224,""),"")</f>
        <v/>
      </c>
      <c r="B2224" s="1134">
        <f t="shared" si="233"/>
        <v>6</v>
      </c>
      <c r="C2224" s="92">
        <v>42551</v>
      </c>
      <c r="D2224" s="92" t="s">
        <v>2079</v>
      </c>
      <c r="E2224" s="92">
        <f t="shared" si="234"/>
        <v>42551</v>
      </c>
      <c r="F2224" s="72" t="s">
        <v>1891</v>
      </c>
      <c r="G2224" s="93"/>
      <c r="H2224" s="94" t="s">
        <v>1211</v>
      </c>
      <c r="I2224" s="443"/>
      <c r="J2224" s="443"/>
      <c r="K2224" s="434"/>
      <c r="L2224" s="443"/>
      <c r="M2224" s="95">
        <v>16000000</v>
      </c>
      <c r="N2224" s="83" t="s">
        <v>63</v>
      </c>
      <c r="O2224" s="83" t="s">
        <v>72</v>
      </c>
      <c r="P2224" s="83" t="str">
        <f>IF(AND('331-CT'!$E$7=TH!H2224,OR(N2224="331",O2224="331")),"x","")</f>
        <v/>
      </c>
      <c r="Q2224" s="83" t="str">
        <f>IF(AND(B2224='111'!$L$11,OR($N2224=$Q$7,$O2224=$Q$7)),"x","")</f>
        <v/>
      </c>
      <c r="R2224" s="83" t="str">
        <f>IF(AND($N2224=$Q$7,$B2224&lt;'111'!$L$11),"x","")</f>
        <v>x</v>
      </c>
      <c r="S2224" s="83" t="str">
        <f>IF(AND($O2224=$Q$7,$B2224&lt;'111'!$L$11),"x","")</f>
        <v/>
      </c>
      <c r="T2224" s="83" t="str">
        <f>IF(ISERROR(FIND('112'!$M$9,G2224,1)),"",IF((AND(FIND('112'!$M$9,G2224,1)&gt;=1,B2224='112'!$K$9,OR($N2224='112'!$I$6,$O2224='112'!$I$6))),"x",""))</f>
        <v/>
      </c>
      <c r="U2224" s="83" t="str">
        <f>IF(ISERROR(FIND('112'!$M$9,G2224,1)),"",IF((AND(LEFT(G2224,2)=LEFT('112'!$M$9,2),B2224&lt;'112'!$K$9,$N2224='112'!$I$6)),"x",""))</f>
        <v/>
      </c>
      <c r="V2224" s="83" t="str">
        <f>IF(ISERROR(FIND('112'!$M$9,G2224,1)),"",IF((AND(RIGHT(G2224,2)=RIGHT('112'!$M$9,2),B2224&lt;'112'!$K$9,$O2224='112'!$I$6)),"x",""))</f>
        <v/>
      </c>
      <c r="W2224" s="83" t="str">
        <f>IF(AND('341-CT'!$H$9=H2224,OR(LEFT(N2224,3)=$W$7,LEFT(O2224,3)=$W$7)),"x","")</f>
        <v/>
      </c>
      <c r="X2224" s="83" t="str">
        <f>IF(OR(TH!N2224=TH!$X$7,O2224=TH!$X$7),"x","")</f>
        <v/>
      </c>
      <c r="Y2224" s="83" t="str">
        <f>IF(AND(OR(N2224="131",O2224="131"),H2224='131-CT'!$H$9),"x","")</f>
        <v/>
      </c>
      <c r="Z2224" s="83"/>
      <c r="AA2224" s="83" t="str">
        <f>IF(AND(MONTH(E2224)='IN-NX'!$J$5,'IN-NX'!$D$7=D2224),"x","")</f>
        <v/>
      </c>
      <c r="AB2224" s="83" t="str">
        <f>IF(AND(OR(LEFT(TH!N2224,2)="15",LEFT(TH!O2224,2)="15"),LEFT(TH!O2224,3)&lt;&gt;"111",'152-CT'!$J$8=TH!F2224),"x","")</f>
        <v/>
      </c>
      <c r="AC2224" s="83" t="str">
        <f>IF(AND(OR(LEFT(TH!N2224,2)="15",LEFT(TH!O2224,2)="15"),TK!$E$7=TH!F2224),"x","")</f>
        <v/>
      </c>
      <c r="AD2224" s="83" t="str">
        <f>IF(AND(N2224="1521",MONTH(C2224)='BK-NL'!$M$11),"x","")</f>
        <v/>
      </c>
    </row>
    <row r="2225" spans="1:32" ht="15.75" customHeight="1">
      <c r="A2225" s="334" t="str">
        <f>IF(B2225&lt;&gt;"",IF(AND(B2225='IN-TC'!$S$4,OR(TH!N2225="1111",TH!O2225="1111")),TH!D2225,""),"")</f>
        <v/>
      </c>
      <c r="B2225" s="63">
        <f t="shared" si="233"/>
        <v>6</v>
      </c>
      <c r="C2225" s="64">
        <v>42551</v>
      </c>
      <c r="D2225" s="64" t="s">
        <v>911</v>
      </c>
      <c r="E2225" s="64">
        <v>42551</v>
      </c>
      <c r="F2225" s="72" t="s">
        <v>1616</v>
      </c>
      <c r="G2225" s="972" t="s">
        <v>1617</v>
      </c>
      <c r="H2225" s="72" t="s">
        <v>1431</v>
      </c>
      <c r="I2225" s="437"/>
      <c r="J2225" s="437"/>
      <c r="K2225" s="428"/>
      <c r="L2225" s="437"/>
      <c r="M2225" s="65">
        <v>1413000</v>
      </c>
      <c r="N2225" s="66" t="s">
        <v>101</v>
      </c>
      <c r="O2225" s="66" t="s">
        <v>63</v>
      </c>
      <c r="P2225" s="82" t="str">
        <f>IF(AND('331-CT'!$E$7=TH!H2225,OR(N2225="331",O2225="331")),"x","")</f>
        <v/>
      </c>
      <c r="Q2225" s="82" t="str">
        <f>IF(AND(B2225='111'!$L$11,OR($N2225=$Q$7,$O2225=$Q$7)),"x","")</f>
        <v/>
      </c>
      <c r="R2225" s="82" t="str">
        <f>IF(AND($N2225=$Q$7,$B2225&lt;'111'!$L$11),"x","")</f>
        <v/>
      </c>
      <c r="S2225" s="82" t="str">
        <f>IF(AND($O2225=$Q$7,$B2225&lt;'111'!$L$11),"x","")</f>
        <v>x</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c r="AF2225" s="328">
        <v>1</v>
      </c>
    </row>
    <row r="2226" spans="1:32" ht="15.75" customHeight="1">
      <c r="A2226" s="334" t="str">
        <f>IF(B2226&lt;&gt;"",IF(AND(B2226='IN-TC'!$S$4,OR(TH!N2226="1111",TH!O2226="1111")),TH!D2226,""),"")</f>
        <v/>
      </c>
      <c r="B2226" s="63">
        <f t="shared" si="233"/>
        <v>6</v>
      </c>
      <c r="C2226" s="64">
        <v>42551</v>
      </c>
      <c r="D2226" s="64" t="s">
        <v>911</v>
      </c>
      <c r="E2226" s="64">
        <v>42551</v>
      </c>
      <c r="F2226" s="72" t="s">
        <v>1618</v>
      </c>
      <c r="G2226" s="972" t="s">
        <v>1617</v>
      </c>
      <c r="H2226" s="72" t="s">
        <v>1431</v>
      </c>
      <c r="I2226" s="437"/>
      <c r="J2226" s="437"/>
      <c r="K2226" s="428"/>
      <c r="L2226" s="437"/>
      <c r="M2226" s="65">
        <v>141300</v>
      </c>
      <c r="N2226" s="66" t="s">
        <v>9</v>
      </c>
      <c r="O2226" s="66" t="s">
        <v>63</v>
      </c>
      <c r="P2226" s="82" t="str">
        <f>IF(AND('331-CT'!$E$7=TH!H2226,OR(N2226="331",O2226="331")),"x","")</f>
        <v/>
      </c>
      <c r="Q2226" s="82" t="str">
        <f>IF(AND(B2226='111'!$L$11,OR($N2226=$Q$7,$O2226=$Q$7)),"x","")</f>
        <v/>
      </c>
      <c r="R2226" s="82" t="str">
        <f>IF(AND($N2226=$Q$7,$B2226&lt;'111'!$L$11),"x","")</f>
        <v/>
      </c>
      <c r="S2226" s="82" t="str">
        <f>IF(AND($O2226=$Q$7,$B2226&lt;'111'!$L$11),"x","")</f>
        <v>x</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x</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2" ht="15.75" customHeight="1">
      <c r="A2227" s="334" t="str">
        <f>IF(B2227&lt;&gt;"",IF(AND(B2227='IN-TC'!$S$4,OR(TH!N2227="1111",TH!O2227="1111")),TH!D2227,""),"")</f>
        <v/>
      </c>
      <c r="B2227" s="63">
        <f t="shared" si="233"/>
        <v>6</v>
      </c>
      <c r="C2227" s="64">
        <v>42551</v>
      </c>
      <c r="D2227" s="64" t="s">
        <v>912</v>
      </c>
      <c r="E2227" s="64">
        <v>42551</v>
      </c>
      <c r="F2227" s="72" t="s">
        <v>1485</v>
      </c>
      <c r="G2227" s="972"/>
      <c r="H2227" s="72" t="s">
        <v>1356</v>
      </c>
      <c r="I2227" s="437"/>
      <c r="J2227" s="437"/>
      <c r="K2227" s="428"/>
      <c r="L2227" s="437"/>
      <c r="M2227" s="65">
        <v>1133636</v>
      </c>
      <c r="N2227" s="319" t="s">
        <v>101</v>
      </c>
      <c r="O2227" s="66" t="s">
        <v>63</v>
      </c>
      <c r="P2227" s="82" t="str">
        <f>IF(AND('331-CT'!$E$7=TH!H2227,OR(N2227="331",O2227="331")),"x","")</f>
        <v/>
      </c>
      <c r="Q2227" s="82" t="str">
        <f>IF(AND(B2227='111'!$L$11,OR($N2227=$Q$7,$O2227=$Q$7)),"x","")</f>
        <v/>
      </c>
      <c r="R2227" s="82" t="str">
        <f>IF(AND($N2227=$Q$7,$B2227&lt;'111'!$L$11),"x","")</f>
        <v/>
      </c>
      <c r="S2227" s="82" t="str">
        <f>IF(AND($O2227=$Q$7,$B2227&lt;'111'!$L$11),"x","")</f>
        <v>x</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c r="AF2227" s="328">
        <v>1</v>
      </c>
    </row>
    <row r="2228" spans="1:32" ht="15.75" customHeight="1">
      <c r="A2228" s="334" t="str">
        <f>IF(B2228&lt;&gt;"",IF(AND(B2228='IN-TC'!$S$4,OR(TH!N2228="1111",TH!O2228="1111")),TH!D2228,""),"")</f>
        <v/>
      </c>
      <c r="B2228" s="63">
        <f t="shared" si="233"/>
        <v>6</v>
      </c>
      <c r="C2228" s="64">
        <v>42551</v>
      </c>
      <c r="D2228" s="64" t="s">
        <v>912</v>
      </c>
      <c r="E2228" s="64">
        <v>42551</v>
      </c>
      <c r="F2228" s="72" t="s">
        <v>1486</v>
      </c>
      <c r="G2228" s="972"/>
      <c r="H2228" s="72" t="s">
        <v>1356</v>
      </c>
      <c r="I2228" s="437"/>
      <c r="J2228" s="437"/>
      <c r="K2228" s="428"/>
      <c r="L2228" s="437"/>
      <c r="M2228" s="65">
        <v>113364</v>
      </c>
      <c r="N2228" s="319" t="s">
        <v>9</v>
      </c>
      <c r="O2228" s="66" t="s">
        <v>63</v>
      </c>
      <c r="P2228" s="82" t="str">
        <f>IF(AND('331-CT'!$E$7=TH!H2228,OR(N2228="331",O2228="331")),"x","")</f>
        <v/>
      </c>
      <c r="Q2228" s="82" t="str">
        <f>IF(AND(B2228='111'!$L$11,OR($N2228=$Q$7,$O2228=$Q$7)),"x","")</f>
        <v/>
      </c>
      <c r="R2228" s="82" t="str">
        <f>IF(AND($N2228=$Q$7,$B2228&lt;'111'!$L$11),"x","")</f>
        <v/>
      </c>
      <c r="S2228" s="82" t="str">
        <f>IF(AND($O2228=$Q$7,$B2228&lt;'111'!$L$11),"x","")</f>
        <v>x</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x</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2" ht="15.75" customHeight="1">
      <c r="A2229" s="334" t="str">
        <f>IF(B2229&lt;&gt;"",IF(AND(B2229='IN-TC'!$S$4,OR(TH!N2229="1111",TH!O2229="1111")),TH!D2229,""),"")</f>
        <v/>
      </c>
      <c r="B2229" s="63">
        <f t="shared" si="233"/>
        <v>6</v>
      </c>
      <c r="C2229" s="64">
        <v>42551</v>
      </c>
      <c r="D2229" s="64" t="s">
        <v>961</v>
      </c>
      <c r="E2229" s="64">
        <v>42551</v>
      </c>
      <c r="F2229" s="72" t="s">
        <v>1701</v>
      </c>
      <c r="G2229" s="972" t="s">
        <v>1702</v>
      </c>
      <c r="H2229" s="72" t="s">
        <v>1703</v>
      </c>
      <c r="I2229" s="437"/>
      <c r="J2229" s="437"/>
      <c r="K2229" s="428"/>
      <c r="L2229" s="437"/>
      <c r="M2229" s="65">
        <v>1000000</v>
      </c>
      <c r="N2229" s="319" t="s">
        <v>101</v>
      </c>
      <c r="O2229" s="66" t="s">
        <v>63</v>
      </c>
      <c r="P2229" s="82" t="str">
        <f>IF(AND('331-CT'!$E$7=TH!H2229,OR(N2229="331",O2229="331")),"x","")</f>
        <v/>
      </c>
      <c r="Q2229" s="82" t="str">
        <f>IF(AND(B2229='111'!$L$11,OR($N2229=$Q$7,$O2229=$Q$7)),"x","")</f>
        <v/>
      </c>
      <c r="R2229" s="82" t="str">
        <f>IF(AND($N2229=$Q$7,$B2229&lt;'111'!$L$11),"x","")</f>
        <v/>
      </c>
      <c r="S2229" s="82" t="str">
        <f>IF(AND($O2229=$Q$7,$B2229&lt;'111'!$L$11),"x","")</f>
        <v>x</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2" s="348" customFormat="1" ht="15.75" customHeight="1">
      <c r="A2230" s="1229" t="str">
        <f>IF(B2230&lt;&gt;"",IF(AND(B2230='IN-TC'!$S$4,OR(TH!N2230="1111",TH!O2230="1111")),TH!D2230,""),"")</f>
        <v/>
      </c>
      <c r="B2230" s="1134">
        <f t="shared" si="233"/>
        <v>6</v>
      </c>
      <c r="C2230" s="92">
        <v>42551</v>
      </c>
      <c r="D2230" s="1135" t="s">
        <v>962</v>
      </c>
      <c r="E2230" s="1135">
        <v>42551</v>
      </c>
      <c r="F2230" s="94" t="s">
        <v>1619</v>
      </c>
      <c r="G2230" s="93"/>
      <c r="H2230" s="94" t="s">
        <v>845</v>
      </c>
      <c r="I2230" s="443"/>
      <c r="J2230" s="443"/>
      <c r="K2230" s="434"/>
      <c r="L2230" s="443"/>
      <c r="M2230" s="95">
        <v>141177990</v>
      </c>
      <c r="N2230" s="83" t="s">
        <v>589</v>
      </c>
      <c r="O2230" s="83" t="s">
        <v>63</v>
      </c>
      <c r="P2230" s="82" t="str">
        <f>IF(AND('331-CT'!$E$7=TH!H2230,OR(N2230="331",O2230="331")),"x","")</f>
        <v/>
      </c>
      <c r="Q2230" s="82" t="str">
        <f>IF(AND(B2230='111'!$L$11,OR($N2230=$Q$7,$O2230=$Q$7)),"x","")</f>
        <v/>
      </c>
      <c r="R2230" s="82" t="str">
        <f>IF(AND($N2230=$Q$7,$B2230&lt;'111'!$L$11),"x","")</f>
        <v/>
      </c>
      <c r="S2230" s="82" t="str">
        <f>IF(AND($O2230=$Q$7,$B2230&lt;'111'!$L$11),"x","")</f>
        <v>x</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2" ht="15.75" customHeight="1">
      <c r="A2231" s="334" t="str">
        <f>IF(B2231&lt;&gt;"",IF(AND(B2231='IN-TC'!$S$4,OR(TH!N2231="1111",TH!O2231="1111")),TH!D2231,""),"")</f>
        <v/>
      </c>
      <c r="B2231" s="63">
        <f t="shared" si="233"/>
        <v>6</v>
      </c>
      <c r="C2231" s="64">
        <v>42551</v>
      </c>
      <c r="D2231" s="64" t="s">
        <v>579</v>
      </c>
      <c r="E2231" s="64">
        <v>42551</v>
      </c>
      <c r="F2231" s="72" t="s">
        <v>1975</v>
      </c>
      <c r="G2231" s="972"/>
      <c r="H2231" s="72"/>
      <c r="I2231" s="437"/>
      <c r="J2231" s="437"/>
      <c r="K2231" s="428"/>
      <c r="L2231" s="437"/>
      <c r="M2231" s="65">
        <v>4898300</v>
      </c>
      <c r="N2231" s="66" t="s">
        <v>9</v>
      </c>
      <c r="O2231" s="66" t="s">
        <v>1583</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x</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2" s="345" customFormat="1" ht="15.75" customHeight="1">
      <c r="A2232" s="334" t="str">
        <f>IF(B2232&lt;&gt;"",IF(AND(B2232='IN-TC'!$S$4,OR(TH!N2232="1111",TH!O2232="1111")),TH!D2232,""),"")</f>
        <v/>
      </c>
      <c r="B2232" s="993">
        <f t="shared" si="233"/>
        <v>6</v>
      </c>
      <c r="C2232" s="78">
        <v>42551</v>
      </c>
      <c r="D2232" s="78" t="s">
        <v>579</v>
      </c>
      <c r="E2232" s="78">
        <v>42530</v>
      </c>
      <c r="F2232" s="72" t="s">
        <v>1500</v>
      </c>
      <c r="G2232" s="975" t="s">
        <v>1589</v>
      </c>
      <c r="H2232" s="80" t="s">
        <v>1498</v>
      </c>
      <c r="I2232" s="435"/>
      <c r="J2232" s="435"/>
      <c r="K2232" s="426"/>
      <c r="L2232" s="435"/>
      <c r="M2232" s="81">
        <v>9399600</v>
      </c>
      <c r="N2232" s="82" t="s">
        <v>588</v>
      </c>
      <c r="O2232" s="82" t="s">
        <v>8</v>
      </c>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c r="AE2232" s="341" t="str">
        <f t="shared" ref="AE2232:AE2252" si="235">IF(H2232&lt;&gt;VLOOKUP(H2232,DSKH,1,0),"","x")</f>
        <v>x</v>
      </c>
    </row>
    <row r="2233" spans="1:32" s="345" customFormat="1" ht="15.75" customHeight="1">
      <c r="A2233" s="334" t="str">
        <f>IF(B2233&lt;&gt;"",IF(AND(B2233='IN-TC'!$S$4,OR(TH!N2233="1111",TH!O2233="1111")),TH!D2233,""),"")</f>
        <v/>
      </c>
      <c r="B2233" s="993">
        <f t="shared" si="233"/>
        <v>6</v>
      </c>
      <c r="C2233" s="78">
        <v>42551</v>
      </c>
      <c r="D2233" s="78" t="s">
        <v>579</v>
      </c>
      <c r="E2233" s="78">
        <v>42530</v>
      </c>
      <c r="F2233" s="72" t="s">
        <v>1590</v>
      </c>
      <c r="G2233" s="975" t="s">
        <v>1592</v>
      </c>
      <c r="H2233" s="80" t="s">
        <v>1498</v>
      </c>
      <c r="I2233" s="435"/>
      <c r="J2233" s="435"/>
      <c r="K2233" s="426"/>
      <c r="L2233" s="435"/>
      <c r="M2233" s="81">
        <v>7855380</v>
      </c>
      <c r="N2233" s="82" t="s">
        <v>588</v>
      </c>
      <c r="O2233" s="82" t="s">
        <v>8</v>
      </c>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c r="AE2233" s="341" t="str">
        <f t="shared" si="235"/>
        <v>x</v>
      </c>
      <c r="AF2233" s="345">
        <v>1</v>
      </c>
    </row>
    <row r="2234" spans="1:32" s="345" customFormat="1" ht="15.75" customHeight="1">
      <c r="A2234" s="334" t="str">
        <f>IF(B2234&lt;&gt;"",IF(AND(B2234='IN-TC'!$S$4,OR(TH!N2234="1111",TH!O2234="1111")),TH!D2234,""),"")</f>
        <v/>
      </c>
      <c r="B2234" s="993">
        <f t="shared" si="233"/>
        <v>6</v>
      </c>
      <c r="C2234" s="78">
        <v>42551</v>
      </c>
      <c r="D2234" s="78" t="s">
        <v>579</v>
      </c>
      <c r="E2234" s="78">
        <v>42530</v>
      </c>
      <c r="F2234" s="72" t="s">
        <v>1591</v>
      </c>
      <c r="G2234" s="975" t="s">
        <v>1592</v>
      </c>
      <c r="H2234" s="80" t="s">
        <v>1498</v>
      </c>
      <c r="I2234" s="435"/>
      <c r="J2234" s="435"/>
      <c r="K2234" s="426"/>
      <c r="L2234" s="435"/>
      <c r="M2234" s="81">
        <v>785538</v>
      </c>
      <c r="N2234" s="82" t="s">
        <v>9</v>
      </c>
      <c r="O2234" s="82" t="s">
        <v>8</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x</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c r="AE2234" s="341" t="str">
        <f t="shared" si="235"/>
        <v>x</v>
      </c>
    </row>
    <row r="2235" spans="1:32" s="345" customFormat="1" ht="15.75" customHeight="1">
      <c r="A2235" s="334" t="str">
        <f>IF(B2235&lt;&gt;"",IF(AND(B2235='IN-TC'!$S$4,OR(TH!N2235="1111",TH!O2235="1111")),TH!D2235,""),"")</f>
        <v/>
      </c>
      <c r="B2235" s="993">
        <f t="shared" si="233"/>
        <v>6</v>
      </c>
      <c r="C2235" s="78">
        <v>42551</v>
      </c>
      <c r="D2235" s="78" t="s">
        <v>579</v>
      </c>
      <c r="E2235" s="78">
        <v>42536</v>
      </c>
      <c r="F2235" s="72" t="s">
        <v>1593</v>
      </c>
      <c r="G2235" s="975" t="s">
        <v>1595</v>
      </c>
      <c r="H2235" s="80" t="s">
        <v>1498</v>
      </c>
      <c r="I2235" s="435"/>
      <c r="J2235" s="435"/>
      <c r="K2235" s="426"/>
      <c r="L2235" s="435"/>
      <c r="M2235" s="81">
        <v>8519160</v>
      </c>
      <c r="N2235" s="82" t="s">
        <v>588</v>
      </c>
      <c r="O2235" s="82" t="s">
        <v>8</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c r="AE2235" s="341" t="str">
        <f t="shared" si="235"/>
        <v>x</v>
      </c>
      <c r="AF2235" s="345">
        <v>1</v>
      </c>
    </row>
    <row r="2236" spans="1:32" s="345" customFormat="1" ht="15.75" customHeight="1">
      <c r="A2236" s="334" t="str">
        <f>IF(B2236&lt;&gt;"",IF(AND(B2236='IN-TC'!$S$4,OR(TH!N2236="1111",TH!O2236="1111")),TH!D2236,""),"")</f>
        <v/>
      </c>
      <c r="B2236" s="993">
        <f t="shared" si="233"/>
        <v>6</v>
      </c>
      <c r="C2236" s="78">
        <v>42551</v>
      </c>
      <c r="D2236" s="78" t="s">
        <v>579</v>
      </c>
      <c r="E2236" s="78">
        <v>42536</v>
      </c>
      <c r="F2236" s="72" t="s">
        <v>1594</v>
      </c>
      <c r="G2236" s="975" t="s">
        <v>1595</v>
      </c>
      <c r="H2236" s="80" t="s">
        <v>1498</v>
      </c>
      <c r="I2236" s="435"/>
      <c r="J2236" s="435"/>
      <c r="K2236" s="426"/>
      <c r="L2236" s="435"/>
      <c r="M2236" s="81">
        <v>851916</v>
      </c>
      <c r="N2236" s="82" t="s">
        <v>9</v>
      </c>
      <c r="O2236" s="82" t="s">
        <v>8</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x</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c r="AE2236" s="341" t="str">
        <f t="shared" si="235"/>
        <v>x</v>
      </c>
    </row>
    <row r="2237" spans="1:32" s="345" customFormat="1" ht="15.75" customHeight="1">
      <c r="A2237" s="334" t="str">
        <f>IF(B2237&lt;&gt;"",IF(AND(B2237='IN-TC'!$S$4,OR(TH!N2237="1111",TH!O2237="1111")),TH!D2237,""),"")</f>
        <v/>
      </c>
      <c r="B2237" s="993">
        <f t="shared" si="233"/>
        <v>6</v>
      </c>
      <c r="C2237" s="78">
        <v>42551</v>
      </c>
      <c r="D2237" s="78" t="s">
        <v>579</v>
      </c>
      <c r="E2237" s="78">
        <v>42536</v>
      </c>
      <c r="F2237" s="72" t="s">
        <v>1500</v>
      </c>
      <c r="G2237" s="975" t="s">
        <v>1596</v>
      </c>
      <c r="H2237" s="80" t="s">
        <v>1498</v>
      </c>
      <c r="I2237" s="435"/>
      <c r="J2237" s="435"/>
      <c r="K2237" s="426"/>
      <c r="L2237" s="435"/>
      <c r="M2237" s="81">
        <v>20124000</v>
      </c>
      <c r="N2237" s="82" t="s">
        <v>588</v>
      </c>
      <c r="O2237" s="82" t="s">
        <v>8</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c r="AE2237" s="341" t="str">
        <f t="shared" si="235"/>
        <v>x</v>
      </c>
    </row>
    <row r="2238" spans="1:32" s="345" customFormat="1" ht="15.75" customHeight="1">
      <c r="A2238" s="334" t="str">
        <f>IF(B2238&lt;&gt;"",IF(AND(B2238='IN-TC'!$S$4,OR(TH!N2238="1111",TH!O2238="1111")),TH!D2238,""),"")</f>
        <v/>
      </c>
      <c r="B2238" s="993">
        <f t="shared" si="233"/>
        <v>6</v>
      </c>
      <c r="C2238" s="78">
        <v>42551</v>
      </c>
      <c r="D2238" s="78" t="s">
        <v>579</v>
      </c>
      <c r="E2238" s="78">
        <v>42537</v>
      </c>
      <c r="F2238" s="72" t="s">
        <v>1590</v>
      </c>
      <c r="G2238" s="975" t="s">
        <v>1597</v>
      </c>
      <c r="H2238" s="80" t="s">
        <v>1498</v>
      </c>
      <c r="I2238" s="435"/>
      <c r="J2238" s="435"/>
      <c r="K2238" s="426"/>
      <c r="L2238" s="435"/>
      <c r="M2238" s="81">
        <v>7844850</v>
      </c>
      <c r="N2238" s="82" t="s">
        <v>588</v>
      </c>
      <c r="O2238" s="82" t="s">
        <v>8</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c r="AE2238" s="341" t="str">
        <f t="shared" si="235"/>
        <v>x</v>
      </c>
      <c r="AF2238" s="345">
        <v>1</v>
      </c>
    </row>
    <row r="2239" spans="1:32" s="345" customFormat="1" ht="15.75" customHeight="1">
      <c r="A2239" s="334" t="str">
        <f>IF(B2239&lt;&gt;"",IF(AND(B2239='IN-TC'!$S$4,OR(TH!N2239="1111",TH!O2239="1111")),TH!D2239,""),"")</f>
        <v/>
      </c>
      <c r="B2239" s="993">
        <f t="shared" si="233"/>
        <v>6</v>
      </c>
      <c r="C2239" s="78">
        <v>42551</v>
      </c>
      <c r="D2239" s="78" t="s">
        <v>579</v>
      </c>
      <c r="E2239" s="78">
        <v>42537</v>
      </c>
      <c r="F2239" s="72" t="s">
        <v>1591</v>
      </c>
      <c r="G2239" s="975" t="s">
        <v>1597</v>
      </c>
      <c r="H2239" s="80" t="s">
        <v>1498</v>
      </c>
      <c r="I2239" s="435"/>
      <c r="J2239" s="435"/>
      <c r="K2239" s="426"/>
      <c r="L2239" s="435"/>
      <c r="M2239" s="81">
        <v>784485</v>
      </c>
      <c r="N2239" s="82" t="s">
        <v>9</v>
      </c>
      <c r="O2239" s="82" t="s">
        <v>8</v>
      </c>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x</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c r="AE2239" s="341" t="str">
        <f t="shared" si="235"/>
        <v>x</v>
      </c>
    </row>
    <row r="2240" spans="1:32" s="345" customFormat="1" ht="15.75" customHeight="1">
      <c r="A2240" s="334" t="str">
        <f>IF(B2240&lt;&gt;"",IF(AND(B2240='IN-TC'!$S$4,OR(TH!N2240="1111",TH!O2240="1111")),TH!D2240,""),"")</f>
        <v/>
      </c>
      <c r="B2240" s="993">
        <f t="shared" si="233"/>
        <v>6</v>
      </c>
      <c r="C2240" s="78">
        <v>42551</v>
      </c>
      <c r="D2240" s="78" t="s">
        <v>579</v>
      </c>
      <c r="E2240" s="78">
        <v>42537</v>
      </c>
      <c r="F2240" s="72" t="s">
        <v>1500</v>
      </c>
      <c r="G2240" s="975" t="s">
        <v>1598</v>
      </c>
      <c r="H2240" s="80" t="s">
        <v>1498</v>
      </c>
      <c r="I2240" s="435"/>
      <c r="J2240" s="435"/>
      <c r="K2240" s="426"/>
      <c r="L2240" s="435"/>
      <c r="M2240" s="81">
        <v>9387000</v>
      </c>
      <c r="N2240" s="82" t="s">
        <v>588</v>
      </c>
      <c r="O2240" s="82" t="s">
        <v>8</v>
      </c>
      <c r="P2240" s="82" t="str">
        <f>IF(AND('331-CT'!$E$7=TH!H2240,OR(N2240="331",O2240="331")),"x","")</f>
        <v/>
      </c>
      <c r="Q2240" s="82" t="str">
        <f>IF(AND(B2240='111'!$L$11,OR($N2240=$Q$7,$O2240=$Q$7)),"x","")</f>
        <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c r="AE2240" s="341" t="str">
        <f t="shared" si="235"/>
        <v>x</v>
      </c>
    </row>
    <row r="2241" spans="1:32" s="345" customFormat="1" ht="15.75" customHeight="1">
      <c r="A2241" s="334" t="str">
        <f>IF(B2241&lt;&gt;"",IF(AND(B2241='IN-TC'!$S$4,OR(TH!N2241="1111",TH!O2241="1111")),TH!D2241,""),"")</f>
        <v/>
      </c>
      <c r="B2241" s="993">
        <f t="shared" si="233"/>
        <v>6</v>
      </c>
      <c r="C2241" s="78">
        <v>42551</v>
      </c>
      <c r="D2241" s="78" t="s">
        <v>579</v>
      </c>
      <c r="E2241" s="78">
        <v>42537</v>
      </c>
      <c r="F2241" s="72" t="s">
        <v>1169</v>
      </c>
      <c r="G2241" s="975" t="s">
        <v>1620</v>
      </c>
      <c r="H2241" s="80" t="s">
        <v>626</v>
      </c>
      <c r="I2241" s="435"/>
      <c r="J2241" s="435"/>
      <c r="K2241" s="426"/>
      <c r="L2241" s="435"/>
      <c r="M2241" s="81">
        <v>5500000</v>
      </c>
      <c r="N2241" s="82" t="s">
        <v>588</v>
      </c>
      <c r="O2241" s="82" t="s">
        <v>8</v>
      </c>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c r="AE2241" s="341" t="str">
        <f t="shared" si="235"/>
        <v>x</v>
      </c>
    </row>
    <row r="2242" spans="1:32" s="345" customFormat="1" ht="15.75" customHeight="1">
      <c r="A2242" s="334" t="str">
        <f>IF(B2242&lt;&gt;"",IF(AND(B2242='IN-TC'!$S$4,OR(TH!N2242="1111",TH!O2242="1111")),TH!D2242,""),"")</f>
        <v/>
      </c>
      <c r="B2242" s="993">
        <f t="shared" si="233"/>
        <v>6</v>
      </c>
      <c r="C2242" s="78">
        <v>42551</v>
      </c>
      <c r="D2242" s="78" t="s">
        <v>579</v>
      </c>
      <c r="E2242" s="78">
        <v>42544</v>
      </c>
      <c r="F2242" s="72" t="s">
        <v>635</v>
      </c>
      <c r="G2242" s="975" t="s">
        <v>1621</v>
      </c>
      <c r="H2242" s="80" t="s">
        <v>626</v>
      </c>
      <c r="I2242" s="435"/>
      <c r="J2242" s="435"/>
      <c r="K2242" s="426"/>
      <c r="L2242" s="435"/>
      <c r="M2242" s="81">
        <v>990000</v>
      </c>
      <c r="N2242" s="82" t="s">
        <v>588</v>
      </c>
      <c r="O2242" s="82" t="s">
        <v>8</v>
      </c>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c r="AE2242" s="341" t="str">
        <f t="shared" si="235"/>
        <v>x</v>
      </c>
    </row>
    <row r="2243" spans="1:32" s="345" customFormat="1" ht="15.75" customHeight="1">
      <c r="A2243" s="334" t="str">
        <f>IF(B2243&lt;&gt;"",IF(AND(B2243='IN-TC'!$S$4,OR(TH!N2243="1111",TH!O2243="1111")),TH!D2243,""),"")</f>
        <v/>
      </c>
      <c r="B2243" s="993">
        <f t="shared" si="233"/>
        <v>6</v>
      </c>
      <c r="C2243" s="78">
        <v>42551</v>
      </c>
      <c r="D2243" s="78" t="s">
        <v>579</v>
      </c>
      <c r="E2243" s="78">
        <v>42541</v>
      </c>
      <c r="F2243" s="72" t="s">
        <v>1622</v>
      </c>
      <c r="G2243" s="975" t="s">
        <v>1623</v>
      </c>
      <c r="H2243" s="320" t="s">
        <v>1625</v>
      </c>
      <c r="I2243" s="435"/>
      <c r="J2243" s="435"/>
      <c r="K2243" s="426"/>
      <c r="L2243" s="435"/>
      <c r="M2243" s="81">
        <v>18448564</v>
      </c>
      <c r="N2243" s="82" t="s">
        <v>101</v>
      </c>
      <c r="O2243" s="82" t="s">
        <v>8</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c r="AE2243" s="341" t="str">
        <f t="shared" si="235"/>
        <v>x</v>
      </c>
      <c r="AF2243" s="345">
        <v>1</v>
      </c>
    </row>
    <row r="2244" spans="1:32" s="345" customFormat="1" ht="15.75" customHeight="1">
      <c r="A2244" s="334" t="str">
        <f>IF(B2244&lt;&gt;"",IF(AND(B2244='IN-TC'!$S$4,OR(TH!N2244="1111",TH!O2244="1111")),TH!D2244,""),"")</f>
        <v/>
      </c>
      <c r="B2244" s="993">
        <f t="shared" si="233"/>
        <v>6</v>
      </c>
      <c r="C2244" s="78">
        <v>42551</v>
      </c>
      <c r="D2244" s="78" t="s">
        <v>579</v>
      </c>
      <c r="E2244" s="78">
        <v>42541</v>
      </c>
      <c r="F2244" s="72" t="s">
        <v>1624</v>
      </c>
      <c r="G2244" s="975" t="s">
        <v>1623</v>
      </c>
      <c r="H2244" s="320" t="s">
        <v>1625</v>
      </c>
      <c r="I2244" s="435"/>
      <c r="J2244" s="435"/>
      <c r="K2244" s="426"/>
      <c r="L2244" s="435"/>
      <c r="M2244" s="81">
        <v>1844856</v>
      </c>
      <c r="N2244" s="82" t="s">
        <v>9</v>
      </c>
      <c r="O2244" s="82" t="s">
        <v>8</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x</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c r="AE2244" s="341" t="str">
        <f t="shared" si="235"/>
        <v>x</v>
      </c>
    </row>
    <row r="2245" spans="1:32" s="345" customFormat="1" ht="15.75" customHeight="1">
      <c r="A2245" s="334" t="str">
        <f>IF(B2245&lt;&gt;"",IF(AND(B2245='IN-TC'!$S$4,OR(TH!N2245="1111",TH!O2245="1111")),TH!D2245,""),"")</f>
        <v/>
      </c>
      <c r="B2245" s="993">
        <f t="shared" si="233"/>
        <v>6</v>
      </c>
      <c r="C2245" s="78">
        <v>42551</v>
      </c>
      <c r="D2245" s="78" t="s">
        <v>579</v>
      </c>
      <c r="E2245" s="78">
        <v>42527</v>
      </c>
      <c r="F2245" s="72" t="s">
        <v>1659</v>
      </c>
      <c r="G2245" s="975" t="s">
        <v>1698</v>
      </c>
      <c r="H2245" s="80" t="s">
        <v>629</v>
      </c>
      <c r="I2245" s="435"/>
      <c r="J2245" s="435"/>
      <c r="K2245" s="426"/>
      <c r="L2245" s="435"/>
      <c r="M2245" s="81">
        <v>33334900</v>
      </c>
      <c r="N2245" s="82" t="s">
        <v>282</v>
      </c>
      <c r="O2245" s="82" t="s">
        <v>8</v>
      </c>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c r="AE2245" s="341" t="str">
        <f t="shared" si="235"/>
        <v>x</v>
      </c>
      <c r="AF2245" s="345">
        <v>1</v>
      </c>
    </row>
    <row r="2246" spans="1:32" s="345" customFormat="1" ht="15.75" customHeight="1">
      <c r="A2246" s="334" t="str">
        <f>IF(B2246&lt;&gt;"",IF(AND(B2246='IN-TC'!$S$4,OR(TH!N2246="1111",TH!O2246="1111")),TH!D2246,""),"")</f>
        <v/>
      </c>
      <c r="B2246" s="993">
        <f t="shared" si="233"/>
        <v>6</v>
      </c>
      <c r="C2246" s="78">
        <v>42551</v>
      </c>
      <c r="D2246" s="78" t="s">
        <v>579</v>
      </c>
      <c r="E2246" s="78">
        <v>42527</v>
      </c>
      <c r="F2246" s="72" t="s">
        <v>1656</v>
      </c>
      <c r="G2246" s="975" t="s">
        <v>1698</v>
      </c>
      <c r="H2246" s="80" t="s">
        <v>629</v>
      </c>
      <c r="I2246" s="435"/>
      <c r="J2246" s="435"/>
      <c r="K2246" s="426"/>
      <c r="L2246" s="435"/>
      <c r="M2246" s="81">
        <v>3333490</v>
      </c>
      <c r="N2246" s="82" t="s">
        <v>9</v>
      </c>
      <c r="O2246" s="82" t="s">
        <v>8</v>
      </c>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x</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c r="AE2246" s="341" t="str">
        <f t="shared" si="235"/>
        <v>x</v>
      </c>
    </row>
    <row r="2247" spans="1:32" s="345" customFormat="1" ht="15.75" customHeight="1">
      <c r="A2247" s="334" t="str">
        <f>IF(B2247&lt;&gt;"",IF(AND(B2247='IN-TC'!$S$4,OR(TH!N2247="1111",TH!O2247="1111")),TH!D2247,""),"")</f>
        <v/>
      </c>
      <c r="B2247" s="993">
        <f t="shared" si="233"/>
        <v>6</v>
      </c>
      <c r="C2247" s="78">
        <v>42551</v>
      </c>
      <c r="D2247" s="78" t="s">
        <v>579</v>
      </c>
      <c r="E2247" s="78">
        <v>42537</v>
      </c>
      <c r="F2247" s="72" t="s">
        <v>1660</v>
      </c>
      <c r="G2247" s="975" t="s">
        <v>1699</v>
      </c>
      <c r="H2247" s="80" t="s">
        <v>629</v>
      </c>
      <c r="I2247" s="435"/>
      <c r="J2247" s="435"/>
      <c r="K2247" s="426"/>
      <c r="L2247" s="435"/>
      <c r="M2247" s="81">
        <v>26409100</v>
      </c>
      <c r="N2247" s="82" t="s">
        <v>282</v>
      </c>
      <c r="O2247" s="82" t="s">
        <v>8</v>
      </c>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c r="AE2247" s="341" t="str">
        <f t="shared" si="235"/>
        <v>x</v>
      </c>
      <c r="AF2247" s="345">
        <v>1</v>
      </c>
    </row>
    <row r="2248" spans="1:32" s="345" customFormat="1" ht="15.75" customHeight="1">
      <c r="A2248" s="334" t="str">
        <f>IF(B2248&lt;&gt;"",IF(AND(B2248='IN-TC'!$S$4,OR(TH!N2248="1111",TH!O2248="1111")),TH!D2248,""),"")</f>
        <v/>
      </c>
      <c r="B2248" s="993">
        <f t="shared" si="233"/>
        <v>6</v>
      </c>
      <c r="C2248" s="78">
        <v>42551</v>
      </c>
      <c r="D2248" s="78" t="s">
        <v>579</v>
      </c>
      <c r="E2248" s="78">
        <v>42537</v>
      </c>
      <c r="F2248" s="72" t="s">
        <v>1657</v>
      </c>
      <c r="G2248" s="975" t="s">
        <v>1699</v>
      </c>
      <c r="H2248" s="80" t="s">
        <v>629</v>
      </c>
      <c r="I2248" s="435"/>
      <c r="J2248" s="435"/>
      <c r="K2248" s="426"/>
      <c r="L2248" s="435"/>
      <c r="M2248" s="81">
        <v>2640910</v>
      </c>
      <c r="N2248" s="82" t="s">
        <v>9</v>
      </c>
      <c r="O2248" s="82" t="s">
        <v>8</v>
      </c>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x</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c r="AE2248" s="341" t="str">
        <f t="shared" si="235"/>
        <v>x</v>
      </c>
    </row>
    <row r="2249" spans="1:32" s="345" customFormat="1" ht="15.75" customHeight="1">
      <c r="A2249" s="334" t="str">
        <f>IF(B2249&lt;&gt;"",IF(AND(B2249='IN-TC'!$S$4,OR(TH!N2249="1111",TH!O2249="1111")),TH!D2249,""),"")</f>
        <v/>
      </c>
      <c r="B2249" s="993">
        <f t="shared" si="233"/>
        <v>6</v>
      </c>
      <c r="C2249" s="78">
        <v>42551</v>
      </c>
      <c r="D2249" s="78" t="s">
        <v>579</v>
      </c>
      <c r="E2249" s="78">
        <v>42547</v>
      </c>
      <c r="F2249" s="72" t="s">
        <v>1661</v>
      </c>
      <c r="G2249" s="975" t="s">
        <v>1700</v>
      </c>
      <c r="H2249" s="80" t="s">
        <v>629</v>
      </c>
      <c r="I2249" s="435"/>
      <c r="J2249" s="435"/>
      <c r="K2249" s="426"/>
      <c r="L2249" s="435"/>
      <c r="M2249" s="81">
        <v>25426100</v>
      </c>
      <c r="N2249" s="82" t="s">
        <v>282</v>
      </c>
      <c r="O2249" s="82" t="s">
        <v>8</v>
      </c>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c r="AE2249" s="341" t="str">
        <f t="shared" si="235"/>
        <v>x</v>
      </c>
      <c r="AF2249" s="345">
        <v>1</v>
      </c>
    </row>
    <row r="2250" spans="1:32" s="345" customFormat="1" ht="15.75" customHeight="1">
      <c r="A2250" s="334" t="str">
        <f>IF(B2250&lt;&gt;"",IF(AND(B2250='IN-TC'!$S$4,OR(TH!N2250="1111",TH!O2250="1111")),TH!D2250,""),"")</f>
        <v/>
      </c>
      <c r="B2250" s="993">
        <f t="shared" si="233"/>
        <v>6</v>
      </c>
      <c r="C2250" s="78">
        <v>42551</v>
      </c>
      <c r="D2250" s="78" t="s">
        <v>579</v>
      </c>
      <c r="E2250" s="78">
        <v>42547</v>
      </c>
      <c r="F2250" s="72" t="s">
        <v>1658</v>
      </c>
      <c r="G2250" s="975" t="s">
        <v>1700</v>
      </c>
      <c r="H2250" s="80" t="s">
        <v>629</v>
      </c>
      <c r="I2250" s="435"/>
      <c r="J2250" s="435"/>
      <c r="K2250" s="426"/>
      <c r="L2250" s="435"/>
      <c r="M2250" s="81">
        <v>2542610</v>
      </c>
      <c r="N2250" s="82" t="s">
        <v>9</v>
      </c>
      <c r="O2250" s="82" t="s">
        <v>8</v>
      </c>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x</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c r="AE2250" s="341" t="str">
        <f t="shared" si="235"/>
        <v>x</v>
      </c>
    </row>
    <row r="2251" spans="1:32" s="345" customFormat="1" ht="15.75" customHeight="1">
      <c r="A2251" s="334" t="str">
        <f>IF(B2251&lt;&gt;"",IF(AND(B2251='IN-TC'!$S$4,OR(TH!N2251="1111",TH!O2251="1111")),TH!D2251,""),"")</f>
        <v/>
      </c>
      <c r="B2251" s="993">
        <f t="shared" si="233"/>
        <v>6</v>
      </c>
      <c r="C2251" s="78">
        <v>42551</v>
      </c>
      <c r="D2251" s="78" t="s">
        <v>579</v>
      </c>
      <c r="E2251" s="78">
        <v>42549</v>
      </c>
      <c r="F2251" s="72" t="s">
        <v>1690</v>
      </c>
      <c r="G2251" s="975" t="s">
        <v>1691</v>
      </c>
      <c r="H2251" s="80" t="s">
        <v>626</v>
      </c>
      <c r="I2251" s="435"/>
      <c r="J2251" s="435"/>
      <c r="K2251" s="426"/>
      <c r="L2251" s="435"/>
      <c r="M2251" s="81">
        <v>9785000</v>
      </c>
      <c r="N2251" s="82" t="s">
        <v>588</v>
      </c>
      <c r="O2251" s="82" t="s">
        <v>8</v>
      </c>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c r="AE2251" s="341" t="str">
        <f t="shared" si="235"/>
        <v>x</v>
      </c>
    </row>
    <row r="2252" spans="1:32" s="345" customFormat="1" ht="15.75" customHeight="1">
      <c r="A2252" s="334" t="str">
        <f>IF(B2252&lt;&gt;"",IF(AND(B2252='IN-TC'!$S$4,OR(TH!N2252="1111",TH!O2252="1111")),TH!D2252,""),"")</f>
        <v/>
      </c>
      <c r="B2252" s="993">
        <f t="shared" si="233"/>
        <v>6</v>
      </c>
      <c r="C2252" s="78">
        <v>42551</v>
      </c>
      <c r="D2252" s="78" t="s">
        <v>579</v>
      </c>
      <c r="E2252" s="78">
        <v>42550</v>
      </c>
      <c r="F2252" s="72" t="s">
        <v>635</v>
      </c>
      <c r="G2252" s="975" t="s">
        <v>1692</v>
      </c>
      <c r="H2252" s="80" t="s">
        <v>626</v>
      </c>
      <c r="I2252" s="435"/>
      <c r="J2252" s="435"/>
      <c r="K2252" s="426"/>
      <c r="L2252" s="435"/>
      <c r="M2252" s="81">
        <v>600000</v>
      </c>
      <c r="N2252" s="82" t="s">
        <v>588</v>
      </c>
      <c r="O2252" s="82" t="s">
        <v>8</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c r="AE2252" s="341" t="str">
        <f t="shared" si="235"/>
        <v>x</v>
      </c>
    </row>
    <row r="2253" spans="1:32" ht="15.75" customHeight="1">
      <c r="A2253" s="334" t="str">
        <f>IF(B2253&lt;&gt;"",IF(AND(B2253='IN-TC'!$S$4,OR(TH!N2253="1111",TH!O2253="1111")),TH!D2253,""),"")</f>
        <v/>
      </c>
      <c r="B2253" s="63">
        <f t="shared" ref="B2253:B2316" si="236">IF(C2253&lt;&gt;"",MONTH(C2253),"")</f>
        <v>6</v>
      </c>
      <c r="C2253" s="64">
        <v>42551</v>
      </c>
      <c r="D2253" s="64" t="s">
        <v>699</v>
      </c>
      <c r="E2253" s="64">
        <f>C2253</f>
        <v>42551</v>
      </c>
      <c r="F2253" s="72" t="s">
        <v>1663</v>
      </c>
      <c r="G2253" s="67" t="s">
        <v>1871</v>
      </c>
      <c r="H2253" s="72"/>
      <c r="I2253" s="437"/>
      <c r="J2253" s="437"/>
      <c r="K2253" s="428">
        <v>8350</v>
      </c>
      <c r="L2253" s="437">
        <v>22280</v>
      </c>
      <c r="M2253" s="65">
        <f>ROUND(K2253*L2253,0)</f>
        <v>186038000</v>
      </c>
      <c r="N2253" s="66" t="s">
        <v>266</v>
      </c>
      <c r="O2253" s="66" t="s">
        <v>266</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2" ht="15.75" customHeight="1">
      <c r="A2254" s="334" t="str">
        <f>IF(B2254&lt;&gt;"",IF(AND(B2254='IN-TC'!$S$4,OR(TH!N2254="1111",TH!O2254="1111")),TH!D2254,""),"")</f>
        <v/>
      </c>
      <c r="B2254" s="63">
        <f t="shared" si="236"/>
        <v>6</v>
      </c>
      <c r="C2254" s="64">
        <v>42551</v>
      </c>
      <c r="D2254" s="64" t="s">
        <v>702</v>
      </c>
      <c r="E2254" s="64">
        <f>C2254</f>
        <v>42551</v>
      </c>
      <c r="F2254" s="72" t="s">
        <v>1192</v>
      </c>
      <c r="G2254" s="67" t="s">
        <v>915</v>
      </c>
      <c r="H2254" s="342"/>
      <c r="I2254" s="437"/>
      <c r="J2254" s="437"/>
      <c r="K2254" s="428"/>
      <c r="L2254" s="437"/>
      <c r="M2254" s="65">
        <v>67020</v>
      </c>
      <c r="N2254" s="66" t="s">
        <v>101</v>
      </c>
      <c r="O2254" s="66" t="s">
        <v>26</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c r="AF2254" s="328">
        <v>1</v>
      </c>
    </row>
    <row r="2255" spans="1:32" ht="15.75" customHeight="1">
      <c r="A2255" s="334" t="str">
        <f>IF(B2255&lt;&gt;"",IF(AND(B2255='IN-TC'!$S$4,OR(TH!N2255="1111",TH!O2255="1111")),TH!D2255,""),"")</f>
        <v/>
      </c>
      <c r="B2255" s="63">
        <f t="shared" si="236"/>
        <v>6</v>
      </c>
      <c r="C2255" s="64">
        <v>42551</v>
      </c>
      <c r="D2255" s="64" t="s">
        <v>702</v>
      </c>
      <c r="E2255" s="64">
        <f>C2255</f>
        <v>42551</v>
      </c>
      <c r="F2255" s="72" t="s">
        <v>1193</v>
      </c>
      <c r="G2255" s="67" t="s">
        <v>915</v>
      </c>
      <c r="H2255" s="342"/>
      <c r="I2255" s="437"/>
      <c r="J2255" s="437"/>
      <c r="K2255" s="428"/>
      <c r="L2255" s="437"/>
      <c r="M2255" s="65">
        <v>6702</v>
      </c>
      <c r="N2255" s="66" t="s">
        <v>9</v>
      </c>
      <c r="O2255" s="66" t="s">
        <v>26</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x</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2" s="1156" customFormat="1" ht="15.75" customHeight="1">
      <c r="A2256" s="334" t="str">
        <f>IF(B2256&lt;&gt;"",IF(AND(B2256='IN-TC'!$S$4,OR(TH!N2256="1111",TH!O2256="1111")),TH!D2256,""),"")</f>
        <v/>
      </c>
      <c r="B2256" s="1148">
        <f t="shared" si="236"/>
        <v>6</v>
      </c>
      <c r="C2256" s="1149">
        <v>42551</v>
      </c>
      <c r="D2256" s="1149" t="s">
        <v>963</v>
      </c>
      <c r="E2256" s="1149">
        <v>42551</v>
      </c>
      <c r="F2256" s="72" t="s">
        <v>1100</v>
      </c>
      <c r="G2256" s="1151" t="s">
        <v>1558</v>
      </c>
      <c r="H2256" s="1150" t="s">
        <v>760</v>
      </c>
      <c r="I2256" s="1152"/>
      <c r="J2256" s="1152"/>
      <c r="K2256" s="1153"/>
      <c r="L2256" s="1152"/>
      <c r="M2256" s="1154">
        <v>1000000000</v>
      </c>
      <c r="N2256" s="66" t="s">
        <v>26</v>
      </c>
      <c r="O2256" s="66" t="s">
        <v>63</v>
      </c>
      <c r="P2256" s="82" t="str">
        <f>IF(AND('331-CT'!$E$7=TH!H2256,OR(N2256="331",O2256="331")),"x","")</f>
        <v/>
      </c>
      <c r="Q2256" s="82" t="str">
        <f>IF(AND(B2256='111'!$L$11,OR($N2256=$Q$7,$O2256=$Q$7)),"x","")</f>
        <v/>
      </c>
      <c r="R2256" s="82" t="str">
        <f>IF(AND($N2256=$Q$7,$B2256&lt;'111'!$L$11),"x","")</f>
        <v/>
      </c>
      <c r="S2256" s="82" t="str">
        <f>IF(AND($O2256=$Q$7,$B2256&lt;'111'!$L$11),"x","")</f>
        <v>x</v>
      </c>
      <c r="T2256" s="82" t="str">
        <f>IF(ISERROR(FIND('112'!$M$9,G2256,1)),"",IF((AND(FIND('112'!$M$9,G2256,1)&gt;=1,B2256='112'!$K$9,OR($N2256='112'!$I$6,$O2256='112'!$I$6))),"x",""))</f>
        <v/>
      </c>
      <c r="U2256" s="82" t="str">
        <f>IF(ISERROR(FIND('112'!$M$9,G2256,1)),"",IF((AND(LEFT(G2256,2)=LEFT('112'!$M$9,2),B2256&lt;'112'!$K$9,$N2256='112'!$I$6)),"x",""))</f>
        <v>x</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2" ht="15.75" customHeight="1">
      <c r="A2257" s="334" t="str">
        <f>IF(B2257&lt;&gt;"",IF(AND(B2257='IN-TC'!$S$4,OR(TH!N2257="1111",TH!O2257="1111")),TH!D2257,""),"")</f>
        <v/>
      </c>
      <c r="B2257" s="63">
        <f t="shared" si="236"/>
        <v>7</v>
      </c>
      <c r="C2257" s="64">
        <v>42552</v>
      </c>
      <c r="D2257" s="64" t="s">
        <v>870</v>
      </c>
      <c r="E2257" s="64">
        <f t="shared" ref="E2257:E2288" si="237">C2257</f>
        <v>42552</v>
      </c>
      <c r="F2257" s="72" t="s">
        <v>1139</v>
      </c>
      <c r="G2257" s="67" t="s">
        <v>914</v>
      </c>
      <c r="H2257" s="72" t="s">
        <v>760</v>
      </c>
      <c r="I2257" s="437"/>
      <c r="J2257" s="437"/>
      <c r="K2257" s="428"/>
      <c r="L2257" s="437"/>
      <c r="M2257" s="65">
        <v>960000000</v>
      </c>
      <c r="N2257" s="66" t="s">
        <v>63</v>
      </c>
      <c r="O2257" s="66" t="s">
        <v>26</v>
      </c>
      <c r="P2257" s="82" t="str">
        <f>IF(AND('331-CT'!$E$7=TH!H2257,OR(N2257="331",O2257="331")),"x","")</f>
        <v/>
      </c>
      <c r="Q2257" s="82" t="str">
        <f>IF(AND(B2257='111'!$L$11,OR($N2257=$Q$7,$O2257=$Q$7)),"x","")</f>
        <v/>
      </c>
      <c r="R2257" s="82" t="str">
        <f>IF(AND($N2257=$Q$7,$B2257&lt;'111'!$L$11),"x","")</f>
        <v>x</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2" ht="15.75" customHeight="1">
      <c r="A2258" s="334" t="str">
        <f>IF(B2258&lt;&gt;"",IF(AND(B2258='IN-TC'!$S$4,OR(TH!N2258="1111",TH!O2258="1111")),TH!D2258,""),"")</f>
        <v/>
      </c>
      <c r="B2258" s="1148">
        <f t="shared" si="236"/>
        <v>7</v>
      </c>
      <c r="C2258" s="1149">
        <v>42552</v>
      </c>
      <c r="D2258" s="1149" t="s">
        <v>899</v>
      </c>
      <c r="E2258" s="1149">
        <f t="shared" si="237"/>
        <v>42552</v>
      </c>
      <c r="F2258" s="72" t="s">
        <v>1139</v>
      </c>
      <c r="G2258" s="1151" t="s">
        <v>1558</v>
      </c>
      <c r="H2258" s="1150" t="s">
        <v>760</v>
      </c>
      <c r="I2258" s="1152"/>
      <c r="J2258" s="1152"/>
      <c r="K2258" s="1153"/>
      <c r="L2258" s="1152"/>
      <c r="M2258" s="1154">
        <v>2000000000</v>
      </c>
      <c r="N2258" s="1155" t="s">
        <v>63</v>
      </c>
      <c r="O2258" s="66" t="s">
        <v>26</v>
      </c>
      <c r="P2258" s="82" t="str">
        <f>IF(AND('331-CT'!$E$7=TH!H2258,OR(N2258="331",O2258="331")),"x","")</f>
        <v/>
      </c>
      <c r="Q2258" s="82" t="str">
        <f>IF(AND(B2258='111'!$L$11,OR($N2258=$Q$7,$O2258=$Q$7)),"x","")</f>
        <v/>
      </c>
      <c r="R2258" s="82" t="str">
        <f>IF(AND($N2258=$Q$7,$B2258&lt;'111'!$L$11),"x","")</f>
        <v>x</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x</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c r="AE2258" s="1156"/>
      <c r="AF2258" s="1156"/>
    </row>
    <row r="2259" spans="1:32" ht="15.75" customHeight="1">
      <c r="A2259" s="334" t="str">
        <f>IF(B2259&lt;&gt;"",IF(AND(B2259='IN-TC'!$S$4,OR(TH!N1570="1111",TH!O1570="1111")),TH!D1570,""),"")</f>
        <v/>
      </c>
      <c r="B2259" s="1148">
        <f t="shared" si="236"/>
        <v>7</v>
      </c>
      <c r="C2259" s="1149">
        <v>42555</v>
      </c>
      <c r="D2259" s="1149" t="s">
        <v>868</v>
      </c>
      <c r="E2259" s="1149">
        <f t="shared" si="237"/>
        <v>42555</v>
      </c>
      <c r="F2259" s="512" t="s">
        <v>960</v>
      </c>
      <c r="G2259" s="1151"/>
      <c r="H2259" s="1150" t="s">
        <v>959</v>
      </c>
      <c r="I2259" s="1152"/>
      <c r="J2259" s="1152"/>
      <c r="K2259" s="1153"/>
      <c r="L2259" s="1152"/>
      <c r="M2259" s="1154">
        <v>500000000</v>
      </c>
      <c r="N2259" s="1155" t="s">
        <v>272</v>
      </c>
      <c r="O2259" s="1155" t="s">
        <v>63</v>
      </c>
      <c r="P2259" s="1155" t="str">
        <f>IF(AND('331-CT'!$E$7=TH!H1570,OR(N2259="331",O2259="331")),"x","")</f>
        <v/>
      </c>
      <c r="Q2259" s="1155" t="str">
        <f>IF(AND(B2259='111'!$L$11,OR($N2259=$Q$7,$O2259=$Q$7)),"x","")</f>
        <v/>
      </c>
      <c r="R2259" s="1155" t="str">
        <f>IF(AND($N2259=$Q$7,$B2259&lt;'111'!$L$11),"x","")</f>
        <v/>
      </c>
      <c r="S2259" s="1155" t="str">
        <f>IF(AND($O2259=$Q$7,$B2259&lt;'111'!$L$11),"x","")</f>
        <v>x</v>
      </c>
      <c r="T2259" s="1155" t="str">
        <f>IF(ISERROR(FIND('112'!$M$9,G2259,1)),"",IF((AND(FIND('112'!$M$9,G2259,1)&gt;=1,B2259='112'!$K$9,OR($N2259='112'!$I$6,$O2259='112'!$I$6))),"x",""))</f>
        <v/>
      </c>
      <c r="U2259" s="1155" t="str">
        <f>IF(ISERROR(FIND('112'!$M$9,G2259,1)),"",IF((AND(LEFT(G2259,2)=LEFT('112'!$M$9,2),B2259&lt;'112'!$K$9,$N2259='112'!$I$6)),"x",""))</f>
        <v/>
      </c>
      <c r="V2259" s="1155" t="str">
        <f>IF(ISERROR(FIND('112'!$M$9,G2259,1)),"",IF((AND(RIGHT(G2259,2)=RIGHT('112'!$M$9,2),B2259&lt;'112'!$K$9,$O2259='112'!$I$6)),"x",""))</f>
        <v/>
      </c>
      <c r="W2259" s="1155" t="str">
        <f>IF(AND('341-CT'!$H$9=H2259,OR(LEFT(N2259,3)=$W$7,LEFT(O2259,3)=$W$7)),"x","")</f>
        <v/>
      </c>
      <c r="X2259" s="1155" t="str">
        <f>IF(OR(TH!N1570=TH!$X$7,O2259=TH!$X$7),"x","")</f>
        <v/>
      </c>
      <c r="Y2259" s="1155" t="str">
        <f>IF(AND(OR(N2259="131",O2259="131"),H2259='131-CT'!$H$9),"x","")</f>
        <v/>
      </c>
      <c r="Z2259" s="1155"/>
      <c r="AA2259" s="1155" t="str">
        <f>IF(AND(MONTH(E2259)='IN-NX'!$J$5,'IN-NX'!$D$7=D2259),"x","")</f>
        <v/>
      </c>
      <c r="AB2259" s="1155" t="str">
        <f>IF(AND(OR(LEFT(TH!N1570,2)="15",LEFT(TH!O1570,2)="15"),LEFT(TH!O1570,3)&lt;&gt;"111",'152-CT'!$J$8=TH!F1570),"x","")</f>
        <v/>
      </c>
      <c r="AC2259" s="1155" t="str">
        <f>IF(AND(OR(LEFT(TH!N1570,2)="15",LEFT(TH!O1570,2)="15"),TK!$E$7=TH!F1570),"x","")</f>
        <v/>
      </c>
      <c r="AD2259" s="1155" t="str">
        <f>IF(AND(N2259="1521",MONTH(C2259)='BK-NL'!$M$11),"x","")</f>
        <v/>
      </c>
      <c r="AE2259" s="1156"/>
      <c r="AF2259" s="1156"/>
    </row>
    <row r="2260" spans="1:32" ht="15.75" customHeight="1">
      <c r="A2260" s="334" t="str">
        <f>IF(B2260&lt;&gt;"",IF(AND(B2260='IN-TC'!$S$4,OR(TH!N2260="1111",TH!O2260="1111")),TH!D2260,""),"")</f>
        <v/>
      </c>
      <c r="B2260" s="63">
        <f t="shared" si="236"/>
        <v>7</v>
      </c>
      <c r="C2260" s="64">
        <v>42552</v>
      </c>
      <c r="D2260" s="64" t="s">
        <v>699</v>
      </c>
      <c r="E2260" s="64">
        <f t="shared" si="237"/>
        <v>42552</v>
      </c>
      <c r="F2260" s="72" t="s">
        <v>1450</v>
      </c>
      <c r="G2260" s="67" t="s">
        <v>1558</v>
      </c>
      <c r="H2260" s="72" t="s">
        <v>1877</v>
      </c>
      <c r="I2260" s="437"/>
      <c r="J2260" s="437"/>
      <c r="K2260" s="428">
        <v>2761.29</v>
      </c>
      <c r="L2260" s="437">
        <v>22300</v>
      </c>
      <c r="M2260" s="65">
        <f>ROUND(K2260*L2260,0)</f>
        <v>61576767</v>
      </c>
      <c r="N2260" s="66" t="s">
        <v>266</v>
      </c>
      <c r="O2260" s="66" t="s">
        <v>585</v>
      </c>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c r="AE2260" s="349"/>
      <c r="AF2260" s="349"/>
    </row>
    <row r="2261" spans="1:32" ht="15.75" customHeight="1">
      <c r="A2261" s="334" t="str">
        <f>IF(B2261&lt;&gt;"",IF(AND(B2261='IN-TC'!$S$4,OR(TH!N2261="1111",TH!O2261="1111")),TH!D2261,""),"")</f>
        <v/>
      </c>
      <c r="B2261" s="63">
        <f t="shared" si="236"/>
        <v>7</v>
      </c>
      <c r="C2261" s="64">
        <v>42552</v>
      </c>
      <c r="D2261" s="64" t="s">
        <v>702</v>
      </c>
      <c r="E2261" s="64">
        <f t="shared" si="237"/>
        <v>42552</v>
      </c>
      <c r="F2261" s="72" t="s">
        <v>1780</v>
      </c>
      <c r="G2261" s="67" t="s">
        <v>1558</v>
      </c>
      <c r="H2261" s="72" t="s">
        <v>1794</v>
      </c>
      <c r="I2261" s="437"/>
      <c r="J2261" s="437"/>
      <c r="K2261" s="428"/>
      <c r="L2261" s="437"/>
      <c r="M2261" s="65">
        <v>44700</v>
      </c>
      <c r="N2261" s="66" t="s">
        <v>101</v>
      </c>
      <c r="O2261" s="66" t="s">
        <v>26</v>
      </c>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x</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c r="AE2261" s="349"/>
      <c r="AF2261" s="349">
        <v>7</v>
      </c>
    </row>
    <row r="2262" spans="1:32" ht="15.75" customHeight="1">
      <c r="A2262" s="334" t="str">
        <f>IF(B2262&lt;&gt;"",IF(AND(B2262='IN-TC'!$S$4,OR(TH!N2262="1111",TH!O2262="1111")),TH!D2262,""),"")</f>
        <v/>
      </c>
      <c r="B2262" s="63">
        <f t="shared" si="236"/>
        <v>7</v>
      </c>
      <c r="C2262" s="64">
        <v>42552</v>
      </c>
      <c r="D2262" s="64" t="s">
        <v>702</v>
      </c>
      <c r="E2262" s="64">
        <f t="shared" si="237"/>
        <v>42552</v>
      </c>
      <c r="F2262" s="72" t="s">
        <v>1985</v>
      </c>
      <c r="G2262" s="67" t="s">
        <v>1558</v>
      </c>
      <c r="H2262" s="72" t="s">
        <v>1795</v>
      </c>
      <c r="I2262" s="437"/>
      <c r="J2262" s="437"/>
      <c r="K2262" s="428"/>
      <c r="L2262" s="437"/>
      <c r="M2262" s="65">
        <v>4470</v>
      </c>
      <c r="N2262" s="66" t="s">
        <v>9</v>
      </c>
      <c r="O2262" s="66" t="s">
        <v>26</v>
      </c>
      <c r="P2262" s="82" t="str">
        <f>IF(AND('331-CT'!$E$7=TH!H2262,OR(N2262="331",O2262="331")),"x","")</f>
        <v/>
      </c>
      <c r="Q2262" s="82" t="str">
        <f>IF(AND(B2262='111'!$L$11,OR($N2262=$Q$7,$O2262=$Q$7)),"x","")</f>
        <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x</v>
      </c>
      <c r="W2262" s="82" t="str">
        <f>IF(AND('341-CT'!$H$9=H2262,OR(LEFT(N2262,3)=$W$7,LEFT(O2262,3)=$W$7)),"x","")</f>
        <v/>
      </c>
      <c r="X2262" s="82" t="str">
        <f>IF(OR(TH!N2262=TH!$X$7,O2262=TH!$X$7),"x","")</f>
        <v>x</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c r="AE2262" s="349"/>
      <c r="AF2262" s="349">
        <v>7</v>
      </c>
    </row>
    <row r="2263" spans="1:32" ht="15.75" customHeight="1">
      <c r="A2263" s="334" t="str">
        <f>IF(B2263&lt;&gt;"",IF(AND(B2263='IN-TC'!$S$4,OR(TH!N2263="1111",TH!O2263="1111")),TH!D2263,""),"")</f>
        <v/>
      </c>
      <c r="B2263" s="63">
        <f t="shared" si="236"/>
        <v>7</v>
      </c>
      <c r="C2263" s="64">
        <v>42552</v>
      </c>
      <c r="D2263" s="64" t="s">
        <v>702</v>
      </c>
      <c r="E2263" s="64">
        <f t="shared" si="237"/>
        <v>42552</v>
      </c>
      <c r="F2263" s="72" t="s">
        <v>1438</v>
      </c>
      <c r="G2263" s="67" t="s">
        <v>1558</v>
      </c>
      <c r="H2263" s="72"/>
      <c r="I2263" s="437"/>
      <c r="J2263" s="437"/>
      <c r="K2263" s="428">
        <v>11000</v>
      </c>
      <c r="L2263" s="437">
        <v>22270</v>
      </c>
      <c r="M2263" s="65">
        <f>ROUND(K2263*L2263,0)</f>
        <v>244970000</v>
      </c>
      <c r="N2263" s="66" t="s">
        <v>26</v>
      </c>
      <c r="O2263" s="66" t="s">
        <v>266</v>
      </c>
      <c r="P2263" s="82" t="str">
        <f>IF(AND('331-CT'!$E$7=TH!H2263,OR(N2263="331",O2263="331")),"x","")</f>
        <v/>
      </c>
      <c r="Q2263" s="82" t="str">
        <f>IF(AND(B2263='111'!$L$11,OR($N2263=$Q$7,$O2263=$Q$7)),"x","")</f>
        <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x</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c r="AE2263" s="349"/>
      <c r="AF2263" s="349"/>
    </row>
    <row r="2264" spans="1:32" ht="15.75" customHeight="1">
      <c r="A2264" s="334" t="str">
        <f>IF(B2264&lt;&gt;"",IF(AND(B2264='IN-TC'!$S$4,OR(TH!N2264="1111",TH!O2264="1111")),TH!D2264,""),"")</f>
        <v/>
      </c>
      <c r="B2264" s="63">
        <f t="shared" si="236"/>
        <v>7</v>
      </c>
      <c r="C2264" s="64">
        <v>42552</v>
      </c>
      <c r="D2264" s="64" t="s">
        <v>702</v>
      </c>
      <c r="E2264" s="64">
        <f t="shared" si="237"/>
        <v>42552</v>
      </c>
      <c r="F2264" s="72" t="s">
        <v>1881</v>
      </c>
      <c r="G2264" s="67" t="s">
        <v>1558</v>
      </c>
      <c r="H2264" s="963" t="s">
        <v>1875</v>
      </c>
      <c r="I2264" s="437"/>
      <c r="J2264" s="437"/>
      <c r="K2264" s="428">
        <v>89500</v>
      </c>
      <c r="L2264" s="437">
        <v>22308</v>
      </c>
      <c r="M2264" s="65">
        <f>ROUND(K2264*L2264,0)</f>
        <v>1996566000</v>
      </c>
      <c r="N2264" s="66" t="s">
        <v>260</v>
      </c>
      <c r="O2264" s="66" t="s">
        <v>26</v>
      </c>
      <c r="P2264" s="82" t="str">
        <f>IF(AND('331-CT'!$E$7=TH!H2264,OR(N2264="331",O2264="331")),"x","")</f>
        <v/>
      </c>
      <c r="Q2264" s="82" t="str">
        <f>IF(AND(B2264='111'!$L$11,OR($N2264=$Q$7,$O2264=$Q$7)),"x","")</f>
        <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x</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c r="AE2264" s="349"/>
      <c r="AF2264" s="349"/>
    </row>
    <row r="2265" spans="1:32" ht="15.75" customHeight="1">
      <c r="A2265" s="334" t="str">
        <f>IF(B2265&lt;&gt;"",IF(AND(B2265='IN-TC'!$S$4,OR(TH!N2265="1111",TH!O2265="1111")),TH!D2265,""),"")</f>
        <v/>
      </c>
      <c r="B2265" s="63">
        <f t="shared" si="236"/>
        <v>7</v>
      </c>
      <c r="C2265" s="64">
        <v>42552</v>
      </c>
      <c r="D2265" s="64" t="s">
        <v>702</v>
      </c>
      <c r="E2265" s="64">
        <f t="shared" si="237"/>
        <v>42552</v>
      </c>
      <c r="F2265" s="72" t="s">
        <v>1880</v>
      </c>
      <c r="G2265" s="67" t="s">
        <v>1558</v>
      </c>
      <c r="H2265" s="963" t="s">
        <v>1875</v>
      </c>
      <c r="I2265" s="437"/>
      <c r="J2265" s="437"/>
      <c r="K2265" s="428"/>
      <c r="L2265" s="437"/>
      <c r="M2265" s="65">
        <v>6584231</v>
      </c>
      <c r="N2265" s="66" t="s">
        <v>99</v>
      </c>
      <c r="O2265" s="66" t="s">
        <v>26</v>
      </c>
      <c r="P2265" s="82" t="str">
        <f>IF(AND('331-CT'!$E$7=TH!H2265,OR(N2265="331",O2265="331")),"x","")</f>
        <v/>
      </c>
      <c r="Q2265" s="82" t="str">
        <f>IF(AND(B2265='111'!$L$11,OR($N2265=$Q$7,$O2265=$Q$7)),"x","")</f>
        <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x</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c r="AE2265" s="349"/>
      <c r="AF2265" s="349"/>
    </row>
    <row r="2266" spans="1:32" ht="15.75" customHeight="1">
      <c r="A2266" s="334" t="str">
        <f>IF(B2266&lt;&gt;"",IF(AND(B2266='IN-TC'!$S$4,OR(TH!N2266="1111",TH!O2266="1111")),TH!D2266,""),"")</f>
        <v/>
      </c>
      <c r="B2266" s="63">
        <f t="shared" si="236"/>
        <v>7</v>
      </c>
      <c r="C2266" s="64">
        <v>42552</v>
      </c>
      <c r="D2266" s="64" t="s">
        <v>702</v>
      </c>
      <c r="E2266" s="64">
        <f t="shared" si="237"/>
        <v>42552</v>
      </c>
      <c r="F2266" s="72" t="s">
        <v>1872</v>
      </c>
      <c r="G2266" s="67" t="s">
        <v>1558</v>
      </c>
      <c r="H2266" s="963" t="s">
        <v>1875</v>
      </c>
      <c r="I2266" s="437"/>
      <c r="J2266" s="437"/>
      <c r="K2266" s="428"/>
      <c r="L2266" s="437"/>
      <c r="M2266" s="65">
        <v>597810</v>
      </c>
      <c r="N2266" s="66" t="s">
        <v>99</v>
      </c>
      <c r="O2266" s="66" t="s">
        <v>26</v>
      </c>
      <c r="P2266" s="82" t="str">
        <f>IF(AND('331-CT'!$E$7=TH!H2266,OR(N2266="331",O2266="331")),"x","")</f>
        <v/>
      </c>
      <c r="Q2266" s="82" t="str">
        <f>IF(AND(B2266='111'!$L$11,OR($N2266=$Q$7,$O2266=$Q$7)),"x","")</f>
        <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x</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c r="AE2266" s="349"/>
      <c r="AF2266" s="349"/>
    </row>
    <row r="2267" spans="1:32" ht="15.75" customHeight="1">
      <c r="A2267" s="334" t="str">
        <f>IF(B2267&lt;&gt;"",IF(AND(B2267='IN-TC'!$S$4,OR(TH!N2267="1111",TH!O2267="1111")),TH!D2267,""),"")</f>
        <v/>
      </c>
      <c r="B2267" s="63">
        <f t="shared" si="236"/>
        <v>7</v>
      </c>
      <c r="C2267" s="64">
        <v>42552</v>
      </c>
      <c r="D2267" s="64" t="s">
        <v>702</v>
      </c>
      <c r="E2267" s="64">
        <f t="shared" si="237"/>
        <v>42552</v>
      </c>
      <c r="F2267" s="72" t="s">
        <v>1882</v>
      </c>
      <c r="G2267" s="67" t="s">
        <v>1558</v>
      </c>
      <c r="H2267" s="72" t="s">
        <v>1883</v>
      </c>
      <c r="I2267" s="437"/>
      <c r="J2267" s="437"/>
      <c r="K2267" s="428">
        <v>89500</v>
      </c>
      <c r="L2267" s="437">
        <v>22292</v>
      </c>
      <c r="M2267" s="65">
        <f>ROUND(K2267*L2267,0)</f>
        <v>1995134000</v>
      </c>
      <c r="N2267" s="66" t="s">
        <v>266</v>
      </c>
      <c r="O2267" s="66" t="s">
        <v>260</v>
      </c>
      <c r="P2267" s="82" t="str">
        <f>IF(AND('331-CT'!$E$7=TH!H2267,OR(N2267="331",O2267="331")),"x","")</f>
        <v/>
      </c>
      <c r="Q2267" s="82" t="str">
        <f>IF(AND(B2267='111'!$L$11,OR($N2267=$Q$7,$O2267=$Q$7)),"x","")</f>
        <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c r="AE2267" s="349"/>
      <c r="AF2267" s="349"/>
    </row>
    <row r="2268" spans="1:32" ht="15.75" customHeight="1">
      <c r="A2268" s="334" t="str">
        <f>IF(B2268&lt;&gt;"",IF(AND(B2268='IN-TC'!$S$4,OR(TH!N2268="1111",TH!O2268="1111")),TH!D2268,""),"")</f>
        <v/>
      </c>
      <c r="B2268" s="63">
        <f t="shared" si="236"/>
        <v>7</v>
      </c>
      <c r="C2268" s="64">
        <v>42552</v>
      </c>
      <c r="D2268" s="64" t="s">
        <v>702</v>
      </c>
      <c r="E2268" s="64">
        <f t="shared" si="237"/>
        <v>42552</v>
      </c>
      <c r="F2268" s="72" t="s">
        <v>1438</v>
      </c>
      <c r="G2268" s="67" t="s">
        <v>1558</v>
      </c>
      <c r="H2268" s="72"/>
      <c r="I2268" s="437"/>
      <c r="J2268" s="437"/>
      <c r="K2268" s="428">
        <v>89500</v>
      </c>
      <c r="L2268" s="437">
        <v>22292</v>
      </c>
      <c r="M2268" s="65">
        <f>ROUND(K2268*L2268,0)</f>
        <v>1995134000</v>
      </c>
      <c r="N2268" s="66" t="s">
        <v>26</v>
      </c>
      <c r="O2268" s="66" t="s">
        <v>266</v>
      </c>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x</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c r="AE2268" s="349"/>
      <c r="AF2268" s="349"/>
    </row>
    <row r="2269" spans="1:32" ht="15.75" customHeight="1">
      <c r="A2269" s="334" t="str">
        <f>IF(B2269&lt;&gt;"",IF(AND(B2269='IN-TC'!$S$4,OR(TH!N2269="1111",TH!O2269="1111")),TH!D2269,""),"")</f>
        <v/>
      </c>
      <c r="B2269" s="63">
        <f t="shared" si="236"/>
        <v>7</v>
      </c>
      <c r="C2269" s="64">
        <v>42552</v>
      </c>
      <c r="D2269" s="64" t="s">
        <v>702</v>
      </c>
      <c r="E2269" s="64">
        <f t="shared" si="237"/>
        <v>42552</v>
      </c>
      <c r="F2269" s="72" t="s">
        <v>1544</v>
      </c>
      <c r="G2269" s="67" t="s">
        <v>1558</v>
      </c>
      <c r="H2269" s="72" t="s">
        <v>1795</v>
      </c>
      <c r="I2269" s="437"/>
      <c r="J2269" s="437"/>
      <c r="K2269" s="428"/>
      <c r="L2269" s="437"/>
      <c r="M2269" s="65">
        <v>10000</v>
      </c>
      <c r="N2269" s="66" t="s">
        <v>101</v>
      </c>
      <c r="O2269" s="66" t="s">
        <v>26</v>
      </c>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x</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c r="AE2269" s="349"/>
      <c r="AF2269" s="328">
        <v>7</v>
      </c>
    </row>
    <row r="2270" spans="1:32" ht="15.75" customHeight="1">
      <c r="A2270" s="334" t="str">
        <f>IF(B2270&lt;&gt;"",IF(AND(B2270='IN-TC'!$S$4,OR(TH!N2270="1111",TH!O2270="1111")),TH!D2270,""),"")</f>
        <v/>
      </c>
      <c r="B2270" s="63">
        <f t="shared" si="236"/>
        <v>7</v>
      </c>
      <c r="C2270" s="64">
        <v>42552</v>
      </c>
      <c r="D2270" s="64" t="s">
        <v>702</v>
      </c>
      <c r="E2270" s="64">
        <f t="shared" si="237"/>
        <v>42552</v>
      </c>
      <c r="F2270" s="72" t="s">
        <v>1545</v>
      </c>
      <c r="G2270" s="67" t="s">
        <v>1558</v>
      </c>
      <c r="H2270" s="72" t="s">
        <v>1795</v>
      </c>
      <c r="I2270" s="437"/>
      <c r="J2270" s="437"/>
      <c r="K2270" s="428"/>
      <c r="L2270" s="437"/>
      <c r="M2270" s="65">
        <v>1000</v>
      </c>
      <c r="N2270" s="66" t="s">
        <v>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x</v>
      </c>
      <c r="W2270" s="82" t="str">
        <f>IF(AND('341-CT'!$H$9=H2270,OR(LEFT(N2270,3)=$W$7,LEFT(O2270,3)=$W$7)),"x","")</f>
        <v/>
      </c>
      <c r="X2270" s="82" t="str">
        <f>IF(OR(TH!N2270=TH!$X$7,O2270=TH!$X$7),"x","")</f>
        <v>x</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c r="AE2270" s="349"/>
      <c r="AF2270" s="328">
        <v>7</v>
      </c>
    </row>
    <row r="2271" spans="1:32" ht="15.75" customHeight="1">
      <c r="A2271" s="334" t="str">
        <f>IF(B2271&lt;&gt;"",IF(AND(B2271='IN-TC'!$S$4,OR(TH!N2271="1111",TH!O2271="1111")),TH!D2271,""),"")</f>
        <v/>
      </c>
      <c r="B2271" s="63">
        <f t="shared" si="236"/>
        <v>7</v>
      </c>
      <c r="C2271" s="64">
        <v>42552</v>
      </c>
      <c r="D2271" s="64" t="s">
        <v>702</v>
      </c>
      <c r="E2271" s="64">
        <f t="shared" si="237"/>
        <v>42552</v>
      </c>
      <c r="F2271" s="72" t="s">
        <v>1764</v>
      </c>
      <c r="G2271" s="67" t="s">
        <v>915</v>
      </c>
      <c r="H2271" s="72" t="s">
        <v>1794</v>
      </c>
      <c r="I2271" s="437"/>
      <c r="J2271" s="437"/>
      <c r="K2271" s="428"/>
      <c r="L2271" s="437"/>
      <c r="M2271" s="65">
        <v>100000</v>
      </c>
      <c r="N2271" s="66" t="s">
        <v>101</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c r="AE2271" s="349"/>
      <c r="AF2271" s="328">
        <v>7</v>
      </c>
    </row>
    <row r="2272" spans="1:32" ht="15.75" customHeight="1">
      <c r="A2272" s="334" t="str">
        <f>IF(B2272&lt;&gt;"",IF(AND(B2272='IN-TC'!$S$4,OR(TH!N2272="1111",TH!O2272="1111")),TH!D2272,""),"")</f>
        <v/>
      </c>
      <c r="B2272" s="63">
        <f t="shared" si="236"/>
        <v>7</v>
      </c>
      <c r="C2272" s="64">
        <v>42552</v>
      </c>
      <c r="D2272" s="64" t="s">
        <v>702</v>
      </c>
      <c r="E2272" s="64">
        <f t="shared" si="237"/>
        <v>42552</v>
      </c>
      <c r="F2272" s="72" t="s">
        <v>1765</v>
      </c>
      <c r="G2272" s="67" t="s">
        <v>915</v>
      </c>
      <c r="H2272" s="72" t="s">
        <v>1794</v>
      </c>
      <c r="I2272" s="437"/>
      <c r="J2272" s="437"/>
      <c r="K2272" s="428"/>
      <c r="L2272" s="437"/>
      <c r="M2272" s="65">
        <v>10000</v>
      </c>
      <c r="N2272" s="66" t="s">
        <v>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x</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c r="AE2272" s="349"/>
      <c r="AF2272" s="328">
        <v>7</v>
      </c>
    </row>
    <row r="2273" spans="1:32" ht="15.75" customHeight="1">
      <c r="A2273" s="334" t="str">
        <f>IF(B2273&lt;&gt;"",IF(AND(B2273='IN-TC'!$S$4,OR(TH!N2273="1111",TH!O2273="1111")),TH!D2273,""),"")</f>
        <v/>
      </c>
      <c r="B2273" s="63">
        <f t="shared" si="236"/>
        <v>7</v>
      </c>
      <c r="C2273" s="64">
        <v>42552</v>
      </c>
      <c r="D2273" s="78" t="s">
        <v>702</v>
      </c>
      <c r="E2273" s="64">
        <f t="shared" si="237"/>
        <v>42552</v>
      </c>
      <c r="F2273" s="72" t="s">
        <v>1893</v>
      </c>
      <c r="G2273" s="79" t="s">
        <v>914</v>
      </c>
      <c r="H2273" s="72" t="s">
        <v>1892</v>
      </c>
      <c r="I2273" s="437"/>
      <c r="J2273" s="437"/>
      <c r="K2273" s="428">
        <v>43000</v>
      </c>
      <c r="L2273" s="435">
        <v>22310</v>
      </c>
      <c r="M2273" s="81">
        <f>ROUND(K2273*L2273,0)</f>
        <v>959330000</v>
      </c>
      <c r="N2273" s="66" t="s">
        <v>26</v>
      </c>
      <c r="O2273" s="82" t="s">
        <v>260</v>
      </c>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c r="AE2273" s="349"/>
      <c r="AF2273" s="349"/>
    </row>
    <row r="2274" spans="1:32" ht="15.75" customHeight="1">
      <c r="A2274" s="334" t="str">
        <f>IF(B2274&lt;&gt;"",IF(AND(B2274='IN-TC'!$S$4,OR(TH!N1573="1111",TH!O1573="1111")),TH!D1573,""),"")</f>
        <v/>
      </c>
      <c r="B2274" s="1148">
        <f t="shared" si="236"/>
        <v>7</v>
      </c>
      <c r="C2274" s="1149">
        <v>42555</v>
      </c>
      <c r="D2274" s="1149" t="s">
        <v>869</v>
      </c>
      <c r="E2274" s="1149">
        <f t="shared" si="237"/>
        <v>42555</v>
      </c>
      <c r="F2274" s="512" t="s">
        <v>960</v>
      </c>
      <c r="G2274" s="1151"/>
      <c r="H2274" s="1150" t="s">
        <v>2239</v>
      </c>
      <c r="I2274" s="1152"/>
      <c r="J2274" s="1152"/>
      <c r="K2274" s="1153"/>
      <c r="L2274" s="1152"/>
      <c r="M2274" s="1154">
        <v>500000000</v>
      </c>
      <c r="N2274" s="1155" t="s">
        <v>272</v>
      </c>
      <c r="O2274" s="1155" t="s">
        <v>63</v>
      </c>
      <c r="P2274" s="1155" t="str">
        <f>IF(AND('331-CT'!$E$7=TH!H1573,OR(N2274="331",O2274="331")),"x","")</f>
        <v/>
      </c>
      <c r="Q2274" s="1155" t="str">
        <f>IF(AND(B2274='111'!$L$11,OR($N2274=$Q$7,$O2274=$Q$7)),"x","")</f>
        <v/>
      </c>
      <c r="R2274" s="1155" t="str">
        <f>IF(AND($N2274=$Q$7,$B2274&lt;'111'!$L$11),"x","")</f>
        <v/>
      </c>
      <c r="S2274" s="1155" t="str">
        <f>IF(AND($O2274=$Q$7,$B2274&lt;'111'!$L$11),"x","")</f>
        <v>x</v>
      </c>
      <c r="T2274" s="1155" t="str">
        <f>IF(ISERROR(FIND('112'!$M$9,G2274,1)),"",IF((AND(FIND('112'!$M$9,G2274,1)&gt;=1,B2274='112'!$K$9,OR($N2274='112'!$I$6,$O2274='112'!$I$6))),"x",""))</f>
        <v/>
      </c>
      <c r="U2274" s="1155" t="str">
        <f>IF(ISERROR(FIND('112'!$M$9,G2274,1)),"",IF((AND(LEFT(G2274,2)=LEFT('112'!$M$9,2),B2274&lt;'112'!$K$9,$N2274='112'!$I$6)),"x",""))</f>
        <v/>
      </c>
      <c r="V2274" s="1155" t="str">
        <f>IF(ISERROR(FIND('112'!$M$9,G2274,1)),"",IF((AND(RIGHT(G2274,2)=RIGHT('112'!$M$9,2),B2274&lt;'112'!$K$9,$O2274='112'!$I$6)),"x",""))</f>
        <v/>
      </c>
      <c r="W2274" s="1155" t="str">
        <f>IF(AND('341-CT'!$H$9=H2274,OR(LEFT(N2274,3)=$W$7,LEFT(O2274,3)=$W$7)),"x","")</f>
        <v/>
      </c>
      <c r="X2274" s="1155" t="str">
        <f>IF(OR(TH!N1573=TH!$X$7,O2274=TH!$X$7),"x","")</f>
        <v/>
      </c>
      <c r="Y2274" s="1155" t="str">
        <f>IF(AND(OR(N2274="131",O2274="131"),H2274='131-CT'!$H$9),"x","")</f>
        <v/>
      </c>
      <c r="Z2274" s="1155"/>
      <c r="AA2274" s="1155" t="str">
        <f>IF(AND(MONTH(E2274)='IN-NX'!$J$5,'IN-NX'!$D$7=D2274),"x","")</f>
        <v/>
      </c>
      <c r="AB2274" s="1155" t="str">
        <f>IF(AND(OR(LEFT(TH!N1573,2)="15",LEFT(TH!O1573,2)="15"),LEFT(TH!O1573,3)&lt;&gt;"111",'152-CT'!$J$8=TH!F1573),"x","")</f>
        <v/>
      </c>
      <c r="AC2274" s="1155" t="str">
        <f>IF(AND(OR(LEFT(TH!N1573,2)="15",LEFT(TH!O1573,2)="15"),TK!$E$7=TH!F1573),"x","")</f>
        <v/>
      </c>
      <c r="AD2274" s="1155" t="str">
        <f>IF(AND(N2274="1521",MONTH(C2274)='BK-NL'!$M$11),"x","")</f>
        <v/>
      </c>
      <c r="AE2274" s="1156"/>
      <c r="AF2274" s="1156"/>
    </row>
    <row r="2275" spans="1:32" s="348" customFormat="1" ht="15" customHeight="1">
      <c r="A2275" s="334" t="str">
        <f>IF(B2275&lt;&gt;"",IF(AND(B2275='IN-TC'!$S$4,OR(TH!N2282="1111",TH!O2282="1111")),TH!D2282,""),"")</f>
        <v/>
      </c>
      <c r="B2275" s="63">
        <f t="shared" si="236"/>
        <v>7</v>
      </c>
      <c r="C2275" s="64">
        <v>42556</v>
      </c>
      <c r="D2275" s="64" t="s">
        <v>871</v>
      </c>
      <c r="E2275" s="64">
        <f t="shared" si="237"/>
        <v>42556</v>
      </c>
      <c r="F2275" s="72" t="s">
        <v>1709</v>
      </c>
      <c r="G2275" s="972" t="s">
        <v>1711</v>
      </c>
      <c r="H2275" s="72" t="s">
        <v>1431</v>
      </c>
      <c r="I2275" s="437"/>
      <c r="J2275" s="437"/>
      <c r="K2275" s="428"/>
      <c r="L2275" s="437"/>
      <c r="M2275" s="65">
        <v>15792000</v>
      </c>
      <c r="N2275" s="66" t="s">
        <v>101</v>
      </c>
      <c r="O2275" s="66" t="s">
        <v>63</v>
      </c>
      <c r="P2275" s="82" t="str">
        <f>IF(AND('331-CT'!$E$7=TH!H2282,OR(N2275="331",O2275="331")),"x","")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IF(OR(TH!N2282=TH!$X$7,O2275=TH!$X$7),"x","")</f>
        <v/>
      </c>
      <c r="Y2275" s="82" t="str">
        <f>IF(AND(OR(N2275="131",O2275="131"),H2275='131-CT'!$H$9),"x","")</f>
        <v/>
      </c>
      <c r="Z2275" s="82"/>
      <c r="AA2275" s="82" t="str">
        <f>IF(AND(MONTH(E2275)='IN-NX'!$J$5,'IN-NX'!$D$7=D2275),"x","")</f>
        <v/>
      </c>
      <c r="AB2275" s="82" t="str">
        <f>IF(AND(OR(LEFT(TH!N2282,2)="15",LEFT(TH!O2282,2)="15"),LEFT(TH!O2282,3)&lt;&gt;"111",'152-CT'!$J$8=TH!F2282),"x","")</f>
        <v/>
      </c>
      <c r="AC2275" s="82" t="str">
        <f>IF(AND(OR(LEFT(TH!N2282,2)="15",LEFT(TH!O2282,2)="15"),TK!$E$7=TH!F2282),"x","")</f>
        <v/>
      </c>
      <c r="AD2275" s="82" t="str">
        <f>IF(AND(N2275="1521",MONTH(C2275)='BK-NL'!$M$11),"x","")</f>
        <v/>
      </c>
      <c r="AE2275" s="328"/>
      <c r="AF2275" s="328">
        <v>7</v>
      </c>
    </row>
    <row r="2276" spans="1:32" ht="15.75" customHeight="1">
      <c r="A2276" s="334" t="str">
        <f>IF(B2276&lt;&gt;"",IF(AND(B2276='IN-TC'!$S$4,OR(TH!N2283="1111",TH!O2283="1111")),TH!D2283,""),"")</f>
        <v/>
      </c>
      <c r="B2276" s="63">
        <f t="shared" si="236"/>
        <v>7</v>
      </c>
      <c r="C2276" s="64">
        <v>42556</v>
      </c>
      <c r="D2276" s="64" t="s">
        <v>871</v>
      </c>
      <c r="E2276" s="64">
        <f t="shared" si="237"/>
        <v>42556</v>
      </c>
      <c r="F2276" s="72" t="s">
        <v>1712</v>
      </c>
      <c r="G2276" s="972" t="s">
        <v>1711</v>
      </c>
      <c r="H2276" s="72" t="s">
        <v>1431</v>
      </c>
      <c r="I2276" s="437"/>
      <c r="J2276" s="437"/>
      <c r="K2276" s="428"/>
      <c r="L2276" s="437"/>
      <c r="M2276" s="65">
        <v>1579200</v>
      </c>
      <c r="N2276" s="66" t="s">
        <v>9</v>
      </c>
      <c r="O2276" s="66" t="s">
        <v>63</v>
      </c>
      <c r="P2276" s="82" t="str">
        <f>IF(AND('331-CT'!$E$7=TH!H2283,OR(N2276="331",O2276="331")),"x","")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IF(OR(TH!N2283=TH!$X$7,O2276=TH!$X$7),"x","")</f>
        <v>x</v>
      </c>
      <c r="Y2276" s="82" t="str">
        <f>IF(AND(OR(N2276="131",O2276="131"),H2276='131-CT'!$H$9),"x","")</f>
        <v/>
      </c>
      <c r="Z2276" s="82"/>
      <c r="AA2276" s="82" t="str">
        <f>IF(AND(MONTH(E2276)='IN-NX'!$J$5,'IN-NX'!$D$7=D2276),"x","")</f>
        <v/>
      </c>
      <c r="AB2276" s="82" t="str">
        <f>IF(AND(OR(LEFT(TH!N2283,2)="15",LEFT(TH!O2283,2)="15"),LEFT(TH!O2283,3)&lt;&gt;"111",'152-CT'!$J$8=TH!F2283),"x","")</f>
        <v/>
      </c>
      <c r="AC2276" s="82" t="str">
        <f>IF(AND(OR(LEFT(TH!N2283,2)="15",LEFT(TH!O2283,2)="15"),TK!$E$7=TH!F2283),"x","")</f>
        <v/>
      </c>
      <c r="AD2276" s="82" t="str">
        <f>IF(AND(N2276="1521",MONTH(C2276)='BK-NL'!$M$11),"x","")</f>
        <v/>
      </c>
      <c r="AF2276" s="328">
        <v>7</v>
      </c>
    </row>
    <row r="2277" spans="1:32" ht="15.75" customHeight="1">
      <c r="A2277" s="334" t="str">
        <f>IF(B2277&lt;&gt;"",IF(AND(B2277='IN-TC'!$S$4,OR(TH!N2277="1111",TH!O2277="1111")),TH!D2277,""),"")</f>
        <v/>
      </c>
      <c r="B2277" s="63">
        <f t="shared" si="236"/>
        <v>7</v>
      </c>
      <c r="C2277" s="64">
        <v>42553</v>
      </c>
      <c r="D2277" s="64" t="s">
        <v>702</v>
      </c>
      <c r="E2277" s="64">
        <f t="shared" si="237"/>
        <v>42553</v>
      </c>
      <c r="F2277" s="72" t="s">
        <v>1881</v>
      </c>
      <c r="G2277" s="67" t="s">
        <v>1558</v>
      </c>
      <c r="H2277" s="963" t="s">
        <v>1875</v>
      </c>
      <c r="I2277" s="437"/>
      <c r="J2277" s="437"/>
      <c r="K2277" s="428">
        <v>89000</v>
      </c>
      <c r="L2277" s="437">
        <v>22308</v>
      </c>
      <c r="M2277" s="65">
        <f>ROUND(K2277*L2277,0)</f>
        <v>1985412000</v>
      </c>
      <c r="N2277" s="66" t="s">
        <v>260</v>
      </c>
      <c r="O2277" s="66" t="s">
        <v>26</v>
      </c>
      <c r="P2277" s="82" t="str">
        <f>IF(AND('331-CT'!$E$7=TH!H2277,OR(N2277="331",O2277="331")),"x","")</f>
        <v/>
      </c>
      <c r="Q2277" s="82" t="str">
        <f>IF(AND(B2277='111'!$L$11,OR($N2277=$Q$7,$O2277=$Q$7)),"x","")</f>
        <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x</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c r="AE2277" s="349"/>
      <c r="AF2277" s="349"/>
    </row>
    <row r="2278" spans="1:32" ht="15.75" customHeight="1">
      <c r="A2278" s="334" t="str">
        <f>IF(B2278&lt;&gt;"",IF(AND(B2278='IN-TC'!$S$4,OR(TH!N2278="1111",TH!O2278="1111")),TH!D2278,""),"")</f>
        <v/>
      </c>
      <c r="B2278" s="63">
        <f t="shared" si="236"/>
        <v>7</v>
      </c>
      <c r="C2278" s="64">
        <v>42553</v>
      </c>
      <c r="D2278" s="64" t="s">
        <v>702</v>
      </c>
      <c r="E2278" s="64">
        <f t="shared" si="237"/>
        <v>42553</v>
      </c>
      <c r="F2278" s="72" t="s">
        <v>1880</v>
      </c>
      <c r="G2278" s="67" t="s">
        <v>1558</v>
      </c>
      <c r="H2278" s="963" t="s">
        <v>1875</v>
      </c>
      <c r="I2278" s="437"/>
      <c r="J2278" s="437"/>
      <c r="K2278" s="428"/>
      <c r="L2278" s="437"/>
      <c r="M2278" s="65">
        <v>7522505</v>
      </c>
      <c r="N2278" s="66" t="s">
        <v>99</v>
      </c>
      <c r="O2278" s="66" t="s">
        <v>26</v>
      </c>
      <c r="P2278" s="82" t="str">
        <f>IF(AND('331-CT'!$E$7=TH!H2278,OR(N2278="331",O2278="331")),"x","")</f>
        <v/>
      </c>
      <c r="Q2278" s="82" t="str">
        <f>IF(AND(B2278='111'!$L$11,OR($N2278=$Q$7,$O2278=$Q$7)),"x","")</f>
        <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x</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c r="AE2278" s="349"/>
      <c r="AF2278" s="349"/>
    </row>
    <row r="2279" spans="1:32" ht="15.75" customHeight="1">
      <c r="A2279" s="334" t="str">
        <f>IF(B2279&lt;&gt;"",IF(AND(B2279='IN-TC'!$S$4,OR(TH!N2306="1111",TH!O2306="1111")),TH!D2306,""),"")</f>
        <v/>
      </c>
      <c r="B2279" s="63">
        <f t="shared" si="236"/>
        <v>7</v>
      </c>
      <c r="C2279" s="64">
        <v>42557</v>
      </c>
      <c r="D2279" s="64" t="s">
        <v>872</v>
      </c>
      <c r="E2279" s="64">
        <f t="shared" si="237"/>
        <v>42557</v>
      </c>
      <c r="F2279" s="72" t="s">
        <v>768</v>
      </c>
      <c r="G2279" s="972" t="s">
        <v>1713</v>
      </c>
      <c r="H2279" s="72" t="s">
        <v>805</v>
      </c>
      <c r="I2279" s="437"/>
      <c r="J2279" s="437"/>
      <c r="K2279" s="428"/>
      <c r="L2279" s="437"/>
      <c r="M2279" s="65">
        <v>726227</v>
      </c>
      <c r="N2279" s="66" t="s">
        <v>101</v>
      </c>
      <c r="O2279" s="66" t="s">
        <v>63</v>
      </c>
      <c r="P2279" s="82" t="str">
        <f>IF(AND('331-CT'!$E$7=TH!H2306,OR(N2279="331",O2279="331")),"x","")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IF(OR(TH!N2306=TH!$X$7,O2279=TH!$X$7),"x","")</f>
        <v/>
      </c>
      <c r="Y2279" s="82" t="str">
        <f>IF(AND(OR(N2279="131",O2279="131"),H2279='131-CT'!$H$9),"x","")</f>
        <v/>
      </c>
      <c r="Z2279" s="82"/>
      <c r="AA2279" s="82" t="str">
        <f>IF(AND(MONTH(E2279)='IN-NX'!$J$5,'IN-NX'!$D$7=D2279),"x","")</f>
        <v/>
      </c>
      <c r="AB2279" s="82" t="str">
        <f>IF(AND(OR(LEFT(TH!N2306,2)="15",LEFT(TH!O2306,2)="15"),LEFT(TH!O2306,3)&lt;&gt;"111",'152-CT'!$J$8=TH!F2306),"x","")</f>
        <v/>
      </c>
      <c r="AC2279" s="82" t="str">
        <f>IF(AND(OR(LEFT(TH!N2306,2)="15",LEFT(TH!O2306,2)="15"),TK!$E$7=TH!F2306),"x","")</f>
        <v/>
      </c>
      <c r="AD2279" s="82" t="str">
        <f>IF(AND(N2279="1521",MONTH(C2279)='BK-NL'!$M$11),"x","")</f>
        <v/>
      </c>
      <c r="AE2279" s="349"/>
      <c r="AF2279" s="328">
        <v>7</v>
      </c>
    </row>
    <row r="2280" spans="1:32" ht="15.75" customHeight="1">
      <c r="A2280" s="334" t="str">
        <f>IF(B2280&lt;&gt;"",IF(AND(B2280='IN-TC'!$S$4,OR(TH!N2307="1111",TH!O2307="1111")),TH!D2307,""),"")</f>
        <v/>
      </c>
      <c r="B2280" s="63">
        <f t="shared" si="236"/>
        <v>7</v>
      </c>
      <c r="C2280" s="64">
        <v>42557</v>
      </c>
      <c r="D2280" s="64" t="s">
        <v>872</v>
      </c>
      <c r="E2280" s="64">
        <f t="shared" si="237"/>
        <v>42557</v>
      </c>
      <c r="F2280" s="72" t="s">
        <v>769</v>
      </c>
      <c r="G2280" s="972" t="s">
        <v>1713</v>
      </c>
      <c r="H2280" s="72" t="s">
        <v>805</v>
      </c>
      <c r="I2280" s="437"/>
      <c r="J2280" s="437"/>
      <c r="K2280" s="428"/>
      <c r="L2280" s="437"/>
      <c r="M2280" s="65">
        <v>72623</v>
      </c>
      <c r="N2280" s="66" t="s">
        <v>9</v>
      </c>
      <c r="O2280" s="66" t="s">
        <v>63</v>
      </c>
      <c r="P2280" s="82" t="str">
        <f>IF(AND('331-CT'!$E$7=TH!H2307,OR(N2280="331",O2280="331")),"x","")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IF(OR(TH!N2307=TH!$X$7,O2280=TH!$X$7),"x","")</f>
        <v>x</v>
      </c>
      <c r="Y2280" s="82" t="str">
        <f>IF(AND(OR(N2280="131",O2280="131"),H2280='131-CT'!$H$9),"x","")</f>
        <v/>
      </c>
      <c r="Z2280" s="82"/>
      <c r="AA2280" s="82" t="str">
        <f>IF(AND(MONTH(E2280)='IN-NX'!$J$5,'IN-NX'!$D$7=D2280),"x","")</f>
        <v/>
      </c>
      <c r="AB2280" s="82" t="str">
        <f>IF(AND(OR(LEFT(TH!N2307,2)="15",LEFT(TH!O2307,2)="15"),LEFT(TH!O2307,3)&lt;&gt;"111",'152-CT'!$J$8=TH!F2307),"x","")</f>
        <v/>
      </c>
      <c r="AC2280" s="82" t="str">
        <f>IF(AND(OR(LEFT(TH!N2307,2)="15",LEFT(TH!O2307,2)="15"),TK!$E$7=TH!F2307),"x","")</f>
        <v/>
      </c>
      <c r="AD2280" s="82" t="str">
        <f>IF(AND(N2280="1521",MONTH(C2280)='BK-NL'!$M$11),"x","")</f>
        <v/>
      </c>
      <c r="AE2280" s="349"/>
      <c r="AF2280" s="328">
        <v>7</v>
      </c>
    </row>
    <row r="2281" spans="1:32" ht="15.75" customHeight="1">
      <c r="A2281" s="334" t="str">
        <f>IF(B2281&lt;&gt;"",IF(AND(B2281='IN-TC'!$S$4,OR(TH!N2281="1111",TH!O2281="1111")),TH!D2281,""),"")</f>
        <v/>
      </c>
      <c r="B2281" s="63">
        <f t="shared" si="236"/>
        <v>7</v>
      </c>
      <c r="C2281" s="64">
        <v>42555</v>
      </c>
      <c r="D2281" s="64" t="s">
        <v>699</v>
      </c>
      <c r="E2281" s="64">
        <f t="shared" si="237"/>
        <v>42555</v>
      </c>
      <c r="F2281" s="72" t="s">
        <v>1450</v>
      </c>
      <c r="G2281" s="67" t="s">
        <v>915</v>
      </c>
      <c r="H2281" s="72" t="s">
        <v>1766</v>
      </c>
      <c r="I2281" s="437"/>
      <c r="J2281" s="437"/>
      <c r="K2281" s="428"/>
      <c r="L2281" s="437"/>
      <c r="M2281" s="65">
        <v>300000000</v>
      </c>
      <c r="N2281" s="66" t="s">
        <v>26</v>
      </c>
      <c r="O2281" s="66" t="s">
        <v>585</v>
      </c>
      <c r="P2281" s="82" t="str">
        <f>IF(AND('331-CT'!$E$7=TH!H2281,OR(N2281="331",O2281="331")),"x","")</f>
        <v/>
      </c>
      <c r="Q2281" s="82" t="str">
        <f>IF(AND(B2281='111'!$L$11,OR($N2281=$Q$7,$O2281=$Q$7)),"x","")</f>
        <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c r="AE2281" s="349"/>
      <c r="AF2281" s="349"/>
    </row>
    <row r="2282" spans="1:32" ht="15.75" customHeight="1">
      <c r="A2282" s="334" t="str">
        <f>IF(B2282&lt;&gt;"",IF(AND(B2282='IN-TC'!$S$4,OR(TH!N2308="1111",TH!O2308="1111")),TH!D2308,""),"")</f>
        <v/>
      </c>
      <c r="B2282" s="63">
        <f t="shared" si="236"/>
        <v>7</v>
      </c>
      <c r="C2282" s="64">
        <v>42557</v>
      </c>
      <c r="D2282" s="64" t="s">
        <v>873</v>
      </c>
      <c r="E2282" s="64">
        <f t="shared" si="237"/>
        <v>42557</v>
      </c>
      <c r="F2282" s="72" t="s">
        <v>1715</v>
      </c>
      <c r="G2282" s="972" t="s">
        <v>1714</v>
      </c>
      <c r="H2282" s="72" t="s">
        <v>843</v>
      </c>
      <c r="I2282" s="437"/>
      <c r="J2282" s="437"/>
      <c r="K2282" s="428"/>
      <c r="L2282" s="437"/>
      <c r="M2282" s="65">
        <v>1994265</v>
      </c>
      <c r="N2282" s="66" t="s">
        <v>101</v>
      </c>
      <c r="O2282" s="66" t="s">
        <v>63</v>
      </c>
      <c r="P2282" s="82" t="str">
        <f>IF(AND('331-CT'!$E$7=TH!H2308,OR(N2282="331",O2282="331")),"x","")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IF(OR(TH!N2308=TH!$X$7,O2282=TH!$X$7),"x","")</f>
        <v/>
      </c>
      <c r="Y2282" s="82" t="str">
        <f>IF(AND(OR(N2282="131",O2282="131"),H2282='131-CT'!$H$9),"x","")</f>
        <v/>
      </c>
      <c r="Z2282" s="82"/>
      <c r="AA2282" s="82" t="str">
        <f>IF(AND(MONTH(E2282)='IN-NX'!$J$5,'IN-NX'!$D$7=D2282),"x","")</f>
        <v/>
      </c>
      <c r="AB2282" s="82" t="str">
        <f>IF(AND(OR(LEFT(TH!N2308,2)="15",LEFT(TH!O2308,2)="15"),LEFT(TH!O2308,3)&lt;&gt;"111",'152-CT'!$J$8=TH!F2308),"x","")</f>
        <v/>
      </c>
      <c r="AC2282" s="82" t="str">
        <f>IF(AND(OR(LEFT(TH!N2308,2)="15",LEFT(TH!O2308,2)="15"),TK!$E$7=TH!F2308),"x","")</f>
        <v/>
      </c>
      <c r="AD2282" s="82" t="str">
        <f>IF(AND(N2282="1521",MONTH(C2282)='BK-NL'!$M$11),"x","")</f>
        <v/>
      </c>
      <c r="AE2282" s="349"/>
      <c r="AF2282" s="328">
        <v>7</v>
      </c>
    </row>
    <row r="2283" spans="1:32" ht="15.75" customHeight="1">
      <c r="A2283" s="334" t="str">
        <f>IF(B2283&lt;&gt;"",IF(AND(B2283='IN-TC'!$S$4,OR(TH!N2309="1111",TH!O2309="1111")),TH!D2309,""),"")</f>
        <v/>
      </c>
      <c r="B2283" s="63">
        <f t="shared" si="236"/>
        <v>7</v>
      </c>
      <c r="C2283" s="64">
        <v>42557</v>
      </c>
      <c r="D2283" s="64" t="s">
        <v>873</v>
      </c>
      <c r="E2283" s="64">
        <f t="shared" si="237"/>
        <v>42557</v>
      </c>
      <c r="F2283" s="72" t="s">
        <v>1716</v>
      </c>
      <c r="G2283" s="972" t="s">
        <v>1714</v>
      </c>
      <c r="H2283" s="72" t="s">
        <v>843</v>
      </c>
      <c r="I2283" s="437"/>
      <c r="J2283" s="437"/>
      <c r="K2283" s="428"/>
      <c r="L2283" s="437"/>
      <c r="M2283" s="65">
        <v>199427</v>
      </c>
      <c r="N2283" s="66" t="s">
        <v>9</v>
      </c>
      <c r="O2283" s="66" t="s">
        <v>63</v>
      </c>
      <c r="P2283" s="82" t="str">
        <f>IF(AND('331-CT'!$E$7=TH!H2309,OR(N2283="331",O2283="331")),"x","")</f>
        <v/>
      </c>
      <c r="Q2283" s="82" t="str">
        <f>IF(AND(B2283='111'!$L$11,OR($N2283=$Q$7,$O2283=$Q$7)),"x","")</f>
        <v/>
      </c>
      <c r="R2283" s="82" t="str">
        <f>IF(AND($N2283=$Q$7,$B2283&lt;'111'!$L$11),"x","")</f>
        <v/>
      </c>
      <c r="S2283" s="82" t="str">
        <f>IF(AND($O2283=$Q$7,$B2283&lt;'111'!$L$11),"x","")</f>
        <v>x</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IF(OR(TH!N2309=TH!$X$7,O2283=TH!$X$7),"x","")</f>
        <v>x</v>
      </c>
      <c r="Y2283" s="82" t="str">
        <f>IF(AND(OR(N2283="131",O2283="131"),H2283='131-CT'!$H$9),"x","")</f>
        <v/>
      </c>
      <c r="Z2283" s="82"/>
      <c r="AA2283" s="82" t="str">
        <f>IF(AND(MONTH(E2283)='IN-NX'!$J$5,'IN-NX'!$D$7=D2283),"x","")</f>
        <v/>
      </c>
      <c r="AB2283" s="82" t="str">
        <f>IF(AND(OR(LEFT(TH!N2309,2)="15",LEFT(TH!O2309,2)="15"),LEFT(TH!O2309,3)&lt;&gt;"111",'152-CT'!$J$8=TH!F2309),"x","")</f>
        <v/>
      </c>
      <c r="AC2283" s="82" t="str">
        <f>IF(AND(OR(LEFT(TH!N2309,2)="15",LEFT(TH!O2309,2)="15"),TK!$E$7=TH!F2309),"x","")</f>
        <v/>
      </c>
      <c r="AD2283" s="82" t="str">
        <f>IF(AND(N2283="1521",MONTH(C2283)='BK-NL'!$M$11),"x","")</f>
        <v/>
      </c>
      <c r="AE2283" s="349"/>
      <c r="AF2283" s="328">
        <v>7</v>
      </c>
    </row>
    <row r="2284" spans="1:32" ht="15.75" customHeight="1">
      <c r="A2284" s="334" t="str">
        <f>IF(B2284&lt;&gt;"",IF(AND(B2284='IN-TC'!$S$4,OR(TH!N2284="1111",TH!O2284="1111")),TH!D2284,""),"")</f>
        <v/>
      </c>
      <c r="B2284" s="63">
        <f t="shared" si="236"/>
        <v>7</v>
      </c>
      <c r="C2284" s="64">
        <v>42556</v>
      </c>
      <c r="D2284" s="64" t="s">
        <v>702</v>
      </c>
      <c r="E2284" s="64">
        <f t="shared" si="237"/>
        <v>42556</v>
      </c>
      <c r="F2284" s="72" t="s">
        <v>1884</v>
      </c>
      <c r="G2284" s="67" t="s">
        <v>1558</v>
      </c>
      <c r="H2284" s="72" t="s">
        <v>1885</v>
      </c>
      <c r="I2284" s="437"/>
      <c r="J2284" s="437"/>
      <c r="K2284" s="428">
        <v>89000</v>
      </c>
      <c r="L2284" s="437">
        <v>22292</v>
      </c>
      <c r="M2284" s="65">
        <f>ROUND(K2284*L2284,0)</f>
        <v>1983988000</v>
      </c>
      <c r="N2284" s="66" t="s">
        <v>266</v>
      </c>
      <c r="O2284" s="66" t="s">
        <v>260</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c r="AE2284" s="349"/>
      <c r="AF2284" s="349"/>
    </row>
    <row r="2285" spans="1:32" ht="15.75" customHeight="1">
      <c r="A2285" s="334" t="str">
        <f>IF(B2285&lt;&gt;"",IF(AND(B2285='IN-TC'!$S$4,OR(TH!N2285="1111",TH!O2285="1111")),TH!D2285,""),"")</f>
        <v/>
      </c>
      <c r="B2285" s="63">
        <f t="shared" si="236"/>
        <v>7</v>
      </c>
      <c r="C2285" s="64">
        <v>42556</v>
      </c>
      <c r="D2285" s="64" t="s">
        <v>702</v>
      </c>
      <c r="E2285" s="64">
        <f t="shared" si="237"/>
        <v>42556</v>
      </c>
      <c r="F2285" s="72" t="s">
        <v>1438</v>
      </c>
      <c r="G2285" s="67" t="s">
        <v>1558</v>
      </c>
      <c r="H2285" s="72"/>
      <c r="I2285" s="437"/>
      <c r="J2285" s="437"/>
      <c r="K2285" s="428">
        <v>89000</v>
      </c>
      <c r="L2285" s="437">
        <v>22292</v>
      </c>
      <c r="M2285" s="65">
        <f>ROUND(K2285*L2285,0)</f>
        <v>1983988000</v>
      </c>
      <c r="N2285" s="66" t="s">
        <v>26</v>
      </c>
      <c r="O2285" s="66" t="s">
        <v>266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x</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c r="AE2285" s="349"/>
      <c r="AF2285" s="349"/>
    </row>
    <row r="2286" spans="1:32" ht="15.75" customHeight="1">
      <c r="A2286" s="334" t="str">
        <f>IF(B2286&lt;&gt;"",IF(AND(B2286='IN-TC'!$S$4,OR(TH!N2286="1111",TH!O2286="1111")),TH!D2286,""),"")</f>
        <v/>
      </c>
      <c r="B2286" s="63">
        <f t="shared" si="236"/>
        <v>7</v>
      </c>
      <c r="C2286" s="64">
        <v>42556</v>
      </c>
      <c r="D2286" s="64" t="s">
        <v>902</v>
      </c>
      <c r="E2286" s="64">
        <f t="shared" si="237"/>
        <v>42556</v>
      </c>
      <c r="F2286" s="72" t="s">
        <v>1139</v>
      </c>
      <c r="G2286" s="67" t="s">
        <v>1558</v>
      </c>
      <c r="H2286" s="72" t="s">
        <v>760</v>
      </c>
      <c r="I2286" s="437"/>
      <c r="J2286" s="437"/>
      <c r="K2286" s="428"/>
      <c r="L2286" s="437"/>
      <c r="M2286" s="65">
        <v>2000000000</v>
      </c>
      <c r="N2286" s="66" t="s">
        <v>63</v>
      </c>
      <c r="O2286" s="66" t="s">
        <v>26</v>
      </c>
      <c r="P2286" s="82" t="str">
        <f>IF(AND('331-CT'!$E$7=TH!H2286,OR(N2286="331",O2286="331")),"x","")</f>
        <v/>
      </c>
      <c r="Q2286" s="82" t="str">
        <f>IF(AND(B2286='111'!$L$11,OR($N2286=$Q$7,$O2286=$Q$7)),"x","")</f>
        <v/>
      </c>
      <c r="R2286" s="82" t="str">
        <f>IF(AND($N2286=$Q$7,$B2286&lt;'111'!$L$11),"x","")</f>
        <v>x</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x</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c r="AE2286" s="349"/>
      <c r="AF2286" s="349"/>
    </row>
    <row r="2287" spans="1:32" ht="15.75" customHeight="1">
      <c r="A2287" s="334" t="str">
        <f>IF(B2287&lt;&gt;"",IF(AND(B2287='IN-TC'!$S$4,OR(TH!N2287="1111",TH!O2287="1111")),TH!D2287,""),"")</f>
        <v/>
      </c>
      <c r="B2287" s="63">
        <f t="shared" si="236"/>
        <v>7</v>
      </c>
      <c r="C2287" s="64">
        <v>42556</v>
      </c>
      <c r="D2287" s="64" t="s">
        <v>702</v>
      </c>
      <c r="E2287" s="64">
        <f t="shared" si="237"/>
        <v>42556</v>
      </c>
      <c r="F2287" s="72" t="s">
        <v>1767</v>
      </c>
      <c r="G2287" s="67" t="s">
        <v>915</v>
      </c>
      <c r="H2287" s="72" t="s">
        <v>629</v>
      </c>
      <c r="I2287" s="437"/>
      <c r="J2287" s="437"/>
      <c r="K2287" s="428"/>
      <c r="L2287" s="437"/>
      <c r="M2287" s="65">
        <v>57018720</v>
      </c>
      <c r="N2287" s="66" t="s">
        <v>8</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c r="AE2287" s="1136" t="str">
        <f>IF(H2287&lt;&gt;VLOOKUP(H2287,DSKH,1,0),"","x")</f>
        <v>x</v>
      </c>
      <c r="AF2287" s="349"/>
    </row>
    <row r="2288" spans="1:32" ht="15.75" customHeight="1">
      <c r="A2288" s="334" t="str">
        <f>IF(B2288&lt;&gt;"",IF(AND(B2288='IN-TC'!$S$4,OR(TH!N2288="1111",TH!O2288="1111")),TH!D2288,""),"")</f>
        <v/>
      </c>
      <c r="B2288" s="63">
        <f t="shared" si="236"/>
        <v>7</v>
      </c>
      <c r="C2288" s="64">
        <v>42556</v>
      </c>
      <c r="D2288" s="64" t="s">
        <v>702</v>
      </c>
      <c r="E2288" s="64">
        <f t="shared" si="237"/>
        <v>42556</v>
      </c>
      <c r="F2288" s="72" t="s">
        <v>1169</v>
      </c>
      <c r="G2288" s="67" t="s">
        <v>915</v>
      </c>
      <c r="H2288" s="72" t="s">
        <v>1794</v>
      </c>
      <c r="I2288" s="437"/>
      <c r="J2288" s="437"/>
      <c r="K2288" s="428"/>
      <c r="L2288" s="437"/>
      <c r="M2288" s="65">
        <v>28509</v>
      </c>
      <c r="N2288" s="66" t="s">
        <v>101</v>
      </c>
      <c r="O2288" s="66" t="s">
        <v>26</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c r="AE2288" s="349"/>
      <c r="AF2288" s="328">
        <v>7</v>
      </c>
    </row>
    <row r="2289" spans="1:32" ht="15.75" customHeight="1">
      <c r="A2289" s="334" t="str">
        <f>IF(B2289&lt;&gt;"",IF(AND(B2289='IN-TC'!$S$4,OR(TH!N2289="1111",TH!O2289="1111")),TH!D2289,""),"")</f>
        <v/>
      </c>
      <c r="B2289" s="63">
        <f t="shared" si="236"/>
        <v>7</v>
      </c>
      <c r="C2289" s="64">
        <v>42556</v>
      </c>
      <c r="D2289" s="64" t="s">
        <v>702</v>
      </c>
      <c r="E2289" s="64">
        <f t="shared" ref="E2289:E2320" si="238">C2289</f>
        <v>42556</v>
      </c>
      <c r="F2289" s="72" t="s">
        <v>1631</v>
      </c>
      <c r="G2289" s="67" t="s">
        <v>915</v>
      </c>
      <c r="H2289" s="72" t="s">
        <v>1794</v>
      </c>
      <c r="I2289" s="437"/>
      <c r="J2289" s="437"/>
      <c r="K2289" s="428"/>
      <c r="L2289" s="437"/>
      <c r="M2289" s="65">
        <v>2851</v>
      </c>
      <c r="N2289" s="66" t="s">
        <v>9</v>
      </c>
      <c r="O2289" s="66" t="s">
        <v>26</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x</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c r="AE2289" s="349"/>
      <c r="AF2289" s="328">
        <v>7</v>
      </c>
    </row>
    <row r="2290" spans="1:32" ht="15.75" customHeight="1">
      <c r="A2290" s="334" t="str">
        <f>IF(B2290&lt;&gt;"",IF(AND(B2290='IN-TC'!$S$4,OR(TH!N2290="1111",TH!O2290="1111")),TH!D2290,""),"")</f>
        <v/>
      </c>
      <c r="B2290" s="63">
        <f t="shared" si="236"/>
        <v>7</v>
      </c>
      <c r="C2290" s="64">
        <v>42556</v>
      </c>
      <c r="D2290" s="64" t="s">
        <v>702</v>
      </c>
      <c r="E2290" s="64">
        <f t="shared" si="238"/>
        <v>42556</v>
      </c>
      <c r="F2290" s="72" t="s">
        <v>1638</v>
      </c>
      <c r="G2290" s="67" t="s">
        <v>915</v>
      </c>
      <c r="H2290" s="72" t="s">
        <v>628</v>
      </c>
      <c r="I2290" s="437"/>
      <c r="J2290" s="437"/>
      <c r="K2290" s="428"/>
      <c r="L2290" s="437"/>
      <c r="M2290" s="65">
        <v>32574576</v>
      </c>
      <c r="N2290" s="66" t="s">
        <v>8</v>
      </c>
      <c r="O2290" s="66" t="s">
        <v>26</v>
      </c>
      <c r="P2290" s="82" t="str">
        <f>IF(AND('331-CT'!$E$7=TH!H2290,OR(N2290="331",O2290="331")),"x","")</f>
        <v/>
      </c>
      <c r="Q2290" s="82" t="str">
        <f>IF(AND(B2290='111'!$L$11,OR($N2290=$Q$7,$O2290=$Q$7)),"x","")</f>
        <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c r="AE2290" s="1136" t="str">
        <f>IF(H2290&lt;&gt;VLOOKUP(H2290,DSKH,1,0),"","x")</f>
        <v>x</v>
      </c>
      <c r="AF2290" s="349"/>
    </row>
    <row r="2291" spans="1:32" ht="15.75" customHeight="1">
      <c r="A2291" s="334" t="str">
        <f>IF(B2291&lt;&gt;"",IF(AND(B2291='IN-TC'!$S$4,OR(TH!N2291="1111",TH!O2291="1111")),TH!D2291,""),"")</f>
        <v/>
      </c>
      <c r="B2291" s="63">
        <f t="shared" si="236"/>
        <v>7</v>
      </c>
      <c r="C2291" s="64">
        <v>42556</v>
      </c>
      <c r="D2291" s="64" t="s">
        <v>702</v>
      </c>
      <c r="E2291" s="64">
        <f t="shared" si="238"/>
        <v>42556</v>
      </c>
      <c r="F2291" s="72" t="s">
        <v>1169</v>
      </c>
      <c r="G2291" s="67" t="s">
        <v>915</v>
      </c>
      <c r="H2291" s="72" t="s">
        <v>1794</v>
      </c>
      <c r="I2291" s="437"/>
      <c r="J2291" s="437"/>
      <c r="K2291" s="428"/>
      <c r="L2291" s="437"/>
      <c r="M2291" s="65">
        <v>25000</v>
      </c>
      <c r="N2291" s="66" t="s">
        <v>101</v>
      </c>
      <c r="O2291" s="66" t="s">
        <v>26</v>
      </c>
      <c r="P2291" s="82" t="str">
        <f>IF(AND('331-CT'!$E$7=TH!H2291,OR(N2291="331",O2291="331")),"x","")</f>
        <v/>
      </c>
      <c r="Q2291" s="82" t="str">
        <f>IF(AND(B2291='111'!$L$11,OR($N2291=$Q$7,$O2291=$Q$7)),"x","")</f>
        <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c r="AE2291" s="349"/>
      <c r="AF2291" s="328">
        <v>7</v>
      </c>
    </row>
    <row r="2292" spans="1:32" ht="15.75" customHeight="1">
      <c r="A2292" s="334" t="str">
        <f>IF(B2292&lt;&gt;"",IF(AND(B2292='IN-TC'!$S$4,OR(TH!N2292="1111",TH!O2292="1111")),TH!D2292,""),"")</f>
        <v/>
      </c>
      <c r="B2292" s="63">
        <f t="shared" si="236"/>
        <v>7</v>
      </c>
      <c r="C2292" s="64">
        <v>42556</v>
      </c>
      <c r="D2292" s="64" t="s">
        <v>702</v>
      </c>
      <c r="E2292" s="64">
        <f t="shared" si="238"/>
        <v>42556</v>
      </c>
      <c r="F2292" s="72" t="s">
        <v>1631</v>
      </c>
      <c r="G2292" s="67" t="s">
        <v>915</v>
      </c>
      <c r="H2292" s="72" t="s">
        <v>1794</v>
      </c>
      <c r="I2292" s="437"/>
      <c r="J2292" s="437"/>
      <c r="K2292" s="428"/>
      <c r="L2292" s="437"/>
      <c r="M2292" s="65">
        <v>2500</v>
      </c>
      <c r="N2292" s="66" t="s">
        <v>9</v>
      </c>
      <c r="O2292" s="66" t="s">
        <v>26</v>
      </c>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x</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c r="AE2292" s="349"/>
      <c r="AF2292" s="328">
        <v>7</v>
      </c>
    </row>
    <row r="2293" spans="1:32" ht="15.75" customHeight="1">
      <c r="A2293" s="334" t="str">
        <f>IF(B2293&lt;&gt;"",IF(AND(B2293='IN-TC'!$S$4,OR(TH!N2293="1111",TH!O2293="1111")),TH!D2293,""),"")</f>
        <v/>
      </c>
      <c r="B2293" s="63">
        <f t="shared" si="236"/>
        <v>7</v>
      </c>
      <c r="C2293" s="64">
        <v>42556</v>
      </c>
      <c r="D2293" s="64" t="s">
        <v>702</v>
      </c>
      <c r="E2293" s="64">
        <f t="shared" si="238"/>
        <v>42556</v>
      </c>
      <c r="F2293" s="72" t="s">
        <v>1206</v>
      </c>
      <c r="G2293" s="67" t="s">
        <v>915</v>
      </c>
      <c r="H2293" s="72" t="s">
        <v>1768</v>
      </c>
      <c r="I2293" s="437"/>
      <c r="J2293" s="437"/>
      <c r="K2293" s="428"/>
      <c r="L2293" s="437"/>
      <c r="M2293" s="65">
        <v>80000000</v>
      </c>
      <c r="N2293" s="66" t="s">
        <v>590</v>
      </c>
      <c r="O2293" s="66" t="s">
        <v>26</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c r="AE2293" s="349"/>
      <c r="AF2293" s="349"/>
    </row>
    <row r="2294" spans="1:32" ht="15.75" customHeight="1">
      <c r="A2294" s="334" t="str">
        <f>IF(B2294&lt;&gt;"",IF(AND(B2294='IN-TC'!$S$4,OR(TH!N2294="1111",TH!O2294="1111")),TH!D2294,""),"")</f>
        <v/>
      </c>
      <c r="B2294" s="63">
        <f t="shared" si="236"/>
        <v>7</v>
      </c>
      <c r="C2294" s="64">
        <v>42556</v>
      </c>
      <c r="D2294" s="64" t="s">
        <v>702</v>
      </c>
      <c r="E2294" s="64">
        <f t="shared" si="238"/>
        <v>42556</v>
      </c>
      <c r="F2294" s="72" t="s">
        <v>1169</v>
      </c>
      <c r="G2294" s="67" t="s">
        <v>915</v>
      </c>
      <c r="H2294" s="72" t="s">
        <v>1794</v>
      </c>
      <c r="I2294" s="437"/>
      <c r="J2294" s="437"/>
      <c r="K2294" s="428"/>
      <c r="L2294" s="437"/>
      <c r="M2294" s="65">
        <v>40000</v>
      </c>
      <c r="N2294" s="66" t="s">
        <v>101</v>
      </c>
      <c r="O2294" s="66" t="s">
        <v>26</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E2294" s="349"/>
      <c r="AF2294" s="328">
        <v>7</v>
      </c>
    </row>
    <row r="2295" spans="1:32" ht="15.75" customHeight="1">
      <c r="A2295" s="334" t="str">
        <f>IF(B2295&lt;&gt;"",IF(AND(B2295='IN-TC'!$S$4,OR(TH!N2295="1111",TH!O2295="1111")),TH!D2295,""),"")</f>
        <v/>
      </c>
      <c r="B2295" s="63">
        <f t="shared" si="236"/>
        <v>7</v>
      </c>
      <c r="C2295" s="64">
        <v>42556</v>
      </c>
      <c r="D2295" s="64" t="s">
        <v>702</v>
      </c>
      <c r="E2295" s="64">
        <f t="shared" si="238"/>
        <v>42556</v>
      </c>
      <c r="F2295" s="72" t="s">
        <v>1631</v>
      </c>
      <c r="G2295" s="67" t="s">
        <v>915</v>
      </c>
      <c r="H2295" s="72" t="s">
        <v>1794</v>
      </c>
      <c r="I2295" s="437"/>
      <c r="J2295" s="437"/>
      <c r="K2295" s="428"/>
      <c r="L2295" s="437"/>
      <c r="M2295" s="65">
        <v>4000</v>
      </c>
      <c r="N2295" s="66" t="s">
        <v>9</v>
      </c>
      <c r="O2295" s="66" t="s">
        <v>26</v>
      </c>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x</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c r="AE2295" s="349"/>
      <c r="AF2295" s="328">
        <v>7</v>
      </c>
    </row>
    <row r="2296" spans="1:32" ht="15.75" customHeight="1">
      <c r="A2296" s="334" t="str">
        <f>IF(B2296&lt;&gt;"",IF(AND(B2296='IN-TC'!$S$4,OR(TH!N2296="1111",TH!O2296="1111")),TH!D2296,""),"")</f>
        <v/>
      </c>
      <c r="B2296" s="63">
        <f t="shared" si="236"/>
        <v>7</v>
      </c>
      <c r="C2296" s="64">
        <v>42556</v>
      </c>
      <c r="D2296" s="64" t="s">
        <v>702</v>
      </c>
      <c r="E2296" s="64">
        <f t="shared" si="238"/>
        <v>42556</v>
      </c>
      <c r="F2296" s="72" t="s">
        <v>1769</v>
      </c>
      <c r="G2296" s="67" t="s">
        <v>915</v>
      </c>
      <c r="H2296" s="72" t="s">
        <v>1378</v>
      </c>
      <c r="I2296" s="437"/>
      <c r="J2296" s="437"/>
      <c r="K2296" s="428"/>
      <c r="L2296" s="437"/>
      <c r="M2296" s="65">
        <v>28078550</v>
      </c>
      <c r="N2296" s="66" t="s">
        <v>8</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c r="AE2296" s="1136" t="str">
        <f>IF(H2296&lt;&gt;VLOOKUP(H2296,DSKH,1,0),"","x")</f>
        <v>x</v>
      </c>
    </row>
    <row r="2297" spans="1:32" ht="15.75" customHeight="1">
      <c r="A2297" s="334" t="str">
        <f>IF(B2297&lt;&gt;"",IF(AND(B2297='IN-TC'!$S$4,OR(TH!N2297="1111",TH!O2297="1111")),TH!D2297,""),"")</f>
        <v/>
      </c>
      <c r="B2297" s="63">
        <f t="shared" si="236"/>
        <v>7</v>
      </c>
      <c r="C2297" s="64">
        <v>42556</v>
      </c>
      <c r="D2297" s="64" t="s">
        <v>702</v>
      </c>
      <c r="E2297" s="64">
        <f t="shared" si="238"/>
        <v>42556</v>
      </c>
      <c r="F2297" s="72" t="s">
        <v>1205</v>
      </c>
      <c r="G2297" s="67" t="s">
        <v>915</v>
      </c>
      <c r="H2297" s="72" t="s">
        <v>1416</v>
      </c>
      <c r="I2297" s="437"/>
      <c r="J2297" s="437"/>
      <c r="K2297" s="428"/>
      <c r="L2297" s="437"/>
      <c r="M2297" s="65">
        <v>50000000</v>
      </c>
      <c r="N2297" s="66" t="s">
        <v>8</v>
      </c>
      <c r="O2297" s="66" t="s">
        <v>26</v>
      </c>
      <c r="P2297" s="82" t="str">
        <f>IF(AND('331-CT'!$E$7=TH!H2297,OR(N2297="331",O2297="331")),"x","")</f>
        <v>x</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c r="AE2297" s="1136" t="str">
        <f>IF(H2297&lt;&gt;VLOOKUP(H2297,DSKH,1,0),"","x")</f>
        <v>x</v>
      </c>
    </row>
    <row r="2298" spans="1:32" ht="15.75" customHeight="1">
      <c r="A2298" s="334" t="str">
        <f>IF(B2298&lt;&gt;"",IF(AND(B2298='IN-TC'!$S$4,OR(TH!N2298="1111",TH!O2298="1111")),TH!D2298,""),"")</f>
        <v/>
      </c>
      <c r="B2298" s="63">
        <f t="shared" si="236"/>
        <v>7</v>
      </c>
      <c r="C2298" s="64">
        <v>42556</v>
      </c>
      <c r="D2298" s="64" t="s">
        <v>702</v>
      </c>
      <c r="E2298" s="64">
        <f t="shared" si="238"/>
        <v>42556</v>
      </c>
      <c r="F2298" s="72" t="s">
        <v>1169</v>
      </c>
      <c r="G2298" s="67" t="s">
        <v>915</v>
      </c>
      <c r="H2298" s="72" t="s">
        <v>1794</v>
      </c>
      <c r="I2298" s="437"/>
      <c r="J2298" s="437"/>
      <c r="K2298" s="428"/>
      <c r="L2298" s="437"/>
      <c r="M2298" s="65">
        <v>20000</v>
      </c>
      <c r="N2298" s="66" t="s">
        <v>101</v>
      </c>
      <c r="O2298" s="66" t="s">
        <v>26</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c r="AF2298" s="328">
        <v>7</v>
      </c>
    </row>
    <row r="2299" spans="1:32" ht="15.75" customHeight="1">
      <c r="A2299" s="334" t="str">
        <f>IF(B2299&lt;&gt;"",IF(AND(B2299='IN-TC'!$S$4,OR(TH!N2299="1111",TH!O2299="1111")),TH!D2299,""),"")</f>
        <v/>
      </c>
      <c r="B2299" s="63">
        <f t="shared" si="236"/>
        <v>7</v>
      </c>
      <c r="C2299" s="64">
        <v>42556</v>
      </c>
      <c r="D2299" s="64" t="s">
        <v>702</v>
      </c>
      <c r="E2299" s="64">
        <f t="shared" si="238"/>
        <v>42556</v>
      </c>
      <c r="F2299" s="72" t="s">
        <v>1631</v>
      </c>
      <c r="G2299" s="67" t="s">
        <v>915</v>
      </c>
      <c r="H2299" s="72" t="s">
        <v>1794</v>
      </c>
      <c r="I2299" s="437"/>
      <c r="J2299" s="437"/>
      <c r="K2299" s="428"/>
      <c r="L2299" s="437"/>
      <c r="M2299" s="65">
        <v>2000</v>
      </c>
      <c r="N2299" s="66" t="s">
        <v>9</v>
      </c>
      <c r="O2299" s="66" t="s">
        <v>26</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x</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c r="AF2299" s="328">
        <v>7</v>
      </c>
    </row>
    <row r="2300" spans="1:32" ht="15.75" customHeight="1">
      <c r="A2300" s="334" t="str">
        <f>IF(B2300&lt;&gt;"",IF(AND(B2300='IN-TC'!$S$4,OR(TH!N2300="1111",TH!O2300="1111")),TH!D2300,""),"")</f>
        <v/>
      </c>
      <c r="B2300" s="63">
        <f t="shared" si="236"/>
        <v>7</v>
      </c>
      <c r="C2300" s="64">
        <v>42556</v>
      </c>
      <c r="D2300" s="64" t="s">
        <v>702</v>
      </c>
      <c r="E2300" s="64">
        <f t="shared" si="238"/>
        <v>42556</v>
      </c>
      <c r="F2300" s="72" t="s">
        <v>1205</v>
      </c>
      <c r="G2300" s="67" t="s">
        <v>915</v>
      </c>
      <c r="H2300" s="72" t="s">
        <v>620</v>
      </c>
      <c r="I2300" s="437"/>
      <c r="J2300" s="437"/>
      <c r="K2300" s="428"/>
      <c r="L2300" s="437"/>
      <c r="M2300" s="65">
        <v>50000000</v>
      </c>
      <c r="N2300" s="66" t="s">
        <v>8</v>
      </c>
      <c r="O2300" s="66" t="s">
        <v>26</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E2300" s="1136" t="str">
        <f>IF(H2300&lt;&gt;VLOOKUP(H2300,DSKH,1,0),"","x")</f>
        <v>x</v>
      </c>
    </row>
    <row r="2301" spans="1:32" ht="15.75" customHeight="1">
      <c r="A2301" s="334" t="str">
        <f>IF(B2301&lt;&gt;"",IF(AND(B2301='IN-TC'!$S$4,OR(TH!N2301="1111",TH!O2301="1111")),TH!D2301,""),"")</f>
        <v/>
      </c>
      <c r="B2301" s="63">
        <f t="shared" si="236"/>
        <v>7</v>
      </c>
      <c r="C2301" s="64">
        <v>42556</v>
      </c>
      <c r="D2301" s="64" t="s">
        <v>702</v>
      </c>
      <c r="E2301" s="64">
        <f t="shared" si="238"/>
        <v>42556</v>
      </c>
      <c r="F2301" s="72" t="s">
        <v>1169</v>
      </c>
      <c r="G2301" s="67" t="s">
        <v>915</v>
      </c>
      <c r="H2301" s="72" t="s">
        <v>1794</v>
      </c>
      <c r="I2301" s="437"/>
      <c r="J2301" s="437"/>
      <c r="K2301" s="428"/>
      <c r="L2301" s="437"/>
      <c r="M2301" s="65">
        <v>20000</v>
      </c>
      <c r="N2301" s="66" t="s">
        <v>101</v>
      </c>
      <c r="O2301" s="66" t="s">
        <v>26</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c r="AF2301" s="328">
        <v>7</v>
      </c>
    </row>
    <row r="2302" spans="1:32" ht="15.75" customHeight="1">
      <c r="A2302" s="334" t="str">
        <f>IF(B2302&lt;&gt;"",IF(AND(B2302='IN-TC'!$S$4,OR(TH!N2302="1111",TH!O2302="1111")),TH!D2302,""),"")</f>
        <v/>
      </c>
      <c r="B2302" s="63">
        <f t="shared" si="236"/>
        <v>7</v>
      </c>
      <c r="C2302" s="64">
        <v>42556</v>
      </c>
      <c r="D2302" s="64" t="s">
        <v>702</v>
      </c>
      <c r="E2302" s="64">
        <f t="shared" si="238"/>
        <v>42556</v>
      </c>
      <c r="F2302" s="72" t="s">
        <v>1631</v>
      </c>
      <c r="G2302" s="67" t="s">
        <v>915</v>
      </c>
      <c r="H2302" s="72" t="s">
        <v>1794</v>
      </c>
      <c r="I2302" s="437"/>
      <c r="J2302" s="437"/>
      <c r="K2302" s="428"/>
      <c r="L2302" s="437"/>
      <c r="M2302" s="65">
        <v>2000</v>
      </c>
      <c r="N2302" s="66" t="s">
        <v>9</v>
      </c>
      <c r="O2302" s="66" t="s">
        <v>26</v>
      </c>
      <c r="P2302" s="82" t="str">
        <f>IF(AND('331-CT'!$E$7=TH!H2302,OR(N2302="331",O2302="331")),"x","")</f>
        <v/>
      </c>
      <c r="Q2302" s="82" t="str">
        <f>IF(AND(B2302='111'!$L$11,OR($N2302=$Q$7,$O2302=$Q$7)),"x","")</f>
        <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x</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c r="AF2302" s="328">
        <v>7</v>
      </c>
    </row>
    <row r="2303" spans="1:32" s="348" customFormat="1" ht="15.75" customHeight="1">
      <c r="A2303" s="334" t="str">
        <f>IF(B2303&lt;&gt;"",IF(AND(B2303='IN-TC'!$S$4,OR(TH!N2303="1111",TH!O2303="1111")),TH!D2303,""),"")</f>
        <v/>
      </c>
      <c r="B2303" s="63">
        <f t="shared" si="236"/>
        <v>7</v>
      </c>
      <c r="C2303" s="64">
        <v>42556</v>
      </c>
      <c r="D2303" s="64" t="s">
        <v>702</v>
      </c>
      <c r="E2303" s="64">
        <f t="shared" si="238"/>
        <v>42556</v>
      </c>
      <c r="F2303" s="72" t="s">
        <v>1638</v>
      </c>
      <c r="G2303" s="67" t="s">
        <v>915</v>
      </c>
      <c r="H2303" s="72" t="s">
        <v>1771</v>
      </c>
      <c r="I2303" s="437"/>
      <c r="J2303" s="437"/>
      <c r="K2303" s="428"/>
      <c r="L2303" s="437"/>
      <c r="M2303" s="65">
        <v>11852379</v>
      </c>
      <c r="N2303" s="66" t="s">
        <v>8</v>
      </c>
      <c r="O2303" s="66" t="s">
        <v>26</v>
      </c>
      <c r="P2303" s="82" t="str">
        <f>IF(AND('331-CT'!$E$7=TH!H2303,OR(N2303="331",O2303="331")),"x","")</f>
        <v/>
      </c>
      <c r="Q2303" s="82" t="str">
        <f>IF(AND(B2303='111'!$L$11,OR($N2303=$Q$7,$O2303=$Q$7)),"x","")</f>
        <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c r="AE2303" s="1136" t="str">
        <f>IF(H2303&lt;&gt;VLOOKUP(H2303,DSKH,1,0),"","x")</f>
        <v>x</v>
      </c>
      <c r="AF2303" s="328"/>
    </row>
    <row r="2304" spans="1:32" ht="15.75" customHeight="1">
      <c r="A2304" s="334" t="str">
        <f>IF(B2304&lt;&gt;"",IF(AND(B2304='IN-TC'!$S$4,OR(TH!N2304="1111",TH!O2304="1111")),TH!D2304,""),"")</f>
        <v/>
      </c>
      <c r="B2304" s="63">
        <f t="shared" si="236"/>
        <v>7</v>
      </c>
      <c r="C2304" s="64">
        <v>42556</v>
      </c>
      <c r="D2304" s="64" t="s">
        <v>702</v>
      </c>
      <c r="E2304" s="64">
        <f t="shared" si="238"/>
        <v>42556</v>
      </c>
      <c r="F2304" s="72" t="s">
        <v>1169</v>
      </c>
      <c r="G2304" s="67" t="s">
        <v>915</v>
      </c>
      <c r="H2304" s="72" t="s">
        <v>1794</v>
      </c>
      <c r="I2304" s="437"/>
      <c r="J2304" s="437"/>
      <c r="K2304" s="428"/>
      <c r="L2304" s="437"/>
      <c r="M2304" s="65">
        <v>25000</v>
      </c>
      <c r="N2304" s="66" t="s">
        <v>101</v>
      </c>
      <c r="O2304" s="66" t="s">
        <v>26</v>
      </c>
      <c r="P2304" s="82" t="str">
        <f>IF(AND('331-CT'!$E$7=TH!H2304,OR(N2304="331",O2304="331")),"x","")</f>
        <v/>
      </c>
      <c r="Q2304" s="82" t="str">
        <f>IF(AND(B2304='111'!$L$11,OR($N2304=$Q$7,$O2304=$Q$7)),"x","")</f>
        <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c r="AF2304" s="328">
        <v>7</v>
      </c>
    </row>
    <row r="2305" spans="1:32" s="349" customFormat="1" ht="15.75" customHeight="1">
      <c r="A2305" s="334" t="str">
        <f>IF(B2305&lt;&gt;"",IF(AND(B2305='IN-TC'!$S$4,OR(TH!N2305="1111",TH!O2305="1111")),TH!D2305,""),"")</f>
        <v/>
      </c>
      <c r="B2305" s="63">
        <f t="shared" si="236"/>
        <v>7</v>
      </c>
      <c r="C2305" s="64">
        <v>42556</v>
      </c>
      <c r="D2305" s="64" t="s">
        <v>702</v>
      </c>
      <c r="E2305" s="64">
        <f t="shared" si="238"/>
        <v>42556</v>
      </c>
      <c r="F2305" s="72" t="s">
        <v>1631</v>
      </c>
      <c r="G2305" s="67" t="s">
        <v>915</v>
      </c>
      <c r="H2305" s="72" t="s">
        <v>1794</v>
      </c>
      <c r="I2305" s="437"/>
      <c r="J2305" s="437"/>
      <c r="K2305" s="428"/>
      <c r="L2305" s="437"/>
      <c r="M2305" s="65">
        <v>2500</v>
      </c>
      <c r="N2305" s="66" t="s">
        <v>9</v>
      </c>
      <c r="O2305" s="66" t="s">
        <v>26</v>
      </c>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x</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c r="AF2305" s="328">
        <v>7</v>
      </c>
    </row>
    <row r="2306" spans="1:32" s="349" customFormat="1" ht="15.75" customHeight="1">
      <c r="A2306" s="334" t="str">
        <f>IF(B2306&lt;&gt;"",IF(AND(B2306='IN-TC'!$S$4,OR(TH!N2313="1111",TH!O2313="1111")),TH!D2313,""),"")</f>
        <v/>
      </c>
      <c r="B2306" s="63">
        <f t="shared" si="236"/>
        <v>7</v>
      </c>
      <c r="C2306" s="64">
        <v>42560</v>
      </c>
      <c r="D2306" s="64" t="s">
        <v>874</v>
      </c>
      <c r="E2306" s="64">
        <f t="shared" si="238"/>
        <v>42560</v>
      </c>
      <c r="F2306" s="72" t="s">
        <v>1750</v>
      </c>
      <c r="G2306" s="972" t="s">
        <v>1751</v>
      </c>
      <c r="H2306" s="72" t="s">
        <v>1423</v>
      </c>
      <c r="I2306" s="437"/>
      <c r="J2306" s="437"/>
      <c r="K2306" s="428"/>
      <c r="L2306" s="437"/>
      <c r="M2306" s="65">
        <v>1280000</v>
      </c>
      <c r="N2306" s="66" t="s">
        <v>101</v>
      </c>
      <c r="O2306" s="66" t="s">
        <v>63</v>
      </c>
      <c r="P2306" s="82" t="str">
        <f>IF(AND('331-CT'!$E$7=TH!H2313,OR(N2306="331",O2306="331")),"x","")</f>
        <v/>
      </c>
      <c r="Q2306" s="82" t="str">
        <f>IF(AND(B2306='111'!$L$11,OR($N2306=$Q$7,$O2306=$Q$7)),"x","")</f>
        <v/>
      </c>
      <c r="R2306" s="82" t="str">
        <f>IF(AND($N2306=$Q$7,$B2306&lt;'111'!$L$11),"x","")</f>
        <v/>
      </c>
      <c r="S2306" s="82" t="str">
        <f>IF(AND($O2306=$Q$7,$B2306&lt;'111'!$L$11),"x","")</f>
        <v>x</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IF(OR(TH!N2313=TH!$X$7,O2306=TH!$X$7),"x","")</f>
        <v/>
      </c>
      <c r="Y2306" s="82" t="str">
        <f>IF(AND(OR(N2306="131",O2306="131"),H2306='131-CT'!$H$9),"x","")</f>
        <v/>
      </c>
      <c r="Z2306" s="82"/>
      <c r="AA2306" s="82" t="str">
        <f>IF(AND(MONTH(E2306)='IN-NX'!$J$5,'IN-NX'!$D$7=D2306),"x","")</f>
        <v/>
      </c>
      <c r="AB2306" s="82" t="str">
        <f>IF(AND(OR(LEFT(TH!N2313,2)="15",LEFT(TH!O2313,2)="15"),LEFT(TH!O2313,3)&lt;&gt;"111",'152-CT'!$J$8=TH!F2313),"x","")</f>
        <v/>
      </c>
      <c r="AC2306" s="82" t="str">
        <f>IF(AND(OR(LEFT(TH!N2313,2)="15",LEFT(TH!O2313,2)="15"),TK!$E$7=TH!F2313),"x","")</f>
        <v/>
      </c>
      <c r="AD2306" s="82" t="str">
        <f>IF(AND(N2306="1521",MONTH(C2306)='BK-NL'!$M$11),"x","")</f>
        <v/>
      </c>
      <c r="AF2306" s="328">
        <v>7</v>
      </c>
    </row>
    <row r="2307" spans="1:32" s="349" customFormat="1" ht="15.75" customHeight="1">
      <c r="A2307" s="334" t="str">
        <f>IF(B2307&lt;&gt;"",IF(AND(B2307='IN-TC'!$S$4,OR(TH!N2314="1111",TH!O2314="1111")),TH!D2314,""),"")</f>
        <v/>
      </c>
      <c r="B2307" s="63">
        <f t="shared" si="236"/>
        <v>7</v>
      </c>
      <c r="C2307" s="64">
        <v>42560</v>
      </c>
      <c r="D2307" s="64" t="s">
        <v>874</v>
      </c>
      <c r="E2307" s="64">
        <f t="shared" si="238"/>
        <v>42560</v>
      </c>
      <c r="F2307" s="72" t="s">
        <v>1752</v>
      </c>
      <c r="G2307" s="972" t="s">
        <v>1751</v>
      </c>
      <c r="H2307" s="72" t="s">
        <v>1423</v>
      </c>
      <c r="I2307" s="437"/>
      <c r="J2307" s="437"/>
      <c r="K2307" s="428"/>
      <c r="L2307" s="437"/>
      <c r="M2307" s="65">
        <v>64000</v>
      </c>
      <c r="N2307" s="66" t="s">
        <v>9</v>
      </c>
      <c r="O2307" s="66" t="s">
        <v>63</v>
      </c>
      <c r="P2307" s="82" t="str">
        <f>IF(AND('331-CT'!$E$7=TH!H2314,OR(N2307="331",O2307="331")),"x","")</f>
        <v/>
      </c>
      <c r="Q2307" s="82" t="str">
        <f>IF(AND(B2307='111'!$L$11,OR($N2307=$Q$7,$O2307=$Q$7)),"x","")</f>
        <v/>
      </c>
      <c r="R2307" s="82" t="str">
        <f>IF(AND($N2307=$Q$7,$B2307&lt;'111'!$L$11),"x","")</f>
        <v/>
      </c>
      <c r="S2307" s="82" t="str">
        <f>IF(AND($O2307=$Q$7,$B2307&lt;'111'!$L$11),"x","")</f>
        <v>x</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IF(OR(TH!N2314=TH!$X$7,O2307=TH!$X$7),"x","")</f>
        <v/>
      </c>
      <c r="Y2307" s="82" t="str">
        <f>IF(AND(OR(N2307="131",O2307="131"),H2307='131-CT'!$H$9),"x","")</f>
        <v/>
      </c>
      <c r="Z2307" s="82"/>
      <c r="AA2307" s="82" t="str">
        <f>IF(AND(MONTH(E2307)='IN-NX'!$J$5,'IN-NX'!$D$7=D2307),"x","")</f>
        <v/>
      </c>
      <c r="AB2307" s="82" t="str">
        <f>IF(AND(OR(LEFT(TH!N2314,2)="15",LEFT(TH!O2314,2)="15"),LEFT(TH!O2314,3)&lt;&gt;"111",'152-CT'!$J$8=TH!F2314),"x","")</f>
        <v/>
      </c>
      <c r="AC2307" s="82" t="str">
        <f>IF(AND(OR(LEFT(TH!N2314,2)="15",LEFT(TH!O2314,2)="15"),TK!$E$7=TH!F2314),"x","")</f>
        <v/>
      </c>
      <c r="AD2307" s="82" t="str">
        <f>IF(AND(N2307="1521",MONTH(C2307)='BK-NL'!$M$11),"x","")</f>
        <v/>
      </c>
      <c r="AF2307" s="328">
        <v>7</v>
      </c>
    </row>
    <row r="2308" spans="1:32" s="349" customFormat="1" ht="15.75" customHeight="1">
      <c r="A2308" s="334" t="str">
        <f>IF(B2308&lt;&gt;"",IF(AND(B2308='IN-TC'!$S$4,OR(TH!N2315="1111",TH!O2315="1111")),TH!D2315,""),"")</f>
        <v/>
      </c>
      <c r="B2308" s="63">
        <f t="shared" si="236"/>
        <v>7</v>
      </c>
      <c r="C2308" s="64">
        <v>42561</v>
      </c>
      <c r="D2308" s="64" t="s">
        <v>875</v>
      </c>
      <c r="E2308" s="64">
        <f t="shared" si="238"/>
        <v>42561</v>
      </c>
      <c r="F2308" s="72" t="s">
        <v>1107</v>
      </c>
      <c r="G2308" s="972" t="s">
        <v>1717</v>
      </c>
      <c r="H2308" s="72" t="s">
        <v>805</v>
      </c>
      <c r="I2308" s="437"/>
      <c r="J2308" s="437"/>
      <c r="K2308" s="428"/>
      <c r="L2308" s="437"/>
      <c r="M2308" s="65">
        <v>757273</v>
      </c>
      <c r="N2308" s="66" t="s">
        <v>101</v>
      </c>
      <c r="O2308" s="66" t="s">
        <v>63</v>
      </c>
      <c r="P2308" s="82" t="str">
        <f>IF(AND('331-CT'!$E$7=TH!H2315,OR(N2308="331",O2308="331")),"x","")</f>
        <v/>
      </c>
      <c r="Q2308" s="82" t="str">
        <f>IF(AND(B2308='111'!$L$11,OR($N2308=$Q$7,$O2308=$Q$7)),"x","")</f>
        <v/>
      </c>
      <c r="R2308" s="82" t="str">
        <f>IF(AND($N2308=$Q$7,$B2308&lt;'111'!$L$11),"x","")</f>
        <v/>
      </c>
      <c r="S2308" s="82" t="str">
        <f>IF(AND($O2308=$Q$7,$B2308&lt;'111'!$L$11),"x","")</f>
        <v>x</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IF(OR(TH!N2315=TH!$X$7,O2308=TH!$X$7),"x","")</f>
        <v/>
      </c>
      <c r="Y2308" s="82" t="str">
        <f>IF(AND(OR(N2308="131",O2308="131"),H2308='131-CT'!$H$9),"x","")</f>
        <v/>
      </c>
      <c r="Z2308" s="82"/>
      <c r="AA2308" s="82" t="str">
        <f>IF(AND(MONTH(E2308)='IN-NX'!$J$5,'IN-NX'!$D$7=D2308),"x","")</f>
        <v/>
      </c>
      <c r="AB2308" s="82" t="str">
        <f>IF(AND(OR(LEFT(TH!N2315,2)="15",LEFT(TH!O2315,2)="15"),LEFT(TH!O2315,3)&lt;&gt;"111",'152-CT'!$J$8=TH!F2315),"x","")</f>
        <v/>
      </c>
      <c r="AC2308" s="82" t="str">
        <f>IF(AND(OR(LEFT(TH!N2315,2)="15",LEFT(TH!O2315,2)="15"),TK!$E$7=TH!F2315),"x","")</f>
        <v/>
      </c>
      <c r="AD2308" s="82" t="str">
        <f>IF(AND(N2308="1521",MONTH(C2308)='BK-NL'!$M$11),"x","")</f>
        <v/>
      </c>
      <c r="AE2308" s="328"/>
      <c r="AF2308" s="328">
        <v>7</v>
      </c>
    </row>
    <row r="2309" spans="1:32" s="349" customFormat="1" ht="15.75" customHeight="1">
      <c r="A2309" s="334" t="str">
        <f>IF(B2309&lt;&gt;"",IF(AND(B2309='IN-TC'!$S$4,OR(TH!N2316="1111",TH!O2316="1111")),TH!D2316,""),"")</f>
        <v/>
      </c>
      <c r="B2309" s="63">
        <f t="shared" si="236"/>
        <v>7</v>
      </c>
      <c r="C2309" s="64">
        <v>42561</v>
      </c>
      <c r="D2309" s="64" t="s">
        <v>875</v>
      </c>
      <c r="E2309" s="64">
        <f t="shared" si="238"/>
        <v>42561</v>
      </c>
      <c r="F2309" s="72" t="s">
        <v>1337</v>
      </c>
      <c r="G2309" s="972" t="s">
        <v>1717</v>
      </c>
      <c r="H2309" s="72" t="s">
        <v>805</v>
      </c>
      <c r="I2309" s="437"/>
      <c r="J2309" s="437"/>
      <c r="K2309" s="428"/>
      <c r="L2309" s="437"/>
      <c r="M2309" s="65">
        <v>75727</v>
      </c>
      <c r="N2309" s="66" t="s">
        <v>9</v>
      </c>
      <c r="O2309" s="66" t="s">
        <v>63</v>
      </c>
      <c r="P2309" s="82" t="str">
        <f>IF(AND('331-CT'!$E$7=TH!H2316,OR(N2309="331",O2309="331")),"x","")</f>
        <v/>
      </c>
      <c r="Q2309" s="82" t="str">
        <f>IF(AND(B2309='111'!$L$11,OR($N2309=$Q$7,$O2309=$Q$7)),"x","")</f>
        <v/>
      </c>
      <c r="R2309" s="82" t="str">
        <f>IF(AND($N2309=$Q$7,$B2309&lt;'111'!$L$11),"x","")</f>
        <v/>
      </c>
      <c r="S2309" s="82" t="str">
        <f>IF(AND($O2309=$Q$7,$B2309&lt;'111'!$L$11),"x","")</f>
        <v>x</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IF(OR(TH!N2316=TH!$X$7,O2309=TH!$X$7),"x","")</f>
        <v>x</v>
      </c>
      <c r="Y2309" s="82" t="str">
        <f>IF(AND(OR(N2309="131",O2309="131"),H2309='131-CT'!$H$9),"x","")</f>
        <v/>
      </c>
      <c r="Z2309" s="82"/>
      <c r="AA2309" s="82" t="str">
        <f>IF(AND(MONTH(E2309)='IN-NX'!$J$5,'IN-NX'!$D$7=D2309),"x","")</f>
        <v/>
      </c>
      <c r="AB2309" s="82" t="str">
        <f>IF(AND(OR(LEFT(TH!N2316,2)="15",LEFT(TH!O2316,2)="15"),LEFT(TH!O2316,3)&lt;&gt;"111",'152-CT'!$J$8=TH!F2316),"x","")</f>
        <v/>
      </c>
      <c r="AC2309" s="82" t="str">
        <f>IF(AND(OR(LEFT(TH!N2316,2)="15",LEFT(TH!O2316,2)="15"),TK!$E$7=TH!F2316),"x","")</f>
        <v/>
      </c>
      <c r="AD2309" s="82" t="str">
        <f>IF(AND(N2309="1521",MONTH(C2309)='BK-NL'!$M$11),"x","")</f>
        <v/>
      </c>
      <c r="AE2309" s="328"/>
      <c r="AF2309" s="328">
        <v>7</v>
      </c>
    </row>
    <row r="2310" spans="1:32" s="349" customFormat="1" ht="15.75" customHeight="1">
      <c r="A2310" s="334" t="str">
        <f>IF(B2310&lt;&gt;"",IF(AND(B2310='IN-TC'!$S$4,OR(TH!N2310="1111",TH!O2310="1111")),TH!D2310,""),"")</f>
        <v/>
      </c>
      <c r="B2310" s="63">
        <f t="shared" si="236"/>
        <v>7</v>
      </c>
      <c r="C2310" s="64">
        <v>42559</v>
      </c>
      <c r="D2310" s="64" t="s">
        <v>699</v>
      </c>
      <c r="E2310" s="64">
        <f t="shared" si="238"/>
        <v>42559</v>
      </c>
      <c r="F2310" s="72" t="s">
        <v>1184</v>
      </c>
      <c r="G2310" s="67" t="s">
        <v>914</v>
      </c>
      <c r="H2310" s="72" t="s">
        <v>595</v>
      </c>
      <c r="I2310" s="437"/>
      <c r="J2310" s="437"/>
      <c r="K2310" s="428">
        <v>39600</v>
      </c>
      <c r="L2310" s="437">
        <v>22300</v>
      </c>
      <c r="M2310" s="65">
        <f>ROUND(K2310*L2310,0)</f>
        <v>883080000</v>
      </c>
      <c r="N2310" s="66" t="s">
        <v>266</v>
      </c>
      <c r="O2310" s="66" t="s">
        <v>585</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2" s="349" customFormat="1" ht="15.75" customHeight="1">
      <c r="A2311" s="334" t="str">
        <f>IF(B2311&lt;&gt;"",IF(AND(B2311='IN-TC'!$S$4,OR(TH!N2311="1111",TH!O2311="1111")),TH!D2311,""),"")</f>
        <v/>
      </c>
      <c r="B2311" s="63">
        <f t="shared" si="236"/>
        <v>7</v>
      </c>
      <c r="C2311" s="64">
        <v>42559</v>
      </c>
      <c r="D2311" s="64" t="s">
        <v>702</v>
      </c>
      <c r="E2311" s="64">
        <f t="shared" si="238"/>
        <v>42559</v>
      </c>
      <c r="F2311" s="72" t="s">
        <v>1438</v>
      </c>
      <c r="G2311" s="67" t="s">
        <v>914</v>
      </c>
      <c r="H2311" s="72"/>
      <c r="I2311" s="437"/>
      <c r="J2311" s="437"/>
      <c r="K2311" s="428">
        <v>39600</v>
      </c>
      <c r="L2311" s="437">
        <v>22300</v>
      </c>
      <c r="M2311" s="65">
        <f>ROUND(K2311*L2311,0)</f>
        <v>883080000</v>
      </c>
      <c r="N2311" s="66" t="s">
        <v>26</v>
      </c>
      <c r="O2311" s="66" t="s">
        <v>266</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2" s="349" customFormat="1" ht="15.75" customHeight="1">
      <c r="A2312" s="334" t="str">
        <f>IF(B2312&lt;&gt;"",IF(AND(B2312='IN-TC'!$S$4,OR(TH!N2312="1111",TH!O2312="1111")),TH!D2312,""),"")</f>
        <v/>
      </c>
      <c r="B2312" s="63">
        <f t="shared" si="236"/>
        <v>7</v>
      </c>
      <c r="C2312" s="64">
        <v>42559</v>
      </c>
      <c r="D2312" s="64" t="s">
        <v>702</v>
      </c>
      <c r="E2312" s="64">
        <f t="shared" si="238"/>
        <v>42559</v>
      </c>
      <c r="F2312" s="72" t="s">
        <v>1647</v>
      </c>
      <c r="G2312" s="67" t="s">
        <v>914</v>
      </c>
      <c r="H2312" s="72"/>
      <c r="I2312" s="437"/>
      <c r="J2312" s="437"/>
      <c r="K2312" s="428"/>
      <c r="L2312" s="437"/>
      <c r="M2312" s="65">
        <v>22653</v>
      </c>
      <c r="N2312" s="66" t="s">
        <v>26</v>
      </c>
      <c r="O2312" s="66" t="s">
        <v>43</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2" s="349" customFormat="1" ht="15.75" customHeight="1">
      <c r="A2313" s="334" t="str">
        <f>IF(B2313&lt;&gt;"",IF(AND(B2313='IN-TC'!$S$4,OR(TH!N1571="1111",TH!O1571="1111")),TH!D1571,""),"")</f>
        <v/>
      </c>
      <c r="B2313" s="1148">
        <f t="shared" si="236"/>
        <v>7</v>
      </c>
      <c r="C2313" s="1149">
        <v>42562</v>
      </c>
      <c r="D2313" s="1149" t="s">
        <v>876</v>
      </c>
      <c r="E2313" s="1149">
        <f t="shared" si="238"/>
        <v>42562</v>
      </c>
      <c r="F2313" s="512" t="s">
        <v>960</v>
      </c>
      <c r="G2313" s="1151"/>
      <c r="H2313" s="1150" t="s">
        <v>959</v>
      </c>
      <c r="I2313" s="1152"/>
      <c r="J2313" s="1152"/>
      <c r="K2313" s="1153"/>
      <c r="L2313" s="1152"/>
      <c r="M2313" s="1154">
        <v>500000000</v>
      </c>
      <c r="N2313" s="1155" t="s">
        <v>272</v>
      </c>
      <c r="O2313" s="1155" t="s">
        <v>63</v>
      </c>
      <c r="P2313" s="1155" t="str">
        <f>IF(AND('331-CT'!$E$7=TH!H1571,OR(N2313="331",O2313="331")),"x","")</f>
        <v/>
      </c>
      <c r="Q2313" s="1155" t="str">
        <f>IF(AND(B2313='111'!$L$11,OR($N2313=$Q$7,$O2313=$Q$7)),"x","")</f>
        <v/>
      </c>
      <c r="R2313" s="1155" t="str">
        <f>IF(AND($N2313=$Q$7,$B2313&lt;'111'!$L$11),"x","")</f>
        <v/>
      </c>
      <c r="S2313" s="1155" t="str">
        <f>IF(AND($O2313=$Q$7,$B2313&lt;'111'!$L$11),"x","")</f>
        <v>x</v>
      </c>
      <c r="T2313" s="1155" t="str">
        <f>IF(ISERROR(FIND('112'!$M$9,G2313,1)),"",IF((AND(FIND('112'!$M$9,G2313,1)&gt;=1,B2313='112'!$K$9,OR($N2313='112'!$I$6,$O2313='112'!$I$6))),"x",""))</f>
        <v/>
      </c>
      <c r="U2313" s="1155" t="str">
        <f>IF(ISERROR(FIND('112'!$M$9,G2313,1)),"",IF((AND(LEFT(G2313,2)=LEFT('112'!$M$9,2),B2313&lt;'112'!$K$9,$N2313='112'!$I$6)),"x",""))</f>
        <v/>
      </c>
      <c r="V2313" s="1155" t="str">
        <f>IF(ISERROR(FIND('112'!$M$9,G2313,1)),"",IF((AND(RIGHT(G2313,2)=RIGHT('112'!$M$9,2),B2313&lt;'112'!$K$9,$O2313='112'!$I$6)),"x",""))</f>
        <v/>
      </c>
      <c r="W2313" s="1155" t="str">
        <f>IF(AND('341-CT'!$H$9=H2313,OR(LEFT(N2313,3)=$W$7,LEFT(O2313,3)=$W$7)),"x","")</f>
        <v/>
      </c>
      <c r="X2313" s="1155" t="str">
        <f>IF(OR(TH!N1571=TH!$X$7,O2313=TH!$X$7),"x","")</f>
        <v/>
      </c>
      <c r="Y2313" s="1155" t="str">
        <f>IF(AND(OR(N2313="131",O2313="131"),H2313='131-CT'!$H$9),"x","")</f>
        <v/>
      </c>
      <c r="Z2313" s="1155"/>
      <c r="AA2313" s="1155" t="str">
        <f>IF(AND(MONTH(E2313)='IN-NX'!$J$5,'IN-NX'!$D$7=D2313),"x","")</f>
        <v/>
      </c>
      <c r="AB2313" s="1155" t="str">
        <f>IF(AND(OR(LEFT(TH!N1571,2)="15",LEFT(TH!O1571,2)="15"),LEFT(TH!O1571,3)&lt;&gt;"111",'152-CT'!$J$8=TH!F1571),"x","")</f>
        <v/>
      </c>
      <c r="AC2313" s="1155" t="str">
        <f>IF(AND(OR(LEFT(TH!N1571,2)="15",LEFT(TH!O1571,2)="15"),TK!$E$7=TH!F1571),"x","")</f>
        <v/>
      </c>
      <c r="AD2313" s="1155" t="str">
        <f>IF(AND(N2313="1521",MONTH(C2313)='BK-NL'!$M$11),"x","")</f>
        <v/>
      </c>
      <c r="AE2313" s="1156"/>
      <c r="AF2313" s="1156"/>
    </row>
    <row r="2314" spans="1:32" s="349" customFormat="1" ht="15.75" customHeight="1">
      <c r="A2314" s="334" t="str">
        <f>IF(B2314&lt;&gt;"",IF(AND(B2314='IN-TC'!$S$4,OR(TH!N1574="1111",TH!O1574="1111")),TH!D1574,""),"")</f>
        <v/>
      </c>
      <c r="B2314" s="1148">
        <f t="shared" si="236"/>
        <v>7</v>
      </c>
      <c r="C2314" s="1149">
        <v>42562</v>
      </c>
      <c r="D2314" s="1149" t="s">
        <v>877</v>
      </c>
      <c r="E2314" s="1149">
        <f t="shared" si="238"/>
        <v>42562</v>
      </c>
      <c r="F2314" s="512" t="s">
        <v>960</v>
      </c>
      <c r="G2314" s="1151"/>
      <c r="H2314" s="1150" t="s">
        <v>2239</v>
      </c>
      <c r="I2314" s="1152"/>
      <c r="J2314" s="1152"/>
      <c r="K2314" s="1153"/>
      <c r="L2314" s="1152"/>
      <c r="M2314" s="1154">
        <v>500000000</v>
      </c>
      <c r="N2314" s="1155" t="s">
        <v>272</v>
      </c>
      <c r="O2314" s="1155" t="s">
        <v>63</v>
      </c>
      <c r="P2314" s="1155" t="str">
        <f>IF(AND('331-CT'!$E$7=TH!H1574,OR(N2314="331",O2314="331")),"x","")</f>
        <v/>
      </c>
      <c r="Q2314" s="1155" t="str">
        <f>IF(AND(B2314='111'!$L$11,OR($N2314=$Q$7,$O2314=$Q$7)),"x","")</f>
        <v/>
      </c>
      <c r="R2314" s="1155" t="str">
        <f>IF(AND($N2314=$Q$7,$B2314&lt;'111'!$L$11),"x","")</f>
        <v/>
      </c>
      <c r="S2314" s="1155" t="str">
        <f>IF(AND($O2314=$Q$7,$B2314&lt;'111'!$L$11),"x","")</f>
        <v>x</v>
      </c>
      <c r="T2314" s="1155" t="str">
        <f>IF(ISERROR(FIND('112'!$M$9,G2314,1)),"",IF((AND(FIND('112'!$M$9,G2314,1)&gt;=1,B2314='112'!$K$9,OR($N2314='112'!$I$6,$O2314='112'!$I$6))),"x",""))</f>
        <v/>
      </c>
      <c r="U2314" s="1155" t="str">
        <f>IF(ISERROR(FIND('112'!$M$9,G2314,1)),"",IF((AND(LEFT(G2314,2)=LEFT('112'!$M$9,2),B2314&lt;'112'!$K$9,$N2314='112'!$I$6)),"x",""))</f>
        <v/>
      </c>
      <c r="V2314" s="1155" t="str">
        <f>IF(ISERROR(FIND('112'!$M$9,G2314,1)),"",IF((AND(RIGHT(G2314,2)=RIGHT('112'!$M$9,2),B2314&lt;'112'!$K$9,$O2314='112'!$I$6)),"x",""))</f>
        <v/>
      </c>
      <c r="W2314" s="1155" t="str">
        <f>IF(AND('341-CT'!$H$9=H2314,OR(LEFT(N2314,3)=$W$7,LEFT(O2314,3)=$W$7)),"x","")</f>
        <v/>
      </c>
      <c r="X2314" s="1155" t="str">
        <f>IF(OR(TH!N1574=TH!$X$7,O2314=TH!$X$7),"x","")</f>
        <v/>
      </c>
      <c r="Y2314" s="1155" t="str">
        <f>IF(AND(OR(N2314="131",O2314="131"),H2314='131-CT'!$H$9),"x","")</f>
        <v/>
      </c>
      <c r="Z2314" s="1155"/>
      <c r="AA2314" s="1155" t="str">
        <f>IF(AND(MONTH(E2314)='IN-NX'!$J$5,'IN-NX'!$D$7=D2314),"x","")</f>
        <v/>
      </c>
      <c r="AB2314" s="1155" t="str">
        <f>IF(AND(OR(LEFT(TH!N1574,2)="15",LEFT(TH!O1574,2)="15"),LEFT(TH!O1574,3)&lt;&gt;"111",'152-CT'!$J$8=TH!F1574),"x","")</f>
        <v/>
      </c>
      <c r="AC2314" s="1155" t="str">
        <f>IF(AND(OR(LEFT(TH!N1574,2)="15",LEFT(TH!O1574,2)="15"),TK!$E$7=TH!F1574),"x","")</f>
        <v/>
      </c>
      <c r="AD2314" s="1155" t="str">
        <f>IF(AND(N2314="1521",MONTH(C2314)='BK-NL'!$M$11),"x","")</f>
        <v/>
      </c>
      <c r="AE2314" s="1156"/>
      <c r="AF2314" s="1156"/>
    </row>
    <row r="2315" spans="1:32" ht="15.75" customHeight="1">
      <c r="A2315" s="334" t="str">
        <f>IF(B2315&lt;&gt;"",IF(AND(B2315='IN-TC'!$S$4,OR(TH!N2318="1111",TH!O2318="1111")),TH!D2318,""),"")</f>
        <v/>
      </c>
      <c r="B2315" s="63">
        <f t="shared" si="236"/>
        <v>7</v>
      </c>
      <c r="C2315" s="64">
        <v>42562</v>
      </c>
      <c r="D2315" s="64" t="s">
        <v>878</v>
      </c>
      <c r="E2315" s="64">
        <f t="shared" si="238"/>
        <v>42562</v>
      </c>
      <c r="F2315" s="72" t="s">
        <v>1720</v>
      </c>
      <c r="G2315" s="972" t="s">
        <v>1718</v>
      </c>
      <c r="H2315" s="72" t="s">
        <v>1719</v>
      </c>
      <c r="I2315" s="437"/>
      <c r="J2315" s="437"/>
      <c r="K2315" s="428"/>
      <c r="L2315" s="437"/>
      <c r="M2315" s="65">
        <v>344545</v>
      </c>
      <c r="N2315" s="66" t="s">
        <v>101</v>
      </c>
      <c r="O2315" s="66" t="s">
        <v>63</v>
      </c>
      <c r="P2315" s="82" t="str">
        <f>IF(AND('331-CT'!$E$7=TH!H2318,OR(N2315="331",O2315="331")),"x","")</f>
        <v/>
      </c>
      <c r="Q2315" s="82" t="str">
        <f>IF(AND(B2315='111'!$L$11,OR($N2315=$Q$7,$O2315=$Q$7)),"x","")</f>
        <v/>
      </c>
      <c r="R2315" s="82" t="str">
        <f>IF(AND($N2315=$Q$7,$B2315&lt;'111'!$L$11),"x","")</f>
        <v/>
      </c>
      <c r="S2315" s="82" t="str">
        <f>IF(AND($O2315=$Q$7,$B2315&lt;'111'!$L$11),"x","")</f>
        <v>x</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IF(OR(TH!N2318=TH!$X$7,O2315=TH!$X$7),"x","")</f>
        <v/>
      </c>
      <c r="Y2315" s="82" t="str">
        <f>IF(AND(OR(N2315="131",O2315="131"),H2315='131-CT'!$H$9),"x","")</f>
        <v/>
      </c>
      <c r="Z2315" s="82"/>
      <c r="AA2315" s="82" t="str">
        <f>IF(AND(MONTH(E2315)='IN-NX'!$J$5,'IN-NX'!$D$7=D2315),"x","")</f>
        <v/>
      </c>
      <c r="AB2315" s="82" t="str">
        <f>IF(AND(OR(LEFT(TH!N2318,2)="15",LEFT(TH!O2318,2)="15"),LEFT(TH!O2318,3)&lt;&gt;"111",'152-CT'!$J$8=TH!F2318),"x","")</f>
        <v/>
      </c>
      <c r="AC2315" s="82" t="str">
        <f>IF(AND(OR(LEFT(TH!N2318,2)="15",LEFT(TH!O2318,2)="15"),TK!$E$7=TH!F2318),"x","")</f>
        <v/>
      </c>
      <c r="AD2315" s="82" t="str">
        <f>IF(AND(N2315="1521",MONTH(C2315)='BK-NL'!$M$11),"x","")</f>
        <v/>
      </c>
      <c r="AF2315" s="328">
        <v>7</v>
      </c>
    </row>
    <row r="2316" spans="1:32" ht="15.75" customHeight="1">
      <c r="A2316" s="334" t="str">
        <f>IF(B2316&lt;&gt;"",IF(AND(B2316='IN-TC'!$S$4,OR(TH!N2319="1111",TH!O2319="1111")),TH!D2319,""),"")</f>
        <v/>
      </c>
      <c r="B2316" s="63">
        <f t="shared" si="236"/>
        <v>7</v>
      </c>
      <c r="C2316" s="64">
        <v>42562</v>
      </c>
      <c r="D2316" s="64" t="s">
        <v>878</v>
      </c>
      <c r="E2316" s="64">
        <f t="shared" si="238"/>
        <v>42562</v>
      </c>
      <c r="F2316" s="72" t="s">
        <v>1721</v>
      </c>
      <c r="G2316" s="972" t="s">
        <v>1718</v>
      </c>
      <c r="H2316" s="72" t="s">
        <v>1719</v>
      </c>
      <c r="I2316" s="437"/>
      <c r="J2316" s="437"/>
      <c r="K2316" s="428"/>
      <c r="L2316" s="437"/>
      <c r="M2316" s="65">
        <v>34455</v>
      </c>
      <c r="N2316" s="66" t="s">
        <v>9</v>
      </c>
      <c r="O2316" s="66" t="s">
        <v>63</v>
      </c>
      <c r="P2316" s="82" t="str">
        <f>IF(AND('331-CT'!$E$7=TH!H2319,OR(N2316="331",O2316="331")),"x","")</f>
        <v/>
      </c>
      <c r="Q2316" s="82" t="str">
        <f>IF(AND(B2316='111'!$L$11,OR($N2316=$Q$7,$O2316=$Q$7)),"x","")</f>
        <v/>
      </c>
      <c r="R2316" s="82" t="str">
        <f>IF(AND($N2316=$Q$7,$B2316&lt;'111'!$L$11),"x","")</f>
        <v/>
      </c>
      <c r="S2316" s="82" t="str">
        <f>IF(AND($O2316=$Q$7,$B2316&lt;'111'!$L$11),"x","")</f>
        <v>x</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IF(OR(TH!N2319=TH!$X$7,O2316=TH!$X$7),"x","")</f>
        <v/>
      </c>
      <c r="Y2316" s="82" t="str">
        <f>IF(AND(OR(N2316="131",O2316="131"),H2316='131-CT'!$H$9),"x","")</f>
        <v/>
      </c>
      <c r="Z2316" s="82"/>
      <c r="AA2316" s="82" t="str">
        <f>IF(AND(MONTH(E2316)='IN-NX'!$J$5,'IN-NX'!$D$7=D2316),"x","")</f>
        <v/>
      </c>
      <c r="AB2316" s="82" t="str">
        <f>IF(AND(OR(LEFT(TH!N2319,2)="15",LEFT(TH!O2319,2)="15"),LEFT(TH!O2319,3)&lt;&gt;"111",'152-CT'!$J$8=TH!F2319),"x","")</f>
        <v/>
      </c>
      <c r="AC2316" s="82" t="str">
        <f>IF(AND(OR(LEFT(TH!N2319,2)="15",LEFT(TH!O2319,2)="15"),TK!$E$7=TH!F2319),"x","")</f>
        <v/>
      </c>
      <c r="AD2316" s="82" t="str">
        <f>IF(AND(N2316="1521",MONTH(C2316)='BK-NL'!$M$11),"x","")</f>
        <v/>
      </c>
      <c r="AF2316" s="328">
        <v>7</v>
      </c>
    </row>
    <row r="2317" spans="1:32" ht="15.75" customHeight="1">
      <c r="A2317" s="334" t="str">
        <f>IF(B2317&lt;&gt;"",IF(AND(B2317='IN-TC'!$S$4,OR(TH!N2317="1111",TH!O2317="1111")),TH!D2317,""),"")</f>
        <v/>
      </c>
      <c r="B2317" s="63">
        <f t="shared" ref="B2317:B2380" si="239">IF(C2317&lt;&gt;"",MONTH(C2317),"")</f>
        <v>7</v>
      </c>
      <c r="C2317" s="64">
        <v>42562</v>
      </c>
      <c r="D2317" s="64" t="s">
        <v>905</v>
      </c>
      <c r="E2317" s="64">
        <f t="shared" si="238"/>
        <v>42562</v>
      </c>
      <c r="F2317" s="72" t="s">
        <v>1139</v>
      </c>
      <c r="G2317" s="67" t="s">
        <v>914</v>
      </c>
      <c r="H2317" s="72" t="s">
        <v>760</v>
      </c>
      <c r="I2317" s="437"/>
      <c r="J2317" s="437"/>
      <c r="K2317" s="428"/>
      <c r="L2317" s="437"/>
      <c r="M2317" s="65">
        <v>880000000</v>
      </c>
      <c r="N2317" s="66" t="s">
        <v>63</v>
      </c>
      <c r="O2317" s="66" t="s">
        <v>26</v>
      </c>
      <c r="P2317" s="82" t="str">
        <f>IF(AND('331-CT'!$E$7=TH!H2317,OR(N2317="331",O2317="331")),"x","")</f>
        <v/>
      </c>
      <c r="Q2317" s="82" t="str">
        <f>IF(AND(B2317='111'!$L$11,OR($N2317=$Q$7,$O2317=$Q$7)),"x","")</f>
        <v/>
      </c>
      <c r="R2317" s="82" t="str">
        <f>IF(AND($N2317=$Q$7,$B2317&lt;'111'!$L$11),"x","")</f>
        <v>x</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2" ht="15.75" customHeight="1">
      <c r="A2318" s="334" t="str">
        <f>IF(B2318&lt;&gt;"",IF(AND(B2318='IN-TC'!$S$4,OR(TH!N2320="1111",TH!O2320="1111")),TH!D2320,""),"")</f>
        <v/>
      </c>
      <c r="B2318" s="1134">
        <f t="shared" si="239"/>
        <v>7</v>
      </c>
      <c r="C2318" s="92">
        <v>42563</v>
      </c>
      <c r="D2318" s="92" t="s">
        <v>879</v>
      </c>
      <c r="E2318" s="92">
        <f t="shared" si="238"/>
        <v>42563</v>
      </c>
      <c r="F2318" s="72" t="s">
        <v>1100</v>
      </c>
      <c r="G2318" s="1138" t="s">
        <v>915</v>
      </c>
      <c r="H2318" s="94" t="s">
        <v>1770</v>
      </c>
      <c r="I2318" s="443"/>
      <c r="J2318" s="443"/>
      <c r="K2318" s="434"/>
      <c r="L2318" s="443"/>
      <c r="M2318" s="95">
        <v>11853000</v>
      </c>
      <c r="N2318" s="66" t="s">
        <v>26</v>
      </c>
      <c r="O2318" s="66" t="s">
        <v>63</v>
      </c>
      <c r="P2318" s="82" t="str">
        <f>IF(AND('331-CT'!$E$7=TH!H2320,OR(N2318="331",O2318="331")),"x","")</f>
        <v/>
      </c>
      <c r="Q2318" s="82" t="str">
        <f>IF(AND(B2318='111'!$L$11,OR($N2318=$Q$7,$O2318=$Q$7)),"x","")</f>
        <v/>
      </c>
      <c r="R2318" s="82" t="str">
        <f>IF(AND($N2318=$Q$7,$B2318&lt;'111'!$L$11),"x","")</f>
        <v/>
      </c>
      <c r="S2318" s="82" t="str">
        <f>IF(AND($O2318=$Q$7,$B2318&lt;'111'!$L$11),"x","")</f>
        <v>x</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IF(OR(TH!N2320=TH!$X$7,O2318=TH!$X$7),"x","")</f>
        <v>x</v>
      </c>
      <c r="Y2318" s="82" t="str">
        <f>IF(AND(OR(N2318="131",O2318="131"),H2318='131-CT'!$H$9),"x","")</f>
        <v/>
      </c>
      <c r="Z2318" s="82"/>
      <c r="AA2318" s="82" t="str">
        <f>IF(AND(MONTH(E2318)='IN-NX'!$J$5,'IN-NX'!$D$7=D2318),"x","")</f>
        <v/>
      </c>
      <c r="AB2318" s="82" t="str">
        <f>IF(AND(OR(LEFT(TH!N2320,2)="15",LEFT(TH!O2320,2)="15"),LEFT(TH!O2320,3)&lt;&gt;"111",'152-CT'!$J$8=TH!F2320),"x","")</f>
        <v/>
      </c>
      <c r="AC2318" s="82" t="str">
        <f>IF(AND(OR(LEFT(TH!N2320,2)="15",LEFT(TH!O2320,2)="15"),TK!$E$7=TH!F2320),"x","")</f>
        <v/>
      </c>
      <c r="AD2318" s="82" t="str">
        <f>IF(AND(N2318="1521",MONTH(C2318)='BK-NL'!$M$11),"x","")</f>
        <v/>
      </c>
      <c r="AE2318" s="348"/>
      <c r="AF2318" s="348"/>
    </row>
    <row r="2319" spans="1:32" ht="15.75" customHeight="1">
      <c r="A2319" s="334" t="str">
        <f>IF(B2319&lt;&gt;"",IF(AND(B2319='IN-TC'!$S$4,OR(TH!N2321="1111",TH!O2321="1111")),TH!D2321,""),"")</f>
        <v/>
      </c>
      <c r="B2319" s="63">
        <f t="shared" si="239"/>
        <v>7</v>
      </c>
      <c r="C2319" s="64">
        <v>42564</v>
      </c>
      <c r="D2319" s="64" t="s">
        <v>880</v>
      </c>
      <c r="E2319" s="64">
        <f t="shared" si="238"/>
        <v>42564</v>
      </c>
      <c r="F2319" s="72" t="s">
        <v>1010</v>
      </c>
      <c r="G2319" s="972" t="s">
        <v>1722</v>
      </c>
      <c r="H2319" s="72" t="s">
        <v>805</v>
      </c>
      <c r="I2319" s="437"/>
      <c r="J2319" s="437"/>
      <c r="K2319" s="428"/>
      <c r="L2319" s="437"/>
      <c r="M2319" s="65">
        <v>1098409</v>
      </c>
      <c r="N2319" s="66" t="s">
        <v>101</v>
      </c>
      <c r="O2319" s="66" t="s">
        <v>63</v>
      </c>
      <c r="P2319" s="82" t="str">
        <f>IF(AND('331-CT'!$E$7=TH!H2321,OR(N2319="331",O2319="331")),"x","")</f>
        <v/>
      </c>
      <c r="Q2319" s="82" t="str">
        <f>IF(AND(B2319='111'!$L$11,OR($N2319=$Q$7,$O2319=$Q$7)),"x","")</f>
        <v/>
      </c>
      <c r="R2319" s="82" t="str">
        <f>IF(AND($N2319=$Q$7,$B2319&lt;'111'!$L$11),"x","")</f>
        <v/>
      </c>
      <c r="S2319" s="82" t="str">
        <f>IF(AND($O2319=$Q$7,$B2319&lt;'111'!$L$11),"x","")</f>
        <v>x</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IF(OR(TH!N2321=TH!$X$7,O2319=TH!$X$7),"x","")</f>
        <v/>
      </c>
      <c r="Y2319" s="82" t="str">
        <f>IF(AND(OR(N2319="131",O2319="131"),H2319='131-CT'!$H$9),"x","")</f>
        <v/>
      </c>
      <c r="Z2319" s="82"/>
      <c r="AA2319" s="82" t="str">
        <f>IF(AND(MONTH(E2319)='IN-NX'!$J$5,'IN-NX'!$D$7=D2319),"x","")</f>
        <v/>
      </c>
      <c r="AB2319" s="82" t="str">
        <f>IF(AND(OR(LEFT(TH!N2321,2)="15",LEFT(TH!O2321,2)="15"),LEFT(TH!O2321,3)&lt;&gt;"111",'152-CT'!$J$8=TH!F2321),"x","")</f>
        <v/>
      </c>
      <c r="AC2319" s="82" t="str">
        <f>IF(AND(OR(LEFT(TH!N2321,2)="15",LEFT(TH!O2321,2)="15"),TK!$E$7=TH!F2321),"x","")</f>
        <v/>
      </c>
      <c r="AD2319" s="82" t="str">
        <f>IF(AND(N2319="1521",MONTH(C2319)='BK-NL'!$M$11),"x","")</f>
        <v/>
      </c>
      <c r="AF2319" s="328">
        <v>7</v>
      </c>
    </row>
    <row r="2320" spans="1:32" ht="15.75" customHeight="1">
      <c r="A2320" s="334" t="str">
        <f>IF(B2320&lt;&gt;"",IF(AND(B2320='IN-TC'!$S$4,OR(TH!N2322="1111",TH!O2322="1111")),TH!D2322,""),"")</f>
        <v/>
      </c>
      <c r="B2320" s="63">
        <f t="shared" si="239"/>
        <v>7</v>
      </c>
      <c r="C2320" s="64">
        <v>42564</v>
      </c>
      <c r="D2320" s="64" t="s">
        <v>880</v>
      </c>
      <c r="E2320" s="64">
        <f t="shared" si="238"/>
        <v>42564</v>
      </c>
      <c r="F2320" s="72" t="s">
        <v>1011</v>
      </c>
      <c r="G2320" s="972" t="s">
        <v>1722</v>
      </c>
      <c r="H2320" s="72" t="s">
        <v>805</v>
      </c>
      <c r="I2320" s="437"/>
      <c r="J2320" s="437"/>
      <c r="K2320" s="428"/>
      <c r="L2320" s="437"/>
      <c r="M2320" s="1147">
        <v>109841</v>
      </c>
      <c r="N2320" s="66" t="s">
        <v>9</v>
      </c>
      <c r="O2320" s="66" t="s">
        <v>63</v>
      </c>
      <c r="P2320" s="82" t="str">
        <f>IF(AND('331-CT'!$E$7=TH!H2322,OR(N2320="331",O2320="331")),"x","")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IF(OR(TH!N2322=TH!$X$7,O2320=TH!$X$7),"x","")</f>
        <v>x</v>
      </c>
      <c r="Y2320" s="82" t="str">
        <f>IF(AND(OR(N2320="131",O2320="131"),H2320='131-CT'!$H$9),"x","")</f>
        <v/>
      </c>
      <c r="Z2320" s="82"/>
      <c r="AA2320" s="82" t="str">
        <f>IF(AND(MONTH(E2320)='IN-NX'!$J$5,'IN-NX'!$D$7=D2320),"x","")</f>
        <v/>
      </c>
      <c r="AB2320" s="82" t="str">
        <f>IF(AND(OR(LEFT(TH!N2322,2)="15",LEFT(TH!O2322,2)="15"),LEFT(TH!O2322,3)&lt;&gt;"111",'152-CT'!$J$8=TH!F2322),"x","")</f>
        <v/>
      </c>
      <c r="AC2320" s="82" t="str">
        <f>IF(AND(OR(LEFT(TH!N2322,2)="15",LEFT(TH!O2322,2)="15"),TK!$E$7=TH!F2322),"x","")</f>
        <v/>
      </c>
      <c r="AD2320" s="82" t="str">
        <f>IF(AND(N2320="1521",MONTH(C2320)='BK-NL'!$M$11),"x","")</f>
        <v/>
      </c>
      <c r="AF2320" s="328">
        <v>7</v>
      </c>
    </row>
    <row r="2321" spans="1:32" s="1157" customFormat="1" ht="15.75" customHeight="1">
      <c r="A2321" s="334" t="str">
        <f>IF(B2321&lt;&gt;"",IF(AND(B2321='IN-TC'!$S$4,OR(TH!N2323="1111",TH!O2323="1111")),TH!D2323,""),"")</f>
        <v/>
      </c>
      <c r="B2321" s="63">
        <f t="shared" si="239"/>
        <v>7</v>
      </c>
      <c r="C2321" s="64">
        <v>42564</v>
      </c>
      <c r="D2321" s="64" t="s">
        <v>881</v>
      </c>
      <c r="E2321" s="64">
        <f t="shared" ref="E2321:E2352" si="240">C2321</f>
        <v>42564</v>
      </c>
      <c r="F2321" s="72" t="s">
        <v>1693</v>
      </c>
      <c r="G2321" s="972" t="s">
        <v>1723</v>
      </c>
      <c r="H2321" s="72" t="s">
        <v>828</v>
      </c>
      <c r="I2321" s="437"/>
      <c r="J2321" s="437"/>
      <c r="K2321" s="428"/>
      <c r="L2321" s="437"/>
      <c r="M2321" s="65">
        <f>1000000+2250000+500000</f>
        <v>3750000</v>
      </c>
      <c r="N2321" s="66" t="s">
        <v>101</v>
      </c>
      <c r="O2321" s="66" t="s">
        <v>63</v>
      </c>
      <c r="P2321" s="82" t="str">
        <f>IF(AND('331-CT'!$E$7=TH!H2323,OR(N2321="331",O2321="331")),"x","")</f>
        <v/>
      </c>
      <c r="Q2321" s="82" t="str">
        <f>IF(AND(B2321='111'!$L$11,OR($N2321=$Q$7,$O2321=$Q$7)),"x","")</f>
        <v/>
      </c>
      <c r="R2321" s="82" t="str">
        <f>IF(AND($N2321=$Q$7,$B2321&lt;'111'!$L$11),"x","")</f>
        <v/>
      </c>
      <c r="S2321" s="82" t="str">
        <f>IF(AND($O2321=$Q$7,$B2321&lt;'111'!$L$11),"x","")</f>
        <v>x</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IF(OR(TH!N2323=TH!$X$7,O2321=TH!$X$7),"x","")</f>
        <v/>
      </c>
      <c r="Y2321" s="82" t="str">
        <f>IF(AND(OR(N2321="131",O2321="131"),H2321='131-CT'!$H$9),"x","")</f>
        <v/>
      </c>
      <c r="Z2321" s="82"/>
      <c r="AA2321" s="82" t="str">
        <f>IF(AND(MONTH(E2321)='IN-NX'!$J$5,'IN-NX'!$D$7=D2321),"x","")</f>
        <v/>
      </c>
      <c r="AB2321" s="82" t="str">
        <f>IF(AND(OR(LEFT(TH!N2323,2)="15",LEFT(TH!O2323,2)="15"),LEFT(TH!O2323,3)&lt;&gt;"111",'152-CT'!$J$8=TH!F2323),"x","")</f>
        <v/>
      </c>
      <c r="AC2321" s="82" t="str">
        <f>IF(AND(OR(LEFT(TH!N2323,2)="15",LEFT(TH!O2323,2)="15"),TK!$E$7=TH!F2323),"x","")</f>
        <v/>
      </c>
      <c r="AD2321" s="82" t="str">
        <f>IF(AND(N2321="1521",MONTH(C2321)='BK-NL'!$M$11),"x","")</f>
        <v/>
      </c>
      <c r="AE2321" s="328"/>
      <c r="AF2321" s="328">
        <v>7</v>
      </c>
    </row>
    <row r="2322" spans="1:32" s="348" customFormat="1" ht="15.75" customHeight="1">
      <c r="A2322" s="334" t="str">
        <f>IF(B2322&lt;&gt;"",IF(AND(B2322='IN-TC'!$S$4,OR(TH!N2324="1111",TH!O2324="1111")),TH!D2324,""),"")</f>
        <v/>
      </c>
      <c r="B2322" s="63">
        <f t="shared" si="239"/>
        <v>7</v>
      </c>
      <c r="C2322" s="64">
        <v>42564</v>
      </c>
      <c r="D2322" s="64" t="s">
        <v>881</v>
      </c>
      <c r="E2322" s="64">
        <f t="shared" si="240"/>
        <v>42564</v>
      </c>
      <c r="F2322" s="72" t="s">
        <v>1529</v>
      </c>
      <c r="G2322" s="972" t="s">
        <v>1723</v>
      </c>
      <c r="H2322" s="72" t="s">
        <v>828</v>
      </c>
      <c r="I2322" s="437"/>
      <c r="J2322" s="437"/>
      <c r="K2322" s="428"/>
      <c r="L2322" s="437"/>
      <c r="M2322" s="65">
        <f>50000+112500+25000</f>
        <v>187500</v>
      </c>
      <c r="N2322" s="66" t="s">
        <v>9</v>
      </c>
      <c r="O2322" s="66" t="s">
        <v>63</v>
      </c>
      <c r="P2322" s="82" t="str">
        <f>IF(AND('331-CT'!$E$7=TH!H2324,OR(N2322="331",O2322="331")),"x","")</f>
        <v/>
      </c>
      <c r="Q2322" s="82" t="str">
        <f>IF(AND(B2322='111'!$L$11,OR($N2322=$Q$7,$O2322=$Q$7)),"x","")</f>
        <v/>
      </c>
      <c r="R2322" s="82" t="str">
        <f>IF(AND($N2322=$Q$7,$B2322&lt;'111'!$L$11),"x","")</f>
        <v/>
      </c>
      <c r="S2322" s="82" t="str">
        <f>IF(AND($O2322=$Q$7,$B2322&lt;'111'!$L$11),"x","")</f>
        <v>x</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IF(OR(TH!N2324=TH!$X$7,O2322=TH!$X$7),"x","")</f>
        <v>x</v>
      </c>
      <c r="Y2322" s="82" t="str">
        <f>IF(AND(OR(N2322="131",O2322="131"),H2322='131-CT'!$H$9),"x","")</f>
        <v/>
      </c>
      <c r="Z2322" s="82"/>
      <c r="AA2322" s="82" t="str">
        <f>IF(AND(MONTH(E2322)='IN-NX'!$J$5,'IN-NX'!$D$7=D2322),"x","")</f>
        <v/>
      </c>
      <c r="AB2322" s="82" t="str">
        <f>IF(AND(OR(LEFT(TH!N2324,2)="15",LEFT(TH!O2324,2)="15"),LEFT(TH!O2324,3)&lt;&gt;"111",'152-CT'!$J$8=TH!F2324),"x","")</f>
        <v/>
      </c>
      <c r="AC2322" s="82" t="str">
        <f>IF(AND(OR(LEFT(TH!N2324,2)="15",LEFT(TH!O2324,2)="15"),TK!$E$7=TH!F2324),"x","")</f>
        <v/>
      </c>
      <c r="AD2322" s="82" t="str">
        <f>IF(AND(N2322="1521",MONTH(C2322)='BK-NL'!$M$11),"x","")</f>
        <v/>
      </c>
      <c r="AE2322" s="328"/>
      <c r="AF2322" s="328">
        <v>7</v>
      </c>
    </row>
    <row r="2323" spans="1:32" s="348" customFormat="1" ht="15.75" customHeight="1">
      <c r="A2323" s="334" t="str">
        <f>IF(B2323&lt;&gt;"",IF(AND(B2323='IN-TC'!$S$4,OR(TH!N2325="1111",TH!O2325="1111")),TH!D2325,""),"")</f>
        <v/>
      </c>
      <c r="B2323" s="63">
        <f t="shared" si="239"/>
        <v>7</v>
      </c>
      <c r="C2323" s="64">
        <v>42564</v>
      </c>
      <c r="D2323" s="64" t="s">
        <v>882</v>
      </c>
      <c r="E2323" s="64">
        <f t="shared" si="240"/>
        <v>42564</v>
      </c>
      <c r="F2323" s="72" t="s">
        <v>1010</v>
      </c>
      <c r="G2323" s="972" t="s">
        <v>1728</v>
      </c>
      <c r="H2323" s="72" t="s">
        <v>805</v>
      </c>
      <c r="I2323" s="437"/>
      <c r="J2323" s="437"/>
      <c r="K2323" s="428"/>
      <c r="L2323" s="437"/>
      <c r="M2323" s="65">
        <v>1319882</v>
      </c>
      <c r="N2323" s="66" t="s">
        <v>101</v>
      </c>
      <c r="O2323" s="66" t="s">
        <v>63</v>
      </c>
      <c r="P2323" s="82" t="str">
        <f>IF(AND('331-CT'!$E$7=TH!H2325,OR(N2323="331",O2323="331")),"x","")</f>
        <v/>
      </c>
      <c r="Q2323" s="82" t="str">
        <f>IF(AND(B2323='111'!$L$11,OR($N2323=$Q$7,$O2323=$Q$7)),"x","")</f>
        <v/>
      </c>
      <c r="R2323" s="82" t="str">
        <f>IF(AND($N2323=$Q$7,$B2323&lt;'111'!$L$11),"x","")</f>
        <v/>
      </c>
      <c r="S2323" s="82" t="str">
        <f>IF(AND($O2323=$Q$7,$B2323&lt;'111'!$L$11),"x","")</f>
        <v>x</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IF(OR(TH!N2325=TH!$X$7,O2323=TH!$X$7),"x","")</f>
        <v/>
      </c>
      <c r="Y2323" s="82" t="str">
        <f>IF(AND(OR(N2323="131",O2323="131"),H2323='131-CT'!$H$9),"x","")</f>
        <v/>
      </c>
      <c r="Z2323" s="82"/>
      <c r="AA2323" s="82" t="str">
        <f>IF(AND(MONTH(E2323)='IN-NX'!$J$5,'IN-NX'!$D$7=D2323),"x","")</f>
        <v/>
      </c>
      <c r="AB2323" s="82" t="str">
        <f>IF(AND(OR(LEFT(TH!N2325,2)="15",LEFT(TH!O2325,2)="15"),LEFT(TH!O2325,3)&lt;&gt;"111",'152-CT'!$J$8=TH!F2325),"x","")</f>
        <v/>
      </c>
      <c r="AC2323" s="82" t="str">
        <f>IF(AND(OR(LEFT(TH!N2325,2)="15",LEFT(TH!O2325,2)="15"),TK!$E$7=TH!F2325),"x","")</f>
        <v/>
      </c>
      <c r="AD2323" s="82" t="str">
        <f>IF(AND(N2323="1521",MONTH(C2323)='BK-NL'!$M$11),"x","")</f>
        <v/>
      </c>
      <c r="AE2323" s="328"/>
      <c r="AF2323" s="328">
        <v>7</v>
      </c>
    </row>
    <row r="2324" spans="1:32" s="348" customFormat="1" ht="15.75" customHeight="1">
      <c r="A2324" s="334" t="str">
        <f>IF(B2324&lt;&gt;"",IF(AND(B2324='IN-TC'!$S$4,OR(TH!N2326="1111",TH!O2326="1111")),TH!D2326,""),"")</f>
        <v/>
      </c>
      <c r="B2324" s="63">
        <f t="shared" si="239"/>
        <v>7</v>
      </c>
      <c r="C2324" s="64">
        <v>42564</v>
      </c>
      <c r="D2324" s="64" t="s">
        <v>882</v>
      </c>
      <c r="E2324" s="64">
        <f t="shared" si="240"/>
        <v>42564</v>
      </c>
      <c r="F2324" s="72" t="s">
        <v>1011</v>
      </c>
      <c r="G2324" s="972" t="s">
        <v>1728</v>
      </c>
      <c r="H2324" s="72" t="s">
        <v>805</v>
      </c>
      <c r="I2324" s="437"/>
      <c r="J2324" s="437"/>
      <c r="K2324" s="428"/>
      <c r="L2324" s="437"/>
      <c r="M2324" s="1147">
        <v>131988</v>
      </c>
      <c r="N2324" s="66" t="s">
        <v>9</v>
      </c>
      <c r="O2324" s="66" t="s">
        <v>63</v>
      </c>
      <c r="P2324" s="82" t="str">
        <f>IF(AND('331-CT'!$E$7=TH!H2326,OR(N2324="331",O2324="331")),"x","")</f>
        <v/>
      </c>
      <c r="Q2324" s="82" t="str">
        <f>IF(AND(B2324='111'!$L$11,OR($N2324=$Q$7,$O2324=$Q$7)),"x","")</f>
        <v/>
      </c>
      <c r="R2324" s="82" t="str">
        <f>IF(AND($N2324=$Q$7,$B2324&lt;'111'!$L$11),"x","")</f>
        <v/>
      </c>
      <c r="S2324" s="82" t="str">
        <f>IF(AND($O2324=$Q$7,$B2324&lt;'111'!$L$11),"x","")</f>
        <v>x</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IF(OR(TH!N2326=TH!$X$7,O2324=TH!$X$7),"x","")</f>
        <v>x</v>
      </c>
      <c r="Y2324" s="82" t="str">
        <f>IF(AND(OR(N2324="131",O2324="131"),H2324='131-CT'!$H$9),"x","")</f>
        <v/>
      </c>
      <c r="Z2324" s="82"/>
      <c r="AA2324" s="82" t="str">
        <f>IF(AND(MONTH(E2324)='IN-NX'!$J$5,'IN-NX'!$D$7=D2324),"x","")</f>
        <v/>
      </c>
      <c r="AB2324" s="82" t="str">
        <f>IF(AND(OR(LEFT(TH!N2326,2)="15",LEFT(TH!O2326,2)="15"),LEFT(TH!O2326,3)&lt;&gt;"111",'152-CT'!$J$8=TH!F2326),"x","")</f>
        <v/>
      </c>
      <c r="AC2324" s="82" t="str">
        <f>IF(AND(OR(LEFT(TH!N2326,2)="15",LEFT(TH!O2326,2)="15"),TK!$E$7=TH!F2326),"x","")</f>
        <v/>
      </c>
      <c r="AD2324" s="82" t="str">
        <f>IF(AND(N2324="1521",MONTH(C2324)='BK-NL'!$M$11),"x","")</f>
        <v/>
      </c>
      <c r="AE2324" s="328"/>
      <c r="AF2324" s="328">
        <v>7</v>
      </c>
    </row>
    <row r="2325" spans="1:32" s="349" customFormat="1" ht="15.75" customHeight="1">
      <c r="A2325" s="334" t="str">
        <f>IF(B2325&lt;&gt;"",IF(AND(B2325='IN-TC'!$S$4,OR(TH!N2328="1111",TH!O2328="1111")),TH!D2328,""),"")</f>
        <v/>
      </c>
      <c r="B2325" s="63">
        <f t="shared" si="239"/>
        <v>7</v>
      </c>
      <c r="C2325" s="64">
        <v>42565</v>
      </c>
      <c r="D2325" s="64" t="s">
        <v>883</v>
      </c>
      <c r="E2325" s="64">
        <f t="shared" si="240"/>
        <v>42565</v>
      </c>
      <c r="F2325" s="72" t="s">
        <v>1107</v>
      </c>
      <c r="G2325" s="972" t="s">
        <v>1724</v>
      </c>
      <c r="H2325" s="72" t="s">
        <v>805</v>
      </c>
      <c r="I2325" s="437"/>
      <c r="J2325" s="437"/>
      <c r="K2325" s="428"/>
      <c r="L2325" s="437"/>
      <c r="M2325" s="65">
        <v>1160727</v>
      </c>
      <c r="N2325" s="66" t="s">
        <v>101</v>
      </c>
      <c r="O2325" s="66" t="s">
        <v>63</v>
      </c>
      <c r="P2325" s="82" t="str">
        <f>IF(AND('331-CT'!$E$7=TH!H2328,OR(N2325="331",O2325="331")),"x","")</f>
        <v/>
      </c>
      <c r="Q2325" s="82" t="str">
        <f>IF(AND(B2325='111'!$L$11,OR($N2325=$Q$7,$O2325=$Q$7)),"x","")</f>
        <v/>
      </c>
      <c r="R2325" s="82" t="str">
        <f>IF(AND($N2325=$Q$7,$B2325&lt;'111'!$L$11),"x","")</f>
        <v/>
      </c>
      <c r="S2325" s="82" t="str">
        <f>IF(AND($O2325=$Q$7,$B2325&lt;'111'!$L$11),"x","")</f>
        <v>x</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IF(OR(TH!N2328=TH!$X$7,O2325=TH!$X$7),"x","")</f>
        <v/>
      </c>
      <c r="Y2325" s="82" t="str">
        <f>IF(AND(OR(N2325="131",O2325="131"),H2325='131-CT'!$H$9),"x","")</f>
        <v/>
      </c>
      <c r="Z2325" s="82"/>
      <c r="AA2325" s="82" t="str">
        <f>IF(AND(MONTH(E2325)='IN-NX'!$J$5,'IN-NX'!$D$7=D2325),"x","")</f>
        <v/>
      </c>
      <c r="AB2325" s="82" t="str">
        <f>IF(AND(OR(LEFT(TH!N2328,2)="15",LEFT(TH!O2328,2)="15"),LEFT(TH!O2328,3)&lt;&gt;"111",'152-CT'!$J$8=TH!F2328),"x","")</f>
        <v/>
      </c>
      <c r="AC2325" s="82" t="str">
        <f>IF(AND(OR(LEFT(TH!N2328,2)="15",LEFT(TH!O2328,2)="15"),TK!$E$7=TH!F2328),"x","")</f>
        <v/>
      </c>
      <c r="AD2325" s="82" t="str">
        <f>IF(AND(N2325="1521",MONTH(C2325)='BK-NL'!$M$11),"x","")</f>
        <v/>
      </c>
      <c r="AE2325" s="328"/>
      <c r="AF2325" s="328">
        <v>7</v>
      </c>
    </row>
    <row r="2326" spans="1:32" s="349" customFormat="1" ht="15.75" customHeight="1">
      <c r="A2326" s="334" t="str">
        <f>IF(B2326&lt;&gt;"",IF(AND(B2326='IN-TC'!$S$4,OR(TH!N2329="1111",TH!O2329="1111")),TH!D2329,""),"")</f>
        <v/>
      </c>
      <c r="B2326" s="63">
        <f t="shared" si="239"/>
        <v>7</v>
      </c>
      <c r="C2326" s="64">
        <v>42565</v>
      </c>
      <c r="D2326" s="64" t="s">
        <v>883</v>
      </c>
      <c r="E2326" s="64">
        <f t="shared" si="240"/>
        <v>42565</v>
      </c>
      <c r="F2326" s="72" t="s">
        <v>1337</v>
      </c>
      <c r="G2326" s="972" t="s">
        <v>1724</v>
      </c>
      <c r="H2326" s="72" t="s">
        <v>805</v>
      </c>
      <c r="I2326" s="437"/>
      <c r="J2326" s="437"/>
      <c r="K2326" s="428"/>
      <c r="L2326" s="437"/>
      <c r="M2326" s="65">
        <v>116073</v>
      </c>
      <c r="N2326" s="66" t="s">
        <v>9</v>
      </c>
      <c r="O2326" s="66" t="s">
        <v>63</v>
      </c>
      <c r="P2326" s="82" t="str">
        <f>IF(AND('331-CT'!$E$7=TH!H2329,OR(N2326="331",O2326="331")),"x","")</f>
        <v/>
      </c>
      <c r="Q2326" s="82" t="str">
        <f>IF(AND(B2326='111'!$L$11,OR($N2326=$Q$7,$O2326=$Q$7)),"x","")</f>
        <v/>
      </c>
      <c r="R2326" s="82" t="str">
        <f>IF(AND($N2326=$Q$7,$B2326&lt;'111'!$L$11),"x","")</f>
        <v/>
      </c>
      <c r="S2326" s="82" t="str">
        <f>IF(AND($O2326=$Q$7,$B2326&lt;'111'!$L$11),"x","")</f>
        <v>x</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IF(OR(TH!N2329=TH!$X$7,O2326=TH!$X$7),"x","")</f>
        <v/>
      </c>
      <c r="Y2326" s="82" t="str">
        <f>IF(AND(OR(N2326="131",O2326="131"),H2326='131-CT'!$H$9),"x","")</f>
        <v/>
      </c>
      <c r="Z2326" s="82"/>
      <c r="AA2326" s="82" t="str">
        <f>IF(AND(MONTH(E2326)='IN-NX'!$J$5,'IN-NX'!$D$7=D2326),"x","")</f>
        <v/>
      </c>
      <c r="AB2326" s="82" t="str">
        <f>IF(AND(OR(LEFT(TH!N2329,2)="15",LEFT(TH!O2329,2)="15"),LEFT(TH!O2329,3)&lt;&gt;"111",'152-CT'!$J$8=TH!F2329),"x","")</f>
        <v/>
      </c>
      <c r="AC2326" s="82" t="str">
        <f>IF(AND(OR(LEFT(TH!N2329,2)="15",LEFT(TH!O2329,2)="15"),TK!$E$7=TH!F2329),"x","")</f>
        <v/>
      </c>
      <c r="AD2326" s="82" t="str">
        <f>IF(AND(N2326="1521",MONTH(C2326)='BK-NL'!$M$11),"x","")</f>
        <v/>
      </c>
      <c r="AE2326" s="328"/>
      <c r="AF2326" s="328">
        <v>7</v>
      </c>
    </row>
    <row r="2327" spans="1:32" s="349" customFormat="1" ht="15.75" customHeight="1">
      <c r="A2327" s="334" t="str">
        <f>IF(B2327&lt;&gt;"",IF(AND(B2327='IN-TC'!$S$4,OR(TH!N2327="1111",TH!O2327="1111")),TH!D2327,""),"")</f>
        <v/>
      </c>
      <c r="B2327" s="63">
        <f t="shared" si="239"/>
        <v>7</v>
      </c>
      <c r="C2327" s="64">
        <v>42564</v>
      </c>
      <c r="D2327" s="64" t="s">
        <v>699</v>
      </c>
      <c r="E2327" s="64">
        <f t="shared" si="240"/>
        <v>42564</v>
      </c>
      <c r="F2327" s="72" t="s">
        <v>1450</v>
      </c>
      <c r="G2327" s="67" t="s">
        <v>915</v>
      </c>
      <c r="H2327" s="72" t="s">
        <v>1766</v>
      </c>
      <c r="I2327" s="437"/>
      <c r="J2327" s="437"/>
      <c r="K2327" s="428"/>
      <c r="L2327" s="437"/>
      <c r="M2327" s="65">
        <v>329501191</v>
      </c>
      <c r="N2327" s="66" t="s">
        <v>26</v>
      </c>
      <c r="O2327" s="66" t="s">
        <v>585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c r="AE2327" s="328"/>
      <c r="AF2327" s="328"/>
    </row>
    <row r="2328" spans="1:32" s="349" customFormat="1" ht="15.75" customHeight="1">
      <c r="A2328" s="334" t="str">
        <f>IF(B2328&lt;&gt;"",IF(AND(B2328='IN-TC'!$S$4,OR(TH!N2332="1111",TH!O2332="1111")),TH!D2332,""),"")</f>
        <v/>
      </c>
      <c r="B2328" s="63">
        <f t="shared" si="239"/>
        <v>7</v>
      </c>
      <c r="C2328" s="64">
        <v>42566</v>
      </c>
      <c r="D2328" s="64" t="s">
        <v>884</v>
      </c>
      <c r="E2328" s="64">
        <f t="shared" si="240"/>
        <v>42566</v>
      </c>
      <c r="F2328" s="72" t="s">
        <v>1100</v>
      </c>
      <c r="G2328" s="67" t="s">
        <v>915</v>
      </c>
      <c r="H2328" s="72" t="s">
        <v>760</v>
      </c>
      <c r="I2328" s="437"/>
      <c r="J2328" s="437"/>
      <c r="K2328" s="428"/>
      <c r="L2328" s="437"/>
      <c r="M2328" s="65">
        <v>30000000</v>
      </c>
      <c r="N2328" s="66" t="s">
        <v>26</v>
      </c>
      <c r="O2328" s="66" t="s">
        <v>63</v>
      </c>
      <c r="P2328" s="82" t="str">
        <f>IF(AND('331-CT'!$E$7=TH!H2332,OR(N2328="331",O2328="331")),"x","")</f>
        <v/>
      </c>
      <c r="Q2328" s="82" t="str">
        <f>IF(AND(B2328='111'!$L$11,OR($N2328=$Q$7,$O2328=$Q$7)),"x","")</f>
        <v/>
      </c>
      <c r="R2328" s="82" t="str">
        <f>IF(AND($N2328=$Q$7,$B2328&lt;'111'!$L$11),"x","")</f>
        <v/>
      </c>
      <c r="S2328" s="82" t="str">
        <f>IF(AND($O2328=$Q$7,$B2328&lt;'111'!$L$11),"x","")</f>
        <v>x</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IF(OR(TH!N2332=TH!$X$7,O2328=TH!$X$7),"x","")</f>
        <v/>
      </c>
      <c r="Y2328" s="82" t="str">
        <f>IF(AND(OR(N2328="131",O2328="131"),H2328='131-CT'!$H$9),"x","")</f>
        <v/>
      </c>
      <c r="Z2328" s="82"/>
      <c r="AA2328" s="82" t="str">
        <f>IF(AND(MONTH(E2328)='IN-NX'!$J$5,'IN-NX'!$D$7=D2328),"x","")</f>
        <v/>
      </c>
      <c r="AB2328" s="82" t="str">
        <f>IF(AND(OR(LEFT(TH!N2332,2)="15",LEFT(TH!O2332,2)="15"),LEFT(TH!O2332,3)&lt;&gt;"111",'152-CT'!$J$8=TH!F2332),"x","")</f>
        <v/>
      </c>
      <c r="AC2328" s="82" t="str">
        <f>IF(AND(OR(LEFT(TH!N2332,2)="15",LEFT(TH!O2332,2)="15"),TK!$E$7=TH!F2332),"x","")</f>
        <v/>
      </c>
      <c r="AD2328" s="82" t="str">
        <f>IF(AND(N2328="1521",MONTH(C2328)='BK-NL'!$M$11),"x","")</f>
        <v/>
      </c>
      <c r="AE2328" s="328"/>
      <c r="AF2328" s="328"/>
    </row>
    <row r="2329" spans="1:32" s="349" customFormat="1" ht="15.75" customHeight="1">
      <c r="A2329" s="334" t="str">
        <f>IF(B2329&lt;&gt;"",IF(AND(B2329='IN-TC'!$S$4,OR(TH!N2350="1111",TH!O2350="1111")),TH!D2350,""),"")</f>
        <v/>
      </c>
      <c r="B2329" s="63">
        <f t="shared" si="239"/>
        <v>7</v>
      </c>
      <c r="C2329" s="64">
        <v>42567</v>
      </c>
      <c r="D2329" s="64" t="s">
        <v>885</v>
      </c>
      <c r="E2329" s="64">
        <f t="shared" si="240"/>
        <v>42567</v>
      </c>
      <c r="F2329" s="72" t="s">
        <v>1725</v>
      </c>
      <c r="G2329" s="972" t="s">
        <v>1726</v>
      </c>
      <c r="H2329" s="72" t="s">
        <v>1404</v>
      </c>
      <c r="I2329" s="437"/>
      <c r="J2329" s="437"/>
      <c r="K2329" s="428"/>
      <c r="L2329" s="437"/>
      <c r="M2329" s="65">
        <v>7000400</v>
      </c>
      <c r="N2329" s="66" t="s">
        <v>8</v>
      </c>
      <c r="O2329" s="66" t="s">
        <v>63</v>
      </c>
      <c r="P2329" s="82" t="str">
        <f>IF(AND('331-CT'!$E$7=TH!H2350,OR(N2329="331",O2329="331")),"x","")</f>
        <v/>
      </c>
      <c r="Q2329" s="82" t="str">
        <f>IF(AND(B2329='111'!$L$11,OR($N2329=$Q$7,$O2329=$Q$7)),"x","")</f>
        <v/>
      </c>
      <c r="R2329" s="82" t="str">
        <f>IF(AND($N2329=$Q$7,$B2329&lt;'111'!$L$11),"x","")</f>
        <v/>
      </c>
      <c r="S2329" s="82" t="str">
        <f>IF(AND($O2329=$Q$7,$B2329&lt;'111'!$L$11),"x","")</f>
        <v>x</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IF(OR(TH!N2350=TH!$X$7,O2329=TH!$X$7),"x","")</f>
        <v/>
      </c>
      <c r="Y2329" s="82" t="str">
        <f>IF(AND(OR(N2329="131",O2329="131"),H2329='131-CT'!$H$9),"x","")</f>
        <v/>
      </c>
      <c r="Z2329" s="82"/>
      <c r="AA2329" s="82" t="str">
        <f>IF(AND(MONTH(E2329)='IN-NX'!$J$5,'IN-NX'!$D$7=D2329),"x","")</f>
        <v/>
      </c>
      <c r="AB2329" s="82" t="str">
        <f>IF(AND(OR(LEFT(TH!N2350,2)="15",LEFT(TH!O2350,2)="15"),LEFT(TH!O2350,3)&lt;&gt;"111",'152-CT'!$J$8=TH!F2350),"x","")</f>
        <v/>
      </c>
      <c r="AC2329" s="82" t="str">
        <f>IF(AND(OR(LEFT(TH!N2350,2)="15",LEFT(TH!O2350,2)="15"),TK!$E$7=TH!F2350),"x","")</f>
        <v/>
      </c>
      <c r="AD2329" s="82" t="str">
        <f>IF(AND(N2329="1521",MONTH(C2329)='BK-NL'!$M$11),"x","")</f>
        <v/>
      </c>
      <c r="AE2329" s="1136" t="str">
        <f>IF(H2329&lt;&gt;VLOOKUP(H2329,DSKH,1,0),"","x")</f>
        <v>x</v>
      </c>
    </row>
    <row r="2330" spans="1:32" s="349" customFormat="1" ht="15.75" customHeight="1">
      <c r="A2330" s="334" t="str">
        <f>IF(B2330&lt;&gt;"",IF(AND(B2330='IN-TC'!$S$4,OR(TH!N2330="1111",TH!O2330="1111")),TH!D2330,""),"")</f>
        <v/>
      </c>
      <c r="B2330" s="63">
        <f t="shared" si="239"/>
        <v>7</v>
      </c>
      <c r="C2330" s="64">
        <v>42566</v>
      </c>
      <c r="D2330" s="64" t="s">
        <v>906</v>
      </c>
      <c r="E2330" s="64">
        <f t="shared" si="240"/>
        <v>42566</v>
      </c>
      <c r="F2330" s="72" t="s">
        <v>1139</v>
      </c>
      <c r="G2330" s="67" t="s">
        <v>915</v>
      </c>
      <c r="H2330" s="72" t="s">
        <v>760</v>
      </c>
      <c r="I2330" s="437"/>
      <c r="J2330" s="437"/>
      <c r="K2330" s="428"/>
      <c r="L2330" s="437"/>
      <c r="M2330" s="65">
        <v>290000000</v>
      </c>
      <c r="N2330" s="66" t="s">
        <v>63</v>
      </c>
      <c r="O2330" s="66" t="s">
        <v>26</v>
      </c>
      <c r="P2330" s="82" t="str">
        <f>IF(AND('331-CT'!$E$7=TH!H2330,OR(N2330="331",O2330="331")),"x","")</f>
        <v/>
      </c>
      <c r="Q2330" s="82" t="str">
        <f>IF(AND(B2330='111'!$L$11,OR($N2330=$Q$7,$O2330=$Q$7)),"x","")</f>
        <v/>
      </c>
      <c r="R2330" s="82" t="str">
        <f>IF(AND($N2330=$Q$7,$B2330&lt;'111'!$L$11),"x","")</f>
        <v>x</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c r="AE2330" s="328"/>
      <c r="AF2330" s="328"/>
    </row>
    <row r="2331" spans="1:32" s="348" customFormat="1" ht="15.75" customHeight="1">
      <c r="A2331" s="1229" t="str">
        <f>IF(B2331&lt;&gt;"",IF(AND(B2331='IN-TC'!$S$4,OR(TH!N2331="1111",TH!O2331="1111")),TH!D2331,""),"")</f>
        <v/>
      </c>
      <c r="B2331" s="1134">
        <f t="shared" si="239"/>
        <v>7</v>
      </c>
      <c r="C2331" s="92">
        <v>42573</v>
      </c>
      <c r="D2331" s="92" t="s">
        <v>913</v>
      </c>
      <c r="E2331" s="92">
        <f t="shared" si="240"/>
        <v>42573</v>
      </c>
      <c r="F2331" s="72" t="s">
        <v>1891</v>
      </c>
      <c r="G2331" s="93"/>
      <c r="H2331" s="94" t="s">
        <v>1211</v>
      </c>
      <c r="I2331" s="443"/>
      <c r="J2331" s="443"/>
      <c r="K2331" s="434"/>
      <c r="L2331" s="443"/>
      <c r="M2331" s="95">
        <v>29000000</v>
      </c>
      <c r="N2331" s="83" t="s">
        <v>63</v>
      </c>
      <c r="O2331" s="83" t="s">
        <v>72</v>
      </c>
      <c r="P2331" s="83" t="str">
        <f>IF(AND('331-CT'!$E$7=TH!H2331,OR(N2331="331",O2331="331")),"x","")</f>
        <v/>
      </c>
      <c r="Q2331" s="83" t="str">
        <f>IF(AND(B2331='111'!$L$11,OR($N2331=$Q$7,$O2331=$Q$7)),"x","")</f>
        <v/>
      </c>
      <c r="R2331" s="83" t="str">
        <f>IF(AND($N2331=$Q$7,$B2331&lt;'111'!$L$11),"x","")</f>
        <v>x</v>
      </c>
      <c r="S2331" s="83" t="str">
        <f>IF(AND($O2331=$Q$7,$B2331&lt;'111'!$L$11),"x","")</f>
        <v/>
      </c>
      <c r="T2331" s="83" t="str">
        <f>IF(ISERROR(FIND('112'!$M$9,G2331,1)),"",IF((AND(FIND('112'!$M$9,G2331,1)&gt;=1,B2331='112'!$K$9,OR($N2331='112'!$I$6,$O2331='112'!$I$6))),"x",""))</f>
        <v/>
      </c>
      <c r="U2331" s="83" t="str">
        <f>IF(ISERROR(FIND('112'!$M$9,G2331,1)),"",IF((AND(LEFT(G2331,2)=LEFT('112'!$M$9,2),B2331&lt;'112'!$K$9,$N2331='112'!$I$6)),"x",""))</f>
        <v/>
      </c>
      <c r="V2331" s="83" t="str">
        <f>IF(ISERROR(FIND('112'!$M$9,G2331,1)),"",IF((AND(RIGHT(G2331,2)=RIGHT('112'!$M$9,2),B2331&lt;'112'!$K$9,$O2331='112'!$I$6)),"x",""))</f>
        <v/>
      </c>
      <c r="W2331" s="83" t="str">
        <f>IF(AND('341-CT'!$H$9=H2331,OR(LEFT(N2331,3)=$W$7,LEFT(O2331,3)=$W$7)),"x","")</f>
        <v/>
      </c>
      <c r="X2331" s="83" t="str">
        <f>IF(OR(TH!N2331=TH!$X$7,O2331=TH!$X$7),"x","")</f>
        <v/>
      </c>
      <c r="Y2331" s="83" t="str">
        <f>IF(AND(OR(N2331="131",O2331="131"),H2331='131-CT'!$H$9),"x","")</f>
        <v/>
      </c>
      <c r="Z2331" s="83"/>
      <c r="AA2331" s="83" t="str">
        <f>IF(AND(MONTH(E2331)='IN-NX'!$J$5,'IN-NX'!$D$7=D2331),"x","")</f>
        <v/>
      </c>
      <c r="AB2331" s="83" t="str">
        <f>IF(AND(OR(LEFT(TH!N2331,2)="15",LEFT(TH!O2331,2)="15"),LEFT(TH!O2331,3)&lt;&gt;"111",'152-CT'!$J$8=TH!F2331),"x","")</f>
        <v/>
      </c>
      <c r="AC2331" s="83" t="str">
        <f>IF(AND(OR(LEFT(TH!N2331,2)="15",LEFT(TH!O2331,2)="15"),TK!$E$7=TH!F2331),"x","")</f>
        <v/>
      </c>
      <c r="AD2331" s="83" t="str">
        <f>IF(AND(N2331="1521",MONTH(C2331)='BK-NL'!$M$11),"x","")</f>
        <v/>
      </c>
    </row>
    <row r="2332" spans="1:32" s="349" customFormat="1" ht="15.75" customHeight="1">
      <c r="A2332" s="334" t="str">
        <f>IF(B2332&lt;&gt;"",IF(AND(B2332='IN-TC'!$S$4,OR(TH!N1572="1111",TH!O1572="1111")),TH!D1572,""),"")</f>
        <v/>
      </c>
      <c r="B2332" s="1148">
        <f t="shared" si="239"/>
        <v>7</v>
      </c>
      <c r="C2332" s="1149">
        <v>42569</v>
      </c>
      <c r="D2332" s="1149" t="s">
        <v>886</v>
      </c>
      <c r="E2332" s="1149">
        <f t="shared" si="240"/>
        <v>42569</v>
      </c>
      <c r="F2332" s="512" t="s">
        <v>960</v>
      </c>
      <c r="G2332" s="1151"/>
      <c r="H2332" s="1150" t="s">
        <v>959</v>
      </c>
      <c r="I2332" s="1152"/>
      <c r="J2332" s="1152"/>
      <c r="K2332" s="1153"/>
      <c r="L2332" s="1152"/>
      <c r="M2332" s="1154">
        <v>550000000</v>
      </c>
      <c r="N2332" s="1155" t="s">
        <v>272</v>
      </c>
      <c r="O2332" s="1155" t="s">
        <v>63</v>
      </c>
      <c r="P2332" s="1155" t="str">
        <f>IF(AND('331-CT'!$E$7=TH!H1572,OR(N2332="331",O2332="331")),"x","")</f>
        <v/>
      </c>
      <c r="Q2332" s="1155" t="str">
        <f>IF(AND(B2332='111'!$L$11,OR($N2332=$Q$7,$O2332=$Q$7)),"x","")</f>
        <v/>
      </c>
      <c r="R2332" s="1155" t="str">
        <f>IF(AND($N2332=$Q$7,$B2332&lt;'111'!$L$11),"x","")</f>
        <v/>
      </c>
      <c r="S2332" s="1155" t="str">
        <f>IF(AND($O2332=$Q$7,$B2332&lt;'111'!$L$11),"x","")</f>
        <v>x</v>
      </c>
      <c r="T2332" s="1155" t="str">
        <f>IF(ISERROR(FIND('112'!$M$9,G2332,1)),"",IF((AND(FIND('112'!$M$9,G2332,1)&gt;=1,B2332='112'!$K$9,OR($N2332='112'!$I$6,$O2332='112'!$I$6))),"x",""))</f>
        <v/>
      </c>
      <c r="U2332" s="1155" t="str">
        <f>IF(ISERROR(FIND('112'!$M$9,G2332,1)),"",IF((AND(LEFT(G2332,2)=LEFT('112'!$M$9,2),B2332&lt;'112'!$K$9,$N2332='112'!$I$6)),"x",""))</f>
        <v/>
      </c>
      <c r="V2332" s="1155" t="str">
        <f>IF(ISERROR(FIND('112'!$M$9,G2332,1)),"",IF((AND(RIGHT(G2332,2)=RIGHT('112'!$M$9,2),B2332&lt;'112'!$K$9,$O2332='112'!$I$6)),"x",""))</f>
        <v/>
      </c>
      <c r="W2332" s="1155" t="str">
        <f>IF(AND('341-CT'!$H$9=H2332,OR(LEFT(N2332,3)=$W$7,LEFT(O2332,3)=$W$7)),"x","")</f>
        <v/>
      </c>
      <c r="X2332" s="1155" t="str">
        <f>IF(OR(TH!N1572=TH!$X$7,O2332=TH!$X$7),"x","")</f>
        <v>x</v>
      </c>
      <c r="Y2332" s="1155" t="str">
        <f>IF(AND(OR(N2332="131",O2332="131"),H2332='131-CT'!$H$9),"x","")</f>
        <v/>
      </c>
      <c r="Z2332" s="1155"/>
      <c r="AA2332" s="1155" t="str">
        <f>IF(AND(MONTH(E2332)='IN-NX'!$J$5,'IN-NX'!$D$7=D2332),"x","")</f>
        <v/>
      </c>
      <c r="AB2332" s="1155" t="str">
        <f>IF(AND(OR(LEFT(TH!N1572,2)="15",LEFT(TH!O1572,2)="15"),LEFT(TH!O1572,3)&lt;&gt;"111",'152-CT'!$J$8=TH!F1572),"x","")</f>
        <v/>
      </c>
      <c r="AC2332" s="1155" t="str">
        <f>IF(AND(OR(LEFT(TH!N1572,2)="15",LEFT(TH!O1572,2)="15"),TK!$E$7=TH!F1572),"x","")</f>
        <v/>
      </c>
      <c r="AD2332" s="1155" t="str">
        <f>IF(AND(N2332="1521",MONTH(C2332)='BK-NL'!$M$11),"x","")</f>
        <v/>
      </c>
      <c r="AE2332" s="1156"/>
      <c r="AF2332" s="1156"/>
    </row>
    <row r="2333" spans="1:32" s="349" customFormat="1" ht="15.75" customHeight="1">
      <c r="A2333" s="334" t="str">
        <f>IF(B2333&lt;&gt;"",IF(AND(B2333='IN-TC'!$S$4,OR(TH!N2333="1111",TH!O2333="1111")),TH!D2333,""),"")</f>
        <v/>
      </c>
      <c r="B2333" s="63">
        <f t="shared" si="239"/>
        <v>7</v>
      </c>
      <c r="C2333" s="64">
        <v>42566</v>
      </c>
      <c r="D2333" s="64" t="s">
        <v>702</v>
      </c>
      <c r="E2333" s="64">
        <f t="shared" si="240"/>
        <v>42566</v>
      </c>
      <c r="F2333" s="72" t="s">
        <v>1443</v>
      </c>
      <c r="G2333" s="67" t="s">
        <v>915</v>
      </c>
      <c r="H2333" s="72" t="s">
        <v>1211</v>
      </c>
      <c r="I2333" s="437"/>
      <c r="J2333" s="437"/>
      <c r="K2333" s="428"/>
      <c r="L2333" s="437"/>
      <c r="M2333" s="65">
        <v>29000000</v>
      </c>
      <c r="N2333" s="66" t="s">
        <v>72</v>
      </c>
      <c r="O2333" s="66" t="s">
        <v>26</v>
      </c>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2" s="349" customFormat="1" ht="15.75" customHeight="1">
      <c r="A2334" s="334" t="str">
        <f>IF(B2334&lt;&gt;"",IF(AND(B2334='IN-TC'!$S$4,OR(TH!N2334="1111",TH!O2334="1111")),TH!D2334,""),"")</f>
        <v/>
      </c>
      <c r="B2334" s="63">
        <f t="shared" si="239"/>
        <v>7</v>
      </c>
      <c r="C2334" s="64">
        <v>42566</v>
      </c>
      <c r="D2334" s="64" t="s">
        <v>702</v>
      </c>
      <c r="E2334" s="64">
        <f t="shared" si="240"/>
        <v>42566</v>
      </c>
      <c r="F2334" s="72" t="s">
        <v>1209</v>
      </c>
      <c r="G2334" s="67" t="s">
        <v>915</v>
      </c>
      <c r="H2334" s="72" t="s">
        <v>623</v>
      </c>
      <c r="I2334" s="437"/>
      <c r="J2334" s="437"/>
      <c r="K2334" s="428"/>
      <c r="L2334" s="437"/>
      <c r="M2334" s="65">
        <v>50000000</v>
      </c>
      <c r="N2334" s="66" t="s">
        <v>8</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c r="AE2334" s="1136" t="str">
        <f>IF(H2334&lt;&gt;VLOOKUP(H2334,DSKH,1,0),"","x")</f>
        <v>x</v>
      </c>
    </row>
    <row r="2335" spans="1:32" s="349" customFormat="1" ht="15.75" customHeight="1">
      <c r="A2335" s="334" t="str">
        <f>IF(B2335&lt;&gt;"",IF(AND(B2335='IN-TC'!$S$4,OR(TH!N2335="1111",TH!O2335="1111")),TH!D2335,""),"")</f>
        <v/>
      </c>
      <c r="B2335" s="63">
        <f t="shared" si="239"/>
        <v>7</v>
      </c>
      <c r="C2335" s="64">
        <v>42566</v>
      </c>
      <c r="D2335" s="64" t="s">
        <v>702</v>
      </c>
      <c r="E2335" s="64">
        <f t="shared" si="240"/>
        <v>42566</v>
      </c>
      <c r="F2335" s="72" t="s">
        <v>1169</v>
      </c>
      <c r="G2335" s="67" t="s">
        <v>915</v>
      </c>
      <c r="H2335" s="72" t="s">
        <v>1794</v>
      </c>
      <c r="I2335" s="437"/>
      <c r="J2335" s="437"/>
      <c r="K2335" s="428"/>
      <c r="L2335" s="437"/>
      <c r="M2335" s="65">
        <v>40000</v>
      </c>
      <c r="N2335" s="66" t="s">
        <v>101</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c r="AF2335" s="328">
        <v>7</v>
      </c>
    </row>
    <row r="2336" spans="1:32" s="349" customFormat="1" ht="15.75" customHeight="1">
      <c r="A2336" s="334" t="str">
        <f>IF(B2336&lt;&gt;"",IF(AND(B2336='IN-TC'!$S$4,OR(TH!N2336="1111",TH!O2336="1111")),TH!D2336,""),"")</f>
        <v/>
      </c>
      <c r="B2336" s="63">
        <f t="shared" si="239"/>
        <v>7</v>
      </c>
      <c r="C2336" s="64">
        <v>42566</v>
      </c>
      <c r="D2336" s="64" t="s">
        <v>702</v>
      </c>
      <c r="E2336" s="64">
        <f t="shared" si="240"/>
        <v>42566</v>
      </c>
      <c r="F2336" s="72" t="s">
        <v>1631</v>
      </c>
      <c r="G2336" s="67" t="s">
        <v>915</v>
      </c>
      <c r="H2336" s="72" t="s">
        <v>1794</v>
      </c>
      <c r="I2336" s="437"/>
      <c r="J2336" s="437"/>
      <c r="K2336" s="428"/>
      <c r="L2336" s="437"/>
      <c r="M2336" s="65">
        <v>4000</v>
      </c>
      <c r="N2336" s="66" t="s">
        <v>9</v>
      </c>
      <c r="O2336" s="66" t="s">
        <v>26</v>
      </c>
      <c r="P2336" s="82" t="str">
        <f>IF(AND('331-CT'!$E$7=TH!H2336,OR(N2336="331",O2336="331")),"x","")</f>
        <v/>
      </c>
      <c r="Q2336" s="82" t="str">
        <f>IF(AND(B2336='111'!$L$11,OR($N2336=$Q$7,$O2336=$Q$7)),"x","")</f>
        <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x</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c r="AF2336" s="328">
        <v>7</v>
      </c>
    </row>
    <row r="2337" spans="1:32" s="349" customFormat="1" ht="15.75" customHeight="1">
      <c r="A2337" s="334" t="str">
        <f>IF(B2337&lt;&gt;"",IF(AND(B2337='IN-TC'!$S$4,OR(TH!N2337="1111",TH!O2337="1111")),TH!D2337,""),"")</f>
        <v/>
      </c>
      <c r="B2337" s="63">
        <f t="shared" si="239"/>
        <v>7</v>
      </c>
      <c r="C2337" s="64">
        <v>42566</v>
      </c>
      <c r="D2337" s="64" t="s">
        <v>699</v>
      </c>
      <c r="E2337" s="64">
        <f t="shared" si="240"/>
        <v>42566</v>
      </c>
      <c r="F2337" s="72" t="s">
        <v>1450</v>
      </c>
      <c r="G2337" s="67" t="s">
        <v>914</v>
      </c>
      <c r="H2337" s="72" t="s">
        <v>595</v>
      </c>
      <c r="I2337" s="437"/>
      <c r="J2337" s="437"/>
      <c r="K2337" s="428">
        <v>1850.16</v>
      </c>
      <c r="L2337" s="437">
        <v>22270</v>
      </c>
      <c r="M2337" s="65">
        <f t="shared" ref="M2337:M2345" si="241">ROUND(K2337*L2337,0)</f>
        <v>41203063</v>
      </c>
      <c r="N2337" s="66" t="s">
        <v>266</v>
      </c>
      <c r="O2337" s="66" t="s">
        <v>585</v>
      </c>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2" s="349" customFormat="1" ht="15.75" customHeight="1">
      <c r="A2338" s="334" t="str">
        <f>IF(B2338&lt;&gt;"",IF(AND(B2338='IN-TC'!$S$4,OR(TH!N2338="1111",TH!O2338="1111")),TH!D2338,""),"")</f>
        <v/>
      </c>
      <c r="B2338" s="63">
        <f t="shared" si="239"/>
        <v>7</v>
      </c>
      <c r="C2338" s="64">
        <v>42566</v>
      </c>
      <c r="D2338" s="64" t="s">
        <v>702</v>
      </c>
      <c r="E2338" s="64">
        <f t="shared" si="240"/>
        <v>42566</v>
      </c>
      <c r="F2338" s="72" t="s">
        <v>1188</v>
      </c>
      <c r="G2338" s="67" t="s">
        <v>914</v>
      </c>
      <c r="H2338" s="72" t="s">
        <v>595</v>
      </c>
      <c r="I2338" s="437"/>
      <c r="J2338" s="437"/>
      <c r="K2338" s="428">
        <v>29.22</v>
      </c>
      <c r="L2338" s="437">
        <v>22270</v>
      </c>
      <c r="M2338" s="65">
        <f t="shared" si="241"/>
        <v>650729</v>
      </c>
      <c r="N2338" s="66" t="s">
        <v>101</v>
      </c>
      <c r="O2338" s="66" t="s">
        <v>585</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c r="AF2338" s="328">
        <v>7</v>
      </c>
    </row>
    <row r="2339" spans="1:32" s="349" customFormat="1" ht="15.75" customHeight="1">
      <c r="A2339" s="334" t="str">
        <f>IF(B2339&lt;&gt;"",IF(AND(B2339='IN-TC'!$S$4,OR(TH!N2339="1111",TH!O2339="1111")),TH!D2339,""),"")</f>
        <v/>
      </c>
      <c r="B2339" s="63">
        <f t="shared" si="239"/>
        <v>7</v>
      </c>
      <c r="C2339" s="64">
        <v>42566</v>
      </c>
      <c r="D2339" s="64" t="s">
        <v>702</v>
      </c>
      <c r="E2339" s="64">
        <f t="shared" si="240"/>
        <v>42566</v>
      </c>
      <c r="F2339" s="72" t="s">
        <v>1189</v>
      </c>
      <c r="G2339" s="67" t="s">
        <v>914</v>
      </c>
      <c r="H2339" s="72" t="s">
        <v>595</v>
      </c>
      <c r="I2339" s="437"/>
      <c r="J2339" s="437"/>
      <c r="K2339" s="428">
        <v>2.92</v>
      </c>
      <c r="L2339" s="437">
        <v>22270</v>
      </c>
      <c r="M2339" s="65">
        <f t="shared" si="241"/>
        <v>65028</v>
      </c>
      <c r="N2339" s="66" t="s">
        <v>9</v>
      </c>
      <c r="O2339" s="66" t="s">
        <v>585</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x</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c r="AF2339" s="328">
        <v>7</v>
      </c>
    </row>
    <row r="2340" spans="1:32" s="349" customFormat="1" ht="15.75" customHeight="1">
      <c r="A2340" s="334" t="str">
        <f>IF(B2340&lt;&gt;"",IF(AND(B2340='IN-TC'!$S$4,OR(TH!N2340="1111",TH!O2340="1111")),TH!D2340,""),"")</f>
        <v/>
      </c>
      <c r="B2340" s="63">
        <f t="shared" si="239"/>
        <v>7</v>
      </c>
      <c r="C2340" s="64">
        <v>42566</v>
      </c>
      <c r="D2340" s="64" t="s">
        <v>702</v>
      </c>
      <c r="E2340" s="64">
        <f t="shared" si="240"/>
        <v>42566</v>
      </c>
      <c r="F2340" s="72" t="s">
        <v>611</v>
      </c>
      <c r="G2340" s="67" t="s">
        <v>914</v>
      </c>
      <c r="H2340" s="72" t="s">
        <v>595</v>
      </c>
      <c r="I2340" s="437"/>
      <c r="J2340" s="437"/>
      <c r="K2340" s="428">
        <v>10</v>
      </c>
      <c r="L2340" s="437">
        <v>22270</v>
      </c>
      <c r="M2340" s="65">
        <f t="shared" si="241"/>
        <v>222700</v>
      </c>
      <c r="N2340" s="66" t="s">
        <v>101</v>
      </c>
      <c r="O2340" s="66" t="s">
        <v>585</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c r="AF2340" s="328">
        <v>7</v>
      </c>
    </row>
    <row r="2341" spans="1:32" s="349" customFormat="1" ht="15.75" customHeight="1">
      <c r="A2341" s="334" t="str">
        <f>IF(B2341&lt;&gt;"",IF(AND(B2341='IN-TC'!$S$4,OR(TH!N2341="1111",TH!O2341="1111")),TH!D2341,""),"")</f>
        <v/>
      </c>
      <c r="B2341" s="63">
        <f t="shared" si="239"/>
        <v>7</v>
      </c>
      <c r="C2341" s="64">
        <v>42566</v>
      </c>
      <c r="D2341" s="64" t="s">
        <v>702</v>
      </c>
      <c r="E2341" s="64">
        <f t="shared" si="240"/>
        <v>42566</v>
      </c>
      <c r="F2341" s="72" t="s">
        <v>1187</v>
      </c>
      <c r="G2341" s="67" t="s">
        <v>914</v>
      </c>
      <c r="H2341" s="72" t="s">
        <v>595</v>
      </c>
      <c r="I2341" s="437"/>
      <c r="J2341" s="437"/>
      <c r="K2341" s="428">
        <v>1</v>
      </c>
      <c r="L2341" s="437">
        <v>22270</v>
      </c>
      <c r="M2341" s="65">
        <f t="shared" si="241"/>
        <v>22270</v>
      </c>
      <c r="N2341" s="66" t="s">
        <v>9</v>
      </c>
      <c r="O2341" s="66" t="s">
        <v>585</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x</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c r="AF2341" s="328">
        <v>7</v>
      </c>
    </row>
    <row r="2342" spans="1:32" s="349" customFormat="1" ht="15.75" customHeight="1">
      <c r="A2342" s="334" t="str">
        <f>IF(B2342&lt;&gt;"",IF(AND(B2342='IN-TC'!$S$4,OR(TH!N2342="1111",TH!O2342="1111")),TH!D2342,""),"")</f>
        <v/>
      </c>
      <c r="B2342" s="63">
        <f t="shared" si="239"/>
        <v>7</v>
      </c>
      <c r="C2342" s="64">
        <v>42566</v>
      </c>
      <c r="D2342" s="64" t="s">
        <v>702</v>
      </c>
      <c r="E2342" s="64">
        <f t="shared" si="240"/>
        <v>42566</v>
      </c>
      <c r="F2342" s="72" t="s">
        <v>1058</v>
      </c>
      <c r="G2342" s="67" t="s">
        <v>914</v>
      </c>
      <c r="H2342" s="72" t="s">
        <v>595</v>
      </c>
      <c r="I2342" s="437"/>
      <c r="J2342" s="437"/>
      <c r="K2342" s="428">
        <v>62.64</v>
      </c>
      <c r="L2342" s="437">
        <v>22270</v>
      </c>
      <c r="M2342" s="65">
        <f t="shared" si="241"/>
        <v>1394993</v>
      </c>
      <c r="N2342" s="66" t="s">
        <v>101</v>
      </c>
      <c r="O2342" s="66" t="s">
        <v>585</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c r="AF2342" s="328">
        <v>7</v>
      </c>
    </row>
    <row r="2343" spans="1:32" s="349" customFormat="1" ht="15.75" customHeight="1">
      <c r="A2343" s="334" t="str">
        <f>IF(B2343&lt;&gt;"",IF(AND(B2343='IN-TC'!$S$4,OR(TH!N2343="1111",TH!O2343="1111")),TH!D2343,""),"")</f>
        <v/>
      </c>
      <c r="B2343" s="63">
        <f t="shared" si="239"/>
        <v>7</v>
      </c>
      <c r="C2343" s="64">
        <v>42566</v>
      </c>
      <c r="D2343" s="64" t="s">
        <v>702</v>
      </c>
      <c r="E2343" s="64">
        <f t="shared" si="240"/>
        <v>42566</v>
      </c>
      <c r="F2343" s="72" t="s">
        <v>1059</v>
      </c>
      <c r="G2343" s="67" t="s">
        <v>914</v>
      </c>
      <c r="H2343" s="72" t="s">
        <v>595</v>
      </c>
      <c r="I2343" s="437"/>
      <c r="J2343" s="437"/>
      <c r="K2343" s="428">
        <v>6.26</v>
      </c>
      <c r="L2343" s="437">
        <v>22270</v>
      </c>
      <c r="M2343" s="65">
        <f t="shared" si="241"/>
        <v>139410</v>
      </c>
      <c r="N2343" s="66" t="s">
        <v>9</v>
      </c>
      <c r="O2343" s="66" t="s">
        <v>585</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x</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c r="AF2343" s="328">
        <v>7</v>
      </c>
    </row>
    <row r="2344" spans="1:32" s="349" customFormat="1" ht="15.75" customHeight="1">
      <c r="A2344" s="334" t="str">
        <f>IF(B2344&lt;&gt;"",IF(AND(B2344='IN-TC'!$S$4,OR(TH!N2344="1111",TH!O2344="1111")),TH!D2344,""),"")</f>
        <v/>
      </c>
      <c r="B2344" s="63">
        <f t="shared" si="239"/>
        <v>7</v>
      </c>
      <c r="C2344" s="64">
        <v>42566</v>
      </c>
      <c r="D2344" s="64" t="s">
        <v>702</v>
      </c>
      <c r="E2344" s="64">
        <f t="shared" si="240"/>
        <v>42566</v>
      </c>
      <c r="F2344" s="72" t="s">
        <v>1060</v>
      </c>
      <c r="G2344" s="67" t="s">
        <v>914</v>
      </c>
      <c r="H2344" s="72" t="s">
        <v>595</v>
      </c>
      <c r="I2344" s="437"/>
      <c r="J2344" s="437"/>
      <c r="K2344" s="428">
        <v>30.8</v>
      </c>
      <c r="L2344" s="437">
        <v>22270</v>
      </c>
      <c r="M2344" s="65">
        <f t="shared" si="241"/>
        <v>685916</v>
      </c>
      <c r="N2344" s="66" t="s">
        <v>101</v>
      </c>
      <c r="O2344" s="66" t="s">
        <v>585</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2" s="349" customFormat="1" ht="15.75" customHeight="1">
      <c r="A2345" s="334" t="str">
        <f>IF(B2345&lt;&gt;"",IF(AND(B2345='IN-TC'!$S$4,OR(TH!N2345="1111",TH!O2345="1111")),TH!D2345,""),"")</f>
        <v/>
      </c>
      <c r="B2345" s="63">
        <f t="shared" si="239"/>
        <v>7</v>
      </c>
      <c r="C2345" s="64">
        <v>42566</v>
      </c>
      <c r="D2345" s="64" t="s">
        <v>702</v>
      </c>
      <c r="E2345" s="64">
        <f t="shared" si="240"/>
        <v>42566</v>
      </c>
      <c r="F2345" s="72" t="s">
        <v>1889</v>
      </c>
      <c r="G2345" s="67" t="s">
        <v>914</v>
      </c>
      <c r="H2345" s="72" t="s">
        <v>595</v>
      </c>
      <c r="I2345" s="437"/>
      <c r="J2345" s="437"/>
      <c r="K2345" s="428">
        <v>167</v>
      </c>
      <c r="L2345" s="437">
        <v>22270</v>
      </c>
      <c r="M2345" s="65">
        <f t="shared" si="241"/>
        <v>3719090</v>
      </c>
      <c r="N2345" s="66" t="s">
        <v>101</v>
      </c>
      <c r="O2345" s="66" t="s">
        <v>585</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2" s="349" customFormat="1" ht="15.75" customHeight="1">
      <c r="A2346" s="334" t="str">
        <f>IF(B2346&lt;&gt;"",IF(AND(B2346='IN-TC'!$S$4,OR(TH!N2346="1111",TH!O2346="1111")),TH!D2346,""),"")</f>
        <v/>
      </c>
      <c r="B2346" s="63">
        <f t="shared" si="239"/>
        <v>7</v>
      </c>
      <c r="C2346" s="64">
        <v>42566</v>
      </c>
      <c r="D2346" s="64" t="s">
        <v>702</v>
      </c>
      <c r="E2346" s="64">
        <f t="shared" si="240"/>
        <v>42566</v>
      </c>
      <c r="F2346" s="72" t="s">
        <v>1062</v>
      </c>
      <c r="G2346" s="67" t="s">
        <v>914</v>
      </c>
      <c r="H2346" s="72" t="s">
        <v>595</v>
      </c>
      <c r="I2346" s="437"/>
      <c r="J2346" s="437"/>
      <c r="K2346" s="428"/>
      <c r="L2346" s="437"/>
      <c r="M2346" s="65">
        <v>1187999</v>
      </c>
      <c r="N2346" s="66" t="s">
        <v>585</v>
      </c>
      <c r="O2346" s="66" t="s">
        <v>43</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2" s="349" customFormat="1" ht="15.75" customHeight="1">
      <c r="A2347" s="334" t="str">
        <f>IF(B2347&lt;&gt;"",IF(AND(B2347='IN-TC'!$S$4,OR(TH!N2347="1111",TH!O2347="1111")),TH!D2347,""),"")</f>
        <v/>
      </c>
      <c r="B2347" s="63">
        <f t="shared" si="239"/>
        <v>7</v>
      </c>
      <c r="C2347" s="64">
        <v>42566</v>
      </c>
      <c r="D2347" s="64" t="s">
        <v>702</v>
      </c>
      <c r="E2347" s="64">
        <f t="shared" si="240"/>
        <v>42566</v>
      </c>
      <c r="F2347" s="72" t="s">
        <v>1782</v>
      </c>
      <c r="G2347" s="67" t="s">
        <v>914</v>
      </c>
      <c r="H2347" s="72" t="s">
        <v>739</v>
      </c>
      <c r="I2347" s="437"/>
      <c r="J2347" s="437"/>
      <c r="K2347" s="428">
        <v>162.72</v>
      </c>
      <c r="L2347" s="437">
        <v>22270</v>
      </c>
      <c r="M2347" s="65">
        <f>ROUND(K2347*L2347,0)</f>
        <v>3623774</v>
      </c>
      <c r="N2347" s="66" t="s">
        <v>99</v>
      </c>
      <c r="O2347" s="66" t="s">
        <v>266</v>
      </c>
      <c r="P2347" s="82" t="str">
        <f>IF(AND('331-CT'!$E$7=TH!H2347,OR(N2347="331",O2347="331")),"x","")</f>
        <v/>
      </c>
      <c r="Q2347" s="82" t="str">
        <f>IF(AND(B2347='111'!$L$11,OR($N2347=$Q$7,$O2347=$Q$7)),"x","")</f>
        <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2" s="349" customFormat="1" ht="15.75" customHeight="1">
      <c r="A2348" s="334" t="str">
        <f>IF(B2348&lt;&gt;"",IF(AND(B2348='IN-TC'!$S$4,OR(TH!N2348="1111",TH!O2348="1111")),TH!D2348,""),"")</f>
        <v/>
      </c>
      <c r="B2348" s="63">
        <f t="shared" si="239"/>
        <v>7</v>
      </c>
      <c r="C2348" s="64">
        <v>42566</v>
      </c>
      <c r="D2348" s="64" t="s">
        <v>702</v>
      </c>
      <c r="E2348" s="64">
        <f t="shared" si="240"/>
        <v>42566</v>
      </c>
      <c r="F2348" s="72" t="s">
        <v>1782</v>
      </c>
      <c r="G2348" s="67" t="s">
        <v>914</v>
      </c>
      <c r="H2348" s="72" t="s">
        <v>1665</v>
      </c>
      <c r="I2348" s="437"/>
      <c r="J2348" s="437"/>
      <c r="K2348" s="428">
        <v>255.04</v>
      </c>
      <c r="L2348" s="437">
        <v>22270</v>
      </c>
      <c r="M2348" s="65">
        <f>ROUND(K2348*L2348,0)</f>
        <v>5679741</v>
      </c>
      <c r="N2348" s="66" t="s">
        <v>99</v>
      </c>
      <c r="O2348" s="66" t="s">
        <v>266</v>
      </c>
      <c r="P2348" s="82" t="str">
        <f>IF(AND('331-CT'!$E$7=TH!H2348,OR(N2348="331",O2348="331")),"x","")</f>
        <v/>
      </c>
      <c r="Q2348" s="82" t="str">
        <f>IF(AND(B2348='111'!$L$11,OR($N2348=$Q$7,$O2348=$Q$7)),"x","")</f>
        <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2" s="349" customFormat="1" ht="15.75" customHeight="1">
      <c r="A2349" s="334" t="str">
        <f>IF(B2349&lt;&gt;"",IF(AND(B2349='IN-TC'!$S$4,OR(TH!N2349="1111",TH!O2349="1111")),TH!D2349,""),"")</f>
        <v/>
      </c>
      <c r="B2349" s="63">
        <f t="shared" si="239"/>
        <v>7</v>
      </c>
      <c r="C2349" s="64">
        <v>42566</v>
      </c>
      <c r="D2349" s="64" t="s">
        <v>702</v>
      </c>
      <c r="E2349" s="64">
        <f t="shared" si="240"/>
        <v>42566</v>
      </c>
      <c r="F2349" s="72" t="s">
        <v>1782</v>
      </c>
      <c r="G2349" s="67" t="s">
        <v>914</v>
      </c>
      <c r="H2349" s="72" t="s">
        <v>1667</v>
      </c>
      <c r="I2349" s="437"/>
      <c r="J2349" s="437"/>
      <c r="K2349" s="428">
        <v>341.74</v>
      </c>
      <c r="L2349" s="437">
        <v>22270</v>
      </c>
      <c r="M2349" s="65">
        <f>ROUND(K2349*L2349,0)</f>
        <v>7610550</v>
      </c>
      <c r="N2349" s="66" t="s">
        <v>99</v>
      </c>
      <c r="O2349" s="66" t="s">
        <v>266</v>
      </c>
      <c r="P2349" s="82" t="str">
        <f>IF(AND('331-CT'!$E$7=TH!H2349,OR(N2349="331",O2349="331")),"x","")</f>
        <v/>
      </c>
      <c r="Q2349" s="82" t="str">
        <f>IF(AND(B2349='111'!$L$11,OR($N2349=$Q$7,$O2349=$Q$7)),"x","")</f>
        <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2" s="349" customFormat="1" ht="15.75" customHeight="1">
      <c r="A2350" s="334" t="str">
        <f>IF(B2350&lt;&gt;"",IF(AND(B2350='IN-TC'!$S$4,OR(TH!N1575="1111",TH!O1575="1111")),TH!D1575,""),"")</f>
        <v/>
      </c>
      <c r="B2350" s="1148">
        <f t="shared" si="239"/>
        <v>7</v>
      </c>
      <c r="C2350" s="1149">
        <v>42569</v>
      </c>
      <c r="D2350" s="1149" t="s">
        <v>887</v>
      </c>
      <c r="E2350" s="1149">
        <f t="shared" si="240"/>
        <v>42569</v>
      </c>
      <c r="F2350" s="512" t="s">
        <v>960</v>
      </c>
      <c r="G2350" s="1151"/>
      <c r="H2350" s="1150" t="s">
        <v>2239</v>
      </c>
      <c r="I2350" s="1152"/>
      <c r="J2350" s="1152"/>
      <c r="K2350" s="1153"/>
      <c r="L2350" s="1152"/>
      <c r="M2350" s="1154">
        <v>600000000</v>
      </c>
      <c r="N2350" s="1155" t="s">
        <v>272</v>
      </c>
      <c r="O2350" s="1155" t="s">
        <v>63</v>
      </c>
      <c r="P2350" s="1155" t="str">
        <f>IF(AND('331-CT'!$E$7=TH!H1575,OR(N2350="331",O2350="331")),"x","")</f>
        <v/>
      </c>
      <c r="Q2350" s="1155" t="str">
        <f>IF(AND(B2350='111'!$L$11,OR($N2350=$Q$7,$O2350=$Q$7)),"x","")</f>
        <v/>
      </c>
      <c r="R2350" s="1155" t="str">
        <f>IF(AND($N2350=$Q$7,$B2350&lt;'111'!$L$11),"x","")</f>
        <v/>
      </c>
      <c r="S2350" s="1155" t="str">
        <f>IF(AND($O2350=$Q$7,$B2350&lt;'111'!$L$11),"x","")</f>
        <v>x</v>
      </c>
      <c r="T2350" s="1155" t="str">
        <f>IF(ISERROR(FIND('112'!$M$9,G2350,1)),"",IF((AND(FIND('112'!$M$9,G2350,1)&gt;=1,B2350='112'!$K$9,OR($N2350='112'!$I$6,$O2350='112'!$I$6))),"x",""))</f>
        <v/>
      </c>
      <c r="U2350" s="1155" t="str">
        <f>IF(ISERROR(FIND('112'!$M$9,G2350,1)),"",IF((AND(LEFT(G2350,2)=LEFT('112'!$M$9,2),B2350&lt;'112'!$K$9,$N2350='112'!$I$6)),"x",""))</f>
        <v/>
      </c>
      <c r="V2350" s="1155" t="str">
        <f>IF(ISERROR(FIND('112'!$M$9,G2350,1)),"",IF((AND(RIGHT(G2350,2)=RIGHT('112'!$M$9,2),B2350&lt;'112'!$K$9,$O2350='112'!$I$6)),"x",""))</f>
        <v/>
      </c>
      <c r="W2350" s="1155" t="str">
        <f>IF(AND('341-CT'!$H$9=H2350,OR(LEFT(N2350,3)=$W$7,LEFT(O2350,3)=$W$7)),"x","")</f>
        <v/>
      </c>
      <c r="X2350" s="1155" t="str">
        <f>IF(OR(TH!N1575=TH!$X$7,O2350=TH!$X$7),"x","")</f>
        <v>x</v>
      </c>
      <c r="Y2350" s="1155" t="str">
        <f>IF(AND(OR(N2350="131",O2350="131"),H2350='131-CT'!$H$9),"x","")</f>
        <v/>
      </c>
      <c r="Z2350" s="1155"/>
      <c r="AA2350" s="1155" t="str">
        <f>IF(AND(MONTH(E2350)='IN-NX'!$J$5,'IN-NX'!$D$7=D2350),"x","")</f>
        <v/>
      </c>
      <c r="AB2350" s="1155" t="str">
        <f>IF(AND(OR(LEFT(TH!N1575,2)="15",LEFT(TH!O1575,2)="15"),LEFT(TH!O1575,3)&lt;&gt;"111",'152-CT'!$J$8=TH!F1575),"x","")</f>
        <v/>
      </c>
      <c r="AC2350" s="1155" t="str">
        <f>IF(AND(OR(LEFT(TH!N1575,2)="15",LEFT(TH!O1575,2)="15"),TK!$E$7=TH!F1575),"x","")</f>
        <v/>
      </c>
      <c r="AD2350" s="1155" t="str">
        <f>IF(AND(N2350="1521",MONTH(C2350)='BK-NL'!$M$11),"x","")</f>
        <v/>
      </c>
      <c r="AE2350" s="1156"/>
      <c r="AF2350" s="1156"/>
    </row>
    <row r="2351" spans="1:32" s="349" customFormat="1" ht="15.75" customHeight="1">
      <c r="A2351" s="334" t="str">
        <f>IF(B2351&lt;&gt;"",IF(AND(B2351='IN-TC'!$S$4,OR(TH!N2351="1111",TH!O2351="1111")),TH!D2351,""),"")</f>
        <v/>
      </c>
      <c r="B2351" s="63">
        <f t="shared" si="239"/>
        <v>7</v>
      </c>
      <c r="C2351" s="64">
        <v>42569</v>
      </c>
      <c r="D2351" s="64" t="s">
        <v>888</v>
      </c>
      <c r="E2351" s="64">
        <f t="shared" si="240"/>
        <v>42569</v>
      </c>
      <c r="F2351" s="72" t="s">
        <v>1135</v>
      </c>
      <c r="G2351" s="972" t="s">
        <v>1727</v>
      </c>
      <c r="H2351" s="72" t="s">
        <v>1138</v>
      </c>
      <c r="I2351" s="437"/>
      <c r="J2351" s="437"/>
      <c r="K2351" s="428"/>
      <c r="L2351" s="437"/>
      <c r="M2351" s="65">
        <v>2069520</v>
      </c>
      <c r="N2351" s="66" t="s">
        <v>101</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c r="AF2351" s="328">
        <v>7</v>
      </c>
    </row>
    <row r="2352" spans="1:32" s="349" customFormat="1" ht="15.75" customHeight="1">
      <c r="A2352" s="334" t="str">
        <f>IF(B2352&lt;&gt;"",IF(AND(B2352='IN-TC'!$S$4,OR(TH!N2352="1111",TH!O2352="1111")),TH!D2352,""),"")</f>
        <v/>
      </c>
      <c r="B2352" s="63">
        <f t="shared" si="239"/>
        <v>7</v>
      </c>
      <c r="C2352" s="64">
        <v>42569</v>
      </c>
      <c r="D2352" s="64" t="s">
        <v>888</v>
      </c>
      <c r="E2352" s="64">
        <f t="shared" si="240"/>
        <v>42569</v>
      </c>
      <c r="F2352" s="72" t="s">
        <v>1136</v>
      </c>
      <c r="G2352" s="972" t="s">
        <v>1727</v>
      </c>
      <c r="H2352" s="72" t="s">
        <v>1138</v>
      </c>
      <c r="I2352" s="437"/>
      <c r="J2352" s="437"/>
      <c r="K2352" s="428"/>
      <c r="L2352" s="437"/>
      <c r="M2352" s="65">
        <v>206952</v>
      </c>
      <c r="N2352" s="66" t="s">
        <v>9</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x</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c r="AF2352" s="328">
        <v>7</v>
      </c>
    </row>
    <row r="2353" spans="1:32" s="349" customFormat="1" ht="15.75" customHeight="1">
      <c r="A2353" s="334" t="str">
        <f>IF(B2353&lt;&gt;"",IF(AND(B2353='IN-TC'!$S$4,OR(TH!N2353="1111",TH!O2353="1111")),TH!D2353,""),"")</f>
        <v/>
      </c>
      <c r="B2353" s="63">
        <f t="shared" si="239"/>
        <v>7</v>
      </c>
      <c r="C2353" s="64">
        <v>42570</v>
      </c>
      <c r="D2353" s="64" t="s">
        <v>889</v>
      </c>
      <c r="E2353" s="64">
        <f t="shared" ref="E2353:E2384" si="242">C2353</f>
        <v>42570</v>
      </c>
      <c r="F2353" s="72" t="s">
        <v>1693</v>
      </c>
      <c r="G2353" s="972" t="s">
        <v>1729</v>
      </c>
      <c r="H2353" s="72" t="s">
        <v>828</v>
      </c>
      <c r="I2353" s="437"/>
      <c r="J2353" s="437"/>
      <c r="K2353" s="428"/>
      <c r="L2353" s="437"/>
      <c r="M2353" s="65">
        <v>500000</v>
      </c>
      <c r="N2353" s="66" t="s">
        <v>101</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c r="AF2353" s="328">
        <v>7</v>
      </c>
    </row>
    <row r="2354" spans="1:32" s="349" customFormat="1" ht="15.75" customHeight="1">
      <c r="A2354" s="334" t="str">
        <f>IF(B2354&lt;&gt;"",IF(AND(B2354='IN-TC'!$S$4,OR(TH!N2354="1111",TH!O2354="1111")),TH!D2354,""),"")</f>
        <v/>
      </c>
      <c r="B2354" s="63">
        <f t="shared" si="239"/>
        <v>7</v>
      </c>
      <c r="C2354" s="64">
        <v>42570</v>
      </c>
      <c r="D2354" s="64" t="s">
        <v>889</v>
      </c>
      <c r="E2354" s="64">
        <f t="shared" si="242"/>
        <v>42570</v>
      </c>
      <c r="F2354" s="72" t="s">
        <v>1529</v>
      </c>
      <c r="G2354" s="972" t="s">
        <v>1729</v>
      </c>
      <c r="H2354" s="72" t="s">
        <v>828</v>
      </c>
      <c r="I2354" s="437"/>
      <c r="J2354" s="437"/>
      <c r="K2354" s="428"/>
      <c r="L2354" s="437"/>
      <c r="M2354" s="65">
        <v>25000</v>
      </c>
      <c r="N2354" s="66" t="s">
        <v>9</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x</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c r="AF2354" s="328">
        <v>7</v>
      </c>
    </row>
    <row r="2355" spans="1:32" s="349" customFormat="1" ht="15.75" customHeight="1">
      <c r="A2355" s="334" t="str">
        <f>IF(B2355&lt;&gt;"",IF(AND(B2355='IN-TC'!$S$4,OR(TH!N2355="1111",TH!O2355="1111")),TH!D2355,""),"")</f>
        <v/>
      </c>
      <c r="B2355" s="63">
        <f t="shared" si="239"/>
        <v>7</v>
      </c>
      <c r="C2355" s="64">
        <v>42572</v>
      </c>
      <c r="D2355" s="64" t="s">
        <v>890</v>
      </c>
      <c r="E2355" s="64">
        <f t="shared" si="242"/>
        <v>42572</v>
      </c>
      <c r="F2355" s="72" t="s">
        <v>1705</v>
      </c>
      <c r="G2355" s="972" t="s">
        <v>1706</v>
      </c>
      <c r="H2355" s="72" t="s">
        <v>1707</v>
      </c>
      <c r="I2355" s="437"/>
      <c r="J2355" s="437"/>
      <c r="K2355" s="428"/>
      <c r="L2355" s="437"/>
      <c r="M2355" s="65">
        <v>2119091</v>
      </c>
      <c r="N2355" s="66" t="s">
        <v>101</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c r="AF2355" s="328">
        <v>7</v>
      </c>
    </row>
    <row r="2356" spans="1:32" s="349" customFormat="1" ht="15.75" customHeight="1">
      <c r="A2356" s="334" t="str">
        <f>IF(B2356&lt;&gt;"",IF(AND(B2356='IN-TC'!$S$4,OR(TH!N2356="1111",TH!O2356="1111")),TH!D2356,""),"")</f>
        <v/>
      </c>
      <c r="B2356" s="63">
        <f t="shared" si="239"/>
        <v>7</v>
      </c>
      <c r="C2356" s="64">
        <v>42572</v>
      </c>
      <c r="D2356" s="64" t="s">
        <v>890</v>
      </c>
      <c r="E2356" s="64">
        <f t="shared" si="242"/>
        <v>42572</v>
      </c>
      <c r="F2356" s="72" t="s">
        <v>1708</v>
      </c>
      <c r="G2356" s="972" t="s">
        <v>1706</v>
      </c>
      <c r="H2356" s="72" t="s">
        <v>1707</v>
      </c>
      <c r="I2356" s="437"/>
      <c r="J2356" s="437"/>
      <c r="K2356" s="428"/>
      <c r="L2356" s="437"/>
      <c r="M2356" s="65">
        <v>211909</v>
      </c>
      <c r="N2356" s="66" t="s">
        <v>9</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x</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c r="AF2356" s="328">
        <v>7</v>
      </c>
    </row>
    <row r="2357" spans="1:32" s="349" customFormat="1" ht="15.75" customHeight="1">
      <c r="A2357" s="334" t="str">
        <f>IF(B2357&lt;&gt;"",IF(AND(B2357='IN-TC'!$S$4,OR(TH!N2357="1111",TH!O2357="1111")),TH!D2357,""),"")</f>
        <v/>
      </c>
      <c r="B2357" s="63">
        <f t="shared" si="239"/>
        <v>7</v>
      </c>
      <c r="C2357" s="64">
        <v>42572</v>
      </c>
      <c r="D2357" s="64" t="s">
        <v>699</v>
      </c>
      <c r="E2357" s="64">
        <f t="shared" si="242"/>
        <v>42572</v>
      </c>
      <c r="F2357" s="72" t="s">
        <v>1772</v>
      </c>
      <c r="G2357" s="67" t="s">
        <v>915</v>
      </c>
      <c r="H2357" s="72" t="s">
        <v>1353</v>
      </c>
      <c r="I2357" s="437"/>
      <c r="J2357" s="437"/>
      <c r="K2357" s="428"/>
      <c r="L2357" s="437"/>
      <c r="M2357" s="65">
        <v>321158412</v>
      </c>
      <c r="N2357" s="66" t="s">
        <v>26</v>
      </c>
      <c r="O2357" s="66" t="s">
        <v>72</v>
      </c>
      <c r="P2357" s="82" t="str">
        <f>IF(AND('331-CT'!$E$7=TH!H2357,OR(N2357="331",O2357="331")),"x","")</f>
        <v/>
      </c>
      <c r="Q2357" s="82" t="str">
        <f>IF(AND(B2357='111'!$L$11,OR($N2357=$Q$7,$O2357=$Q$7)),"x","")</f>
        <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2" s="349" customFormat="1" ht="15.75" customHeight="1">
      <c r="A2358" s="334" t="str">
        <f>IF(B2358&lt;&gt;"",IF(AND(B2358='IN-TC'!$S$4,OR(TH!N2358="1111",TH!O2358="1111")),TH!D2358,""),"")</f>
        <v/>
      </c>
      <c r="B2358" s="63">
        <f t="shared" si="239"/>
        <v>7</v>
      </c>
      <c r="C2358" s="64">
        <v>42573</v>
      </c>
      <c r="D2358" s="64" t="s">
        <v>699</v>
      </c>
      <c r="E2358" s="64">
        <f t="shared" si="242"/>
        <v>42573</v>
      </c>
      <c r="F2358" s="72" t="s">
        <v>1781</v>
      </c>
      <c r="G2358" s="67" t="s">
        <v>1558</v>
      </c>
      <c r="H2358" s="72"/>
      <c r="I2358" s="437"/>
      <c r="J2358" s="437"/>
      <c r="K2358" s="428">
        <v>30</v>
      </c>
      <c r="L2358" s="437">
        <v>22330</v>
      </c>
      <c r="M2358" s="65">
        <f>ROUND(K2358*L2358,0)</f>
        <v>669900</v>
      </c>
      <c r="N2358" s="66" t="s">
        <v>266</v>
      </c>
      <c r="O2358" s="66" t="s">
        <v>26</v>
      </c>
      <c r="P2358" s="82" t="str">
        <f>IF(AND('331-CT'!$E$7=TH!H2358,OR(N2358="331",O2358="331")),"x","")</f>
        <v/>
      </c>
      <c r="Q2358" s="82" t="str">
        <f>IF(AND(B2358='111'!$L$11,OR($N2358=$Q$7,$O2358=$Q$7)),"x","")</f>
        <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x</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2" s="349" customFormat="1" ht="15.75" customHeight="1">
      <c r="A2359" s="334" t="str">
        <f>IF(B2359&lt;&gt;"",IF(AND(B2359='IN-TC'!$S$4,OR(TH!N2359="1111",TH!O2359="1111")),TH!D2359,""),"")</f>
        <v/>
      </c>
      <c r="B2359" s="63">
        <f t="shared" si="239"/>
        <v>7</v>
      </c>
      <c r="C2359" s="64">
        <v>42573</v>
      </c>
      <c r="D2359" s="64" t="s">
        <v>702</v>
      </c>
      <c r="E2359" s="64">
        <f t="shared" si="242"/>
        <v>42573</v>
      </c>
      <c r="F2359" s="72" t="s">
        <v>1780</v>
      </c>
      <c r="G2359" s="67" t="s">
        <v>1558</v>
      </c>
      <c r="H2359" s="72"/>
      <c r="I2359" s="437"/>
      <c r="J2359" s="437"/>
      <c r="K2359" s="428"/>
      <c r="L2359" s="437"/>
      <c r="M2359" s="65">
        <v>111650</v>
      </c>
      <c r="N2359" s="66" t="s">
        <v>101</v>
      </c>
      <c r="O2359" s="66" t="s">
        <v>26</v>
      </c>
      <c r="P2359" s="82" t="str">
        <f>IF(AND('331-CT'!$E$7=TH!H2359,OR(N2359="331",O2359="331")),"x","")</f>
        <v/>
      </c>
      <c r="Q2359" s="82" t="str">
        <f>IF(AND(B2359='111'!$L$11,OR($N2359=$Q$7,$O2359=$Q$7)),"x","")</f>
        <v/>
      </c>
      <c r="R2359" s="82" t="str">
        <f>IF(AND($N2359=$Q$7,$B2359&lt;'111'!$L$11),"x","")</f>
        <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x</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2" s="349" customFormat="1" ht="15.75" customHeight="1">
      <c r="A2360" s="334" t="str">
        <f>IF(B2360&lt;&gt;"",IF(AND(B2360='IN-TC'!$S$4,OR(TH!N2360="1111",TH!O2360="1111")),TH!D2360,""),"")</f>
        <v/>
      </c>
      <c r="B2360" s="63">
        <f t="shared" si="239"/>
        <v>7</v>
      </c>
      <c r="C2360" s="64">
        <v>42573</v>
      </c>
      <c r="D2360" s="64" t="s">
        <v>702</v>
      </c>
      <c r="E2360" s="64">
        <f t="shared" si="242"/>
        <v>42573</v>
      </c>
      <c r="F2360" s="72" t="s">
        <v>1782</v>
      </c>
      <c r="G2360" s="67" t="s">
        <v>1558</v>
      </c>
      <c r="H2360" s="963" t="s">
        <v>1875</v>
      </c>
      <c r="I2360" s="437"/>
      <c r="J2360" s="437"/>
      <c r="K2360" s="428"/>
      <c r="L2360" s="437"/>
      <c r="M2360" s="65">
        <v>5889312</v>
      </c>
      <c r="N2360" s="66" t="s">
        <v>99</v>
      </c>
      <c r="O2360" s="66" t="s">
        <v>26</v>
      </c>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x</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2" s="349" customFormat="1" ht="15.75" customHeight="1">
      <c r="A2361" s="334" t="str">
        <f>IF(B2361&lt;&gt;"",IF(AND(B2361='IN-TC'!$S$4,OR(TH!N2361="1111",TH!O2361="1111")),TH!D2361,""),"")</f>
        <v/>
      </c>
      <c r="B2361" s="63">
        <f t="shared" si="239"/>
        <v>7</v>
      </c>
      <c r="C2361" s="64">
        <v>42573</v>
      </c>
      <c r="D2361" s="64" t="s">
        <v>702</v>
      </c>
      <c r="E2361" s="64">
        <f t="shared" si="242"/>
        <v>42573</v>
      </c>
      <c r="F2361" s="72" t="s">
        <v>1782</v>
      </c>
      <c r="G2361" s="67" t="s">
        <v>1558</v>
      </c>
      <c r="H2361" s="963" t="s">
        <v>1875</v>
      </c>
      <c r="I2361" s="437"/>
      <c r="J2361" s="437"/>
      <c r="K2361" s="428"/>
      <c r="L2361" s="437"/>
      <c r="M2361" s="65">
        <v>6456140</v>
      </c>
      <c r="N2361" s="66" t="s">
        <v>99</v>
      </c>
      <c r="O2361" s="66" t="s">
        <v>26</v>
      </c>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x</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2" s="349" customFormat="1" ht="15.75" customHeight="1">
      <c r="A2362" s="334" t="str">
        <f>IF(B2362&lt;&gt;"",IF(AND(B2362='IN-TC'!$S$4,OR(TH!N2362="1111",TH!O2362="1111")),TH!D2362,""),"")</f>
        <v/>
      </c>
      <c r="B2362" s="63">
        <f t="shared" si="239"/>
        <v>7</v>
      </c>
      <c r="C2362" s="64">
        <v>42573</v>
      </c>
      <c r="D2362" s="64" t="s">
        <v>702</v>
      </c>
      <c r="E2362" s="64">
        <f t="shared" si="242"/>
        <v>42573</v>
      </c>
      <c r="F2362" s="72" t="s">
        <v>1782</v>
      </c>
      <c r="G2362" s="67" t="s">
        <v>1558</v>
      </c>
      <c r="H2362" s="963" t="s">
        <v>1875</v>
      </c>
      <c r="I2362" s="437"/>
      <c r="J2362" s="437"/>
      <c r="K2362" s="428"/>
      <c r="L2362" s="437"/>
      <c r="M2362" s="65">
        <v>6491628</v>
      </c>
      <c r="N2362" s="66" t="s">
        <v>99</v>
      </c>
      <c r="O2362" s="66" t="s">
        <v>26</v>
      </c>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x</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2" s="349" customFormat="1" ht="15.75" customHeight="1">
      <c r="A2363" s="334" t="str">
        <f>IF(B2363&lt;&gt;"",IF(AND(B2363='IN-TC'!$S$4,OR(TH!N2363="1111",TH!O2363="1111")),TH!D2363,""),"")</f>
        <v/>
      </c>
      <c r="B2363" s="63">
        <f t="shared" si="239"/>
        <v>7</v>
      </c>
      <c r="C2363" s="64">
        <v>42573</v>
      </c>
      <c r="D2363" s="64" t="s">
        <v>702</v>
      </c>
      <c r="E2363" s="64">
        <f t="shared" si="242"/>
        <v>42573</v>
      </c>
      <c r="F2363" s="72" t="s">
        <v>1782</v>
      </c>
      <c r="G2363" s="67" t="s">
        <v>1558</v>
      </c>
      <c r="H2363" s="963" t="s">
        <v>1875</v>
      </c>
      <c r="I2363" s="437"/>
      <c r="J2363" s="437"/>
      <c r="K2363" s="428"/>
      <c r="L2363" s="437"/>
      <c r="M2363" s="65">
        <v>5487768</v>
      </c>
      <c r="N2363" s="66" t="s">
        <v>99</v>
      </c>
      <c r="O2363" s="66" t="s">
        <v>26</v>
      </c>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x</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2" s="349" customFormat="1" ht="15.75" customHeight="1">
      <c r="A2364" s="334" t="str">
        <f>IF(B2364&lt;&gt;"",IF(AND(B2364='IN-TC'!$S$4,OR(TH!N2364="1111",TH!O2364="1111")),TH!D2364,""),"")</f>
        <v/>
      </c>
      <c r="B2364" s="63">
        <f t="shared" si="239"/>
        <v>7</v>
      </c>
      <c r="C2364" s="64">
        <v>42573</v>
      </c>
      <c r="D2364" s="64" t="s">
        <v>702</v>
      </c>
      <c r="E2364" s="64">
        <f t="shared" si="242"/>
        <v>42573</v>
      </c>
      <c r="F2364" s="72" t="s">
        <v>1782</v>
      </c>
      <c r="G2364" s="67" t="s">
        <v>1558</v>
      </c>
      <c r="H2364" s="963" t="s">
        <v>1875</v>
      </c>
      <c r="I2364" s="437"/>
      <c r="J2364" s="437"/>
      <c r="K2364" s="428"/>
      <c r="L2364" s="437"/>
      <c r="M2364" s="65">
        <v>6023160</v>
      </c>
      <c r="N2364" s="66" t="s">
        <v>99</v>
      </c>
      <c r="O2364" s="66" t="s">
        <v>26</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x</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2" ht="15.75" customHeight="1">
      <c r="A2365" s="334" t="str">
        <f>IF(B2365&lt;&gt;"",IF(AND(B2365='IN-TC'!$S$4,OR(TH!N2365="1111",TH!O2365="1111")),TH!D2365,""),"")</f>
        <v/>
      </c>
      <c r="B2365" s="63">
        <f t="shared" si="239"/>
        <v>7</v>
      </c>
      <c r="C2365" s="64">
        <v>42573</v>
      </c>
      <c r="D2365" s="64" t="s">
        <v>702</v>
      </c>
      <c r="E2365" s="64">
        <f t="shared" si="242"/>
        <v>42573</v>
      </c>
      <c r="F2365" s="72" t="s">
        <v>1782</v>
      </c>
      <c r="G2365" s="67" t="s">
        <v>1558</v>
      </c>
      <c r="H2365" s="963" t="s">
        <v>1875</v>
      </c>
      <c r="I2365" s="437"/>
      <c r="J2365" s="437"/>
      <c r="K2365" s="428"/>
      <c r="L2365" s="437"/>
      <c r="M2365" s="65">
        <v>4082364</v>
      </c>
      <c r="N2365" s="66" t="s">
        <v>99</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x</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c r="AE2365" s="349"/>
      <c r="AF2365" s="349"/>
    </row>
    <row r="2366" spans="1:32" s="1156" customFormat="1" ht="15.75" customHeight="1">
      <c r="A2366" s="334" t="str">
        <f>IF(B2366&lt;&gt;"",IF(AND(B2366='IN-TC'!$S$4,OR(TH!N2366="1111",TH!O2366="1111")),TH!D2366,""),"")</f>
        <v/>
      </c>
      <c r="B2366" s="63">
        <f t="shared" si="239"/>
        <v>7</v>
      </c>
      <c r="C2366" s="64">
        <v>42573</v>
      </c>
      <c r="D2366" s="64" t="s">
        <v>702</v>
      </c>
      <c r="E2366" s="64">
        <f t="shared" si="242"/>
        <v>42573</v>
      </c>
      <c r="F2366" s="72" t="s">
        <v>1782</v>
      </c>
      <c r="G2366" s="67" t="s">
        <v>1558</v>
      </c>
      <c r="H2366" s="963" t="s">
        <v>1875</v>
      </c>
      <c r="I2366" s="437"/>
      <c r="J2366" s="437"/>
      <c r="K2366" s="428"/>
      <c r="L2366" s="437"/>
      <c r="M2366" s="65">
        <v>5956236</v>
      </c>
      <c r="N2366" s="66" t="s">
        <v>99</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x</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c r="AE2366" s="349"/>
      <c r="AF2366" s="349"/>
    </row>
    <row r="2367" spans="1:32" ht="15.75" customHeight="1">
      <c r="A2367" s="334" t="str">
        <f>IF(B2367&lt;&gt;"",IF(AND(B2367='IN-TC'!$S$4,OR(TH!N2367="1111",TH!O2367="1111")),TH!D2367,""),"")</f>
        <v/>
      </c>
      <c r="B2367" s="63">
        <f t="shared" si="239"/>
        <v>7</v>
      </c>
      <c r="C2367" s="64">
        <v>42573</v>
      </c>
      <c r="D2367" s="64" t="s">
        <v>702</v>
      </c>
      <c r="E2367" s="64">
        <f t="shared" si="242"/>
        <v>42573</v>
      </c>
      <c r="F2367" s="72" t="s">
        <v>1791</v>
      </c>
      <c r="G2367" s="67" t="s">
        <v>1558</v>
      </c>
      <c r="H2367" s="72"/>
      <c r="I2367" s="437"/>
      <c r="J2367" s="437"/>
      <c r="K2367" s="428">
        <v>30.33</v>
      </c>
      <c r="L2367" s="437">
        <v>22330</v>
      </c>
      <c r="M2367" s="65">
        <f>ROUND(K2367*L2367,0)</f>
        <v>677269</v>
      </c>
      <c r="N2367" s="66" t="s">
        <v>101</v>
      </c>
      <c r="O2367" s="66" t="s">
        <v>266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c r="AE2367" s="349"/>
      <c r="AF2367" s="349"/>
    </row>
    <row r="2368" spans="1:32" ht="15.75" customHeight="1">
      <c r="A2368" s="334" t="str">
        <f>IF(B2368&lt;&gt;"",IF(AND(B2368='IN-TC'!$S$4,OR(TH!N2368="1111",TH!O2368="1111")),TH!D2368,""),"")</f>
        <v/>
      </c>
      <c r="B2368" s="63">
        <f t="shared" si="239"/>
        <v>7</v>
      </c>
      <c r="C2368" s="64">
        <v>42573</v>
      </c>
      <c r="D2368" s="64" t="s">
        <v>702</v>
      </c>
      <c r="E2368" s="64">
        <f t="shared" si="242"/>
        <v>42573</v>
      </c>
      <c r="F2368" s="72" t="s">
        <v>1775</v>
      </c>
      <c r="G2368" s="67" t="s">
        <v>1871</v>
      </c>
      <c r="H2368" s="72" t="s">
        <v>1776</v>
      </c>
      <c r="I2368" s="437"/>
      <c r="J2368" s="437"/>
      <c r="K2368" s="428"/>
      <c r="L2368" s="437"/>
      <c r="M2368" s="65">
        <v>32000000</v>
      </c>
      <c r="N2368" s="66" t="s">
        <v>26</v>
      </c>
      <c r="O2368" s="66" t="s">
        <v>26</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x</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c r="AE2368" s="349"/>
      <c r="AF2368" s="349"/>
    </row>
    <row r="2369" spans="1:32" ht="15.75" customHeight="1">
      <c r="A2369" s="334" t="str">
        <f>IF(B2369&lt;&gt;"",IF(AND(B2369='IN-TC'!$S$4,OR(TH!N2369="1111",TH!O2369="1111")),TH!D2369,""),"")</f>
        <v/>
      </c>
      <c r="B2369" s="63">
        <f t="shared" si="239"/>
        <v>7</v>
      </c>
      <c r="C2369" s="64">
        <v>42573</v>
      </c>
      <c r="D2369" s="64" t="s">
        <v>699</v>
      </c>
      <c r="E2369" s="64">
        <f t="shared" si="242"/>
        <v>42573</v>
      </c>
      <c r="F2369" s="72" t="s">
        <v>1777</v>
      </c>
      <c r="G2369" s="67" t="s">
        <v>915</v>
      </c>
      <c r="H2369" s="72" t="s">
        <v>1768</v>
      </c>
      <c r="I2369" s="437"/>
      <c r="J2369" s="437"/>
      <c r="K2369" s="428"/>
      <c r="L2369" s="437"/>
      <c r="M2369" s="65">
        <v>21828000</v>
      </c>
      <c r="N2369" s="66" t="s">
        <v>26</v>
      </c>
      <c r="O2369" s="66" t="s">
        <v>590</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2" ht="15.75" customHeight="1">
      <c r="A2370" s="334" t="str">
        <f>IF(B2370&lt;&gt;"",IF(AND(B2370='IN-TC'!$S$4,OR(TH!N2370="1111",TH!O2370="1111")),TH!D2370,""),"")</f>
        <v/>
      </c>
      <c r="B2370" s="63">
        <f t="shared" si="239"/>
        <v>7</v>
      </c>
      <c r="C2370" s="64">
        <v>42573</v>
      </c>
      <c r="D2370" s="64" t="s">
        <v>702</v>
      </c>
      <c r="E2370" s="64">
        <f t="shared" si="242"/>
        <v>42573</v>
      </c>
      <c r="F2370" s="72" t="s">
        <v>1443</v>
      </c>
      <c r="G2370" s="67" t="s">
        <v>915</v>
      </c>
      <c r="H2370" s="72" t="s">
        <v>1211</v>
      </c>
      <c r="I2370" s="437"/>
      <c r="J2370" s="437"/>
      <c r="K2370" s="428"/>
      <c r="L2370" s="437"/>
      <c r="M2370" s="65">
        <v>160000000</v>
      </c>
      <c r="N2370" s="66" t="s">
        <v>72</v>
      </c>
      <c r="O2370" s="66" t="s">
        <v>26</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2" s="1156" customFormat="1" ht="15.75" customHeight="1">
      <c r="A2371" s="334" t="str">
        <f>IF(B2371&lt;&gt;"",IF(AND(B2371='IN-TC'!$S$4,OR(TH!N2371="1111",TH!O2371="1111")),TH!D2371,""),"")</f>
        <v/>
      </c>
      <c r="B2371" s="63">
        <f t="shared" si="239"/>
        <v>7</v>
      </c>
      <c r="C2371" s="64">
        <v>42573</v>
      </c>
      <c r="D2371" s="64" t="s">
        <v>702</v>
      </c>
      <c r="E2371" s="64">
        <f t="shared" si="242"/>
        <v>42573</v>
      </c>
      <c r="F2371" s="72" t="s">
        <v>1773</v>
      </c>
      <c r="G2371" s="67" t="s">
        <v>915</v>
      </c>
      <c r="H2371" s="7" t="s">
        <v>630</v>
      </c>
      <c r="I2371" s="437"/>
      <c r="J2371" s="437"/>
      <c r="K2371" s="428"/>
      <c r="L2371" s="437"/>
      <c r="M2371" s="65">
        <v>40000000</v>
      </c>
      <c r="N2371" s="66" t="s">
        <v>8</v>
      </c>
      <c r="O2371" s="66" t="s">
        <v>26</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c r="AE2371" s="1136" t="str">
        <f>IF(H2371&lt;&gt;VLOOKUP(H2371,DSKH,1,0),"","x")</f>
        <v>x</v>
      </c>
      <c r="AF2371" s="328"/>
    </row>
    <row r="2372" spans="1:32" s="1156" customFormat="1" ht="15.75" customHeight="1">
      <c r="A2372" s="334" t="str">
        <f>IF(B2372&lt;&gt;"",IF(AND(B2372='IN-TC'!$S$4,OR(TH!N2372="1111",TH!O2372="1111")),TH!D2372,""),"")</f>
        <v/>
      </c>
      <c r="B2372" s="63">
        <f t="shared" si="239"/>
        <v>7</v>
      </c>
      <c r="C2372" s="64">
        <v>42573</v>
      </c>
      <c r="D2372" s="64" t="s">
        <v>702</v>
      </c>
      <c r="E2372" s="64">
        <f t="shared" si="242"/>
        <v>42573</v>
      </c>
      <c r="F2372" s="72" t="s">
        <v>1169</v>
      </c>
      <c r="G2372" s="67" t="s">
        <v>915</v>
      </c>
      <c r="H2372" s="72" t="s">
        <v>1794</v>
      </c>
      <c r="I2372" s="437"/>
      <c r="J2372" s="437"/>
      <c r="K2372" s="428"/>
      <c r="L2372" s="437"/>
      <c r="M2372" s="65">
        <v>20000</v>
      </c>
      <c r="N2372" s="66" t="s">
        <v>101</v>
      </c>
      <c r="O2372" s="66" t="s">
        <v>26</v>
      </c>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c r="AE2372" s="328"/>
      <c r="AF2372" s="328">
        <v>7</v>
      </c>
    </row>
    <row r="2373" spans="1:32" s="1156" customFormat="1" ht="15.75" customHeight="1">
      <c r="A2373" s="334" t="str">
        <f>IF(B2373&lt;&gt;"",IF(AND(B2373='IN-TC'!$S$4,OR(TH!N2373="1111",TH!O2373="1111")),TH!D2373,""),"")</f>
        <v/>
      </c>
      <c r="B2373" s="63">
        <f t="shared" si="239"/>
        <v>7</v>
      </c>
      <c r="C2373" s="64">
        <v>42573</v>
      </c>
      <c r="D2373" s="64" t="s">
        <v>702</v>
      </c>
      <c r="E2373" s="64">
        <f t="shared" si="242"/>
        <v>42573</v>
      </c>
      <c r="F2373" s="72" t="s">
        <v>1631</v>
      </c>
      <c r="G2373" s="67" t="s">
        <v>915</v>
      </c>
      <c r="H2373" s="72" t="s">
        <v>1794</v>
      </c>
      <c r="I2373" s="437"/>
      <c r="J2373" s="437"/>
      <c r="K2373" s="428"/>
      <c r="L2373" s="437"/>
      <c r="M2373" s="65">
        <v>2000</v>
      </c>
      <c r="N2373" s="66" t="s">
        <v>9</v>
      </c>
      <c r="O2373" s="66" t="s">
        <v>26</v>
      </c>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x</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c r="AE2373" s="328"/>
      <c r="AF2373" s="328">
        <v>7</v>
      </c>
    </row>
    <row r="2374" spans="1:32" s="1156" customFormat="1" ht="15.75" customHeight="1">
      <c r="A2374" s="334" t="str">
        <f>IF(B2374&lt;&gt;"",IF(AND(B2374='IN-TC'!$S$4,OR(TH!N2374="1111",TH!O2374="1111")),TH!D2374,""),"")</f>
        <v/>
      </c>
      <c r="B2374" s="63">
        <f t="shared" si="239"/>
        <v>7</v>
      </c>
      <c r="C2374" s="64">
        <v>42573</v>
      </c>
      <c r="D2374" s="64" t="s">
        <v>702</v>
      </c>
      <c r="E2374" s="64">
        <f t="shared" si="242"/>
        <v>42573</v>
      </c>
      <c r="F2374" s="72" t="s">
        <v>1774</v>
      </c>
      <c r="G2374" s="67" t="s">
        <v>915</v>
      </c>
      <c r="H2374" s="72" t="s">
        <v>629</v>
      </c>
      <c r="I2374" s="437"/>
      <c r="J2374" s="437"/>
      <c r="K2374" s="428"/>
      <c r="L2374" s="437"/>
      <c r="M2374" s="65">
        <v>20769870</v>
      </c>
      <c r="N2374" s="66" t="s">
        <v>8</v>
      </c>
      <c r="O2374" s="66" t="s">
        <v>26</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c r="AE2374" s="1136" t="str">
        <f>IF(H2374&lt;&gt;VLOOKUP(H2374,DSKH,1,0),"","x")</f>
        <v>x</v>
      </c>
      <c r="AF2374" s="328"/>
    </row>
    <row r="2375" spans="1:32" s="1156" customFormat="1" ht="15.75" customHeight="1">
      <c r="A2375" s="334" t="str">
        <f>IF(B2375&lt;&gt;"",IF(AND(B2375='IN-TC'!$S$4,OR(TH!N2375="1111",TH!O2375="1111")),TH!D2375,""),"")</f>
        <v/>
      </c>
      <c r="B2375" s="63">
        <f t="shared" si="239"/>
        <v>7</v>
      </c>
      <c r="C2375" s="64">
        <v>42573</v>
      </c>
      <c r="D2375" s="64" t="s">
        <v>702</v>
      </c>
      <c r="E2375" s="64">
        <f t="shared" si="242"/>
        <v>42573</v>
      </c>
      <c r="F2375" s="72" t="s">
        <v>1169</v>
      </c>
      <c r="G2375" s="67" t="s">
        <v>915</v>
      </c>
      <c r="H2375" s="72" t="s">
        <v>1794</v>
      </c>
      <c r="I2375" s="437"/>
      <c r="J2375" s="437"/>
      <c r="K2375" s="428"/>
      <c r="L2375" s="437"/>
      <c r="M2375" s="65">
        <v>24649</v>
      </c>
      <c r="N2375" s="66" t="s">
        <v>101</v>
      </c>
      <c r="O2375" s="66" t="s">
        <v>26</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c r="AE2375" s="328"/>
      <c r="AF2375" s="328">
        <v>7</v>
      </c>
    </row>
    <row r="2376" spans="1:32" s="1156" customFormat="1" ht="15.75" customHeight="1">
      <c r="A2376" s="334" t="str">
        <f>IF(B2376&lt;&gt;"",IF(AND(B2376='IN-TC'!$S$4,OR(TH!N2376="1111",TH!O2376="1111")),TH!D2376,""),"")</f>
        <v/>
      </c>
      <c r="B2376" s="63">
        <f t="shared" si="239"/>
        <v>7</v>
      </c>
      <c r="C2376" s="64">
        <v>42573</v>
      </c>
      <c r="D2376" s="64" t="s">
        <v>702</v>
      </c>
      <c r="E2376" s="64">
        <f t="shared" si="242"/>
        <v>42573</v>
      </c>
      <c r="F2376" s="72" t="s">
        <v>1631</v>
      </c>
      <c r="G2376" s="67" t="s">
        <v>915</v>
      </c>
      <c r="H2376" s="72" t="s">
        <v>1794</v>
      </c>
      <c r="I2376" s="437"/>
      <c r="J2376" s="437"/>
      <c r="K2376" s="428"/>
      <c r="L2376" s="437"/>
      <c r="M2376" s="65">
        <v>2851</v>
      </c>
      <c r="N2376" s="66" t="s">
        <v>9</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x</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c r="AE2376" s="328"/>
      <c r="AF2376" s="328">
        <v>7</v>
      </c>
    </row>
    <row r="2377" spans="1:32" s="1156" customFormat="1" ht="15.75" customHeight="1">
      <c r="A2377" s="334" t="str">
        <f>IF(B2377&lt;&gt;"",IF(AND(B2377='IN-TC'!$S$4,OR(TH!N2377="1111",TH!O2377="1111")),TH!D2377,""),"")</f>
        <v/>
      </c>
      <c r="B2377" s="63">
        <f t="shared" si="239"/>
        <v>7</v>
      </c>
      <c r="C2377" s="64">
        <v>42573</v>
      </c>
      <c r="D2377" s="64" t="s">
        <v>702</v>
      </c>
      <c r="E2377" s="64">
        <f t="shared" si="242"/>
        <v>42573</v>
      </c>
      <c r="F2377" s="72" t="s">
        <v>1169</v>
      </c>
      <c r="G2377" s="67" t="s">
        <v>915</v>
      </c>
      <c r="H2377" s="72" t="s">
        <v>1794</v>
      </c>
      <c r="I2377" s="437"/>
      <c r="J2377" s="437"/>
      <c r="K2377" s="428"/>
      <c r="L2377" s="437"/>
      <c r="M2377" s="65">
        <v>20000</v>
      </c>
      <c r="N2377" s="66" t="s">
        <v>101</v>
      </c>
      <c r="O2377" s="66" t="s">
        <v>26</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c r="AE2377" s="328"/>
      <c r="AF2377" s="328">
        <v>7</v>
      </c>
    </row>
    <row r="2378" spans="1:32" s="1156" customFormat="1" ht="15.75" customHeight="1">
      <c r="A2378" s="334" t="str">
        <f>IF(B2378&lt;&gt;"",IF(AND(B2378='IN-TC'!$S$4,OR(TH!N2378="1111",TH!O2378="1111")),TH!D2378,""),"")</f>
        <v/>
      </c>
      <c r="B2378" s="63">
        <f t="shared" si="239"/>
        <v>7</v>
      </c>
      <c r="C2378" s="64">
        <v>42573</v>
      </c>
      <c r="D2378" s="64" t="s">
        <v>702</v>
      </c>
      <c r="E2378" s="64">
        <f t="shared" si="242"/>
        <v>42573</v>
      </c>
      <c r="F2378" s="72" t="s">
        <v>1631</v>
      </c>
      <c r="G2378" s="67" t="s">
        <v>915</v>
      </c>
      <c r="H2378" s="72" t="s">
        <v>1794</v>
      </c>
      <c r="I2378" s="437"/>
      <c r="J2378" s="437"/>
      <c r="K2378" s="428"/>
      <c r="L2378" s="437"/>
      <c r="M2378" s="65">
        <v>2000</v>
      </c>
      <c r="N2378" s="66" t="s">
        <v>9</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x</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c r="AE2378" s="328"/>
      <c r="AF2378" s="328">
        <v>7</v>
      </c>
    </row>
    <row r="2379" spans="1:32" s="1156" customFormat="1" ht="15.75" customHeight="1">
      <c r="A2379" s="334" t="str">
        <f>IF(B2379&lt;&gt;"",IF(AND(B2379='IN-TC'!$S$4,OR(TH!N2379="1111",TH!O2379="1111")),TH!D2379,""),"")</f>
        <v/>
      </c>
      <c r="B2379" s="63">
        <f t="shared" si="239"/>
        <v>7</v>
      </c>
      <c r="C2379" s="64">
        <v>42574</v>
      </c>
      <c r="D2379" s="64" t="s">
        <v>913</v>
      </c>
      <c r="E2379" s="64">
        <f t="shared" si="242"/>
        <v>42574</v>
      </c>
      <c r="F2379" s="72" t="s">
        <v>1139</v>
      </c>
      <c r="G2379" s="67" t="s">
        <v>915</v>
      </c>
      <c r="H2379" s="72" t="s">
        <v>760</v>
      </c>
      <c r="I2379" s="437"/>
      <c r="J2379" s="437"/>
      <c r="K2379" s="428"/>
      <c r="L2379" s="437"/>
      <c r="M2379" s="65">
        <v>90000000</v>
      </c>
      <c r="N2379" s="66" t="s">
        <v>63</v>
      </c>
      <c r="O2379" s="66" t="s">
        <v>26</v>
      </c>
      <c r="P2379" s="82" t="str">
        <f>IF(AND('331-CT'!$E$7=TH!H2379,OR(N2379="331",O2379="331")),"x","")</f>
        <v/>
      </c>
      <c r="Q2379" s="82" t="str">
        <f>IF(AND(B2379='111'!$L$11,OR($N2379=$Q$7,$O2379=$Q$7)),"x","")</f>
        <v/>
      </c>
      <c r="R2379" s="82" t="str">
        <f>IF(AND($N2379=$Q$7,$B2379&lt;'111'!$L$11),"x","")</f>
        <v>x</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c r="AE2379" s="328"/>
      <c r="AF2379" s="328"/>
    </row>
    <row r="2380" spans="1:32" s="1156" customFormat="1" ht="15.75" customHeight="1">
      <c r="A2380" s="334" t="str">
        <f>IF(B2380&lt;&gt;"",IF(AND(B2380='IN-TC'!$S$4,OR(TH!N2380="1111",TH!O2380="1111")),TH!D2380,""),"")</f>
        <v/>
      </c>
      <c r="B2380" s="63">
        <f t="shared" si="239"/>
        <v>7</v>
      </c>
      <c r="C2380" s="64">
        <v>42574</v>
      </c>
      <c r="D2380" s="64" t="s">
        <v>699</v>
      </c>
      <c r="E2380" s="64">
        <f t="shared" si="242"/>
        <v>42574</v>
      </c>
      <c r="F2380" s="72" t="s">
        <v>1647</v>
      </c>
      <c r="G2380" s="67" t="s">
        <v>915</v>
      </c>
      <c r="H2380" s="72"/>
      <c r="I2380" s="437"/>
      <c r="J2380" s="437"/>
      <c r="K2380" s="428"/>
      <c r="L2380" s="437"/>
      <c r="M2380" s="65">
        <v>22662</v>
      </c>
      <c r="N2380" s="66" t="s">
        <v>26</v>
      </c>
      <c r="O2380" s="66" t="s">
        <v>43</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c r="AE2380" s="328"/>
      <c r="AF2380" s="328"/>
    </row>
    <row r="2381" spans="1:32" s="1156" customFormat="1" ht="15.75" customHeight="1">
      <c r="A2381" s="334" t="str">
        <f>IF(B2381&lt;&gt;"",IF(AND(B2381='IN-TC'!$S$4,OR(TH!N2381="1111",TH!O2381="1111")),TH!D2381,""),"")</f>
        <v/>
      </c>
      <c r="B2381" s="63">
        <f t="shared" ref="B2381:B2444" si="243">IF(C2381&lt;&gt;"",MONTH(C2381),"")</f>
        <v>7</v>
      </c>
      <c r="C2381" s="64">
        <v>42576</v>
      </c>
      <c r="D2381" s="64" t="s">
        <v>699</v>
      </c>
      <c r="E2381" s="64">
        <f t="shared" si="242"/>
        <v>42576</v>
      </c>
      <c r="F2381" s="72" t="s">
        <v>1647</v>
      </c>
      <c r="G2381" s="67" t="s">
        <v>1558</v>
      </c>
      <c r="H2381" s="72"/>
      <c r="I2381" s="437"/>
      <c r="J2381" s="437"/>
      <c r="K2381" s="428"/>
      <c r="L2381" s="437"/>
      <c r="M2381" s="65">
        <v>12388</v>
      </c>
      <c r="N2381" s="66" t="s">
        <v>26</v>
      </c>
      <c r="O2381" s="66" t="s">
        <v>43</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x</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c r="AE2381" s="349"/>
      <c r="AF2381" s="349"/>
    </row>
    <row r="2382" spans="1:32" s="1156" customFormat="1" ht="15.75" customHeight="1">
      <c r="A2382" s="334" t="str">
        <f>IF(B2382&lt;&gt;"",IF(AND(B2382='IN-TC'!$S$4,OR(TH!N2382="1111",TH!O2382="1111")),TH!D2382,""),"")</f>
        <v/>
      </c>
      <c r="B2382" s="63">
        <f t="shared" si="243"/>
        <v>7</v>
      </c>
      <c r="C2382" s="64">
        <v>42576</v>
      </c>
      <c r="D2382" s="64" t="s">
        <v>699</v>
      </c>
      <c r="E2382" s="64">
        <f t="shared" si="242"/>
        <v>42576</v>
      </c>
      <c r="F2382" s="72" t="s">
        <v>1783</v>
      </c>
      <c r="G2382" s="67" t="s">
        <v>1558</v>
      </c>
      <c r="H2382" s="72"/>
      <c r="I2382" s="437"/>
      <c r="J2382" s="437"/>
      <c r="K2382" s="428">
        <v>350</v>
      </c>
      <c r="L2382" s="437">
        <v>23287</v>
      </c>
      <c r="M2382" s="65">
        <f>ROUND(K2382*L2382,0)</f>
        <v>8150450</v>
      </c>
      <c r="N2382" s="66" t="s">
        <v>266</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x</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c r="AE2382" s="349"/>
      <c r="AF2382" s="349"/>
    </row>
    <row r="2383" spans="1:32" s="1156" customFormat="1" ht="15.75" customHeight="1">
      <c r="A2383" s="334" t="str">
        <f>IF(B2383&lt;&gt;"",IF(AND(B2383='IN-TC'!$S$4,OR(TH!N2383="1111",TH!O2383="1111")),TH!D2383,""),"")</f>
        <v/>
      </c>
      <c r="B2383" s="63">
        <f t="shared" si="243"/>
        <v>7</v>
      </c>
      <c r="C2383" s="64">
        <v>42576</v>
      </c>
      <c r="D2383" s="64" t="s">
        <v>702</v>
      </c>
      <c r="E2383" s="64">
        <f t="shared" si="242"/>
        <v>42576</v>
      </c>
      <c r="F2383" s="72" t="s">
        <v>1782</v>
      </c>
      <c r="G2383" s="67" t="s">
        <v>1558</v>
      </c>
      <c r="H2383" s="1150" t="s">
        <v>1879</v>
      </c>
      <c r="I2383" s="437"/>
      <c r="J2383" s="437"/>
      <c r="K2383" s="428">
        <v>360.96</v>
      </c>
      <c r="L2383" s="437">
        <v>22330</v>
      </c>
      <c r="M2383" s="65">
        <f>ROUND(K2383*L2383,0)</f>
        <v>8060237</v>
      </c>
      <c r="N2383" s="66" t="s">
        <v>99</v>
      </c>
      <c r="O2383" s="66" t="s">
        <v>266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c r="AE2383" s="349"/>
      <c r="AF2383" s="349"/>
    </row>
    <row r="2384" spans="1:32" s="1156" customFormat="1" ht="15.75" customHeight="1">
      <c r="A2384" s="334" t="str">
        <f>IF(B2384&lt;&gt;"",IF(AND(B2384='IN-TC'!$S$4,OR(TH!N2384="1111",TH!O2384="1111")),TH!D2384,""),"")</f>
        <v/>
      </c>
      <c r="B2384" s="63">
        <f t="shared" si="243"/>
        <v>7</v>
      </c>
      <c r="C2384" s="64">
        <v>42577</v>
      </c>
      <c r="D2384" s="64" t="s">
        <v>891</v>
      </c>
      <c r="E2384" s="64">
        <f t="shared" si="242"/>
        <v>42577</v>
      </c>
      <c r="F2384" s="72" t="s">
        <v>1730</v>
      </c>
      <c r="G2384" s="972" t="s">
        <v>1731</v>
      </c>
      <c r="H2384" s="72" t="s">
        <v>1033</v>
      </c>
      <c r="I2384" s="437"/>
      <c r="J2384" s="437"/>
      <c r="K2384" s="428"/>
      <c r="L2384" s="437"/>
      <c r="M2384" s="65">
        <v>5500000</v>
      </c>
      <c r="N2384" s="66" t="s">
        <v>101</v>
      </c>
      <c r="O2384" s="66" t="s">
        <v>63</v>
      </c>
      <c r="P2384" s="82" t="str">
        <f>IF(AND('331-CT'!$E$7=TH!H2384,OR(N2384="331",O2384="331")),"x","")</f>
        <v/>
      </c>
      <c r="Q2384" s="82" t="str">
        <f>IF(AND(B2384='111'!$L$11,OR($N2384=$Q$7,$O2384=$Q$7)),"x","")</f>
        <v/>
      </c>
      <c r="R2384" s="82" t="str">
        <f>IF(AND($N2384=$Q$7,$B2384&lt;'111'!$L$11),"x","")</f>
        <v/>
      </c>
      <c r="S2384" s="82" t="str">
        <f>IF(AND($O2384=$Q$7,$B2384&lt;'111'!$L$11),"x","")</f>
        <v>x</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c r="AE2384" s="328"/>
      <c r="AF2384" s="328"/>
    </row>
    <row r="2385" spans="1:32" s="1156" customFormat="1" ht="15.75" customHeight="1">
      <c r="A2385" s="334" t="str">
        <f>IF(B2385&lt;&gt;"",IF(AND(B2385='IN-TC'!$S$4,OR(TH!N2385="1111",TH!O2385="1111")),TH!D2385,""),"")</f>
        <v/>
      </c>
      <c r="B2385" s="63">
        <f t="shared" si="243"/>
        <v>7</v>
      </c>
      <c r="C2385" s="64">
        <v>42578</v>
      </c>
      <c r="D2385" s="64" t="s">
        <v>892</v>
      </c>
      <c r="E2385" s="64">
        <f t="shared" ref="E2385:E2396" si="244">C2385</f>
        <v>42578</v>
      </c>
      <c r="F2385" s="72" t="s">
        <v>1732</v>
      </c>
      <c r="G2385" s="972" t="s">
        <v>1735</v>
      </c>
      <c r="H2385" s="72" t="s">
        <v>836</v>
      </c>
      <c r="I2385" s="437"/>
      <c r="J2385" s="437"/>
      <c r="K2385" s="428"/>
      <c r="L2385" s="437"/>
      <c r="M2385" s="65">
        <v>16050000</v>
      </c>
      <c r="N2385" s="66" t="s">
        <v>101</v>
      </c>
      <c r="O2385" s="66" t="s">
        <v>63</v>
      </c>
      <c r="P2385" s="82" t="str">
        <f>IF(AND('331-CT'!$E$7=TH!H2385,OR(N2385="331",O2385="331")),"x","")</f>
        <v/>
      </c>
      <c r="Q2385" s="82" t="str">
        <f>IF(AND(B2385='111'!$L$11,OR($N2385=$Q$7,$O2385=$Q$7)),"x","")</f>
        <v/>
      </c>
      <c r="R2385" s="82" t="str">
        <f>IF(AND($N2385=$Q$7,$B2385&lt;'111'!$L$11),"x","")</f>
        <v/>
      </c>
      <c r="S2385" s="82" t="str">
        <f>IF(AND($O2385=$Q$7,$B2385&lt;'111'!$L$11),"x","")</f>
        <v>x</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c r="AE2385" s="328"/>
      <c r="AF2385" s="328">
        <v>7</v>
      </c>
    </row>
    <row r="2386" spans="1:32" s="349" customFormat="1" ht="15.75" customHeight="1">
      <c r="A2386" s="334" t="str">
        <f>IF(B2386&lt;&gt;"",IF(AND(B2386='IN-TC'!$S$4,OR(TH!N2386="1111",TH!O2386="1111")),TH!D2386,""),"")</f>
        <v/>
      </c>
      <c r="B2386" s="63">
        <f t="shared" si="243"/>
        <v>7</v>
      </c>
      <c r="C2386" s="64">
        <v>42578</v>
      </c>
      <c r="D2386" s="64" t="s">
        <v>892</v>
      </c>
      <c r="E2386" s="64">
        <f t="shared" si="244"/>
        <v>42578</v>
      </c>
      <c r="F2386" s="72" t="s">
        <v>1733</v>
      </c>
      <c r="G2386" s="972" t="s">
        <v>1735</v>
      </c>
      <c r="H2386" s="72" t="s">
        <v>836</v>
      </c>
      <c r="I2386" s="437"/>
      <c r="J2386" s="437"/>
      <c r="K2386" s="428"/>
      <c r="L2386" s="437"/>
      <c r="M2386" s="65">
        <v>1605000</v>
      </c>
      <c r="N2386" s="66" t="s">
        <v>9</v>
      </c>
      <c r="O2386" s="66" t="s">
        <v>63</v>
      </c>
      <c r="P2386" s="82" t="str">
        <f>IF(AND('331-CT'!$E$7=TH!H2386,OR(N2386="331",O2386="331")),"x","")</f>
        <v/>
      </c>
      <c r="Q2386" s="82" t="str">
        <f>IF(AND(B2386='111'!$L$11,OR($N2386=$Q$7,$O2386=$Q$7)),"x","")</f>
        <v/>
      </c>
      <c r="R2386" s="82" t="str">
        <f>IF(AND($N2386=$Q$7,$B2386&lt;'111'!$L$11),"x","")</f>
        <v/>
      </c>
      <c r="S2386" s="82" t="str">
        <f>IF(AND($O2386=$Q$7,$B2386&lt;'111'!$L$11),"x","")</f>
        <v>x</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x</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c r="AE2386" s="328"/>
      <c r="AF2386" s="328">
        <v>7</v>
      </c>
    </row>
    <row r="2387" spans="1:32" ht="15.75" customHeight="1">
      <c r="A2387" s="334" t="str">
        <f>IF(B2387&lt;&gt;"",IF(AND(B2387='IN-TC'!$S$4,OR(TH!N2387="1111",TH!O2387="1111")),TH!D2387,""),"")</f>
        <v/>
      </c>
      <c r="B2387" s="63">
        <f t="shared" si="243"/>
        <v>7</v>
      </c>
      <c r="C2387" s="64">
        <v>42578</v>
      </c>
      <c r="D2387" s="64" t="s">
        <v>699</v>
      </c>
      <c r="E2387" s="64">
        <f t="shared" si="244"/>
        <v>42578</v>
      </c>
      <c r="F2387" s="72" t="s">
        <v>1792</v>
      </c>
      <c r="G2387" s="67" t="s">
        <v>1558</v>
      </c>
      <c r="H2387" s="72"/>
      <c r="I2387" s="437"/>
      <c r="J2387" s="437"/>
      <c r="K2387" s="428">
        <v>15</v>
      </c>
      <c r="L2387" s="437">
        <v>22330</v>
      </c>
      <c r="M2387" s="65">
        <f>ROUND(K2387*L2387,0)</f>
        <v>334950</v>
      </c>
      <c r="N2387" s="66" t="s">
        <v>266</v>
      </c>
      <c r="O2387" s="66" t="s">
        <v>43</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c r="AE2387" s="349"/>
      <c r="AF2387" s="349"/>
    </row>
    <row r="2388" spans="1:32" s="1156" customFormat="1" ht="15.75" customHeight="1">
      <c r="A2388" s="334" t="str">
        <f>IF(B2388&lt;&gt;"",IF(AND(B2388='IN-TC'!$S$4,OR(TH!N2388="1111",TH!O2388="1111")),TH!D2388,""),"")</f>
        <v/>
      </c>
      <c r="B2388" s="63">
        <f t="shared" si="243"/>
        <v>7</v>
      </c>
      <c r="C2388" s="64">
        <v>42578</v>
      </c>
      <c r="D2388" s="64" t="s">
        <v>702</v>
      </c>
      <c r="E2388" s="64">
        <f t="shared" si="244"/>
        <v>42578</v>
      </c>
      <c r="F2388" s="72" t="s">
        <v>1782</v>
      </c>
      <c r="G2388" s="67" t="s">
        <v>1558</v>
      </c>
      <c r="H2388" s="1150" t="s">
        <v>1879</v>
      </c>
      <c r="I2388" s="437"/>
      <c r="J2388" s="437"/>
      <c r="K2388" s="428">
        <v>14.04</v>
      </c>
      <c r="L2388" s="437">
        <v>22330</v>
      </c>
      <c r="M2388" s="65">
        <f>ROUND(K2388*L2388,0)</f>
        <v>313513</v>
      </c>
      <c r="N2388" s="66" t="s">
        <v>99</v>
      </c>
      <c r="O2388" s="66" t="s">
        <v>266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c r="AE2388" s="349"/>
      <c r="AF2388" s="349"/>
    </row>
    <row r="2389" spans="1:32" s="1156" customFormat="1" ht="15.75" customHeight="1">
      <c r="A2389" s="334" t="str">
        <f>IF(B2389&lt;&gt;"",IF(AND(B2389='IN-TC'!$S$4,OR(TH!N2389="1111",TH!O2389="1111")),TH!D2389,""),"")</f>
        <v/>
      </c>
      <c r="B2389" s="63">
        <f t="shared" si="243"/>
        <v>7</v>
      </c>
      <c r="C2389" s="64">
        <v>42579</v>
      </c>
      <c r="D2389" s="64" t="s">
        <v>893</v>
      </c>
      <c r="E2389" s="64">
        <f t="shared" si="244"/>
        <v>42579</v>
      </c>
      <c r="F2389" s="72" t="s">
        <v>1010</v>
      </c>
      <c r="G2389" s="972" t="s">
        <v>1734</v>
      </c>
      <c r="H2389" s="72" t="s">
        <v>805</v>
      </c>
      <c r="I2389" s="437"/>
      <c r="J2389" s="437"/>
      <c r="K2389" s="428"/>
      <c r="L2389" s="437"/>
      <c r="M2389" s="65">
        <v>1491654</v>
      </c>
      <c r="N2389" s="66" t="s">
        <v>101</v>
      </c>
      <c r="O2389" s="66" t="s">
        <v>63</v>
      </c>
      <c r="P2389" s="82" t="str">
        <f>IF(AND('331-CT'!$E$7=TH!H2389,OR(N2389="331",O2389="331")),"x","")</f>
        <v/>
      </c>
      <c r="Q2389" s="82" t="str">
        <f>IF(AND(B2389='111'!$L$11,OR($N2389=$Q$7,$O2389=$Q$7)),"x","")</f>
        <v/>
      </c>
      <c r="R2389" s="82" t="str">
        <f>IF(AND($N2389=$Q$7,$B2389&lt;'111'!$L$11),"x","")</f>
        <v/>
      </c>
      <c r="S2389" s="82" t="str">
        <f>IF(AND($O2389=$Q$7,$B2389&lt;'111'!$L$11),"x","")</f>
        <v>x</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c r="AE2389" s="328"/>
      <c r="AF2389" s="328">
        <v>7</v>
      </c>
    </row>
    <row r="2390" spans="1:32" s="1156" customFormat="1" ht="15.75" customHeight="1">
      <c r="A2390" s="334" t="str">
        <f>IF(B2390&lt;&gt;"",IF(AND(B2390='IN-TC'!$S$4,OR(TH!N2390="1111",TH!O2390="1111")),TH!D2390,""),"")</f>
        <v/>
      </c>
      <c r="B2390" s="63">
        <f t="shared" si="243"/>
        <v>7</v>
      </c>
      <c r="C2390" s="64">
        <v>42579</v>
      </c>
      <c r="D2390" s="64" t="s">
        <v>893</v>
      </c>
      <c r="E2390" s="64">
        <f t="shared" si="244"/>
        <v>42579</v>
      </c>
      <c r="F2390" s="72" t="s">
        <v>1011</v>
      </c>
      <c r="G2390" s="972" t="s">
        <v>1734</v>
      </c>
      <c r="H2390" s="72" t="s">
        <v>805</v>
      </c>
      <c r="I2390" s="437"/>
      <c r="J2390" s="437"/>
      <c r="K2390" s="428"/>
      <c r="L2390" s="437"/>
      <c r="M2390" s="65">
        <v>149166</v>
      </c>
      <c r="N2390" s="66" t="s">
        <v>9</v>
      </c>
      <c r="O2390" s="66" t="s">
        <v>63</v>
      </c>
      <c r="P2390" s="82" t="str">
        <f>IF(AND('331-CT'!$E$7=TH!H2390,OR(N2390="331",O2390="331")),"x","")</f>
        <v/>
      </c>
      <c r="Q2390" s="82" t="str">
        <f>IF(AND(B2390='111'!$L$11,OR($N2390=$Q$7,$O2390=$Q$7)),"x","")</f>
        <v/>
      </c>
      <c r="R2390" s="82" t="str">
        <f>IF(AND($N2390=$Q$7,$B2390&lt;'111'!$L$11),"x","")</f>
        <v/>
      </c>
      <c r="S2390" s="82" t="str">
        <f>IF(AND($O2390=$Q$7,$B2390&lt;'111'!$L$11),"x","")</f>
        <v>x</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x</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c r="AE2390" s="328"/>
      <c r="AF2390" s="328">
        <v>7</v>
      </c>
    </row>
    <row r="2391" spans="1:32" s="1156" customFormat="1" ht="15.75" customHeight="1">
      <c r="A2391" s="334" t="str">
        <f>IF(B2391&lt;&gt;"",IF(AND(B2391='IN-TC'!$S$4,OR(TH!N2391="1111",TH!O2391="1111")),TH!D2391,""),"")</f>
        <v/>
      </c>
      <c r="B2391" s="63">
        <f t="shared" si="243"/>
        <v>7</v>
      </c>
      <c r="C2391" s="64">
        <v>42579</v>
      </c>
      <c r="D2391" s="64" t="s">
        <v>894</v>
      </c>
      <c r="E2391" s="64">
        <f t="shared" si="244"/>
        <v>42579</v>
      </c>
      <c r="F2391" s="72" t="s">
        <v>1693</v>
      </c>
      <c r="G2391" s="972" t="s">
        <v>1736</v>
      </c>
      <c r="H2391" s="72" t="s">
        <v>828</v>
      </c>
      <c r="I2391" s="437"/>
      <c r="J2391" s="437"/>
      <c r="K2391" s="428"/>
      <c r="L2391" s="437"/>
      <c r="M2391" s="65">
        <v>360000</v>
      </c>
      <c r="N2391" s="66" t="s">
        <v>101</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c r="AE2391" s="328"/>
      <c r="AF2391" s="328">
        <v>7</v>
      </c>
    </row>
    <row r="2392" spans="1:32" s="1156" customFormat="1" ht="15.75" customHeight="1">
      <c r="A2392" s="334" t="str">
        <f>IF(B2392&lt;&gt;"",IF(AND(B2392='IN-TC'!$S$4,OR(TH!N2392="1111",TH!O2392="1111")),TH!D2392,""),"")</f>
        <v/>
      </c>
      <c r="B2392" s="63">
        <f t="shared" si="243"/>
        <v>7</v>
      </c>
      <c r="C2392" s="64">
        <v>42579</v>
      </c>
      <c r="D2392" s="64" t="s">
        <v>894</v>
      </c>
      <c r="E2392" s="64">
        <f t="shared" si="244"/>
        <v>42579</v>
      </c>
      <c r="F2392" s="72" t="s">
        <v>1529</v>
      </c>
      <c r="G2392" s="972" t="s">
        <v>1736</v>
      </c>
      <c r="H2392" s="72" t="s">
        <v>828</v>
      </c>
      <c r="I2392" s="437"/>
      <c r="J2392" s="437"/>
      <c r="K2392" s="428"/>
      <c r="L2392" s="437"/>
      <c r="M2392" s="65">
        <v>18000</v>
      </c>
      <c r="N2392" s="66" t="s">
        <v>9</v>
      </c>
      <c r="O2392" s="66" t="s">
        <v>63</v>
      </c>
      <c r="P2392" s="82" t="str">
        <f>IF(AND('331-CT'!$E$7=TH!H2392,OR(N2392="331",O2392="331")),"x","")</f>
        <v/>
      </c>
      <c r="Q2392" s="82" t="str">
        <f>IF(AND(B2392='111'!$L$11,OR($N2392=$Q$7,$O2392=$Q$7)),"x","")</f>
        <v/>
      </c>
      <c r="R2392" s="82" t="str">
        <f>IF(AND($N2392=$Q$7,$B2392&lt;'111'!$L$11),"x","")</f>
        <v/>
      </c>
      <c r="S2392" s="82" t="str">
        <f>IF(AND($O2392=$Q$7,$B2392&lt;'111'!$L$11),"x","")</f>
        <v>x</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x</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c r="AE2392" s="328"/>
      <c r="AF2392" s="328">
        <v>7</v>
      </c>
    </row>
    <row r="2393" spans="1:32" s="1156" customFormat="1" ht="15.75" customHeight="1">
      <c r="A2393" s="334" t="str">
        <f>IF(B2393&lt;&gt;"",IF(AND(B2393='IN-TC'!$S$4,OR(TH!N2393="1111",TH!O2393="1111")),TH!D2393,""),"")</f>
        <v/>
      </c>
      <c r="B2393" s="63">
        <f t="shared" si="243"/>
        <v>7</v>
      </c>
      <c r="C2393" s="64">
        <v>42580</v>
      </c>
      <c r="D2393" s="64" t="s">
        <v>895</v>
      </c>
      <c r="E2393" s="64">
        <f t="shared" si="244"/>
        <v>42580</v>
      </c>
      <c r="F2393" s="72" t="s">
        <v>1737</v>
      </c>
      <c r="G2393" s="972" t="s">
        <v>1739</v>
      </c>
      <c r="H2393" s="72" t="s">
        <v>1740</v>
      </c>
      <c r="I2393" s="437"/>
      <c r="J2393" s="437"/>
      <c r="K2393" s="428"/>
      <c r="L2393" s="437"/>
      <c r="M2393" s="65">
        <v>1939361</v>
      </c>
      <c r="N2393" s="66" t="s">
        <v>101</v>
      </c>
      <c r="O2393" s="66" t="s">
        <v>63</v>
      </c>
      <c r="P2393" s="82" t="str">
        <f>IF(AND('331-CT'!$E$7=TH!H2393,OR(N2393="331",O2393="331")),"x","")</f>
        <v/>
      </c>
      <c r="Q2393" s="82" t="str">
        <f>IF(AND(B2393='111'!$L$11,OR($N2393=$Q$7,$O2393=$Q$7)),"x","")</f>
        <v/>
      </c>
      <c r="R2393" s="82" t="str">
        <f>IF(AND($N2393=$Q$7,$B2393&lt;'111'!$L$11),"x","")</f>
        <v/>
      </c>
      <c r="S2393" s="82" t="str">
        <f>IF(AND($O2393=$Q$7,$B2393&lt;'111'!$L$11),"x","")</f>
        <v>x</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c r="AE2393" s="328"/>
      <c r="AF2393" s="328">
        <v>7</v>
      </c>
    </row>
    <row r="2394" spans="1:32" s="1156" customFormat="1" ht="15.75" customHeight="1">
      <c r="A2394" s="334" t="str">
        <f>IF(B2394&lt;&gt;"",IF(AND(B2394='IN-TC'!$S$4,OR(TH!N2394="1111",TH!O2394="1111")),TH!D2394,""),"")</f>
        <v/>
      </c>
      <c r="B2394" s="63">
        <f t="shared" si="243"/>
        <v>7</v>
      </c>
      <c r="C2394" s="64">
        <v>42580</v>
      </c>
      <c r="D2394" s="64" t="s">
        <v>895</v>
      </c>
      <c r="E2394" s="64">
        <f t="shared" si="244"/>
        <v>42580</v>
      </c>
      <c r="F2394" s="72" t="s">
        <v>1738</v>
      </c>
      <c r="G2394" s="972" t="s">
        <v>1739</v>
      </c>
      <c r="H2394" s="72" t="s">
        <v>1740</v>
      </c>
      <c r="I2394" s="437"/>
      <c r="J2394" s="437"/>
      <c r="K2394" s="428"/>
      <c r="L2394" s="437"/>
      <c r="M2394" s="65">
        <v>193936</v>
      </c>
      <c r="N2394" s="66" t="s">
        <v>9</v>
      </c>
      <c r="O2394" s="66" t="s">
        <v>63</v>
      </c>
      <c r="P2394" s="82" t="str">
        <f>IF(AND('331-CT'!$E$7=TH!H2394,OR(N2394="331",O2394="331")),"x","")</f>
        <v/>
      </c>
      <c r="Q2394" s="82" t="str">
        <f>IF(AND(B2394='111'!$L$11,OR($N2394=$Q$7,$O2394=$Q$7)),"x","")</f>
        <v/>
      </c>
      <c r="R2394" s="82" t="str">
        <f>IF(AND($N2394=$Q$7,$B2394&lt;'111'!$L$11),"x","")</f>
        <v/>
      </c>
      <c r="S2394" s="82" t="str">
        <f>IF(AND($O2394=$Q$7,$B2394&lt;'111'!$L$11),"x","")</f>
        <v>x</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x</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c r="AE2394" s="328"/>
      <c r="AF2394" s="328">
        <v>7</v>
      </c>
    </row>
    <row r="2395" spans="1:32" s="1156" customFormat="1" ht="15.75" customHeight="1">
      <c r="A2395" s="334" t="str">
        <f>IF(B2395&lt;&gt;"",IF(AND(B2395='IN-TC'!$S$4,OR(TH!N2395="1111",TH!O2395="1111")),TH!D2395,""),"")</f>
        <v/>
      </c>
      <c r="B2395" s="63">
        <f t="shared" si="243"/>
        <v>7</v>
      </c>
      <c r="C2395" s="64">
        <v>42582</v>
      </c>
      <c r="D2395" s="64" t="s">
        <v>896</v>
      </c>
      <c r="E2395" s="64">
        <f t="shared" si="244"/>
        <v>42582</v>
      </c>
      <c r="F2395" s="72" t="s">
        <v>1107</v>
      </c>
      <c r="G2395" s="972" t="s">
        <v>1741</v>
      </c>
      <c r="H2395" s="72" t="s">
        <v>805</v>
      </c>
      <c r="I2395" s="437"/>
      <c r="J2395" s="437"/>
      <c r="K2395" s="428"/>
      <c r="L2395" s="437"/>
      <c r="M2395" s="65">
        <v>683636</v>
      </c>
      <c r="N2395" s="66" t="s">
        <v>101</v>
      </c>
      <c r="O2395" s="66" t="s">
        <v>63</v>
      </c>
      <c r="P2395" s="82" t="str">
        <f>IF(AND('331-CT'!$E$7=TH!H2395,OR(N2395="331",O2395="331")),"x","")</f>
        <v/>
      </c>
      <c r="Q2395" s="82" t="str">
        <f>IF(AND(B2395='111'!$L$11,OR($N2395=$Q$7,$O2395=$Q$7)),"x","")</f>
        <v/>
      </c>
      <c r="R2395" s="82" t="str">
        <f>IF(AND($N2395=$Q$7,$B2395&lt;'111'!$L$11),"x","")</f>
        <v/>
      </c>
      <c r="S2395" s="82" t="str">
        <f>IF(AND($O2395=$Q$7,$B2395&lt;'111'!$L$11),"x","")</f>
        <v>x</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c r="AE2395" s="328"/>
      <c r="AF2395" s="328">
        <v>7</v>
      </c>
    </row>
    <row r="2396" spans="1:32" s="1156" customFormat="1" ht="15.75" customHeight="1">
      <c r="A2396" s="334" t="str">
        <f>IF(B2396&lt;&gt;"",IF(AND(B2396='IN-TC'!$S$4,OR(TH!N2396="1111",TH!O2396="1111")),TH!D2396,""),"")</f>
        <v/>
      </c>
      <c r="B2396" s="63">
        <f t="shared" si="243"/>
        <v>7</v>
      </c>
      <c r="C2396" s="64">
        <v>42582</v>
      </c>
      <c r="D2396" s="64" t="s">
        <v>896</v>
      </c>
      <c r="E2396" s="64">
        <f t="shared" si="244"/>
        <v>42582</v>
      </c>
      <c r="F2396" s="72" t="s">
        <v>1337</v>
      </c>
      <c r="G2396" s="972" t="s">
        <v>1741</v>
      </c>
      <c r="H2396" s="72" t="s">
        <v>805</v>
      </c>
      <c r="I2396" s="437"/>
      <c r="J2396" s="437"/>
      <c r="K2396" s="428"/>
      <c r="L2396" s="437"/>
      <c r="M2396" s="65">
        <v>68364</v>
      </c>
      <c r="N2396" s="66" t="s">
        <v>9</v>
      </c>
      <c r="O2396" s="66" t="s">
        <v>63</v>
      </c>
      <c r="P2396" s="82" t="str">
        <f>IF(AND('331-CT'!$E$7=TH!H2396,OR(N2396="331",O2396="331")),"x","")</f>
        <v/>
      </c>
      <c r="Q2396" s="82" t="str">
        <f>IF(AND(B2396='111'!$L$11,OR($N2396=$Q$7,$O2396=$Q$7)),"x","")</f>
        <v/>
      </c>
      <c r="R2396" s="82" t="str">
        <f>IF(AND($N2396=$Q$7,$B2396&lt;'111'!$L$11),"x","")</f>
        <v/>
      </c>
      <c r="S2396" s="82" t="str">
        <f>IF(AND($O2396=$Q$7,$B2396&lt;'111'!$L$11),"x","")</f>
        <v>x</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x</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c r="AE2396" s="328"/>
      <c r="AF2396" s="328">
        <v>7</v>
      </c>
    </row>
    <row r="2397" spans="1:32" s="349" customFormat="1" ht="15.75" customHeight="1">
      <c r="A2397" s="334" t="str">
        <f>IF(B2397&lt;&gt;"",IF(AND(B2397='IN-TC'!$S$4,OR(TH!N2397="1111",TH!O2397="1111")),TH!D2397,""),"")</f>
        <v/>
      </c>
      <c r="B2397" s="63">
        <f t="shared" si="243"/>
        <v>7</v>
      </c>
      <c r="C2397" s="64">
        <v>42582</v>
      </c>
      <c r="D2397" s="64" t="s">
        <v>897</v>
      </c>
      <c r="E2397" s="64">
        <v>42558</v>
      </c>
      <c r="F2397" s="72" t="s">
        <v>784</v>
      </c>
      <c r="G2397" s="972" t="s">
        <v>1753</v>
      </c>
      <c r="H2397" s="72" t="s">
        <v>823</v>
      </c>
      <c r="I2397" s="437"/>
      <c r="J2397" s="437"/>
      <c r="K2397" s="428"/>
      <c r="L2397" s="437"/>
      <c r="M2397" s="65">
        <v>3325000</v>
      </c>
      <c r="N2397" s="66" t="s">
        <v>101</v>
      </c>
      <c r="O2397" s="66" t="s">
        <v>63</v>
      </c>
      <c r="P2397" s="82" t="str">
        <f>IF(AND('331-CT'!$E$7=TH!H2397,OR(N2397="331",O2397="331")),"x","")</f>
        <v/>
      </c>
      <c r="Q2397" s="82" t="str">
        <f>IF(AND(B2397='111'!$L$11,OR($N2397=$Q$7,$O2397=$Q$7)),"x","")</f>
        <v/>
      </c>
      <c r="R2397" s="82" t="str">
        <f>IF(AND($N2397=$Q$7,$B2397&lt;'111'!$L$11),"x","")</f>
        <v/>
      </c>
      <c r="S2397" s="82" t="str">
        <f>IF(AND($O2397=$Q$7,$B2397&lt;'111'!$L$11),"x","")</f>
        <v>x</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c r="AE2397" s="1136" t="e">
        <f>IF(H2397&lt;&gt;VLOOKUP(H2397,DSKH,1,0),"","x")</f>
        <v>#N/A</v>
      </c>
      <c r="AF2397" s="349">
        <v>7</v>
      </c>
    </row>
    <row r="2398" spans="1:32" s="349" customFormat="1" ht="15.75" customHeight="1">
      <c r="A2398" s="334" t="str">
        <f>IF(B2398&lt;&gt;"",IF(AND(B2398='IN-TC'!$S$4,OR(TH!N2398="1111",TH!O2398="1111")),TH!D2398,""),"")</f>
        <v/>
      </c>
      <c r="B2398" s="63">
        <f t="shared" si="243"/>
        <v>7</v>
      </c>
      <c r="C2398" s="64">
        <v>42582</v>
      </c>
      <c r="D2398" s="64" t="s">
        <v>897</v>
      </c>
      <c r="E2398" s="64">
        <v>42558</v>
      </c>
      <c r="F2398" s="72" t="s">
        <v>785</v>
      </c>
      <c r="G2398" s="972" t="s">
        <v>1753</v>
      </c>
      <c r="H2398" s="72" t="s">
        <v>823</v>
      </c>
      <c r="I2398" s="437"/>
      <c r="J2398" s="437"/>
      <c r="K2398" s="428"/>
      <c r="L2398" s="437"/>
      <c r="M2398" s="65">
        <v>332500</v>
      </c>
      <c r="N2398" s="66" t="s">
        <v>9</v>
      </c>
      <c r="O2398" s="66" t="s">
        <v>63</v>
      </c>
      <c r="P2398" s="82" t="str">
        <f>IF(AND('331-CT'!$E$7=TH!H2398,OR(N2398="331",O2398="331")),"x","")</f>
        <v/>
      </c>
      <c r="Q2398" s="82" t="str">
        <f>IF(AND(B2398='111'!$L$11,OR($N2398=$Q$7,$O2398=$Q$7)),"x","")</f>
        <v/>
      </c>
      <c r="R2398" s="82" t="str">
        <f>IF(AND($N2398=$Q$7,$B2398&lt;'111'!$L$11),"x","")</f>
        <v/>
      </c>
      <c r="S2398" s="82" t="str">
        <f>IF(AND($O2398=$Q$7,$B2398&lt;'111'!$L$11),"x","")</f>
        <v>x</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x</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c r="AE2398" s="1136" t="e">
        <f>IF(H2398&lt;&gt;VLOOKUP(H2398,DSKH,1,0),"","x")</f>
        <v>#N/A</v>
      </c>
      <c r="AF2398" s="349">
        <v>7</v>
      </c>
    </row>
    <row r="2399" spans="1:32" ht="15.75" customHeight="1">
      <c r="A2399" s="334" t="str">
        <f>IF(B2399&lt;&gt;"",IF(AND(B2399='IN-TC'!$S$4,OR(TH!N2399="1111",TH!O2399="1111")),TH!D2399,""),"")</f>
        <v/>
      </c>
      <c r="B2399" s="63">
        <f t="shared" si="243"/>
        <v>7</v>
      </c>
      <c r="C2399" s="64">
        <v>42582</v>
      </c>
      <c r="D2399" s="64" t="s">
        <v>898</v>
      </c>
      <c r="E2399" s="64">
        <f>C2399</f>
        <v>42582</v>
      </c>
      <c r="F2399" s="72" t="s">
        <v>1743</v>
      </c>
      <c r="G2399" s="972"/>
      <c r="H2399" s="72" t="s">
        <v>1356</v>
      </c>
      <c r="I2399" s="437"/>
      <c r="J2399" s="437"/>
      <c r="K2399" s="428"/>
      <c r="L2399" s="437"/>
      <c r="M2399" s="65">
        <v>2027273</v>
      </c>
      <c r="N2399" s="66" t="s">
        <v>101</v>
      </c>
      <c r="O2399" s="66" t="s">
        <v>63</v>
      </c>
      <c r="P2399" s="82" t="str">
        <f>IF(AND('331-CT'!$E$7=TH!H2399,OR(N2399="331",O2399="331")),"x","")</f>
        <v/>
      </c>
      <c r="Q2399" s="82" t="str">
        <f>IF(AND(B2399='111'!$L$11,OR($N2399=$Q$7,$O2399=$Q$7)),"x","")</f>
        <v/>
      </c>
      <c r="R2399" s="82" t="str">
        <f>IF(AND($N2399=$Q$7,$B2399&lt;'111'!$L$11),"x","")</f>
        <v/>
      </c>
      <c r="S2399" s="82" t="str">
        <f>IF(AND($O2399=$Q$7,$B2399&lt;'111'!$L$11),"x","")</f>
        <v>x</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c r="AF2399" s="328">
        <v>7</v>
      </c>
    </row>
    <row r="2400" spans="1:32" ht="15.75" customHeight="1">
      <c r="A2400" s="334" t="str">
        <f>IF(B2400&lt;&gt;"",IF(AND(B2400='IN-TC'!$S$4,OR(TH!N2400="1111",TH!O2400="1111")),TH!D2400,""),"")</f>
        <v/>
      </c>
      <c r="B2400" s="63">
        <f t="shared" si="243"/>
        <v>7</v>
      </c>
      <c r="C2400" s="64">
        <v>42582</v>
      </c>
      <c r="D2400" s="64" t="s">
        <v>898</v>
      </c>
      <c r="E2400" s="64">
        <f>C2400</f>
        <v>42582</v>
      </c>
      <c r="F2400" s="72" t="s">
        <v>1744</v>
      </c>
      <c r="G2400" s="972"/>
      <c r="H2400" s="72" t="s">
        <v>1356</v>
      </c>
      <c r="I2400" s="437"/>
      <c r="J2400" s="437"/>
      <c r="K2400" s="428"/>
      <c r="L2400" s="437"/>
      <c r="M2400" s="65">
        <v>202727</v>
      </c>
      <c r="N2400" s="66" t="s">
        <v>9</v>
      </c>
      <c r="O2400" s="66" t="s">
        <v>63</v>
      </c>
      <c r="P2400" s="82" t="str">
        <f>IF(AND('331-CT'!$E$7=TH!H2400,OR(N2400="331",O2400="331")),"x","")</f>
        <v/>
      </c>
      <c r="Q2400" s="82" t="str">
        <f>IF(AND(B2400='111'!$L$11,OR($N2400=$Q$7,$O2400=$Q$7)),"x","")</f>
        <v/>
      </c>
      <c r="R2400" s="82" t="str">
        <f>IF(AND($N2400=$Q$7,$B2400&lt;'111'!$L$11),"x","")</f>
        <v/>
      </c>
      <c r="S2400" s="82" t="str">
        <f>IF(AND($O2400=$Q$7,$B2400&lt;'111'!$L$11),"x","")</f>
        <v>x</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x</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c r="AF2400" s="328">
        <v>7</v>
      </c>
    </row>
    <row r="2401" spans="1:32" s="348" customFormat="1" ht="15.75" customHeight="1">
      <c r="A2401" s="1229" t="str">
        <f>IF(B2401&lt;&gt;"",IF(AND(B2401='IN-TC'!$S$4,OR(TH!N2401="1111",TH!O2401="1111")),TH!D2401,""),"")</f>
        <v/>
      </c>
      <c r="B2401" s="1134">
        <f t="shared" si="243"/>
        <v>7</v>
      </c>
      <c r="C2401" s="92">
        <v>42582</v>
      </c>
      <c r="D2401" s="92" t="s">
        <v>900</v>
      </c>
      <c r="E2401" s="92">
        <f>C2401</f>
        <v>42582</v>
      </c>
      <c r="F2401" s="94" t="s">
        <v>1742</v>
      </c>
      <c r="G2401" s="1138"/>
      <c r="H2401" s="94" t="s">
        <v>845</v>
      </c>
      <c r="I2401" s="443"/>
      <c r="J2401" s="443"/>
      <c r="K2401" s="434"/>
      <c r="L2401" s="443"/>
      <c r="M2401" s="95">
        <v>147048005</v>
      </c>
      <c r="N2401" s="83" t="s">
        <v>589</v>
      </c>
      <c r="O2401" s="83"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2" s="345" customFormat="1" ht="15.75" customHeight="1">
      <c r="A2402" s="334" t="str">
        <f>IF(B2402&lt;&gt;"",IF(AND(B2402='IN-TC'!$S$4,OR(TH!N2402="1111",TH!O2402="1111")),TH!D2402,""),"")</f>
        <v/>
      </c>
      <c r="B2402" s="993">
        <f t="shared" si="243"/>
        <v>7</v>
      </c>
      <c r="C2402" s="78">
        <v>42582</v>
      </c>
      <c r="D2402" s="78" t="s">
        <v>579</v>
      </c>
      <c r="E2402" s="78">
        <v>42538</v>
      </c>
      <c r="F2402" s="72" t="s">
        <v>1500</v>
      </c>
      <c r="G2402" s="975" t="s">
        <v>1983</v>
      </c>
      <c r="H2402" s="80" t="s">
        <v>1771</v>
      </c>
      <c r="I2402" s="435"/>
      <c r="J2402" s="435"/>
      <c r="K2402" s="426"/>
      <c r="L2402" s="435"/>
      <c r="M2402" s="81">
        <v>7815500</v>
      </c>
      <c r="N2402" s="82" t="s">
        <v>588</v>
      </c>
      <c r="O2402" s="82" t="s">
        <v>8</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341" t="str">
        <f t="shared" ref="AE2402:AE2429" si="245">IF(H2402&lt;&gt;VLOOKUP(H2402,DSKH,1,0),"","x")</f>
        <v>x</v>
      </c>
      <c r="AF2402" s="328">
        <v>7</v>
      </c>
    </row>
    <row r="2403" spans="1:32" s="345" customFormat="1" ht="15.75" customHeight="1">
      <c r="A2403" s="334" t="str">
        <f>IF(B2403&lt;&gt;"",IF(AND(B2403='IN-TC'!$S$4,OR(TH!N2403="1111",TH!O2403="1111")),TH!D2403,""),"")</f>
        <v/>
      </c>
      <c r="B2403" s="993">
        <f t="shared" si="243"/>
        <v>7</v>
      </c>
      <c r="C2403" s="78">
        <v>42582</v>
      </c>
      <c r="D2403" s="78" t="s">
        <v>579</v>
      </c>
      <c r="E2403" s="78">
        <v>42538</v>
      </c>
      <c r="F2403" s="72" t="s">
        <v>1590</v>
      </c>
      <c r="G2403" s="975" t="s">
        <v>1984</v>
      </c>
      <c r="H2403" s="80" t="s">
        <v>1771</v>
      </c>
      <c r="I2403" s="435"/>
      <c r="J2403" s="435"/>
      <c r="K2403" s="426"/>
      <c r="L2403" s="435"/>
      <c r="M2403" s="81">
        <v>3669890</v>
      </c>
      <c r="N2403" s="82" t="s">
        <v>588</v>
      </c>
      <c r="O2403" s="82" t="s">
        <v>8</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c r="AE2403" s="341" t="str">
        <f t="shared" si="245"/>
        <v>x</v>
      </c>
      <c r="AF2403" s="328">
        <v>7</v>
      </c>
    </row>
    <row r="2404" spans="1:32" s="345" customFormat="1" ht="15.75" customHeight="1">
      <c r="A2404" s="334" t="str">
        <f>IF(B2404&lt;&gt;"",IF(AND(B2404='IN-TC'!$S$4,OR(TH!N2404="1111",TH!O2404="1111")),TH!D2404,""),"")</f>
        <v/>
      </c>
      <c r="B2404" s="993">
        <f t="shared" si="243"/>
        <v>7</v>
      </c>
      <c r="C2404" s="78">
        <v>42582</v>
      </c>
      <c r="D2404" s="78" t="s">
        <v>579</v>
      </c>
      <c r="E2404" s="78">
        <v>42538</v>
      </c>
      <c r="F2404" s="72" t="s">
        <v>1591</v>
      </c>
      <c r="G2404" s="975" t="s">
        <v>1984</v>
      </c>
      <c r="H2404" s="80" t="s">
        <v>1771</v>
      </c>
      <c r="I2404" s="435"/>
      <c r="J2404" s="435"/>
      <c r="K2404" s="426"/>
      <c r="L2404" s="435"/>
      <c r="M2404" s="81">
        <v>366989</v>
      </c>
      <c r="N2404" s="82" t="s">
        <v>9</v>
      </c>
      <c r="O2404" s="82" t="s">
        <v>8</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x</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c r="AE2404" s="341" t="str">
        <f t="shared" si="245"/>
        <v>x</v>
      </c>
      <c r="AF2404" s="328">
        <v>7</v>
      </c>
    </row>
    <row r="2405" spans="1:32" s="345" customFormat="1" ht="15.75" customHeight="1">
      <c r="A2405" s="334" t="str">
        <f>IF(B2405&lt;&gt;"",IF(AND(B2405='IN-TC'!$S$4,OR(TH!N2405="1111",TH!O2405="1111")),TH!D2405,""),"")</f>
        <v/>
      </c>
      <c r="B2405" s="993">
        <f t="shared" si="243"/>
        <v>7</v>
      </c>
      <c r="C2405" s="78">
        <v>42582</v>
      </c>
      <c r="D2405" s="78" t="s">
        <v>579</v>
      </c>
      <c r="E2405" s="78">
        <v>42551</v>
      </c>
      <c r="F2405" s="72" t="s">
        <v>1843</v>
      </c>
      <c r="G2405" s="975" t="s">
        <v>1982</v>
      </c>
      <c r="H2405" s="80" t="s">
        <v>1378</v>
      </c>
      <c r="I2405" s="435"/>
      <c r="J2405" s="435"/>
      <c r="K2405" s="426"/>
      <c r="L2405" s="435"/>
      <c r="M2405" s="81">
        <v>7787298</v>
      </c>
      <c r="N2405" s="82" t="s">
        <v>101</v>
      </c>
      <c r="O2405" s="82" t="s">
        <v>8</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c r="AE2405" s="341" t="str">
        <f t="shared" si="245"/>
        <v>x</v>
      </c>
      <c r="AF2405" s="328">
        <v>7</v>
      </c>
    </row>
    <row r="2406" spans="1:32" s="345" customFormat="1" ht="15.75" customHeight="1">
      <c r="A2406" s="334" t="str">
        <f>IF(B2406&lt;&gt;"",IF(AND(B2406='IN-TC'!$S$4,OR(TH!N2406="1111",TH!O2406="1111")),TH!D2406,""),"")</f>
        <v/>
      </c>
      <c r="B2406" s="993">
        <f t="shared" si="243"/>
        <v>7</v>
      </c>
      <c r="C2406" s="78">
        <v>42582</v>
      </c>
      <c r="D2406" s="78" t="s">
        <v>579</v>
      </c>
      <c r="E2406" s="78">
        <v>42551</v>
      </c>
      <c r="F2406" s="72" t="s">
        <v>1844</v>
      </c>
      <c r="G2406" s="975" t="s">
        <v>1982</v>
      </c>
      <c r="H2406" s="80" t="s">
        <v>1378</v>
      </c>
      <c r="I2406" s="435"/>
      <c r="J2406" s="435"/>
      <c r="K2406" s="426"/>
      <c r="L2406" s="435"/>
      <c r="M2406" s="81">
        <v>517877</v>
      </c>
      <c r="N2406" s="82" t="s">
        <v>9</v>
      </c>
      <c r="O2406" s="82" t="s">
        <v>8</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x</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c r="AE2406" s="341" t="str">
        <f t="shared" si="245"/>
        <v>x</v>
      </c>
      <c r="AF2406" s="328">
        <v>7</v>
      </c>
    </row>
    <row r="2407" spans="1:32" s="345" customFormat="1" ht="15.75" customHeight="1">
      <c r="A2407" s="334" t="str">
        <f>IF(B2407&lt;&gt;"",IF(AND(B2407='IN-TC'!$S$4,OR(TH!N2407="1111",TH!O2407="1111")),TH!D2407,""),"")</f>
        <v/>
      </c>
      <c r="B2407" s="993">
        <f t="shared" si="243"/>
        <v>7</v>
      </c>
      <c r="C2407" s="78">
        <v>42582</v>
      </c>
      <c r="D2407" s="78" t="s">
        <v>579</v>
      </c>
      <c r="E2407" s="78">
        <v>42552</v>
      </c>
      <c r="F2407" s="72" t="s">
        <v>1745</v>
      </c>
      <c r="G2407" s="975" t="s">
        <v>1074</v>
      </c>
      <c r="H2407" s="80" t="s">
        <v>1747</v>
      </c>
      <c r="I2407" s="435"/>
      <c r="J2407" s="435"/>
      <c r="K2407" s="426"/>
      <c r="L2407" s="435"/>
      <c r="M2407" s="81">
        <v>10681818</v>
      </c>
      <c r="N2407" s="82" t="s">
        <v>101</v>
      </c>
      <c r="O2407" s="82" t="s">
        <v>8</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c r="AE2407" s="341" t="str">
        <f t="shared" si="245"/>
        <v>x</v>
      </c>
      <c r="AF2407" s="328">
        <v>7</v>
      </c>
    </row>
    <row r="2408" spans="1:32" s="345" customFormat="1" ht="15.75" customHeight="1">
      <c r="A2408" s="334" t="str">
        <f>IF(B2408&lt;&gt;"",IF(AND(B2408='IN-TC'!$S$4,OR(TH!N2408="1111",TH!O2408="1111")),TH!D2408,""),"")</f>
        <v/>
      </c>
      <c r="B2408" s="993">
        <f t="shared" si="243"/>
        <v>7</v>
      </c>
      <c r="C2408" s="78">
        <v>42582</v>
      </c>
      <c r="D2408" s="78" t="s">
        <v>579</v>
      </c>
      <c r="E2408" s="78">
        <v>42552</v>
      </c>
      <c r="F2408" s="72" t="s">
        <v>1746</v>
      </c>
      <c r="G2408" s="975" t="s">
        <v>1074</v>
      </c>
      <c r="H2408" s="80" t="s">
        <v>1747</v>
      </c>
      <c r="I2408" s="435"/>
      <c r="J2408" s="435"/>
      <c r="K2408" s="426"/>
      <c r="L2408" s="435"/>
      <c r="M2408" s="81">
        <v>1068182</v>
      </c>
      <c r="N2408" s="82" t="s">
        <v>9</v>
      </c>
      <c r="O2408" s="82" t="s">
        <v>8</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x</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c r="AE2408" s="341" t="str">
        <f t="shared" si="245"/>
        <v>x</v>
      </c>
      <c r="AF2408" s="328">
        <v>7</v>
      </c>
    </row>
    <row r="2409" spans="1:32" s="345" customFormat="1" ht="15.75" customHeight="1">
      <c r="A2409" s="334" t="str">
        <f>IF(B2409&lt;&gt;"",IF(AND(B2409='IN-TC'!$S$4,OR(TH!N2409="1111",TH!O2409="1111")),TH!D2409,""),"")</f>
        <v/>
      </c>
      <c r="B2409" s="993">
        <f t="shared" si="243"/>
        <v>7</v>
      </c>
      <c r="C2409" s="78">
        <v>42582</v>
      </c>
      <c r="D2409" s="78" t="s">
        <v>579</v>
      </c>
      <c r="E2409" s="78">
        <v>42556</v>
      </c>
      <c r="F2409" s="72" t="s">
        <v>636</v>
      </c>
      <c r="G2409" s="975" t="s">
        <v>1754</v>
      </c>
      <c r="H2409" s="80" t="s">
        <v>627</v>
      </c>
      <c r="I2409" s="435"/>
      <c r="J2409" s="435"/>
      <c r="K2409" s="426"/>
      <c r="L2409" s="435"/>
      <c r="M2409" s="81">
        <v>2000000</v>
      </c>
      <c r="N2409" s="82" t="s">
        <v>588</v>
      </c>
      <c r="O2409" s="82" t="s">
        <v>8</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c r="AE2409" s="341" t="str">
        <f t="shared" si="245"/>
        <v>x</v>
      </c>
      <c r="AF2409" s="328">
        <v>7</v>
      </c>
    </row>
    <row r="2410" spans="1:32" s="345" customFormat="1" ht="15.75" customHeight="1">
      <c r="A2410" s="334" t="str">
        <f>IF(B2410&lt;&gt;"",IF(AND(B2410='IN-TC'!$S$4,OR(TH!N2410="1111",TH!O2410="1111")),TH!D2410,""),"")</f>
        <v/>
      </c>
      <c r="B2410" s="993">
        <f t="shared" si="243"/>
        <v>7</v>
      </c>
      <c r="C2410" s="78">
        <v>42582</v>
      </c>
      <c r="D2410" s="78" t="s">
        <v>579</v>
      </c>
      <c r="E2410" s="78">
        <v>42556</v>
      </c>
      <c r="F2410" s="72" t="s">
        <v>637</v>
      </c>
      <c r="G2410" s="975" t="s">
        <v>1754</v>
      </c>
      <c r="H2410" s="80" t="s">
        <v>627</v>
      </c>
      <c r="I2410" s="435"/>
      <c r="J2410" s="435"/>
      <c r="K2410" s="426"/>
      <c r="L2410" s="435"/>
      <c r="M2410" s="81">
        <v>200000</v>
      </c>
      <c r="N2410" s="82" t="s">
        <v>9</v>
      </c>
      <c r="O2410" s="82" t="s">
        <v>8</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x</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c r="AE2410" s="341" t="str">
        <f t="shared" si="245"/>
        <v>x</v>
      </c>
      <c r="AF2410" s="328">
        <v>7</v>
      </c>
    </row>
    <row r="2411" spans="1:32" s="345" customFormat="1" ht="15.75" customHeight="1">
      <c r="A2411" s="334" t="str">
        <f>IF(B2411&lt;&gt;"",IF(AND(B2411='IN-TC'!$S$4,OR(TH!N2411="1111",TH!O2411="1111")),TH!D2411,""),"")</f>
        <v/>
      </c>
      <c r="B2411" s="993">
        <f t="shared" si="243"/>
        <v>7</v>
      </c>
      <c r="C2411" s="78">
        <v>42582</v>
      </c>
      <c r="D2411" s="78" t="s">
        <v>579</v>
      </c>
      <c r="E2411" s="78">
        <v>42557</v>
      </c>
      <c r="F2411" s="72" t="s">
        <v>1757</v>
      </c>
      <c r="G2411" s="975" t="s">
        <v>1759</v>
      </c>
      <c r="H2411" s="80" t="s">
        <v>629</v>
      </c>
      <c r="I2411" s="435"/>
      <c r="J2411" s="435"/>
      <c r="K2411" s="426"/>
      <c r="L2411" s="435"/>
      <c r="M2411" s="81">
        <v>18881700</v>
      </c>
      <c r="N2411" s="82" t="s">
        <v>282</v>
      </c>
      <c r="O2411" s="82" t="s">
        <v>8</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c r="AE2411" s="341" t="str">
        <f t="shared" si="245"/>
        <v>x</v>
      </c>
      <c r="AF2411" s="328">
        <v>7</v>
      </c>
    </row>
    <row r="2412" spans="1:32" s="345" customFormat="1" ht="15.75" customHeight="1">
      <c r="A2412" s="334" t="str">
        <f>IF(B2412&lt;&gt;"",IF(AND(B2412='IN-TC'!$S$4,OR(TH!N2412="1111",TH!O2412="1111")),TH!D2412,""),"")</f>
        <v/>
      </c>
      <c r="B2412" s="993">
        <f t="shared" si="243"/>
        <v>7</v>
      </c>
      <c r="C2412" s="78">
        <v>42582</v>
      </c>
      <c r="D2412" s="78" t="s">
        <v>579</v>
      </c>
      <c r="E2412" s="78">
        <v>42557</v>
      </c>
      <c r="F2412" s="72" t="s">
        <v>1758</v>
      </c>
      <c r="G2412" s="975" t="s">
        <v>1759</v>
      </c>
      <c r="H2412" s="80" t="s">
        <v>629</v>
      </c>
      <c r="I2412" s="435"/>
      <c r="J2412" s="435"/>
      <c r="K2412" s="426"/>
      <c r="L2412" s="435"/>
      <c r="M2412" s="81">
        <v>1888170</v>
      </c>
      <c r="N2412" s="82" t="s">
        <v>9</v>
      </c>
      <c r="O2412" s="82" t="s">
        <v>8</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x</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c r="AE2412" s="341" t="str">
        <f t="shared" si="245"/>
        <v>x</v>
      </c>
      <c r="AF2412" s="328">
        <v>7</v>
      </c>
    </row>
    <row r="2413" spans="1:32" s="345" customFormat="1" ht="15.75" customHeight="1">
      <c r="A2413" s="334" t="str">
        <f>IF(B2413&lt;&gt;"",IF(AND(B2413='IN-TC'!$S$4,OR(TH!N2413="1111",TH!O2413="1111")),TH!D2413,""),"")</f>
        <v/>
      </c>
      <c r="B2413" s="993">
        <f t="shared" si="243"/>
        <v>7</v>
      </c>
      <c r="C2413" s="78">
        <v>42582</v>
      </c>
      <c r="D2413" s="78" t="s">
        <v>579</v>
      </c>
      <c r="E2413" s="78">
        <v>42560</v>
      </c>
      <c r="F2413" s="72" t="s">
        <v>1745</v>
      </c>
      <c r="G2413" s="975" t="s">
        <v>1748</v>
      </c>
      <c r="H2413" s="80" t="s">
        <v>1747</v>
      </c>
      <c r="I2413" s="435"/>
      <c r="J2413" s="435"/>
      <c r="K2413" s="426"/>
      <c r="L2413" s="435"/>
      <c r="M2413" s="81">
        <v>10681818</v>
      </c>
      <c r="N2413" s="82" t="s">
        <v>101</v>
      </c>
      <c r="O2413" s="82" t="s">
        <v>8</v>
      </c>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c r="AE2413" s="341" t="str">
        <f t="shared" si="245"/>
        <v>x</v>
      </c>
      <c r="AF2413" s="328">
        <v>7</v>
      </c>
    </row>
    <row r="2414" spans="1:32" s="345" customFormat="1" ht="15.75" customHeight="1">
      <c r="A2414" s="334" t="str">
        <f>IF(B2414&lt;&gt;"",IF(AND(B2414='IN-TC'!$S$4,OR(TH!N2414="1111",TH!O2414="1111")),TH!D2414,""),"")</f>
        <v/>
      </c>
      <c r="B2414" s="993">
        <f t="shared" si="243"/>
        <v>7</v>
      </c>
      <c r="C2414" s="78">
        <v>42582</v>
      </c>
      <c r="D2414" s="78" t="s">
        <v>579</v>
      </c>
      <c r="E2414" s="78">
        <v>42560</v>
      </c>
      <c r="F2414" s="72" t="s">
        <v>1746</v>
      </c>
      <c r="G2414" s="975" t="s">
        <v>1748</v>
      </c>
      <c r="H2414" s="80" t="s">
        <v>1747</v>
      </c>
      <c r="I2414" s="435"/>
      <c r="J2414" s="435"/>
      <c r="K2414" s="426"/>
      <c r="L2414" s="435"/>
      <c r="M2414" s="81">
        <v>1068182</v>
      </c>
      <c r="N2414" s="82" t="s">
        <v>9</v>
      </c>
      <c r="O2414" s="82" t="s">
        <v>8</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x</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c r="AE2414" s="341" t="str">
        <f t="shared" si="245"/>
        <v>x</v>
      </c>
      <c r="AF2414" s="328">
        <v>7</v>
      </c>
    </row>
    <row r="2415" spans="1:32" s="345" customFormat="1" ht="15.75" customHeight="1">
      <c r="A2415" s="334" t="str">
        <f>IF(B2415&lt;&gt;"",IF(AND(B2415='IN-TC'!$S$4,OR(TH!N2415="1111",TH!O2415="1111")),TH!D2415,""),"")</f>
        <v/>
      </c>
      <c r="B2415" s="993">
        <f t="shared" si="243"/>
        <v>7</v>
      </c>
      <c r="C2415" s="78">
        <v>42582</v>
      </c>
      <c r="D2415" s="78" t="s">
        <v>579</v>
      </c>
      <c r="E2415" s="78">
        <v>42562</v>
      </c>
      <c r="F2415" s="72" t="s">
        <v>1500</v>
      </c>
      <c r="G2415" s="975" t="s">
        <v>1867</v>
      </c>
      <c r="H2415" s="80" t="s">
        <v>1498</v>
      </c>
      <c r="I2415" s="435"/>
      <c r="J2415" s="435"/>
      <c r="K2415" s="426"/>
      <c r="L2415" s="435"/>
      <c r="M2415" s="81">
        <v>9380700</v>
      </c>
      <c r="N2415" s="82" t="s">
        <v>588</v>
      </c>
      <c r="O2415" s="82" t="s">
        <v>8</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c r="AE2415" s="341" t="str">
        <f t="shared" si="245"/>
        <v>x</v>
      </c>
      <c r="AF2415" s="328">
        <v>7</v>
      </c>
    </row>
    <row r="2416" spans="1:32" s="345" customFormat="1" ht="15.75" customHeight="1">
      <c r="A2416" s="334" t="str">
        <f>IF(B2416&lt;&gt;"",IF(AND(B2416='IN-TC'!$S$4,OR(TH!N2416="1111",TH!O2416="1111")),TH!D2416,""),"")</f>
        <v/>
      </c>
      <c r="B2416" s="993">
        <f t="shared" si="243"/>
        <v>7</v>
      </c>
      <c r="C2416" s="78">
        <v>42582</v>
      </c>
      <c r="D2416" s="78" t="s">
        <v>579</v>
      </c>
      <c r="E2416" s="78">
        <v>42562</v>
      </c>
      <c r="F2416" s="72" t="s">
        <v>1865</v>
      </c>
      <c r="G2416" s="975" t="s">
        <v>1868</v>
      </c>
      <c r="H2416" s="80" t="s">
        <v>1498</v>
      </c>
      <c r="I2416" s="435"/>
      <c r="J2416" s="435"/>
      <c r="K2416" s="426"/>
      <c r="L2416" s="435"/>
      <c r="M2416" s="81">
        <v>7839585</v>
      </c>
      <c r="N2416" s="82" t="s">
        <v>588</v>
      </c>
      <c r="O2416" s="82" t="s">
        <v>8</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c r="AE2416" s="341" t="str">
        <f t="shared" si="245"/>
        <v>x</v>
      </c>
      <c r="AF2416" s="328">
        <v>7</v>
      </c>
    </row>
    <row r="2417" spans="1:32" s="345" customFormat="1" ht="15.75" customHeight="1">
      <c r="A2417" s="334" t="str">
        <f>IF(B2417&lt;&gt;"",IF(AND(B2417='IN-TC'!$S$4,OR(TH!N2417="1111",TH!O2417="1111")),TH!D2417,""),"")</f>
        <v/>
      </c>
      <c r="B2417" s="993">
        <f t="shared" si="243"/>
        <v>7</v>
      </c>
      <c r="C2417" s="78">
        <v>42582</v>
      </c>
      <c r="D2417" s="78" t="s">
        <v>579</v>
      </c>
      <c r="E2417" s="78">
        <v>42562</v>
      </c>
      <c r="F2417" s="72" t="s">
        <v>1866</v>
      </c>
      <c r="G2417" s="975" t="s">
        <v>1868</v>
      </c>
      <c r="H2417" s="80" t="s">
        <v>1498</v>
      </c>
      <c r="I2417" s="435"/>
      <c r="J2417" s="435"/>
      <c r="K2417" s="426"/>
      <c r="L2417" s="435"/>
      <c r="M2417" s="81">
        <v>783959</v>
      </c>
      <c r="N2417" s="82" t="s">
        <v>9</v>
      </c>
      <c r="O2417" s="82" t="s">
        <v>8</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x</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c r="AE2417" s="341" t="str">
        <f t="shared" si="245"/>
        <v>x</v>
      </c>
      <c r="AF2417" s="328">
        <v>7</v>
      </c>
    </row>
    <row r="2418" spans="1:32" s="345" customFormat="1" ht="15.75" customHeight="1">
      <c r="A2418" s="334" t="str">
        <f>IF(B2418&lt;&gt;"",IF(AND(B2418='IN-TC'!$S$4,OR(TH!N2418="1111",TH!O2418="1111")),TH!D2418,""),"")</f>
        <v/>
      </c>
      <c r="B2418" s="993">
        <f t="shared" si="243"/>
        <v>7</v>
      </c>
      <c r="C2418" s="78">
        <v>42582</v>
      </c>
      <c r="D2418" s="78" t="s">
        <v>579</v>
      </c>
      <c r="E2418" s="78">
        <v>42567</v>
      </c>
      <c r="F2418" s="72" t="s">
        <v>1760</v>
      </c>
      <c r="G2418" s="975" t="s">
        <v>1784</v>
      </c>
      <c r="H2418" s="80" t="s">
        <v>629</v>
      </c>
      <c r="I2418" s="435"/>
      <c r="J2418" s="435"/>
      <c r="K2418" s="426"/>
      <c r="L2418" s="435"/>
      <c r="M2418" s="81">
        <v>21805300</v>
      </c>
      <c r="N2418" s="82" t="s">
        <v>282</v>
      </c>
      <c r="O2418" s="82" t="s">
        <v>8</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c r="AE2418" s="341" t="str">
        <f t="shared" si="245"/>
        <v>x</v>
      </c>
      <c r="AF2418" s="328">
        <v>7</v>
      </c>
    </row>
    <row r="2419" spans="1:32" s="345" customFormat="1" ht="15.75" customHeight="1">
      <c r="A2419" s="334" t="str">
        <f>IF(B2419&lt;&gt;"",IF(AND(B2419='IN-TC'!$S$4,OR(TH!N2419="1111",TH!O2419="1111")),TH!D2419,""),"")</f>
        <v/>
      </c>
      <c r="B2419" s="993">
        <f t="shared" si="243"/>
        <v>7</v>
      </c>
      <c r="C2419" s="78">
        <v>42582</v>
      </c>
      <c r="D2419" s="78" t="s">
        <v>579</v>
      </c>
      <c r="E2419" s="78">
        <v>42567</v>
      </c>
      <c r="F2419" s="72" t="s">
        <v>1761</v>
      </c>
      <c r="G2419" s="975" t="s">
        <v>1784</v>
      </c>
      <c r="H2419" s="80" t="s">
        <v>629</v>
      </c>
      <c r="I2419" s="435"/>
      <c r="J2419" s="435"/>
      <c r="K2419" s="426"/>
      <c r="L2419" s="435"/>
      <c r="M2419" s="81">
        <v>2180530</v>
      </c>
      <c r="N2419" s="82" t="s">
        <v>9</v>
      </c>
      <c r="O2419" s="82" t="s">
        <v>8</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x</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c r="AE2419" s="341" t="str">
        <f t="shared" si="245"/>
        <v>x</v>
      </c>
      <c r="AF2419" s="328">
        <v>7</v>
      </c>
    </row>
    <row r="2420" spans="1:32" s="345" customFormat="1" ht="15.75" customHeight="1">
      <c r="A2420" s="334" t="str">
        <f>IF(B2420&lt;&gt;"",IF(AND(B2420='IN-TC'!$S$4,OR(TH!N2420="1111",TH!O2420="1111")),TH!D2420,""),"")</f>
        <v/>
      </c>
      <c r="B2420" s="993">
        <f t="shared" si="243"/>
        <v>7</v>
      </c>
      <c r="C2420" s="78">
        <v>42582</v>
      </c>
      <c r="D2420" s="78" t="s">
        <v>579</v>
      </c>
      <c r="E2420" s="78">
        <v>42573</v>
      </c>
      <c r="F2420" s="72" t="s">
        <v>636</v>
      </c>
      <c r="G2420" s="975" t="s">
        <v>1755</v>
      </c>
      <c r="H2420" s="80" t="s">
        <v>627</v>
      </c>
      <c r="I2420" s="435"/>
      <c r="J2420" s="435"/>
      <c r="K2420" s="426"/>
      <c r="L2420" s="435"/>
      <c r="M2420" s="81">
        <v>2000000</v>
      </c>
      <c r="N2420" s="82" t="s">
        <v>588</v>
      </c>
      <c r="O2420" s="82" t="s">
        <v>8</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c r="AE2420" s="341" t="str">
        <f t="shared" si="245"/>
        <v>x</v>
      </c>
      <c r="AF2420" s="328">
        <v>7</v>
      </c>
    </row>
    <row r="2421" spans="1:32" s="345" customFormat="1" ht="15.75" customHeight="1">
      <c r="A2421" s="334" t="str">
        <f>IF(B2421&lt;&gt;"",IF(AND(B2421='IN-TC'!$S$4,OR(TH!N2421="1111",TH!O2421="1111")),TH!D2421,""),"")</f>
        <v/>
      </c>
      <c r="B2421" s="993">
        <f t="shared" si="243"/>
        <v>7</v>
      </c>
      <c r="C2421" s="78">
        <v>42582</v>
      </c>
      <c r="D2421" s="78" t="s">
        <v>579</v>
      </c>
      <c r="E2421" s="78">
        <v>42573</v>
      </c>
      <c r="F2421" s="72" t="s">
        <v>637</v>
      </c>
      <c r="G2421" s="975" t="s">
        <v>1755</v>
      </c>
      <c r="H2421" s="80" t="s">
        <v>627</v>
      </c>
      <c r="I2421" s="435"/>
      <c r="J2421" s="435"/>
      <c r="K2421" s="426"/>
      <c r="L2421" s="435"/>
      <c r="M2421" s="81">
        <v>200000</v>
      </c>
      <c r="N2421" s="82" t="s">
        <v>9</v>
      </c>
      <c r="O2421" s="82" t="s">
        <v>8</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x</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c r="AE2421" s="341" t="str">
        <f t="shared" si="245"/>
        <v>x</v>
      </c>
      <c r="AF2421" s="328">
        <v>7</v>
      </c>
    </row>
    <row r="2422" spans="1:32" s="345" customFormat="1" ht="15.75" customHeight="1">
      <c r="A2422" s="334" t="str">
        <f>IF(B2422&lt;&gt;"",IF(AND(B2422='IN-TC'!$S$4,OR(TH!N2422="1111",TH!O2422="1111")),TH!D2422,""),"")</f>
        <v/>
      </c>
      <c r="B2422" s="993">
        <f t="shared" si="243"/>
        <v>7</v>
      </c>
      <c r="C2422" s="78">
        <v>42582</v>
      </c>
      <c r="D2422" s="78" t="s">
        <v>579</v>
      </c>
      <c r="E2422" s="78">
        <v>42577</v>
      </c>
      <c r="F2422" s="72" t="s">
        <v>636</v>
      </c>
      <c r="G2422" s="975" t="s">
        <v>1756</v>
      </c>
      <c r="H2422" s="80" t="s">
        <v>627</v>
      </c>
      <c r="I2422" s="435"/>
      <c r="J2422" s="435"/>
      <c r="K2422" s="426"/>
      <c r="L2422" s="435"/>
      <c r="M2422" s="81">
        <v>2000000</v>
      </c>
      <c r="N2422" s="82" t="s">
        <v>588</v>
      </c>
      <c r="O2422" s="82" t="s">
        <v>8</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c r="AE2422" s="341" t="str">
        <f t="shared" si="245"/>
        <v>x</v>
      </c>
      <c r="AF2422" s="328">
        <v>7</v>
      </c>
    </row>
    <row r="2423" spans="1:32" s="345" customFormat="1" ht="15.75" customHeight="1">
      <c r="A2423" s="334" t="str">
        <f>IF(B2423&lt;&gt;"",IF(AND(B2423='IN-TC'!$S$4,OR(TH!N2423="1111",TH!O2423="1111")),TH!D2423,""),"")</f>
        <v/>
      </c>
      <c r="B2423" s="993">
        <f t="shared" si="243"/>
        <v>7</v>
      </c>
      <c r="C2423" s="78">
        <v>42582</v>
      </c>
      <c r="D2423" s="78" t="s">
        <v>579</v>
      </c>
      <c r="E2423" s="78">
        <v>42577</v>
      </c>
      <c r="F2423" s="72" t="s">
        <v>637</v>
      </c>
      <c r="G2423" s="975" t="s">
        <v>1756</v>
      </c>
      <c r="H2423" s="80" t="s">
        <v>627</v>
      </c>
      <c r="I2423" s="435"/>
      <c r="J2423" s="435"/>
      <c r="K2423" s="426"/>
      <c r="L2423" s="435"/>
      <c r="M2423" s="81">
        <v>200000</v>
      </c>
      <c r="N2423" s="82" t="s">
        <v>9</v>
      </c>
      <c r="O2423" s="82" t="s">
        <v>8</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x</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c r="AE2423" s="341" t="str">
        <f t="shared" si="245"/>
        <v>x</v>
      </c>
      <c r="AF2423" s="328">
        <v>7</v>
      </c>
    </row>
    <row r="2424" spans="1:32" s="345" customFormat="1" ht="15.75" customHeight="1">
      <c r="A2424" s="334" t="str">
        <f>IF(B2424&lt;&gt;"",IF(AND(B2424='IN-TC'!$S$4,OR(TH!N2424="1111",TH!O2424="1111")),TH!D2424,""),"")</f>
        <v/>
      </c>
      <c r="B2424" s="993">
        <f t="shared" si="243"/>
        <v>7</v>
      </c>
      <c r="C2424" s="78">
        <v>42582</v>
      </c>
      <c r="D2424" s="78" t="s">
        <v>579</v>
      </c>
      <c r="E2424" s="78">
        <v>42577</v>
      </c>
      <c r="F2424" s="72" t="s">
        <v>1762</v>
      </c>
      <c r="G2424" s="975" t="s">
        <v>1785</v>
      </c>
      <c r="H2424" s="80" t="s">
        <v>629</v>
      </c>
      <c r="I2424" s="435"/>
      <c r="J2424" s="435"/>
      <c r="K2424" s="426"/>
      <c r="L2424" s="435"/>
      <c r="M2424" s="81">
        <v>15847800</v>
      </c>
      <c r="N2424" s="82" t="s">
        <v>282</v>
      </c>
      <c r="O2424" s="82" t="s">
        <v>8</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c r="AE2424" s="341" t="str">
        <f t="shared" si="245"/>
        <v>x</v>
      </c>
      <c r="AF2424" s="328">
        <v>7</v>
      </c>
    </row>
    <row r="2425" spans="1:32" s="345" customFormat="1" ht="15.75" customHeight="1">
      <c r="A2425" s="334" t="str">
        <f>IF(B2425&lt;&gt;"",IF(AND(B2425='IN-TC'!$S$4,OR(TH!N2425="1111",TH!O2425="1111")),TH!D2425,""),"")</f>
        <v/>
      </c>
      <c r="B2425" s="993">
        <f t="shared" si="243"/>
        <v>7</v>
      </c>
      <c r="C2425" s="78">
        <v>42582</v>
      </c>
      <c r="D2425" s="78" t="s">
        <v>579</v>
      </c>
      <c r="E2425" s="78">
        <v>42577</v>
      </c>
      <c r="F2425" s="72" t="s">
        <v>1763</v>
      </c>
      <c r="G2425" s="975" t="s">
        <v>1785</v>
      </c>
      <c r="H2425" s="80" t="s">
        <v>629</v>
      </c>
      <c r="I2425" s="435"/>
      <c r="J2425" s="435"/>
      <c r="K2425" s="426"/>
      <c r="L2425" s="435"/>
      <c r="M2425" s="81">
        <v>1584780</v>
      </c>
      <c r="N2425" s="82" t="s">
        <v>9</v>
      </c>
      <c r="O2425" s="82" t="s">
        <v>8</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x</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c r="AE2425" s="341" t="str">
        <f t="shared" si="245"/>
        <v>x</v>
      </c>
      <c r="AF2425" s="328">
        <v>7</v>
      </c>
    </row>
    <row r="2426" spans="1:32" s="345" customFormat="1" ht="15.75" customHeight="1">
      <c r="A2426" s="334" t="str">
        <f>IF(B2426&lt;&gt;"",IF(AND(B2426='IN-TC'!$S$4,OR(TH!N2426="1111",TH!O2426="1111")),TH!D2426,""),"")</f>
        <v/>
      </c>
      <c r="B2426" s="993">
        <f t="shared" si="243"/>
        <v>7</v>
      </c>
      <c r="C2426" s="78">
        <v>42582</v>
      </c>
      <c r="D2426" s="78" t="s">
        <v>579</v>
      </c>
      <c r="E2426" s="78">
        <v>42581</v>
      </c>
      <c r="F2426" s="72" t="s">
        <v>1843</v>
      </c>
      <c r="G2426" s="975" t="s">
        <v>1845</v>
      </c>
      <c r="H2426" s="80" t="s">
        <v>1378</v>
      </c>
      <c r="I2426" s="435"/>
      <c r="J2426" s="435"/>
      <c r="K2426" s="426"/>
      <c r="L2426" s="435"/>
      <c r="M2426" s="81">
        <v>8960610</v>
      </c>
      <c r="N2426" s="82" t="s">
        <v>101</v>
      </c>
      <c r="O2426" s="82" t="s">
        <v>8</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c r="AE2426" s="341" t="str">
        <f t="shared" si="245"/>
        <v>x</v>
      </c>
      <c r="AF2426" s="328">
        <v>7</v>
      </c>
    </row>
    <row r="2427" spans="1:32" s="345" customFormat="1" ht="15.75" customHeight="1">
      <c r="A2427" s="334" t="str">
        <f>IF(B2427&lt;&gt;"",IF(AND(B2427='IN-TC'!$S$4,OR(TH!N2427="1111",TH!O2427="1111")),TH!D2427,""),"")</f>
        <v/>
      </c>
      <c r="B2427" s="993">
        <f t="shared" si="243"/>
        <v>7</v>
      </c>
      <c r="C2427" s="78">
        <v>42582</v>
      </c>
      <c r="D2427" s="78" t="s">
        <v>579</v>
      </c>
      <c r="E2427" s="78">
        <v>42581</v>
      </c>
      <c r="F2427" s="72" t="s">
        <v>1844</v>
      </c>
      <c r="G2427" s="975" t="s">
        <v>1845</v>
      </c>
      <c r="H2427" s="80" t="s">
        <v>1378</v>
      </c>
      <c r="I2427" s="435"/>
      <c r="J2427" s="435"/>
      <c r="K2427" s="426"/>
      <c r="L2427" s="435"/>
      <c r="M2427" s="81">
        <v>576543</v>
      </c>
      <c r="N2427" s="82" t="s">
        <v>9</v>
      </c>
      <c r="O2427" s="82" t="s">
        <v>8</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
      </c>
      <c r="W2427" s="82" t="str">
        <f>IF(AND('341-CT'!$H$9=H2427,OR(LEFT(N2427,3)=$W$7,LEFT(O2427,3)=$W$7)),"x","")</f>
        <v/>
      </c>
      <c r="X2427" s="82" t="str">
        <f>IF(OR(TH!N2427=TH!$X$7,O2427=TH!$X$7),"x","")</f>
        <v>x</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c r="AE2427" s="341" t="str">
        <f t="shared" si="245"/>
        <v>x</v>
      </c>
      <c r="AF2427" s="328">
        <v>7</v>
      </c>
    </row>
    <row r="2428" spans="1:32" s="345" customFormat="1" ht="15.75" customHeight="1">
      <c r="A2428" s="334" t="str">
        <f>IF(B2428&lt;&gt;"",IF(AND(B2428='IN-TC'!$S$4,OR(TH!N2428="1111",TH!O2428="1111")),TH!D2428,""),"")</f>
        <v/>
      </c>
      <c r="B2428" s="993">
        <f t="shared" si="243"/>
        <v>7</v>
      </c>
      <c r="C2428" s="78">
        <v>42582</v>
      </c>
      <c r="D2428" s="78" t="s">
        <v>579</v>
      </c>
      <c r="E2428" s="78">
        <v>42582</v>
      </c>
      <c r="F2428" s="72" t="s">
        <v>1375</v>
      </c>
      <c r="G2428" s="975" t="s">
        <v>1749</v>
      </c>
      <c r="H2428" s="80" t="s">
        <v>1378</v>
      </c>
      <c r="I2428" s="435"/>
      <c r="J2428" s="435"/>
      <c r="K2428" s="426"/>
      <c r="L2428" s="435"/>
      <c r="M2428" s="81">
        <f>10978250+6165750+9132500</f>
        <v>26276500</v>
      </c>
      <c r="N2428" s="82" t="s">
        <v>101</v>
      </c>
      <c r="O2428" s="82" t="s">
        <v>8</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c r="AE2428" s="341" t="str">
        <f t="shared" si="245"/>
        <v>x</v>
      </c>
      <c r="AF2428" s="328">
        <v>7</v>
      </c>
    </row>
    <row r="2429" spans="1:32" s="345" customFormat="1" ht="15.75" customHeight="1">
      <c r="A2429" s="334" t="str">
        <f>IF(B2429&lt;&gt;"",IF(AND(B2429='IN-TC'!$S$4,OR(TH!N2429="1111",TH!O2429="1111")),TH!D2429,""),"")</f>
        <v/>
      </c>
      <c r="B2429" s="993">
        <f t="shared" si="243"/>
        <v>7</v>
      </c>
      <c r="C2429" s="78">
        <v>42582</v>
      </c>
      <c r="D2429" s="78" t="s">
        <v>579</v>
      </c>
      <c r="E2429" s="78">
        <v>42582</v>
      </c>
      <c r="F2429" s="72" t="s">
        <v>1376</v>
      </c>
      <c r="G2429" s="975" t="s">
        <v>1749</v>
      </c>
      <c r="H2429" s="80" t="s">
        <v>1378</v>
      </c>
      <c r="I2429" s="435"/>
      <c r="J2429" s="435"/>
      <c r="K2429" s="426"/>
      <c r="L2429" s="435"/>
      <c r="M2429" s="81">
        <f>728625+437375+636050</f>
        <v>1802050</v>
      </c>
      <c r="N2429" s="82" t="s">
        <v>9</v>
      </c>
      <c r="O2429" s="82" t="s">
        <v>8</v>
      </c>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x</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c r="AE2429" s="341" t="str">
        <f t="shared" si="245"/>
        <v>x</v>
      </c>
      <c r="AF2429" s="328">
        <v>7</v>
      </c>
    </row>
    <row r="2430" spans="1:32" ht="15.75" customHeight="1">
      <c r="A2430" s="334" t="str">
        <f>IF(B2430&lt;&gt;"",IF(AND(B2430='IN-TC'!$S$4,OR(TH!N2430="1111",TH!O2430="1111")),TH!D2430,""),"")</f>
        <v/>
      </c>
      <c r="B2430" s="63">
        <f t="shared" si="243"/>
        <v>8</v>
      </c>
      <c r="C2430" s="64">
        <v>42583</v>
      </c>
      <c r="D2430" s="64" t="s">
        <v>702</v>
      </c>
      <c r="E2430" s="64">
        <f t="shared" ref="E2430:E2461" si="246">C2430</f>
        <v>42583</v>
      </c>
      <c r="F2430" s="72" t="s">
        <v>1782</v>
      </c>
      <c r="G2430" s="67" t="s">
        <v>1558</v>
      </c>
      <c r="H2430" s="72"/>
      <c r="I2430" s="437"/>
      <c r="J2430" s="437"/>
      <c r="K2430" s="428">
        <v>0.96</v>
      </c>
      <c r="L2430" s="437">
        <v>22330</v>
      </c>
      <c r="M2430" s="1154">
        <f>ROUND(K2430*L2430,0)</f>
        <v>21437</v>
      </c>
      <c r="N2430" s="66" t="s">
        <v>99</v>
      </c>
      <c r="O2430" s="66" t="s">
        <v>266</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2" s="349" customFormat="1" ht="15.75" customHeight="1">
      <c r="A2431" s="334" t="str">
        <f>IF(B2431&lt;&gt;"",IF(AND(B2431='IN-TC'!$S$4,OR(TH!N2431="1111",TH!O2431="1111")),TH!D2431,""),"")</f>
        <v/>
      </c>
      <c r="B2431" s="63">
        <f t="shared" si="243"/>
        <v>8</v>
      </c>
      <c r="C2431" s="64">
        <v>42583</v>
      </c>
      <c r="D2431" s="64" t="s">
        <v>702</v>
      </c>
      <c r="E2431" s="64">
        <f t="shared" si="246"/>
        <v>42583</v>
      </c>
      <c r="F2431" s="72" t="s">
        <v>1192</v>
      </c>
      <c r="G2431" s="67" t="s">
        <v>914</v>
      </c>
      <c r="H2431" s="72"/>
      <c r="I2431" s="437"/>
      <c r="J2431" s="437"/>
      <c r="K2431" s="428">
        <v>3</v>
      </c>
      <c r="L2431" s="437">
        <v>22280</v>
      </c>
      <c r="M2431" s="65">
        <f>ROUND(K2431*L2431,0)</f>
        <v>66840</v>
      </c>
      <c r="N2431" s="66" t="s">
        <v>101</v>
      </c>
      <c r="O2431" s="66" t="s">
        <v>266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F2431" s="349">
        <v>8</v>
      </c>
    </row>
    <row r="2432" spans="1:32" s="349" customFormat="1" ht="15.75" customHeight="1">
      <c r="A2432" s="334" t="str">
        <f>IF(B2432&lt;&gt;"",IF(AND(B2432='IN-TC'!$S$4,OR(TH!N2432="1111",TH!O2432="1111")),TH!D2432,""),"")</f>
        <v/>
      </c>
      <c r="B2432" s="63">
        <f t="shared" si="243"/>
        <v>8</v>
      </c>
      <c r="C2432" s="64">
        <v>42583</v>
      </c>
      <c r="D2432" s="64" t="s">
        <v>702</v>
      </c>
      <c r="E2432" s="64">
        <f t="shared" si="246"/>
        <v>42583</v>
      </c>
      <c r="F2432" s="72" t="s">
        <v>1193</v>
      </c>
      <c r="G2432" s="67" t="s">
        <v>914</v>
      </c>
      <c r="H2432" s="72"/>
      <c r="I2432" s="437"/>
      <c r="J2432" s="437"/>
      <c r="K2432" s="428">
        <v>0.3</v>
      </c>
      <c r="L2432" s="437">
        <v>22280</v>
      </c>
      <c r="M2432" s="65">
        <f>ROUND(K2432*L2432,0)</f>
        <v>6684</v>
      </c>
      <c r="N2432" s="82" t="s">
        <v>9</v>
      </c>
      <c r="O2432" s="66" t="s">
        <v>266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x</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c r="AF2432" s="349">
        <v>8</v>
      </c>
    </row>
    <row r="2433" spans="1:32" s="349" customFormat="1" ht="15.75" customHeight="1">
      <c r="A2433" s="334" t="str">
        <f>IF(B2433&lt;&gt;"",IF(AND(B2433='IN-TC'!$S$4,OR(TH!N2433="1111",TH!O2433="1111")),TH!D2433,""),"")</f>
        <v/>
      </c>
      <c r="B2433" s="63">
        <f t="shared" si="243"/>
        <v>8</v>
      </c>
      <c r="C2433" s="64">
        <v>42583</v>
      </c>
      <c r="D2433" s="64" t="s">
        <v>702</v>
      </c>
      <c r="E2433" s="64">
        <f t="shared" si="246"/>
        <v>42583</v>
      </c>
      <c r="F2433" s="72" t="s">
        <v>1185</v>
      </c>
      <c r="G2433" s="67" t="s">
        <v>915</v>
      </c>
      <c r="H2433" s="72"/>
      <c r="I2433" s="437"/>
      <c r="J2433" s="437"/>
      <c r="K2433" s="428"/>
      <c r="L2433" s="437"/>
      <c r="M2433" s="65">
        <v>111350</v>
      </c>
      <c r="N2433" s="66" t="s">
        <v>101</v>
      </c>
      <c r="O2433" s="66" t="s">
        <v>26</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c r="AF2433" s="349">
        <v>8</v>
      </c>
    </row>
    <row r="2434" spans="1:32" s="349" customFormat="1" ht="15.75" customHeight="1">
      <c r="A2434" s="334" t="str">
        <f>IF(B2434&lt;&gt;"",IF(AND(B2434='IN-TC'!$S$4,OR(TH!N2434="1111",TH!O2434="1111")),TH!D2434,""),"")</f>
        <v/>
      </c>
      <c r="B2434" s="63">
        <f t="shared" si="243"/>
        <v>8</v>
      </c>
      <c r="C2434" s="64">
        <v>42583</v>
      </c>
      <c r="D2434" s="64" t="s">
        <v>702</v>
      </c>
      <c r="E2434" s="64">
        <f t="shared" si="246"/>
        <v>42583</v>
      </c>
      <c r="F2434" s="72" t="s">
        <v>1186</v>
      </c>
      <c r="G2434" s="67" t="s">
        <v>915</v>
      </c>
      <c r="H2434" s="72"/>
      <c r="I2434" s="437"/>
      <c r="J2434" s="437"/>
      <c r="K2434" s="428"/>
      <c r="L2434" s="437"/>
      <c r="M2434" s="65">
        <v>11135</v>
      </c>
      <c r="N2434" s="82" t="s">
        <v>9</v>
      </c>
      <c r="O2434" s="66" t="s">
        <v>26</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x</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c r="AF2434" s="349">
        <v>8</v>
      </c>
    </row>
    <row r="2435" spans="1:32" s="349" customFormat="1" ht="15.75" customHeight="1">
      <c r="A2435" s="334" t="str">
        <f>IF(B2435&lt;&gt;"",IF(AND(B2435='IN-TC'!$S$4,OR(TH!N2435="1111",TH!O2435="1111")),TH!D2435,""),"")</f>
        <v/>
      </c>
      <c r="B2435" s="63">
        <f t="shared" si="243"/>
        <v>8</v>
      </c>
      <c r="C2435" s="64">
        <v>42584</v>
      </c>
      <c r="D2435" s="64" t="s">
        <v>699</v>
      </c>
      <c r="E2435" s="64">
        <f t="shared" si="246"/>
        <v>42584</v>
      </c>
      <c r="F2435" s="72" t="s">
        <v>1663</v>
      </c>
      <c r="G2435" s="67" t="s">
        <v>1916</v>
      </c>
      <c r="H2435" s="72"/>
      <c r="I2435" s="437"/>
      <c r="J2435" s="437"/>
      <c r="K2435" s="428">
        <v>500</v>
      </c>
      <c r="L2435" s="437">
        <v>22330</v>
      </c>
      <c r="M2435" s="1154">
        <f>ROUND(K2435*L2435,0)</f>
        <v>11165000</v>
      </c>
      <c r="N2435" s="66" t="s">
        <v>266</v>
      </c>
      <c r="O2435" s="66" t="s">
        <v>266</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c r="AE2435" s="328"/>
      <c r="AF2435" s="328"/>
    </row>
    <row r="2436" spans="1:32" s="349" customFormat="1" ht="15.75" customHeight="1">
      <c r="A2436" s="334" t="str">
        <f>IF(B2436&lt;&gt;"",IF(AND(B2436='IN-TC'!$S$4,OR(TH!N2436="1111",TH!O2436="1111")),TH!D2436,""),"")</f>
        <v/>
      </c>
      <c r="B2436" s="63">
        <f t="shared" si="243"/>
        <v>8</v>
      </c>
      <c r="C2436" s="64">
        <v>42584</v>
      </c>
      <c r="D2436" s="64" t="s">
        <v>702</v>
      </c>
      <c r="E2436" s="64">
        <f t="shared" si="246"/>
        <v>42584</v>
      </c>
      <c r="F2436" s="72" t="s">
        <v>1782</v>
      </c>
      <c r="G2436" s="67" t="s">
        <v>1558</v>
      </c>
      <c r="H2436" s="72"/>
      <c r="I2436" s="437"/>
      <c r="J2436" s="437"/>
      <c r="K2436" s="428">
        <v>230.25</v>
      </c>
      <c r="L2436" s="437">
        <v>22330</v>
      </c>
      <c r="M2436" s="1154">
        <f>ROUND(K2436*L2436,0)</f>
        <v>5141483</v>
      </c>
      <c r="N2436" s="66" t="s">
        <v>99</v>
      </c>
      <c r="O2436" s="66" t="s">
        <v>266</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c r="AE2436" s="328"/>
      <c r="AF2436" s="328"/>
    </row>
    <row r="2437" spans="1:32" s="349" customFormat="1" ht="15.75" customHeight="1">
      <c r="A2437" s="334" t="str">
        <f>IF(B2437&lt;&gt;"",IF(AND(B2437='IN-TC'!$S$4,OR(TH!N2442="1111",TH!O2442="1111")),TH!D2442,""),"")</f>
        <v/>
      </c>
      <c r="B2437" s="63">
        <f t="shared" si="243"/>
        <v>8</v>
      </c>
      <c r="C2437" s="64">
        <v>42586</v>
      </c>
      <c r="D2437" s="64" t="s">
        <v>866</v>
      </c>
      <c r="E2437" s="64">
        <f t="shared" si="246"/>
        <v>42586</v>
      </c>
      <c r="F2437" s="72" t="s">
        <v>1798</v>
      </c>
      <c r="G2437" s="972" t="s">
        <v>1797</v>
      </c>
      <c r="H2437" s="72" t="s">
        <v>828</v>
      </c>
      <c r="I2437" s="437"/>
      <c r="J2437" s="437"/>
      <c r="K2437" s="428"/>
      <c r="L2437" s="437"/>
      <c r="M2437" s="65">
        <v>36000</v>
      </c>
      <c r="N2437" s="82" t="s">
        <v>9</v>
      </c>
      <c r="O2437" s="66" t="s">
        <v>63</v>
      </c>
      <c r="P2437" s="82" t="str">
        <f>IF(AND('331-CT'!$E$7=TH!H2442,OR(N2437="331",O2437="331")),"x","")</f>
        <v/>
      </c>
      <c r="Q2437" s="82" t="str">
        <f>IF(AND(B2437='111'!$L$11,OR($N2437=$Q$7,$O2437=$Q$7)),"x","")</f>
        <v/>
      </c>
      <c r="R2437" s="82" t="str">
        <f>IF(AND($N2437=$Q$7,$B2437&lt;'111'!$L$11),"x","")</f>
        <v/>
      </c>
      <c r="S2437" s="82" t="str">
        <f>IF(AND($O2437=$Q$7,$B2437&lt;'111'!$L$11),"x","")</f>
        <v>x</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IF(OR(TH!N2442=TH!$X$7,O2437=TH!$X$7),"x","")</f>
        <v/>
      </c>
      <c r="Y2437" s="82" t="str">
        <f>IF(AND(OR(N2437="131",O2437="131"),H2437='131-CT'!$H$9),"x","")</f>
        <v/>
      </c>
      <c r="Z2437" s="82"/>
      <c r="AA2437" s="82" t="str">
        <f>IF(AND(MONTH(E2437)='IN-NX'!$J$5,'IN-NX'!$D$7=D2437),"x","")</f>
        <v/>
      </c>
      <c r="AB2437" s="82" t="str">
        <f>IF(AND(OR(LEFT(TH!N2442,2)="15",LEFT(TH!O2442,2)="15"),LEFT(TH!O2442,3)&lt;&gt;"111",'152-CT'!$J$8=TH!F2442),"x","")</f>
        <v/>
      </c>
      <c r="AC2437" s="82" t="str">
        <f>IF(AND(OR(LEFT(TH!N2442,2)="15",LEFT(TH!O2442,2)="15"),TK!$E$7=TH!F2442),"x","")</f>
        <v/>
      </c>
      <c r="AD2437" s="82" t="str">
        <f>IF(AND(N2437="1521",MONTH(C2437)='BK-NL'!$M$11),"x","")</f>
        <v/>
      </c>
      <c r="AF2437" s="349">
        <v>8</v>
      </c>
    </row>
    <row r="2438" spans="1:32" s="349" customFormat="1" ht="15.75" customHeight="1">
      <c r="A2438" s="334" t="str">
        <f>IF(B2438&lt;&gt;"",IF(AND(B2438='IN-TC'!$S$4,OR(TH!N2443="1111",TH!O2443="1111")),TH!D2443,""),"")</f>
        <v/>
      </c>
      <c r="B2438" s="63">
        <f t="shared" si="243"/>
        <v>8</v>
      </c>
      <c r="C2438" s="64">
        <v>42586</v>
      </c>
      <c r="D2438" s="64" t="s">
        <v>867</v>
      </c>
      <c r="E2438" s="64">
        <f t="shared" si="246"/>
        <v>42586</v>
      </c>
      <c r="F2438" s="72" t="s">
        <v>1100</v>
      </c>
      <c r="G2438" s="67" t="s">
        <v>915</v>
      </c>
      <c r="H2438" s="72" t="s">
        <v>760</v>
      </c>
      <c r="I2438" s="437"/>
      <c r="J2438" s="437"/>
      <c r="K2438" s="428"/>
      <c r="L2438" s="437"/>
      <c r="M2438" s="65">
        <v>160000000</v>
      </c>
      <c r="N2438" s="66" t="s">
        <v>26</v>
      </c>
      <c r="O2438" s="66" t="s">
        <v>63</v>
      </c>
      <c r="P2438" s="82" t="str">
        <f>IF(AND('331-CT'!$E$7=TH!H2443,OR(N2438="331",O2438="331")),"x","")</f>
        <v/>
      </c>
      <c r="Q2438" s="82" t="str">
        <f>IF(AND(B2438='111'!$L$11,OR($N2438=$Q$7,$O2438=$Q$7)),"x","")</f>
        <v/>
      </c>
      <c r="R2438" s="82" t="str">
        <f>IF(AND($N2438=$Q$7,$B2438&lt;'111'!$L$11),"x","")</f>
        <v/>
      </c>
      <c r="S2438" s="82" t="str">
        <f>IF(AND($O2438=$Q$7,$B2438&lt;'111'!$L$11),"x","")</f>
        <v>x</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IF(OR(TH!N2443=TH!$X$7,O2438=TH!$X$7),"x","")</f>
        <v>x</v>
      </c>
      <c r="Y2438" s="82" t="str">
        <f>IF(AND(OR(N2438="131",O2438="131"),H2438='131-CT'!$H$9),"x","")</f>
        <v/>
      </c>
      <c r="Z2438" s="82"/>
      <c r="AA2438" s="82" t="str">
        <f>IF(AND(MONTH(E2438)='IN-NX'!$J$5,'IN-NX'!$D$7=D2438),"x","")</f>
        <v/>
      </c>
      <c r="AB2438" s="82" t="str">
        <f>IF(AND(OR(LEFT(TH!N2443,2)="15",LEFT(TH!O2443,2)="15"),LEFT(TH!O2443,3)&lt;&gt;"111",'152-CT'!$J$8=TH!F2443),"x","")</f>
        <v/>
      </c>
      <c r="AC2438" s="82" t="str">
        <f>IF(AND(OR(LEFT(TH!N2443,2)="15",LEFT(TH!O2443,2)="15"),TK!$E$7=TH!F2443),"x","")</f>
        <v/>
      </c>
      <c r="AD2438" s="82" t="str">
        <f>IF(AND(N2438="1521",MONTH(C2438)='BK-NL'!$M$11),"x","")</f>
        <v/>
      </c>
    </row>
    <row r="2439" spans="1:32" s="349" customFormat="1" ht="15.75" customHeight="1">
      <c r="A2439" s="334" t="str">
        <f>IF(B2439&lt;&gt;"",IF(AND(B2439='IN-TC'!$S$4,OR(TH!N2439="1111",TH!O2439="1111")),TH!D2439,""),"")</f>
        <v/>
      </c>
      <c r="B2439" s="63">
        <f t="shared" si="243"/>
        <v>8</v>
      </c>
      <c r="C2439" s="64">
        <v>42585</v>
      </c>
      <c r="D2439" s="64" t="s">
        <v>702</v>
      </c>
      <c r="E2439" s="64">
        <f t="shared" si="246"/>
        <v>42585</v>
      </c>
      <c r="F2439" s="72" t="s">
        <v>1791</v>
      </c>
      <c r="G2439" s="67" t="s">
        <v>1558</v>
      </c>
      <c r="H2439" s="72" t="s">
        <v>1936</v>
      </c>
      <c r="I2439" s="437"/>
      <c r="J2439" s="437"/>
      <c r="K2439" s="428">
        <v>30.33</v>
      </c>
      <c r="L2439" s="437">
        <v>22330</v>
      </c>
      <c r="M2439" s="1154">
        <f>ROUND(K2439*L2439,0)</f>
        <v>677269</v>
      </c>
      <c r="N2439" s="66" t="s">
        <v>101</v>
      </c>
      <c r="O2439" s="66" t="s">
        <v>266</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c r="AE2439" s="328"/>
      <c r="AF2439" s="328"/>
    </row>
    <row r="2440" spans="1:32" s="349" customFormat="1" ht="15.75" customHeight="1">
      <c r="A2440" s="334" t="str">
        <f>IF(B2440&lt;&gt;"",IF(AND(B2440='IN-TC'!$S$4,OR(TH!N2440="1111",TH!O2440="1111")),TH!D2440,""),"")</f>
        <v/>
      </c>
      <c r="B2440" s="63">
        <f t="shared" si="243"/>
        <v>8</v>
      </c>
      <c r="C2440" s="64">
        <v>42585</v>
      </c>
      <c r="D2440" s="64" t="s">
        <v>702</v>
      </c>
      <c r="E2440" s="64">
        <f t="shared" si="246"/>
        <v>42585</v>
      </c>
      <c r="F2440" s="72" t="s">
        <v>1793</v>
      </c>
      <c r="G2440" s="67" t="s">
        <v>1558</v>
      </c>
      <c r="H2440" s="72" t="s">
        <v>1937</v>
      </c>
      <c r="I2440" s="437"/>
      <c r="J2440" s="437"/>
      <c r="K2440" s="428">
        <v>5</v>
      </c>
      <c r="L2440" s="437">
        <v>21830</v>
      </c>
      <c r="M2440" s="1154">
        <f>ROUND(K2440*L2440,0)</f>
        <v>109150</v>
      </c>
      <c r="N2440" s="66" t="s">
        <v>101</v>
      </c>
      <c r="O2440" s="66" t="s">
        <v>266</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c r="AE2440" s="328"/>
      <c r="AF2440" s="328"/>
    </row>
    <row r="2441" spans="1:32" s="349" customFormat="1" ht="15.75" customHeight="1">
      <c r="A2441" s="334" t="str">
        <f>IF(B2441&lt;&gt;"",IF(AND(B2441='IN-TC'!$S$4,OR(TH!N2444="1111",TH!O2444="1111")),TH!D2444,""),"")</f>
        <v/>
      </c>
      <c r="B2441" s="63">
        <f t="shared" si="243"/>
        <v>8</v>
      </c>
      <c r="C2441" s="64">
        <v>42586</v>
      </c>
      <c r="D2441" s="64" t="s">
        <v>867</v>
      </c>
      <c r="E2441" s="64">
        <f t="shared" si="246"/>
        <v>42586</v>
      </c>
      <c r="F2441" s="72" t="s">
        <v>1100</v>
      </c>
      <c r="G2441" s="67" t="s">
        <v>914</v>
      </c>
      <c r="H2441" s="72" t="s">
        <v>760</v>
      </c>
      <c r="I2441" s="437"/>
      <c r="J2441" s="437"/>
      <c r="K2441" s="428"/>
      <c r="L2441" s="437"/>
      <c r="M2441" s="65">
        <v>170000000</v>
      </c>
      <c r="N2441" s="66" t="s">
        <v>26</v>
      </c>
      <c r="O2441" s="66" t="s">
        <v>63</v>
      </c>
      <c r="P2441" s="82" t="str">
        <f>IF(AND('331-CT'!$E$7=TH!H2444,OR(N2441="331",O2441="331")),"x","")</f>
        <v/>
      </c>
      <c r="Q2441" s="82" t="str">
        <f>IF(AND(B2441='111'!$L$11,OR($N2441=$Q$7,$O2441=$Q$7)),"x","")</f>
        <v/>
      </c>
      <c r="R2441" s="82" t="str">
        <f>IF(AND($N2441=$Q$7,$B2441&lt;'111'!$L$11),"x","")</f>
        <v/>
      </c>
      <c r="S2441" s="82" t="str">
        <f>IF(AND($O2441=$Q$7,$B2441&lt;'111'!$L$11),"x","")</f>
        <v>x</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IF(OR(TH!N2444=TH!$X$7,O2441=TH!$X$7),"x","")</f>
        <v/>
      </c>
      <c r="Y2441" s="82" t="str">
        <f>IF(AND(OR(N2441="131",O2441="131"),H2441='131-CT'!$H$9),"x","")</f>
        <v/>
      </c>
      <c r="Z2441" s="82"/>
      <c r="AA2441" s="82" t="str">
        <f>IF(AND(MONTH(E2441)='IN-NX'!$J$5,'IN-NX'!$D$7=D2441),"x","")</f>
        <v/>
      </c>
      <c r="AB2441" s="82" t="str">
        <f>IF(AND(OR(LEFT(TH!N2444,2)="15",LEFT(TH!O2444,2)="15"),LEFT(TH!O2444,3)&lt;&gt;"111",'152-CT'!$J$8=TH!F2444),"x","")</f>
        <v/>
      </c>
      <c r="AC2441" s="82" t="str">
        <f>IF(AND(OR(LEFT(TH!N2444,2)="15",LEFT(TH!O2444,2)="15"),TK!$E$7=TH!F2444),"x","")</f>
        <v/>
      </c>
      <c r="AD2441" s="82" t="str">
        <f>IF(AND(N2441="1521",MONTH(C2441)='BK-NL'!$M$11),"x","")</f>
        <v/>
      </c>
    </row>
    <row r="2442" spans="1:32" s="349" customFormat="1" ht="15.75" customHeight="1">
      <c r="A2442" s="334" t="str">
        <f>IF(B2442&lt;&gt;"",IF(AND(B2442='IN-TC'!$S$4,OR(TH!N2469="1111",TH!O2469="1111")),TH!D2469,""),"")</f>
        <v/>
      </c>
      <c r="B2442" s="63">
        <f t="shared" si="243"/>
        <v>8</v>
      </c>
      <c r="C2442" s="64">
        <v>42587</v>
      </c>
      <c r="D2442" s="64" t="s">
        <v>868</v>
      </c>
      <c r="E2442" s="64">
        <f t="shared" si="246"/>
        <v>42587</v>
      </c>
      <c r="F2442" s="72" t="s">
        <v>794</v>
      </c>
      <c r="G2442" s="972" t="s">
        <v>1799</v>
      </c>
      <c r="H2442" s="72" t="s">
        <v>1470</v>
      </c>
      <c r="I2442" s="437"/>
      <c r="J2442" s="437"/>
      <c r="K2442" s="428"/>
      <c r="L2442" s="437"/>
      <c r="M2442" s="65">
        <v>354533</v>
      </c>
      <c r="N2442" s="66" t="s">
        <v>101</v>
      </c>
      <c r="O2442" s="66" t="s">
        <v>63</v>
      </c>
      <c r="P2442" s="82" t="str">
        <f>IF(AND('331-CT'!$E$7=TH!H2469,OR(N2442="331",O2442="331")),"x","")</f>
        <v/>
      </c>
      <c r="Q2442" s="82" t="str">
        <f>IF(AND(B2442='111'!$L$11,OR($N2442=$Q$7,$O2442=$Q$7)),"x","")</f>
        <v/>
      </c>
      <c r="R2442" s="82" t="str">
        <f>IF(AND($N2442=$Q$7,$B2442&lt;'111'!$L$11),"x","")</f>
        <v/>
      </c>
      <c r="S2442" s="82" t="str">
        <f>IF(AND($O2442=$Q$7,$B2442&lt;'111'!$L$11),"x","")</f>
        <v>x</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IF(OR(TH!N2469=TH!$X$7,O2442=TH!$X$7),"x","")</f>
        <v>x</v>
      </c>
      <c r="Y2442" s="82" t="str">
        <f>IF(AND(OR(N2442="131",O2442="131"),H2442='131-CT'!$H$9),"x","")</f>
        <v/>
      </c>
      <c r="Z2442" s="82"/>
      <c r="AA2442" s="82" t="str">
        <f>IF(AND(MONTH(E2442)='IN-NX'!$J$5,'IN-NX'!$D$7=D2442),"x","")</f>
        <v/>
      </c>
      <c r="AB2442" s="82" t="str">
        <f>IF(AND(OR(LEFT(TH!N2469,2)="15",LEFT(TH!O2469,2)="15"),LEFT(TH!O2469,3)&lt;&gt;"111",'152-CT'!$J$8=TH!F2469),"x","")</f>
        <v/>
      </c>
      <c r="AC2442" s="82" t="str">
        <f>IF(AND(OR(LEFT(TH!N2469,2)="15",LEFT(TH!O2469,2)="15"),TK!$E$7=TH!F2469),"x","")</f>
        <v/>
      </c>
      <c r="AD2442" s="82" t="str">
        <f>IF(AND(N2442="1521",MONTH(C2442)='BK-NL'!$M$11),"x","")</f>
        <v/>
      </c>
      <c r="AF2442" s="349">
        <v>8</v>
      </c>
    </row>
    <row r="2443" spans="1:32" s="349" customFormat="1" ht="15.75" customHeight="1">
      <c r="A2443" s="334" t="str">
        <f>IF(B2443&lt;&gt;"",IF(AND(B2443='IN-TC'!$S$4,OR(TH!N2470="1111",TH!O2470="1111")),TH!D2470,""),"")</f>
        <v/>
      </c>
      <c r="B2443" s="63">
        <f t="shared" si="243"/>
        <v>8</v>
      </c>
      <c r="C2443" s="64">
        <v>42587</v>
      </c>
      <c r="D2443" s="64" t="s">
        <v>868</v>
      </c>
      <c r="E2443" s="64">
        <f t="shared" si="246"/>
        <v>42587</v>
      </c>
      <c r="F2443" s="72" t="s">
        <v>795</v>
      </c>
      <c r="G2443" s="972" t="s">
        <v>1799</v>
      </c>
      <c r="H2443" s="72" t="s">
        <v>1470</v>
      </c>
      <c r="I2443" s="437"/>
      <c r="J2443" s="437"/>
      <c r="K2443" s="428"/>
      <c r="L2443" s="437"/>
      <c r="M2443" s="65">
        <v>35453</v>
      </c>
      <c r="N2443" s="82" t="s">
        <v>9</v>
      </c>
      <c r="O2443" s="66" t="s">
        <v>63</v>
      </c>
      <c r="P2443" s="82" t="str">
        <f>IF(AND('331-CT'!$E$7=TH!H2470,OR(N2443="331",O2443="331")),"x","")</f>
        <v/>
      </c>
      <c r="Q2443" s="82" t="str">
        <f>IF(AND(B2443='111'!$L$11,OR($N2443=$Q$7,$O2443=$Q$7)),"x","")</f>
        <v/>
      </c>
      <c r="R2443" s="82" t="str">
        <f>IF(AND($N2443=$Q$7,$B2443&lt;'111'!$L$11),"x","")</f>
        <v/>
      </c>
      <c r="S2443" s="82" t="str">
        <f>IF(AND($O2443=$Q$7,$B2443&lt;'111'!$L$11),"x","")</f>
        <v>x</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IF(OR(TH!N2470=TH!$X$7,O2443=TH!$X$7),"x","")</f>
        <v/>
      </c>
      <c r="Y2443" s="82" t="str">
        <f>IF(AND(OR(N2443="131",O2443="131"),H2443='131-CT'!$H$9),"x","")</f>
        <v/>
      </c>
      <c r="Z2443" s="82"/>
      <c r="AA2443" s="82" t="str">
        <f>IF(AND(MONTH(E2443)='IN-NX'!$J$5,'IN-NX'!$D$7=D2443),"x","")</f>
        <v/>
      </c>
      <c r="AB2443" s="82" t="str">
        <f>IF(AND(OR(LEFT(TH!N2470,2)="15",LEFT(TH!O2470,2)="15"),LEFT(TH!O2470,3)&lt;&gt;"111",'152-CT'!$J$8=TH!F2470),"x","")</f>
        <v/>
      </c>
      <c r="AC2443" s="82" t="str">
        <f>IF(AND(OR(LEFT(TH!N2470,2)="15",LEFT(TH!O2470,2)="15"),TK!$E$7=TH!F2470),"x","")</f>
        <v/>
      </c>
      <c r="AD2443" s="82" t="str">
        <f>IF(AND(N2443="1521",MONTH(C2443)='BK-NL'!$M$11),"x","")</f>
        <v/>
      </c>
      <c r="AF2443" s="349">
        <v>8</v>
      </c>
    </row>
    <row r="2444" spans="1:32" s="349" customFormat="1" ht="15.75" customHeight="1">
      <c r="A2444" s="334" t="str">
        <f>IF(B2444&lt;&gt;"",IF(AND(B2444='IN-TC'!$S$4,OR(TH!N2472="1111",TH!O2472="1111")),TH!D2472,""),"")</f>
        <v/>
      </c>
      <c r="B2444" s="63">
        <f t="shared" si="243"/>
        <v>8</v>
      </c>
      <c r="C2444" s="64">
        <v>42588</v>
      </c>
      <c r="D2444" s="64" t="s">
        <v>869</v>
      </c>
      <c r="E2444" s="64">
        <f t="shared" si="246"/>
        <v>42588</v>
      </c>
      <c r="F2444" s="72" t="s">
        <v>1800</v>
      </c>
      <c r="G2444" s="972" t="s">
        <v>1802</v>
      </c>
      <c r="H2444" s="72" t="s">
        <v>843</v>
      </c>
      <c r="I2444" s="437"/>
      <c r="J2444" s="437"/>
      <c r="K2444" s="428"/>
      <c r="L2444" s="437"/>
      <c r="M2444" s="65">
        <v>2016629</v>
      </c>
      <c r="N2444" s="66" t="s">
        <v>101</v>
      </c>
      <c r="O2444" s="66" t="s">
        <v>63</v>
      </c>
      <c r="P2444" s="82" t="str">
        <f>IF(AND('331-CT'!$E$7=TH!H2472,OR(N2444="331",O2444="331")),"x","")</f>
        <v/>
      </c>
      <c r="Q2444" s="82" t="str">
        <f>IF(AND(B2444='111'!$L$11,OR($N2444=$Q$7,$O2444=$Q$7)),"x","")</f>
        <v/>
      </c>
      <c r="R2444" s="82" t="str">
        <f>IF(AND($N2444=$Q$7,$B2444&lt;'111'!$L$11),"x","")</f>
        <v/>
      </c>
      <c r="S2444" s="82" t="str">
        <f>IF(AND($O2444=$Q$7,$B2444&lt;'111'!$L$11),"x","")</f>
        <v>x</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IF(OR(TH!N2472=TH!$X$7,O2444=TH!$X$7),"x","")</f>
        <v>x</v>
      </c>
      <c r="Y2444" s="82" t="str">
        <f>IF(AND(OR(N2444="131",O2444="131"),H2444='131-CT'!$H$9),"x","")</f>
        <v/>
      </c>
      <c r="Z2444" s="82"/>
      <c r="AA2444" s="82" t="str">
        <f>IF(AND(MONTH(E2444)='IN-NX'!$J$5,'IN-NX'!$D$7=D2444),"x","")</f>
        <v/>
      </c>
      <c r="AB2444" s="82" t="str">
        <f>IF(AND(OR(LEFT(TH!N2472,2)="15",LEFT(TH!O2472,2)="15"),LEFT(TH!O2472,3)&lt;&gt;"111",'152-CT'!$J$8=TH!F2472),"x","")</f>
        <v/>
      </c>
      <c r="AC2444" s="82" t="str">
        <f>IF(AND(OR(LEFT(TH!N2472,2)="15",LEFT(TH!O2472,2)="15"),TK!$E$7=TH!F2472),"x","")</f>
        <v/>
      </c>
      <c r="AD2444" s="82" t="str">
        <f>IF(AND(N2444="1521",MONTH(C2444)='BK-NL'!$M$11),"x","")</f>
        <v/>
      </c>
      <c r="AF2444" s="349">
        <v>8</v>
      </c>
    </row>
    <row r="2445" spans="1:32" s="349" customFormat="1" ht="15.75" customHeight="1">
      <c r="A2445" s="334" t="str">
        <f>IF(B2445&lt;&gt;"",IF(AND(B2445='IN-TC'!$S$4,OR(TH!N2445="1111",TH!O2445="1111")),TH!D2445,""),"")</f>
        <v/>
      </c>
      <c r="B2445" s="63">
        <f t="shared" ref="B2445:B2508" si="247">IF(C2445&lt;&gt;"",MONTH(C2445),"")</f>
        <v>8</v>
      </c>
      <c r="C2445" s="64">
        <v>42586</v>
      </c>
      <c r="D2445" s="64" t="s">
        <v>870</v>
      </c>
      <c r="E2445" s="64">
        <f t="shared" si="246"/>
        <v>42586</v>
      </c>
      <c r="F2445" s="72" t="s">
        <v>1139</v>
      </c>
      <c r="G2445" s="67" t="s">
        <v>914</v>
      </c>
      <c r="H2445" s="72" t="s">
        <v>760</v>
      </c>
      <c r="I2445" s="437"/>
      <c r="J2445" s="437"/>
      <c r="K2445" s="428"/>
      <c r="L2445" s="437"/>
      <c r="M2445" s="65">
        <v>1189000000</v>
      </c>
      <c r="N2445" s="66" t="s">
        <v>63</v>
      </c>
      <c r="O2445" s="66" t="s">
        <v>26</v>
      </c>
      <c r="P2445" s="82" t="str">
        <f>IF(AND('331-CT'!$E$7=TH!H2445,OR(N2445="331",O2445="331")),"x","")</f>
        <v/>
      </c>
      <c r="Q2445" s="82" t="str">
        <f>IF(AND(B2445='111'!$L$11,OR($N2445=$Q$7,$O2445=$Q$7)),"x","")</f>
        <v/>
      </c>
      <c r="R2445" s="82" t="str">
        <f>IF(AND($N2445=$Q$7,$B2445&lt;'111'!$L$11),"x","")</f>
        <v>x</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2" s="349" customFormat="1" ht="15.75" customHeight="1">
      <c r="A2446" s="334" t="str">
        <f>IF(B2446&lt;&gt;"",IF(AND(B2446='IN-TC'!$S$4,OR(TH!N2446="1111",TH!O2446="1111")),TH!D2446,""),"")</f>
        <v/>
      </c>
      <c r="B2446" s="63">
        <f t="shared" si="247"/>
        <v>8</v>
      </c>
      <c r="C2446" s="64">
        <v>42586</v>
      </c>
      <c r="D2446" s="64" t="s">
        <v>699</v>
      </c>
      <c r="E2446" s="64">
        <f t="shared" si="246"/>
        <v>42586</v>
      </c>
      <c r="F2446" s="72" t="s">
        <v>1894</v>
      </c>
      <c r="G2446" s="79" t="s">
        <v>914</v>
      </c>
      <c r="H2446" s="72" t="s">
        <v>1895</v>
      </c>
      <c r="I2446" s="437"/>
      <c r="J2446" s="437"/>
      <c r="K2446" s="428">
        <v>52300</v>
      </c>
      <c r="L2446" s="437">
        <v>22295</v>
      </c>
      <c r="M2446" s="65">
        <v>1166028500</v>
      </c>
      <c r="N2446" s="66" t="s">
        <v>26</v>
      </c>
      <c r="O2446" s="66" t="s">
        <v>260</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2" s="349" customFormat="1" ht="15.75" customHeight="1">
      <c r="A2447" s="334" t="str">
        <f>IF(B2447&lt;&gt;"",IF(AND(B2447='IN-TC'!$S$4,OR(TH!N2447="1111",TH!O2447="1111")),TH!D2447,""),"")</f>
        <v/>
      </c>
      <c r="B2447" s="63">
        <f t="shared" si="247"/>
        <v>8</v>
      </c>
      <c r="C2447" s="64">
        <v>42586</v>
      </c>
      <c r="D2447" s="64" t="s">
        <v>699</v>
      </c>
      <c r="E2447" s="64">
        <f t="shared" si="246"/>
        <v>42586</v>
      </c>
      <c r="F2447" s="72" t="s">
        <v>1184</v>
      </c>
      <c r="G2447" s="67" t="s">
        <v>914</v>
      </c>
      <c r="H2447" s="342" t="s">
        <v>598</v>
      </c>
      <c r="I2447" s="437"/>
      <c r="J2447" s="437"/>
      <c r="K2447" s="428">
        <v>45100</v>
      </c>
      <c r="L2447" s="437">
        <v>22310</v>
      </c>
      <c r="M2447" s="65">
        <f>ROUND(K2447*L2447,0)</f>
        <v>1006181000</v>
      </c>
      <c r="N2447" s="66" t="s">
        <v>266</v>
      </c>
      <c r="O2447" s="66" t="s">
        <v>585</v>
      </c>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2" s="349" customFormat="1" ht="15.75" customHeight="1">
      <c r="A2448" s="334" t="str">
        <f>IF(B2448&lt;&gt;"",IF(AND(B2448='IN-TC'!$S$4,OR(TH!N2448="1111",TH!O2448="1111")),TH!D2448,""),"")</f>
        <v/>
      </c>
      <c r="B2448" s="63">
        <f t="shared" si="247"/>
        <v>8</v>
      </c>
      <c r="C2448" s="64">
        <v>42586</v>
      </c>
      <c r="D2448" s="64" t="s">
        <v>699</v>
      </c>
      <c r="E2448" s="64">
        <f t="shared" si="246"/>
        <v>42586</v>
      </c>
      <c r="F2448" s="72" t="s">
        <v>1917</v>
      </c>
      <c r="G2448" s="67" t="s">
        <v>914</v>
      </c>
      <c r="H2448" s="72"/>
      <c r="I2448" s="437"/>
      <c r="J2448" s="437"/>
      <c r="K2448" s="428">
        <v>6600</v>
      </c>
      <c r="L2448" s="437">
        <v>22310</v>
      </c>
      <c r="M2448" s="65">
        <f>ROUND(K2448*L2448,0)</f>
        <v>147246000</v>
      </c>
      <c r="N2448" s="66" t="s">
        <v>266</v>
      </c>
      <c r="O2448" s="66" t="s">
        <v>26</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2" s="349" customFormat="1" ht="15.75" customHeight="1">
      <c r="A2449" s="334" t="str">
        <f>IF(B2449&lt;&gt;"",IF(AND(B2449='IN-TC'!$S$4,OR(TH!N2449="1111",TH!O2449="1111")),TH!D2449,""),"")</f>
        <v/>
      </c>
      <c r="B2449" s="63">
        <f t="shared" si="247"/>
        <v>8</v>
      </c>
      <c r="C2449" s="64">
        <v>42586</v>
      </c>
      <c r="D2449" s="64" t="s">
        <v>702</v>
      </c>
      <c r="E2449" s="64">
        <f t="shared" si="246"/>
        <v>42586</v>
      </c>
      <c r="F2449" s="72" t="s">
        <v>1183</v>
      </c>
      <c r="G2449" s="67" t="s">
        <v>914</v>
      </c>
      <c r="H2449" s="342" t="s">
        <v>739</v>
      </c>
      <c r="I2449" s="437"/>
      <c r="J2449" s="437"/>
      <c r="K2449" s="430">
        <v>52300</v>
      </c>
      <c r="L2449" s="437">
        <v>22280</v>
      </c>
      <c r="M2449" s="65">
        <f>ROUND(K2449*L2449,0)</f>
        <v>1165244000</v>
      </c>
      <c r="N2449" s="66" t="s">
        <v>260</v>
      </c>
      <c r="O2449" s="66" t="s">
        <v>266</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2" s="349" customFormat="1" ht="15.75" customHeight="1">
      <c r="A2450" s="334" t="str">
        <f>IF(B2450&lt;&gt;"",IF(AND(B2450='IN-TC'!$S$4,OR(TH!N2450="1111",TH!O2450="1111")),TH!D2450,""),"")</f>
        <v/>
      </c>
      <c r="B2450" s="63">
        <f t="shared" si="247"/>
        <v>8</v>
      </c>
      <c r="C2450" s="64">
        <v>42586</v>
      </c>
      <c r="D2450" s="64" t="s">
        <v>579</v>
      </c>
      <c r="E2450" s="64">
        <f t="shared" si="246"/>
        <v>42586</v>
      </c>
      <c r="F2450" s="72" t="s">
        <v>1062</v>
      </c>
      <c r="G2450" s="67" t="s">
        <v>914</v>
      </c>
      <c r="H2450" s="342" t="s">
        <v>739</v>
      </c>
      <c r="I2450" s="437"/>
      <c r="J2450" s="437"/>
      <c r="K2450" s="428"/>
      <c r="L2450" s="437"/>
      <c r="M2450" s="65">
        <v>3138000</v>
      </c>
      <c r="N2450" s="66" t="s">
        <v>99</v>
      </c>
      <c r="O2450" s="66" t="s">
        <v>260</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2" s="349" customFormat="1" ht="15.75" customHeight="1">
      <c r="A2451" s="334" t="str">
        <f>IF(B2451&lt;&gt;"",IF(AND(B2451='IN-TC'!$S$4,OR(TH!N2451="1111",TH!O2451="1111")),TH!D2451,""),"")</f>
        <v/>
      </c>
      <c r="B2451" s="63">
        <f t="shared" si="247"/>
        <v>8</v>
      </c>
      <c r="C2451" s="64">
        <v>42586</v>
      </c>
      <c r="D2451" s="64" t="s">
        <v>702</v>
      </c>
      <c r="E2451" s="64">
        <f t="shared" si="246"/>
        <v>42586</v>
      </c>
      <c r="F2451" s="72" t="s">
        <v>1918</v>
      </c>
      <c r="G2451" s="67" t="s">
        <v>915</v>
      </c>
      <c r="H2451" s="342" t="s">
        <v>626</v>
      </c>
      <c r="I2451" s="437"/>
      <c r="J2451" s="437"/>
      <c r="K2451" s="428"/>
      <c r="L2451" s="437"/>
      <c r="M2451" s="65">
        <v>420000</v>
      </c>
      <c r="N2451" s="66" t="s">
        <v>8</v>
      </c>
      <c r="O2451" s="66" t="s">
        <v>26</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c r="AE2451" s="1136" t="str">
        <f>IF(H2451&lt;&gt;VLOOKUP(H2451,DSKH,1,0),"","x")</f>
        <v>x</v>
      </c>
    </row>
    <row r="2452" spans="1:32" s="349" customFormat="1" ht="15.75" customHeight="1">
      <c r="A2452" s="334" t="str">
        <f>IF(B2452&lt;&gt;"",IF(AND(B2452='IN-TC'!$S$4,OR(TH!N2452="1111",TH!O2452="1111")),TH!D2452,""),"")</f>
        <v/>
      </c>
      <c r="B2452" s="63">
        <f t="shared" si="247"/>
        <v>8</v>
      </c>
      <c r="C2452" s="64">
        <v>42586</v>
      </c>
      <c r="D2452" s="64" t="s">
        <v>702</v>
      </c>
      <c r="E2452" s="64">
        <f t="shared" si="246"/>
        <v>42586</v>
      </c>
      <c r="F2452" s="72" t="s">
        <v>1192</v>
      </c>
      <c r="G2452" s="67" t="s">
        <v>915</v>
      </c>
      <c r="H2452" s="72"/>
      <c r="I2452" s="437"/>
      <c r="J2452" s="437"/>
      <c r="K2452" s="428"/>
      <c r="L2452" s="437"/>
      <c r="M2452" s="65">
        <v>20000</v>
      </c>
      <c r="N2452" s="66" t="s">
        <v>101</v>
      </c>
      <c r="O2452" s="66" t="s">
        <v>26</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c r="AF2452" s="349">
        <v>8</v>
      </c>
    </row>
    <row r="2453" spans="1:32" s="349" customFormat="1" ht="15.75" customHeight="1">
      <c r="A2453" s="334" t="str">
        <f>IF(B2453&lt;&gt;"",IF(AND(B2453='IN-TC'!$S$4,OR(TH!N2453="1111",TH!O2453="1111")),TH!D2453,""),"")</f>
        <v/>
      </c>
      <c r="B2453" s="63">
        <f t="shared" si="247"/>
        <v>8</v>
      </c>
      <c r="C2453" s="64">
        <v>42586</v>
      </c>
      <c r="D2453" s="64" t="s">
        <v>702</v>
      </c>
      <c r="E2453" s="64">
        <f t="shared" si="246"/>
        <v>42586</v>
      </c>
      <c r="F2453" s="72" t="s">
        <v>1193</v>
      </c>
      <c r="G2453" s="67" t="s">
        <v>915</v>
      </c>
      <c r="H2453" s="72"/>
      <c r="I2453" s="437"/>
      <c r="J2453" s="437"/>
      <c r="K2453" s="428"/>
      <c r="L2453" s="437"/>
      <c r="M2453" s="65">
        <v>2000</v>
      </c>
      <c r="N2453" s="82" t="s">
        <v>9</v>
      </c>
      <c r="O2453" s="66" t="s">
        <v>26</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x</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c r="AF2453" s="349">
        <v>8</v>
      </c>
    </row>
    <row r="2454" spans="1:32" s="349" customFormat="1" ht="15.75" customHeight="1">
      <c r="A2454" s="334" t="str">
        <f>IF(B2454&lt;&gt;"",IF(AND(B2454='IN-TC'!$S$4,OR(TH!N2454="1111",TH!O2454="1111")),TH!D2454,""),"")</f>
        <v/>
      </c>
      <c r="B2454" s="63">
        <f t="shared" si="247"/>
        <v>8</v>
      </c>
      <c r="C2454" s="64">
        <v>42586</v>
      </c>
      <c r="D2454" s="64" t="s">
        <v>702</v>
      </c>
      <c r="E2454" s="64">
        <f t="shared" si="246"/>
        <v>42586</v>
      </c>
      <c r="F2454" s="72" t="s">
        <v>1918</v>
      </c>
      <c r="G2454" s="67" t="s">
        <v>915</v>
      </c>
      <c r="H2454" s="342" t="s">
        <v>626</v>
      </c>
      <c r="I2454" s="437"/>
      <c r="J2454" s="437"/>
      <c r="K2454" s="428"/>
      <c r="L2454" s="437"/>
      <c r="M2454" s="65">
        <v>9215000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c r="AE2454" s="1136" t="str">
        <f>IF(H2454&lt;&gt;VLOOKUP(H2454,DSKH,1,0),"","x")</f>
        <v>x</v>
      </c>
    </row>
    <row r="2455" spans="1:32" s="349" customFormat="1" ht="15.75" customHeight="1">
      <c r="A2455" s="334" t="str">
        <f>IF(B2455&lt;&gt;"",IF(AND(B2455='IN-TC'!$S$4,OR(TH!N2455="1111",TH!O2455="1111")),TH!D2455,""),"")</f>
        <v/>
      </c>
      <c r="B2455" s="63">
        <f t="shared" si="247"/>
        <v>8</v>
      </c>
      <c r="C2455" s="64">
        <v>42586</v>
      </c>
      <c r="D2455" s="64" t="s">
        <v>702</v>
      </c>
      <c r="E2455" s="64">
        <f t="shared" si="246"/>
        <v>42586</v>
      </c>
      <c r="F2455" s="72" t="s">
        <v>1192</v>
      </c>
      <c r="G2455" s="67" t="s">
        <v>915</v>
      </c>
      <c r="H2455" s="72"/>
      <c r="I2455" s="437"/>
      <c r="J2455" s="437"/>
      <c r="K2455" s="428"/>
      <c r="L2455" s="437"/>
      <c r="M2455" s="65">
        <v>40000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c r="AF2455" s="349">
        <v>8</v>
      </c>
    </row>
    <row r="2456" spans="1:32" s="349" customFormat="1" ht="15.75" customHeight="1">
      <c r="A2456" s="334" t="str">
        <f>IF(B2456&lt;&gt;"",IF(AND(B2456='IN-TC'!$S$4,OR(TH!N2456="1111",TH!O2456="1111")),TH!D2456,""),"")</f>
        <v/>
      </c>
      <c r="B2456" s="63">
        <f t="shared" si="247"/>
        <v>8</v>
      </c>
      <c r="C2456" s="64">
        <v>42586</v>
      </c>
      <c r="D2456" s="64" t="s">
        <v>702</v>
      </c>
      <c r="E2456" s="64">
        <f t="shared" si="246"/>
        <v>42586</v>
      </c>
      <c r="F2456" s="72" t="s">
        <v>1193</v>
      </c>
      <c r="G2456" s="67" t="s">
        <v>915</v>
      </c>
      <c r="H2456" s="72"/>
      <c r="I2456" s="437"/>
      <c r="J2456" s="437"/>
      <c r="K2456" s="428"/>
      <c r="L2456" s="437"/>
      <c r="M2456" s="65">
        <v>4000</v>
      </c>
      <c r="N2456" s="82"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x</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c r="AF2456" s="349">
        <v>8</v>
      </c>
    </row>
    <row r="2457" spans="1:32" s="349" customFormat="1" ht="15.75" customHeight="1">
      <c r="A2457" s="334" t="str">
        <f>IF(B2457&lt;&gt;"",IF(AND(B2457='IN-TC'!$S$4,OR(TH!N2457="1111",TH!O2457="1111")),TH!D2457,""),"")</f>
        <v/>
      </c>
      <c r="B2457" s="63">
        <f t="shared" si="247"/>
        <v>8</v>
      </c>
      <c r="C2457" s="64">
        <v>42586</v>
      </c>
      <c r="D2457" s="64" t="s">
        <v>702</v>
      </c>
      <c r="E2457" s="64">
        <f t="shared" si="246"/>
        <v>42586</v>
      </c>
      <c r="F2457" s="72" t="s">
        <v>1638</v>
      </c>
      <c r="G2457" s="67" t="s">
        <v>915</v>
      </c>
      <c r="H2457" s="318" t="s">
        <v>1498</v>
      </c>
      <c r="I2457" s="437"/>
      <c r="J2457" s="437"/>
      <c r="K2457" s="428"/>
      <c r="L2457" s="437"/>
      <c r="M2457" s="65">
        <v>64375104</v>
      </c>
      <c r="N2457" s="66" t="s">
        <v>8</v>
      </c>
      <c r="O2457" s="66" t="s">
        <v>26</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c r="AE2457" s="1136" t="str">
        <f>IF(H2457&lt;&gt;VLOOKUP(H2457,DSKH,1,0),"","x")</f>
        <v>x</v>
      </c>
    </row>
    <row r="2458" spans="1:32" s="349" customFormat="1" ht="15.75" customHeight="1">
      <c r="A2458" s="334" t="str">
        <f>IF(B2458&lt;&gt;"",IF(AND(B2458='IN-TC'!$S$4,OR(TH!N2458="1111",TH!O2458="1111")),TH!D2458,""),"")</f>
        <v/>
      </c>
      <c r="B2458" s="63">
        <f t="shared" si="247"/>
        <v>8</v>
      </c>
      <c r="C2458" s="64">
        <v>42586</v>
      </c>
      <c r="D2458" s="64" t="s">
        <v>702</v>
      </c>
      <c r="E2458" s="64">
        <f t="shared" si="246"/>
        <v>42586</v>
      </c>
      <c r="F2458" s="72" t="s">
        <v>1192</v>
      </c>
      <c r="G2458" s="67" t="s">
        <v>915</v>
      </c>
      <c r="H2458" s="72"/>
      <c r="I2458" s="437"/>
      <c r="J2458" s="437"/>
      <c r="K2458" s="428"/>
      <c r="L2458" s="437"/>
      <c r="M2458" s="65">
        <v>40000</v>
      </c>
      <c r="N2458" s="66" t="s">
        <v>101</v>
      </c>
      <c r="O2458" s="66" t="s">
        <v>26</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c r="AF2458" s="349">
        <v>8</v>
      </c>
    </row>
    <row r="2459" spans="1:32" s="349" customFormat="1" ht="15.75" customHeight="1">
      <c r="A2459" s="334" t="str">
        <f>IF(B2459&lt;&gt;"",IF(AND(B2459='IN-TC'!$S$4,OR(TH!N2459="1111",TH!O2459="1111")),TH!D2459,""),"")</f>
        <v/>
      </c>
      <c r="B2459" s="63">
        <f t="shared" si="247"/>
        <v>8</v>
      </c>
      <c r="C2459" s="64">
        <v>42586</v>
      </c>
      <c r="D2459" s="64" t="s">
        <v>702</v>
      </c>
      <c r="E2459" s="64">
        <f t="shared" si="246"/>
        <v>42586</v>
      </c>
      <c r="F2459" s="72" t="s">
        <v>1193</v>
      </c>
      <c r="G2459" s="67" t="s">
        <v>915</v>
      </c>
      <c r="H2459" s="72"/>
      <c r="I2459" s="437"/>
      <c r="J2459" s="437"/>
      <c r="K2459" s="428"/>
      <c r="L2459" s="437"/>
      <c r="M2459" s="65">
        <v>4000</v>
      </c>
      <c r="N2459" s="82" t="s">
        <v>9</v>
      </c>
      <c r="O2459" s="66" t="s">
        <v>26</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x</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c r="AF2459" s="349">
        <v>8</v>
      </c>
    </row>
    <row r="2460" spans="1:32" s="349" customFormat="1" ht="15.75" customHeight="1">
      <c r="A2460" s="334" t="str">
        <f>IF(B2460&lt;&gt;"",IF(AND(B2460='IN-TC'!$S$4,OR(TH!N2460="1111",TH!O2460="1111")),TH!D2460,""),"")</f>
        <v/>
      </c>
      <c r="B2460" s="63">
        <f t="shared" si="247"/>
        <v>8</v>
      </c>
      <c r="C2460" s="64">
        <v>42586</v>
      </c>
      <c r="D2460" s="64" t="s">
        <v>702</v>
      </c>
      <c r="E2460" s="64">
        <f t="shared" si="246"/>
        <v>42586</v>
      </c>
      <c r="F2460" s="72" t="s">
        <v>1920</v>
      </c>
      <c r="G2460" s="67" t="s">
        <v>915</v>
      </c>
      <c r="H2460" s="342" t="s">
        <v>629</v>
      </c>
      <c r="I2460" s="437"/>
      <c r="J2460" s="437"/>
      <c r="K2460" s="428"/>
      <c r="L2460" s="437"/>
      <c r="M2460" s="65">
        <v>23985830</v>
      </c>
      <c r="N2460" s="66" t="s">
        <v>8</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c r="AE2460" s="1136" t="str">
        <f>IF(H2460&lt;&gt;VLOOKUP(H2460,DSKH,1,0),"","x")</f>
        <v>x</v>
      </c>
    </row>
    <row r="2461" spans="1:32" s="349" customFormat="1" ht="15.75" customHeight="1">
      <c r="A2461" s="334" t="str">
        <f>IF(B2461&lt;&gt;"",IF(AND(B2461='IN-TC'!$S$4,OR(TH!N2461="1111",TH!O2461="1111")),TH!D2461,""),"")</f>
        <v/>
      </c>
      <c r="B2461" s="63">
        <f t="shared" si="247"/>
        <v>8</v>
      </c>
      <c r="C2461" s="64">
        <v>42586</v>
      </c>
      <c r="D2461" s="64" t="s">
        <v>702</v>
      </c>
      <c r="E2461" s="64">
        <f t="shared" si="246"/>
        <v>42586</v>
      </c>
      <c r="F2461" s="72" t="s">
        <v>1192</v>
      </c>
      <c r="G2461" s="67" t="s">
        <v>915</v>
      </c>
      <c r="H2461" s="72"/>
      <c r="I2461" s="437"/>
      <c r="J2461" s="437"/>
      <c r="K2461" s="428"/>
      <c r="L2461" s="437"/>
      <c r="M2461" s="65">
        <v>45000</v>
      </c>
      <c r="N2461" s="66" t="s">
        <v>101</v>
      </c>
      <c r="O2461" s="66" t="s">
        <v>26</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c r="AF2461" s="349">
        <v>8</v>
      </c>
    </row>
    <row r="2462" spans="1:32" s="349" customFormat="1" ht="15.75" customHeight="1">
      <c r="A2462" s="334" t="str">
        <f>IF(B2462&lt;&gt;"",IF(AND(B2462='IN-TC'!$S$4,OR(TH!N2462="1111",TH!O2462="1111")),TH!D2462,""),"")</f>
        <v/>
      </c>
      <c r="B2462" s="63">
        <f t="shared" si="247"/>
        <v>8</v>
      </c>
      <c r="C2462" s="64">
        <v>42586</v>
      </c>
      <c r="D2462" s="64" t="s">
        <v>702</v>
      </c>
      <c r="E2462" s="64">
        <f t="shared" ref="E2462:E2493" si="248">C2462</f>
        <v>42586</v>
      </c>
      <c r="F2462" s="72" t="s">
        <v>1193</v>
      </c>
      <c r="G2462" s="67" t="s">
        <v>915</v>
      </c>
      <c r="H2462" s="72"/>
      <c r="I2462" s="437"/>
      <c r="J2462" s="437"/>
      <c r="K2462" s="428"/>
      <c r="L2462" s="437"/>
      <c r="M2462" s="65">
        <v>4500</v>
      </c>
      <c r="N2462" s="82" t="s">
        <v>9</v>
      </c>
      <c r="O2462" s="66" t="s">
        <v>26</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x</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c r="AF2462" s="349">
        <v>8</v>
      </c>
    </row>
    <row r="2463" spans="1:32" s="349" customFormat="1" ht="15.75" customHeight="1">
      <c r="A2463" s="334" t="str">
        <f>IF(B2463&lt;&gt;"",IF(AND(B2463='IN-TC'!$S$4,OR(TH!N2463="1111",TH!O2463="1111")),TH!D2463,""),"")</f>
        <v/>
      </c>
      <c r="B2463" s="63">
        <f t="shared" si="247"/>
        <v>8</v>
      </c>
      <c r="C2463" s="64">
        <v>42586</v>
      </c>
      <c r="D2463" s="64" t="s">
        <v>702</v>
      </c>
      <c r="E2463" s="64">
        <f t="shared" si="248"/>
        <v>42586</v>
      </c>
      <c r="F2463" s="72" t="s">
        <v>1443</v>
      </c>
      <c r="G2463" s="67" t="s">
        <v>915</v>
      </c>
      <c r="H2463" s="72" t="s">
        <v>1211</v>
      </c>
      <c r="I2463" s="437"/>
      <c r="J2463" s="437"/>
      <c r="K2463" s="428"/>
      <c r="L2463" s="437"/>
      <c r="M2463" s="65">
        <v>61000000</v>
      </c>
      <c r="N2463" s="66" t="s">
        <v>72</v>
      </c>
      <c r="O2463" s="66" t="s">
        <v>26</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2" s="349" customFormat="1" ht="15.75" customHeight="1">
      <c r="A2464" s="334" t="str">
        <f>IF(B2464&lt;&gt;"",IF(AND(B2464='IN-TC'!$S$4,OR(TH!N2464="1111",TH!O2464="1111")),TH!D2464,""),"")</f>
        <v/>
      </c>
      <c r="B2464" s="63">
        <f t="shared" si="247"/>
        <v>8</v>
      </c>
      <c r="C2464" s="64">
        <v>42586</v>
      </c>
      <c r="D2464" s="64" t="s">
        <v>702</v>
      </c>
      <c r="E2464" s="64">
        <f t="shared" si="248"/>
        <v>42586</v>
      </c>
      <c r="F2464" s="72" t="s">
        <v>1192</v>
      </c>
      <c r="G2464" s="67" t="s">
        <v>915</v>
      </c>
      <c r="H2464" s="72"/>
      <c r="I2464" s="437"/>
      <c r="J2464" s="437"/>
      <c r="K2464" s="428"/>
      <c r="L2464" s="437"/>
      <c r="M2464" s="65">
        <v>20000</v>
      </c>
      <c r="N2464" s="66" t="s">
        <v>101</v>
      </c>
      <c r="O2464" s="66" t="s">
        <v>26</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c r="AF2464" s="349">
        <v>8</v>
      </c>
    </row>
    <row r="2465" spans="1:32" s="349" customFormat="1" ht="15.75" customHeight="1">
      <c r="A2465" s="334" t="str">
        <f>IF(B2465&lt;&gt;"",IF(AND(B2465='IN-TC'!$S$4,OR(TH!N2465="1111",TH!O2465="1111")),TH!D2465,""),"")</f>
        <v/>
      </c>
      <c r="B2465" s="63">
        <f t="shared" si="247"/>
        <v>8</v>
      </c>
      <c r="C2465" s="64">
        <v>42586</v>
      </c>
      <c r="D2465" s="64" t="s">
        <v>702</v>
      </c>
      <c r="E2465" s="64">
        <f t="shared" si="248"/>
        <v>42586</v>
      </c>
      <c r="F2465" s="72" t="s">
        <v>1193</v>
      </c>
      <c r="G2465" s="67" t="s">
        <v>915</v>
      </c>
      <c r="H2465" s="72"/>
      <c r="I2465" s="437"/>
      <c r="J2465" s="437"/>
      <c r="K2465" s="428"/>
      <c r="L2465" s="437"/>
      <c r="M2465" s="65">
        <v>2000</v>
      </c>
      <c r="N2465" s="82" t="s">
        <v>9</v>
      </c>
      <c r="O2465" s="66" t="s">
        <v>26</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x</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c r="AF2465" s="349">
        <v>8</v>
      </c>
    </row>
    <row r="2466" spans="1:32" s="349" customFormat="1" ht="15.75" customHeight="1">
      <c r="A2466" s="334" t="str">
        <f>IF(B2466&lt;&gt;"",IF(AND(B2466='IN-TC'!$S$4,OR(TH!N2466="1111",TH!O2466="1111")),TH!D2466,""),"")</f>
        <v/>
      </c>
      <c r="B2466" s="63">
        <f t="shared" si="247"/>
        <v>8</v>
      </c>
      <c r="C2466" s="64">
        <v>42586</v>
      </c>
      <c r="D2466" s="64" t="s">
        <v>702</v>
      </c>
      <c r="E2466" s="64">
        <f t="shared" si="248"/>
        <v>42586</v>
      </c>
      <c r="F2466" s="72" t="s">
        <v>1880</v>
      </c>
      <c r="G2466" s="67" t="s">
        <v>914</v>
      </c>
      <c r="H2466" s="342" t="s">
        <v>739</v>
      </c>
      <c r="I2466" s="437"/>
      <c r="J2466" s="437"/>
      <c r="K2466" s="428"/>
      <c r="L2466" s="437"/>
      <c r="M2466" s="65">
        <v>2554552</v>
      </c>
      <c r="N2466" s="66" t="s">
        <v>99</v>
      </c>
      <c r="O2466" s="66" t="s">
        <v>26</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2" s="349" customFormat="1" ht="15.75" customHeight="1">
      <c r="A2467" s="334" t="str">
        <f>IF(B2467&lt;&gt;"",IF(AND(B2467='IN-TC'!$S$4,OR(TH!N2467="1111",TH!O2467="1111")),TH!D2467,""),"")</f>
        <v/>
      </c>
      <c r="B2467" s="63">
        <f t="shared" si="247"/>
        <v>8</v>
      </c>
      <c r="C2467" s="64">
        <v>42586</v>
      </c>
      <c r="D2467" s="64" t="s">
        <v>702</v>
      </c>
      <c r="E2467" s="64">
        <f t="shared" si="248"/>
        <v>42586</v>
      </c>
      <c r="F2467" s="72" t="s">
        <v>1192</v>
      </c>
      <c r="G2467" s="67" t="s">
        <v>914</v>
      </c>
      <c r="H2467" s="72"/>
      <c r="I2467" s="437"/>
      <c r="J2467" s="437"/>
      <c r="K2467" s="428"/>
      <c r="L2467" s="437"/>
      <c r="M2467" s="65">
        <v>20000</v>
      </c>
      <c r="N2467" s="66" t="s">
        <v>101</v>
      </c>
      <c r="O2467" s="66" t="s">
        <v>26</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F2467" s="349">
        <v>8</v>
      </c>
    </row>
    <row r="2468" spans="1:32" s="345" customFormat="1" ht="15.75" customHeight="1">
      <c r="A2468" s="334" t="str">
        <f>IF(B2468&lt;&gt;"",IF(AND(B2468='IN-TC'!$S$4,OR(TH!N2468="1111",TH!O2468="1111")),TH!D2468,""),"")</f>
        <v/>
      </c>
      <c r="B2468" s="63">
        <f t="shared" si="247"/>
        <v>8</v>
      </c>
      <c r="C2468" s="64">
        <v>42586</v>
      </c>
      <c r="D2468" s="64" t="s">
        <v>702</v>
      </c>
      <c r="E2468" s="64">
        <f t="shared" si="248"/>
        <v>42586</v>
      </c>
      <c r="F2468" s="72" t="s">
        <v>1193</v>
      </c>
      <c r="G2468" s="67" t="s">
        <v>914</v>
      </c>
      <c r="H2468" s="72"/>
      <c r="I2468" s="437"/>
      <c r="J2468" s="437"/>
      <c r="K2468" s="428"/>
      <c r="L2468" s="437"/>
      <c r="M2468" s="65">
        <v>2000</v>
      </c>
      <c r="N2468" s="82" t="s">
        <v>9</v>
      </c>
      <c r="O2468" s="66" t="s">
        <v>26</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x</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c r="AE2468" s="349"/>
      <c r="AF2468" s="349">
        <v>8</v>
      </c>
    </row>
    <row r="2469" spans="1:32" s="349" customFormat="1" ht="15.75" customHeight="1">
      <c r="A2469" s="334" t="str">
        <f>IF(B2469&lt;&gt;"",IF(AND(B2469='IN-TC'!$S$4,OR(TH!N2473="1111",TH!O2473="1111")),TH!D2473,""),"")</f>
        <v/>
      </c>
      <c r="B2469" s="63">
        <f t="shared" si="247"/>
        <v>8</v>
      </c>
      <c r="C2469" s="64">
        <v>42588</v>
      </c>
      <c r="D2469" s="64" t="s">
        <v>869</v>
      </c>
      <c r="E2469" s="64">
        <f t="shared" si="248"/>
        <v>42588</v>
      </c>
      <c r="F2469" s="72" t="s">
        <v>1801</v>
      </c>
      <c r="G2469" s="972" t="s">
        <v>1802</v>
      </c>
      <c r="H2469" s="72" t="s">
        <v>843</v>
      </c>
      <c r="I2469" s="437"/>
      <c r="J2469" s="437"/>
      <c r="K2469" s="428"/>
      <c r="L2469" s="437"/>
      <c r="M2469" s="65">
        <v>201663</v>
      </c>
      <c r="N2469" s="82" t="s">
        <v>9</v>
      </c>
      <c r="O2469" s="66" t="s">
        <v>63</v>
      </c>
      <c r="P2469" s="82" t="str">
        <f>IF(AND('331-CT'!$E$7=TH!H2473,OR(N2469="331",O2469="331")),"x","")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IF(OR(TH!N2473=TH!$X$7,O2469=TH!$X$7),"x","")</f>
        <v/>
      </c>
      <c r="Y2469" s="82" t="str">
        <f>IF(AND(OR(N2469="131",O2469="131"),H2469='131-CT'!$H$9),"x","")</f>
        <v/>
      </c>
      <c r="Z2469" s="82"/>
      <c r="AA2469" s="82" t="str">
        <f>IF(AND(MONTH(E2469)='IN-NX'!$J$5,'IN-NX'!$D$7=D2469),"x","")</f>
        <v/>
      </c>
      <c r="AB2469" s="82" t="str">
        <f>IF(AND(OR(LEFT(TH!N2473,2)="15",LEFT(TH!O2473,2)="15"),LEFT(TH!O2473,3)&lt;&gt;"111",'152-CT'!$J$8=TH!F2473),"x","")</f>
        <v/>
      </c>
      <c r="AC2469" s="82" t="str">
        <f>IF(AND(OR(LEFT(TH!N2473,2)="15",LEFT(TH!O2473,2)="15"),TK!$E$7=TH!F2473),"x","")</f>
        <v/>
      </c>
      <c r="AD2469" s="82" t="str">
        <f>IF(AND(N2469="1521",MONTH(C2469)='BK-NL'!$M$11),"x","")</f>
        <v/>
      </c>
      <c r="AF2469" s="349">
        <v>8</v>
      </c>
    </row>
    <row r="2470" spans="1:32" s="349" customFormat="1" ht="15.75" customHeight="1">
      <c r="A2470" s="334" t="str">
        <f>IF(B2470&lt;&gt;"",IF(AND(B2470='IN-TC'!$S$4,OR(TH!N2474="1111",TH!O2474="1111")),TH!D2474,""),"")</f>
        <v/>
      </c>
      <c r="B2470" s="63">
        <f t="shared" si="247"/>
        <v>8</v>
      </c>
      <c r="C2470" s="64">
        <v>42588</v>
      </c>
      <c r="D2470" s="64" t="s">
        <v>871</v>
      </c>
      <c r="E2470" s="64">
        <f t="shared" si="248"/>
        <v>42588</v>
      </c>
      <c r="F2470" s="72" t="s">
        <v>224</v>
      </c>
      <c r="G2470" s="972" t="s">
        <v>1803</v>
      </c>
      <c r="H2470" s="342" t="s">
        <v>618</v>
      </c>
      <c r="I2470" s="437">
        <v>450</v>
      </c>
      <c r="J2470" s="437">
        <v>18060.61</v>
      </c>
      <c r="K2470" s="428"/>
      <c r="L2470" s="437"/>
      <c r="M2470" s="65">
        <f>ROUND(I2470*J2470,0)</f>
        <v>8127275</v>
      </c>
      <c r="N2470" s="66" t="s">
        <v>282</v>
      </c>
      <c r="O2470" s="66" t="s">
        <v>63</v>
      </c>
      <c r="P2470" s="82" t="str">
        <f>IF(AND('331-CT'!$E$7=TH!H2474,OR(N2470="331",O2470="331")),"x","")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IF(OR(TH!N2474=TH!$X$7,O2470=TH!$X$7),"x","")</f>
        <v>x</v>
      </c>
      <c r="Y2470" s="82" t="str">
        <f>IF(AND(OR(N2470="131",O2470="131"),H2470='131-CT'!$H$9),"x","")</f>
        <v/>
      </c>
      <c r="Z2470" s="82"/>
      <c r="AA2470" s="82" t="str">
        <f>IF(AND(MONTH(E2470)='IN-NX'!$J$5,'IN-NX'!$D$7=D2470),"x","")</f>
        <v/>
      </c>
      <c r="AB2470" s="82" t="str">
        <f>IF(AND(OR(LEFT(TH!N2474,2)="15",LEFT(TH!O2474,2)="15"),LEFT(TH!O2474,3)&lt;&gt;"111",'152-CT'!$J$8=TH!F2474),"x","")</f>
        <v/>
      </c>
      <c r="AC2470" s="82" t="str">
        <f>IF(AND(OR(LEFT(TH!N2474,2)="15",LEFT(TH!O2474,2)="15"),TK!$E$7=TH!F2474),"x","")</f>
        <v/>
      </c>
      <c r="AD2470" s="82" t="str">
        <f>IF(AND(N2470="1521",MONTH(C2470)='BK-NL'!$M$11),"x","")</f>
        <v/>
      </c>
      <c r="AE2470" s="328"/>
      <c r="AF2470" s="349">
        <v>8</v>
      </c>
    </row>
    <row r="2471" spans="1:32" s="349" customFormat="1" ht="15.75" customHeight="1">
      <c r="A2471" s="334" t="str">
        <f>IF(B2471&lt;&gt;"",IF(AND(B2471='IN-TC'!$S$4,OR(TH!N2471="1111",TH!O2471="1111")),TH!D2471,""),"")</f>
        <v/>
      </c>
      <c r="B2471" s="63">
        <f t="shared" si="247"/>
        <v>8</v>
      </c>
      <c r="C2471" s="64">
        <v>42587</v>
      </c>
      <c r="D2471" s="64" t="s">
        <v>702</v>
      </c>
      <c r="E2471" s="64">
        <f t="shared" si="248"/>
        <v>42587</v>
      </c>
      <c r="F2471" s="72" t="s">
        <v>1782</v>
      </c>
      <c r="G2471" s="67" t="s">
        <v>1558</v>
      </c>
      <c r="H2471" s="72"/>
      <c r="I2471" s="437"/>
      <c r="J2471" s="437"/>
      <c r="K2471" s="428">
        <v>229.92</v>
      </c>
      <c r="L2471" s="437">
        <v>22330</v>
      </c>
      <c r="M2471" s="1154">
        <f>ROUND(K2471*L2471,0)</f>
        <v>5134114</v>
      </c>
      <c r="N2471" s="66" t="s">
        <v>99</v>
      </c>
      <c r="O2471" s="66" t="s">
        <v>266</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c r="AE2471" s="328"/>
      <c r="AF2471" s="328"/>
    </row>
    <row r="2472" spans="1:32" s="349" customFormat="1" ht="15.75" customHeight="1">
      <c r="A2472" s="334" t="str">
        <f>IF(B2472&lt;&gt;"",IF(AND(B2472='IN-TC'!$S$4,OR(TH!N2475="1111",TH!O2475="1111")),TH!D2475,""),"")</f>
        <v/>
      </c>
      <c r="B2472" s="63">
        <f t="shared" si="247"/>
        <v>8</v>
      </c>
      <c r="C2472" s="64">
        <v>42588</v>
      </c>
      <c r="D2472" s="64" t="s">
        <v>871</v>
      </c>
      <c r="E2472" s="64">
        <f t="shared" si="248"/>
        <v>42588</v>
      </c>
      <c r="F2472" s="72" t="s">
        <v>1348</v>
      </c>
      <c r="G2472" s="972" t="s">
        <v>1803</v>
      </c>
      <c r="H2472" s="342" t="s">
        <v>618</v>
      </c>
      <c r="I2472" s="437"/>
      <c r="J2472" s="437"/>
      <c r="K2472" s="428"/>
      <c r="L2472" s="437"/>
      <c r="M2472" s="65">
        <v>812728</v>
      </c>
      <c r="N2472" s="82" t="s">
        <v>9</v>
      </c>
      <c r="O2472" s="66" t="s">
        <v>63</v>
      </c>
      <c r="P2472" s="82" t="str">
        <f>IF(AND('331-CT'!$E$7=TH!H2475,OR(N2472="331",O2472="331")),"x","")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IF(OR(TH!N2475=TH!$X$7,O2472=TH!$X$7),"x","")</f>
        <v/>
      </c>
      <c r="Y2472" s="82" t="str">
        <f>IF(AND(OR(N2472="131",O2472="131"),H2472='131-CT'!$H$9),"x","")</f>
        <v/>
      </c>
      <c r="Z2472" s="82"/>
      <c r="AA2472" s="82" t="str">
        <f>IF(AND(MONTH(E2472)='IN-NX'!$J$5,'IN-NX'!$D$7=D2472),"x","")</f>
        <v/>
      </c>
      <c r="AB2472" s="82" t="str">
        <f>IF(AND(OR(LEFT(TH!N2475,2)="15",LEFT(TH!O2475,2)="15"),LEFT(TH!O2475,3)&lt;&gt;"111",'152-CT'!$J$8=TH!F2475),"x","")</f>
        <v/>
      </c>
      <c r="AC2472" s="82" t="str">
        <f>IF(AND(OR(LEFT(TH!N2475,2)="15",LEFT(TH!O2475,2)="15"),TK!$E$7=TH!F2475),"x","")</f>
        <v/>
      </c>
      <c r="AD2472" s="82" t="str">
        <f>IF(AND(N2472="1521",MONTH(C2472)='BK-NL'!$M$11),"x","")</f>
        <v/>
      </c>
      <c r="AE2472" s="328"/>
      <c r="AF2472" s="349">
        <v>8</v>
      </c>
    </row>
    <row r="2473" spans="1:32" ht="15.75" customHeight="1">
      <c r="A2473" s="334" t="str">
        <f>IF(B2473&lt;&gt;"",IF(AND(B2473='IN-TC'!$S$4,OR(TH!N2476="1111",TH!O2476="1111")),TH!D2476,""),"")</f>
        <v/>
      </c>
      <c r="B2473" s="63">
        <f t="shared" si="247"/>
        <v>8</v>
      </c>
      <c r="C2473" s="64">
        <v>42589</v>
      </c>
      <c r="D2473" s="64" t="s">
        <v>872</v>
      </c>
      <c r="E2473" s="64">
        <f t="shared" si="248"/>
        <v>42589</v>
      </c>
      <c r="F2473" s="72" t="s">
        <v>1804</v>
      </c>
      <c r="G2473" s="972" t="s">
        <v>1806</v>
      </c>
      <c r="H2473" s="72" t="s">
        <v>1102</v>
      </c>
      <c r="I2473" s="437"/>
      <c r="J2473" s="437"/>
      <c r="K2473" s="428"/>
      <c r="L2473" s="437"/>
      <c r="M2473" s="65">
        <v>1257127</v>
      </c>
      <c r="N2473" s="66" t="s">
        <v>101</v>
      </c>
      <c r="O2473" s="66" t="s">
        <v>63</v>
      </c>
      <c r="P2473" s="82" t="str">
        <f>IF(AND('331-CT'!$E$7=TH!H2476,OR(N2473="331",O2473="331")),"x","")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IF(OR(TH!N2476=TH!$X$7,O2473=TH!$X$7),"x","")</f>
        <v/>
      </c>
      <c r="Y2473" s="82" t="str">
        <f>IF(AND(OR(N2473="131",O2473="131"),H2473='131-CT'!$H$9),"x","")</f>
        <v/>
      </c>
      <c r="Z2473" s="82"/>
      <c r="AA2473" s="82" t="str">
        <f>IF(AND(MONTH(E2473)='IN-NX'!$J$5,'IN-NX'!$D$7=D2473),"x","")</f>
        <v/>
      </c>
      <c r="AB2473" s="82" t="str">
        <f>IF(AND(OR(LEFT(TH!N2476,2)="15",LEFT(TH!O2476,2)="15"),LEFT(TH!O2476,3)&lt;&gt;"111",'152-CT'!$J$8=TH!F2476),"x","")</f>
        <v/>
      </c>
      <c r="AC2473" s="82" t="str">
        <f>IF(AND(OR(LEFT(TH!N2476,2)="15",LEFT(TH!O2476,2)="15"),TK!$E$7=TH!F2476),"x","")</f>
        <v/>
      </c>
      <c r="AD2473" s="82" t="str">
        <f>IF(AND(N2473="1521",MONTH(C2473)='BK-NL'!$M$11),"x","")</f>
        <v/>
      </c>
      <c r="AE2473" s="349"/>
      <c r="AF2473" s="349">
        <v>8</v>
      </c>
    </row>
    <row r="2474" spans="1:32" ht="15.75" customHeight="1">
      <c r="A2474" s="334" t="str">
        <f>IF(B2474&lt;&gt;"",IF(AND(B2474='IN-TC'!$S$4,OR(TH!N2477="1111",TH!O2477="1111")),TH!D2477,""),"")</f>
        <v/>
      </c>
      <c r="B2474" s="63">
        <f t="shared" si="247"/>
        <v>8</v>
      </c>
      <c r="C2474" s="64">
        <v>42589</v>
      </c>
      <c r="D2474" s="64" t="s">
        <v>872</v>
      </c>
      <c r="E2474" s="64">
        <f t="shared" si="248"/>
        <v>42589</v>
      </c>
      <c r="F2474" s="72" t="s">
        <v>1805</v>
      </c>
      <c r="G2474" s="972" t="s">
        <v>1806</v>
      </c>
      <c r="H2474" s="72" t="s">
        <v>1102</v>
      </c>
      <c r="I2474" s="437"/>
      <c r="J2474" s="437"/>
      <c r="K2474" s="428"/>
      <c r="L2474" s="437"/>
      <c r="M2474" s="65">
        <v>125713</v>
      </c>
      <c r="N2474" s="82" t="s">
        <v>9</v>
      </c>
      <c r="O2474" s="66" t="s">
        <v>63</v>
      </c>
      <c r="P2474" s="82" t="str">
        <f>IF(AND('331-CT'!$E$7=TH!H2477,OR(N2474="331",O2474="331")),"x","")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IF(OR(TH!N2477=TH!$X$7,O2474=TH!$X$7),"x","")</f>
        <v>x</v>
      </c>
      <c r="Y2474" s="82" t="str">
        <f>IF(AND(OR(N2474="131",O2474="131"),H2474='131-CT'!$H$9),"x","")</f>
        <v/>
      </c>
      <c r="Z2474" s="82"/>
      <c r="AA2474" s="82" t="str">
        <f>IF(AND(MONTH(E2474)='IN-NX'!$J$5,'IN-NX'!$D$7=D2474),"x","")</f>
        <v/>
      </c>
      <c r="AB2474" s="82" t="str">
        <f>IF(AND(OR(LEFT(TH!N2477,2)="15",LEFT(TH!O2477,2)="15"),LEFT(TH!O2477,3)&lt;&gt;"111",'152-CT'!$J$8=TH!F2477),"x","")</f>
        <v/>
      </c>
      <c r="AC2474" s="82" t="str">
        <f>IF(AND(OR(LEFT(TH!N2477,2)="15",LEFT(TH!O2477,2)="15"),TK!$E$7=TH!F2477),"x","")</f>
        <v/>
      </c>
      <c r="AD2474" s="82" t="str">
        <f>IF(AND(N2474="1521",MONTH(C2474)='BK-NL'!$M$11),"x","")</f>
        <v/>
      </c>
      <c r="AE2474" s="349"/>
      <c r="AF2474" s="349">
        <v>8</v>
      </c>
    </row>
    <row r="2475" spans="1:32" ht="15.75" customHeight="1">
      <c r="A2475" s="334" t="str">
        <f>IF(B2475&lt;&gt;"",IF(AND(B2475='IN-TC'!$S$4,OR(TH!N1577="1111",TH!O1577="1111")),TH!D1577,""),"")</f>
        <v/>
      </c>
      <c r="B2475" s="1148">
        <f t="shared" si="247"/>
        <v>8</v>
      </c>
      <c r="C2475" s="1149">
        <v>42590</v>
      </c>
      <c r="D2475" s="1149" t="s">
        <v>873</v>
      </c>
      <c r="E2475" s="1149">
        <f t="shared" si="248"/>
        <v>42590</v>
      </c>
      <c r="F2475" s="512" t="s">
        <v>960</v>
      </c>
      <c r="G2475" s="1151"/>
      <c r="H2475" s="1150" t="s">
        <v>2239</v>
      </c>
      <c r="I2475" s="1152"/>
      <c r="J2475" s="1152"/>
      <c r="K2475" s="1153"/>
      <c r="L2475" s="1152"/>
      <c r="M2475" s="1154">
        <v>400000000</v>
      </c>
      <c r="N2475" s="1155" t="s">
        <v>272</v>
      </c>
      <c r="O2475" s="1155" t="s">
        <v>63</v>
      </c>
      <c r="P2475" s="1155" t="str">
        <f>IF(AND('331-CT'!$E$7=TH!H1577,OR(N2475="331",O2475="331")),"x","")</f>
        <v/>
      </c>
      <c r="Q2475" s="1155" t="str">
        <f>IF(AND(B2475='111'!$L$11,OR($N2475=$Q$7,$O2475=$Q$7)),"x","")</f>
        <v/>
      </c>
      <c r="R2475" s="1155" t="str">
        <f>IF(AND($N2475=$Q$7,$B2475&lt;'111'!$L$11),"x","")</f>
        <v/>
      </c>
      <c r="S2475" s="1155" t="str">
        <f>IF(AND($O2475=$Q$7,$B2475&lt;'111'!$L$11),"x","")</f>
        <v>x</v>
      </c>
      <c r="T2475" s="1155" t="str">
        <f>IF(ISERROR(FIND('112'!$M$9,G2475,1)),"",IF((AND(FIND('112'!$M$9,G2475,1)&gt;=1,B2475='112'!$K$9,OR($N2475='112'!$I$6,$O2475='112'!$I$6))),"x",""))</f>
        <v/>
      </c>
      <c r="U2475" s="1155" t="str">
        <f>IF(ISERROR(FIND('112'!$M$9,G2475,1)),"",IF((AND(LEFT(G2475,2)=LEFT('112'!$M$9,2),B2475&lt;'112'!$K$9,$N2475='112'!$I$6)),"x",""))</f>
        <v/>
      </c>
      <c r="V2475" s="1155" t="str">
        <f>IF(ISERROR(FIND('112'!$M$9,G2475,1)),"",IF((AND(RIGHT(G2475,2)=RIGHT('112'!$M$9,2),B2475&lt;'112'!$K$9,$O2475='112'!$I$6)),"x",""))</f>
        <v/>
      </c>
      <c r="W2475" s="1155" t="str">
        <f>IF(AND('341-CT'!$H$9=H2475,OR(LEFT(N2475,3)=$W$7,LEFT(O2475,3)=$W$7)),"x","")</f>
        <v/>
      </c>
      <c r="X2475" s="1155" t="str">
        <f>IF(OR(TH!N1577=TH!$X$7,O2475=TH!$X$7),"x","")</f>
        <v/>
      </c>
      <c r="Y2475" s="1155" t="str">
        <f>IF(AND(OR(N2475="131",O2475="131"),H2475='131-CT'!$H$9),"x","")</f>
        <v/>
      </c>
      <c r="Z2475" s="1155"/>
      <c r="AA2475" s="1155" t="str">
        <f>IF(AND(MONTH(E2475)='IN-NX'!$J$5,'IN-NX'!$D$7=D2475),"x","")</f>
        <v/>
      </c>
      <c r="AB2475" s="1155" t="str">
        <f>IF(AND(OR(LEFT(TH!N1577,2)="15",LEFT(TH!O1577,2)="15"),LEFT(TH!O1577,3)&lt;&gt;"111",'152-CT'!$J$8=TH!F1577),"x","")</f>
        <v/>
      </c>
      <c r="AC2475" s="1155" t="str">
        <f>IF(AND(OR(LEFT(TH!N1577,2)="15",LEFT(TH!O1577,2)="15"),TK!$E$7=TH!F1577),"x","")</f>
        <v/>
      </c>
      <c r="AD2475" s="1155" t="str">
        <f>IF(AND(N2475="1521",MONTH(C2475)='BK-NL'!$M$11),"x","")</f>
        <v/>
      </c>
      <c r="AE2475" s="1156"/>
      <c r="AF2475" s="1156"/>
    </row>
    <row r="2476" spans="1:32" ht="15.75" customHeight="1">
      <c r="A2476" s="334" t="str">
        <f>IF(B2476&lt;&gt;"",IF(AND(B2476='IN-TC'!$S$4,OR(TH!N2478="1111",TH!O2478="1111")),TH!D2478,""),"")</f>
        <v/>
      </c>
      <c r="B2476" s="63">
        <f t="shared" si="247"/>
        <v>8</v>
      </c>
      <c r="C2476" s="64">
        <v>42592</v>
      </c>
      <c r="D2476" s="64" t="s">
        <v>874</v>
      </c>
      <c r="E2476" s="64">
        <f t="shared" si="248"/>
        <v>42592</v>
      </c>
      <c r="F2476" s="72" t="s">
        <v>1804</v>
      </c>
      <c r="G2476" s="972" t="s">
        <v>1807</v>
      </c>
      <c r="H2476" s="72" t="s">
        <v>1102</v>
      </c>
      <c r="I2476" s="437"/>
      <c r="J2476" s="437"/>
      <c r="K2476" s="428"/>
      <c r="L2476" s="437"/>
      <c r="M2476" s="65">
        <v>1249464</v>
      </c>
      <c r="N2476" s="66" t="s">
        <v>101</v>
      </c>
      <c r="O2476" s="66" t="s">
        <v>63</v>
      </c>
      <c r="P2476" s="82" t="str">
        <f>IF(AND('331-CT'!$E$7=TH!H2478,OR(N2476="331",O2476="331")),"x","")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IF(OR(TH!N2478=TH!$X$7,O2476=TH!$X$7),"x","")</f>
        <v/>
      </c>
      <c r="Y2476" s="82" t="str">
        <f>IF(AND(OR(N2476="131",O2476="131"),H2476='131-CT'!$H$9),"x","")</f>
        <v/>
      </c>
      <c r="Z2476" s="82"/>
      <c r="AA2476" s="82" t="str">
        <f>IF(AND(MONTH(E2476)='IN-NX'!$J$5,'IN-NX'!$D$7=D2476),"x","")</f>
        <v/>
      </c>
      <c r="AB2476" s="82" t="str">
        <f>IF(AND(OR(LEFT(TH!N2478,2)="15",LEFT(TH!O2478,2)="15"),LEFT(TH!O2478,3)&lt;&gt;"111",'152-CT'!$J$8=TH!F2478),"x","")</f>
        <v/>
      </c>
      <c r="AC2476" s="82" t="str">
        <f>IF(AND(OR(LEFT(TH!N2478,2)="15",LEFT(TH!O2478,2)="15"),TK!$E$7=TH!F2478),"x","")</f>
        <v/>
      </c>
      <c r="AD2476" s="82" t="str">
        <f>IF(AND(N2476="1521",MONTH(C2476)='BK-NL'!$M$11),"x","")</f>
        <v/>
      </c>
      <c r="AE2476" s="349"/>
      <c r="AF2476" s="349">
        <v>8</v>
      </c>
    </row>
    <row r="2477" spans="1:32" ht="15.75" customHeight="1">
      <c r="A2477" s="334" t="str">
        <f>IF(B2477&lt;&gt;"",IF(AND(B2477='IN-TC'!$S$4,OR(TH!N2479="1111",TH!O2479="1111")),TH!D2479,""),"")</f>
        <v/>
      </c>
      <c r="B2477" s="63">
        <f t="shared" si="247"/>
        <v>8</v>
      </c>
      <c r="C2477" s="64">
        <v>42592</v>
      </c>
      <c r="D2477" s="64" t="s">
        <v>874</v>
      </c>
      <c r="E2477" s="64">
        <f t="shared" si="248"/>
        <v>42592</v>
      </c>
      <c r="F2477" s="72" t="s">
        <v>1805</v>
      </c>
      <c r="G2477" s="972" t="s">
        <v>1807</v>
      </c>
      <c r="H2477" s="72" t="s">
        <v>1102</v>
      </c>
      <c r="I2477" s="437"/>
      <c r="J2477" s="437"/>
      <c r="K2477" s="428"/>
      <c r="L2477" s="437"/>
      <c r="M2477" s="65">
        <v>124946</v>
      </c>
      <c r="N2477" s="82" t="s">
        <v>9</v>
      </c>
      <c r="O2477" s="66" t="s">
        <v>63</v>
      </c>
      <c r="P2477" s="82" t="str">
        <f>IF(AND('331-CT'!$E$7=TH!H2479,OR(N2477="331",O2477="331")),"x","")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IF(OR(TH!N2479=TH!$X$7,O2477=TH!$X$7),"x","")</f>
        <v/>
      </c>
      <c r="Y2477" s="82" t="str">
        <f>IF(AND(OR(N2477="131",O2477="131"),H2477='131-CT'!$H$9),"x","")</f>
        <v/>
      </c>
      <c r="Z2477" s="82"/>
      <c r="AA2477" s="82" t="str">
        <f>IF(AND(MONTH(E2477)='IN-NX'!$J$5,'IN-NX'!$D$7=D2477),"x","")</f>
        <v/>
      </c>
      <c r="AB2477" s="82" t="str">
        <f>IF(AND(OR(LEFT(TH!N2479,2)="15",LEFT(TH!O2479,2)="15"),LEFT(TH!O2479,3)&lt;&gt;"111",'152-CT'!$J$8=TH!F2479),"x","")</f>
        <v/>
      </c>
      <c r="AC2477" s="82" t="str">
        <f>IF(AND(OR(LEFT(TH!N2479,2)="15",LEFT(TH!O2479,2)="15"),TK!$E$7=TH!F2479),"x","")</f>
        <v/>
      </c>
      <c r="AD2477" s="82" t="str">
        <f>IF(AND(N2477="1521",MONTH(C2477)='BK-NL'!$M$11),"x","")</f>
        <v/>
      </c>
      <c r="AE2477" s="349"/>
      <c r="AF2477" s="349">
        <v>8</v>
      </c>
    </row>
    <row r="2478" spans="1:32" s="349" customFormat="1" ht="15.75" customHeight="1">
      <c r="A2478" s="334" t="str">
        <f>IF(B2478&lt;&gt;"",IF(AND(B2478='IN-TC'!$S$4,OR(TH!N2490="1111",TH!O2490="1111")),TH!D2490,""),"")</f>
        <v/>
      </c>
      <c r="B2478" s="63">
        <f t="shared" si="247"/>
        <v>8</v>
      </c>
      <c r="C2478" s="64">
        <v>42594</v>
      </c>
      <c r="D2478" s="64" t="s">
        <v>875</v>
      </c>
      <c r="E2478" s="64">
        <f t="shared" si="248"/>
        <v>42594</v>
      </c>
      <c r="F2478" s="72" t="s">
        <v>1810</v>
      </c>
      <c r="G2478" s="972" t="s">
        <v>1811</v>
      </c>
      <c r="H2478" s="72" t="s">
        <v>1813</v>
      </c>
      <c r="I2478" s="437"/>
      <c r="J2478" s="437"/>
      <c r="K2478" s="428"/>
      <c r="L2478" s="437"/>
      <c r="M2478" s="65">
        <v>800000</v>
      </c>
      <c r="N2478" s="66" t="s">
        <v>101</v>
      </c>
      <c r="O2478" s="66" t="s">
        <v>63</v>
      </c>
      <c r="P2478" s="82" t="str">
        <f>IF(AND('331-CT'!$E$7=TH!H2490,OR(N2478="331",O2478="331")),"x","")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IF(OR(TH!N2490=TH!$X$7,O2478=TH!$X$7),"x","")</f>
        <v>x</v>
      </c>
      <c r="Y2478" s="82" t="str">
        <f>IF(AND(OR(N2478="131",O2478="131"),H2478='131-CT'!$H$9),"x","")</f>
        <v/>
      </c>
      <c r="Z2478" s="82"/>
      <c r="AA2478" s="82" t="str">
        <f>IF(AND(MONTH(E2478)='IN-NX'!$J$5,'IN-NX'!$D$7=D2478),"x","")</f>
        <v/>
      </c>
      <c r="AB2478" s="82" t="str">
        <f>IF(AND(OR(LEFT(TH!N2490,2)="15",LEFT(TH!O2490,2)="15"),LEFT(TH!O2490,3)&lt;&gt;"111",'152-CT'!$J$8=TH!F2490),"x","")</f>
        <v/>
      </c>
      <c r="AC2478" s="82" t="str">
        <f>IF(AND(OR(LEFT(TH!N2490,2)="15",LEFT(TH!O2490,2)="15"),TK!$E$7=TH!F2490),"x","")</f>
        <v/>
      </c>
      <c r="AD2478" s="82" t="str">
        <f>IF(AND(N2478="1521",MONTH(C2478)='BK-NL'!$M$11),"x","")</f>
        <v/>
      </c>
    </row>
    <row r="2479" spans="1:32" s="349" customFormat="1" ht="15.75" customHeight="1">
      <c r="A2479" s="334" t="str">
        <f>IF(B2479&lt;&gt;"",IF(AND(B2479='IN-TC'!$S$4,OR(TH!N2491="1111",TH!O2491="1111")),TH!D2491,""),"")</f>
        <v/>
      </c>
      <c r="B2479" s="63">
        <f t="shared" si="247"/>
        <v>8</v>
      </c>
      <c r="C2479" s="64">
        <v>42594</v>
      </c>
      <c r="D2479" s="64" t="s">
        <v>876</v>
      </c>
      <c r="E2479" s="64">
        <f t="shared" si="248"/>
        <v>42594</v>
      </c>
      <c r="F2479" s="72" t="s">
        <v>1808</v>
      </c>
      <c r="G2479" s="972" t="s">
        <v>1812</v>
      </c>
      <c r="H2479" s="72" t="s">
        <v>1813</v>
      </c>
      <c r="I2479" s="437"/>
      <c r="J2479" s="437"/>
      <c r="K2479" s="428"/>
      <c r="L2479" s="437"/>
      <c r="M2479" s="65">
        <v>10385464</v>
      </c>
      <c r="N2479" s="66" t="s">
        <v>101</v>
      </c>
      <c r="O2479" s="66" t="s">
        <v>63</v>
      </c>
      <c r="P2479" s="82" t="str">
        <f>IF(AND('331-CT'!$E$7=TH!H2491,OR(N2479="331",O2479="331")),"x","")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IF(OR(TH!N2491=TH!$X$7,O2479=TH!$X$7),"x","")</f>
        <v/>
      </c>
      <c r="Y2479" s="82" t="str">
        <f>IF(AND(OR(N2479="131",O2479="131"),H2479='131-CT'!$H$9),"x","")</f>
        <v/>
      </c>
      <c r="Z2479" s="82"/>
      <c r="AA2479" s="82" t="str">
        <f>IF(AND(MONTH(E2479)='IN-NX'!$J$5,'IN-NX'!$D$7=D2479),"x","")</f>
        <v/>
      </c>
      <c r="AB2479" s="82" t="str">
        <f>IF(AND(OR(LEFT(TH!N2491,2)="15",LEFT(TH!O2491,2)="15"),LEFT(TH!O2491,3)&lt;&gt;"111",'152-CT'!$J$8=TH!F2491),"x","")</f>
        <v/>
      </c>
      <c r="AC2479" s="82" t="str">
        <f>IF(AND(OR(LEFT(TH!N2491,2)="15",LEFT(TH!O2491,2)="15"),TK!$E$7=TH!F2491),"x","")</f>
        <v/>
      </c>
      <c r="AD2479" s="82" t="str">
        <f>IF(AND(N2479="1521",MONTH(C2479)='BK-NL'!$M$11),"x","")</f>
        <v/>
      </c>
      <c r="AF2479" s="349">
        <v>8</v>
      </c>
    </row>
    <row r="2480" spans="1:32" s="349" customFormat="1" ht="15.75" customHeight="1">
      <c r="A2480" s="334" t="str">
        <f>IF(B2480&lt;&gt;"",IF(AND(B2480='IN-TC'!$S$4,OR(TH!N2480="1111",TH!O2480="1111")),TH!D2480,""),"")</f>
        <v/>
      </c>
      <c r="B2480" s="63">
        <f t="shared" si="247"/>
        <v>8</v>
      </c>
      <c r="C2480" s="64">
        <v>42593</v>
      </c>
      <c r="D2480" s="64" t="s">
        <v>699</v>
      </c>
      <c r="E2480" s="64">
        <f t="shared" si="248"/>
        <v>42593</v>
      </c>
      <c r="F2480" s="72" t="s">
        <v>1450</v>
      </c>
      <c r="G2480" s="67" t="s">
        <v>914</v>
      </c>
      <c r="H2480" s="342" t="s">
        <v>598</v>
      </c>
      <c r="I2480" s="437"/>
      <c r="J2480" s="437"/>
      <c r="K2480" s="428">
        <v>2230.29</v>
      </c>
      <c r="L2480" s="443">
        <v>22270</v>
      </c>
      <c r="M2480" s="65">
        <f t="shared" ref="M2480:M2488" si="249">ROUND(K2480*L2480,0)</f>
        <v>49668558</v>
      </c>
      <c r="N2480" s="66" t="s">
        <v>266</v>
      </c>
      <c r="O2480" s="66" t="s">
        <v>585</v>
      </c>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2" s="349" customFormat="1" ht="15.75" customHeight="1">
      <c r="A2481" s="334" t="str">
        <f>IF(B2481&lt;&gt;"",IF(AND(B2481='IN-TC'!$S$4,OR(TH!N2481="1111",TH!O2481="1111")),TH!D2481,""),"")</f>
        <v/>
      </c>
      <c r="B2481" s="993">
        <f t="shared" si="247"/>
        <v>8</v>
      </c>
      <c r="C2481" s="78">
        <v>42593</v>
      </c>
      <c r="D2481" s="78" t="s">
        <v>579</v>
      </c>
      <c r="E2481" s="78">
        <f t="shared" si="248"/>
        <v>42593</v>
      </c>
      <c r="F2481" s="72" t="s">
        <v>1058</v>
      </c>
      <c r="G2481" s="79" t="s">
        <v>914</v>
      </c>
      <c r="H2481" s="959" t="s">
        <v>598</v>
      </c>
      <c r="I2481" s="435"/>
      <c r="J2481" s="435"/>
      <c r="K2481" s="426">
        <v>71.319999999999993</v>
      </c>
      <c r="L2481" s="443">
        <v>22270</v>
      </c>
      <c r="M2481" s="81">
        <f t="shared" si="249"/>
        <v>1588296</v>
      </c>
      <c r="N2481" s="82" t="s">
        <v>101</v>
      </c>
      <c r="O2481" s="82" t="s">
        <v>585</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c r="AE2481" s="345"/>
      <c r="AF2481" s="345">
        <v>8</v>
      </c>
    </row>
    <row r="2482" spans="1:32" s="349" customFormat="1" ht="15.75" customHeight="1">
      <c r="A2482" s="334" t="str">
        <f>IF(B2482&lt;&gt;"",IF(AND(B2482='IN-TC'!$S$4,OR(TH!N2482="1111",TH!O2482="1111")),TH!D2482,""),"")</f>
        <v/>
      </c>
      <c r="B2482" s="993">
        <f t="shared" si="247"/>
        <v>8</v>
      </c>
      <c r="C2482" s="78">
        <v>42593</v>
      </c>
      <c r="D2482" s="78" t="s">
        <v>579</v>
      </c>
      <c r="E2482" s="78">
        <f t="shared" si="248"/>
        <v>42593</v>
      </c>
      <c r="F2482" s="72" t="s">
        <v>1059</v>
      </c>
      <c r="G2482" s="79" t="s">
        <v>914</v>
      </c>
      <c r="H2482" s="959" t="s">
        <v>598</v>
      </c>
      <c r="I2482" s="435"/>
      <c r="J2482" s="435"/>
      <c r="K2482" s="426">
        <v>7.13</v>
      </c>
      <c r="L2482" s="443">
        <v>22270</v>
      </c>
      <c r="M2482" s="81">
        <f t="shared" si="249"/>
        <v>158785</v>
      </c>
      <c r="N2482" s="82" t="s">
        <v>9</v>
      </c>
      <c r="O2482" s="82" t="s">
        <v>585</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x</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c r="AE2482" s="345"/>
      <c r="AF2482" s="349">
        <v>8</v>
      </c>
    </row>
    <row r="2483" spans="1:32" s="349" customFormat="1" ht="15.75" customHeight="1">
      <c r="A2483" s="334" t="str">
        <f>IF(B2483&lt;&gt;"",IF(AND(B2483='IN-TC'!$S$4,OR(TH!N2483="1111",TH!O2483="1111")),TH!D2483,""),"")</f>
        <v/>
      </c>
      <c r="B2483" s="993">
        <f t="shared" si="247"/>
        <v>8</v>
      </c>
      <c r="C2483" s="78">
        <v>42593</v>
      </c>
      <c r="D2483" s="78" t="s">
        <v>579</v>
      </c>
      <c r="E2483" s="78">
        <f t="shared" si="248"/>
        <v>42593</v>
      </c>
      <c r="F2483" s="72" t="s">
        <v>611</v>
      </c>
      <c r="G2483" s="79" t="s">
        <v>914</v>
      </c>
      <c r="H2483" s="959" t="s">
        <v>598</v>
      </c>
      <c r="I2483" s="435"/>
      <c r="J2483" s="435"/>
      <c r="K2483" s="426">
        <v>10</v>
      </c>
      <c r="L2483" s="443">
        <v>22270</v>
      </c>
      <c r="M2483" s="81">
        <f t="shared" si="249"/>
        <v>222700</v>
      </c>
      <c r="N2483" s="82" t="s">
        <v>101</v>
      </c>
      <c r="O2483" s="82" t="s">
        <v>585</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c r="AE2483" s="345"/>
      <c r="AF2483" s="345">
        <v>8</v>
      </c>
    </row>
    <row r="2484" spans="1:32" s="349" customFormat="1" ht="15.75" customHeight="1">
      <c r="A2484" s="334" t="str">
        <f>IF(B2484&lt;&gt;"",IF(AND(B2484='IN-TC'!$S$4,OR(TH!N2484="1111",TH!O2484="1111")),TH!D2484,""),"")</f>
        <v/>
      </c>
      <c r="B2484" s="993">
        <f t="shared" si="247"/>
        <v>8</v>
      </c>
      <c r="C2484" s="78">
        <v>42593</v>
      </c>
      <c r="D2484" s="78" t="s">
        <v>579</v>
      </c>
      <c r="E2484" s="78">
        <f t="shared" si="248"/>
        <v>42593</v>
      </c>
      <c r="F2484" s="72" t="s">
        <v>1187</v>
      </c>
      <c r="G2484" s="79" t="s">
        <v>914</v>
      </c>
      <c r="H2484" s="959" t="s">
        <v>598</v>
      </c>
      <c r="I2484" s="435"/>
      <c r="J2484" s="435"/>
      <c r="K2484" s="426">
        <v>1</v>
      </c>
      <c r="L2484" s="443">
        <v>22270</v>
      </c>
      <c r="M2484" s="81">
        <f t="shared" si="249"/>
        <v>22270</v>
      </c>
      <c r="N2484" s="82" t="s">
        <v>9</v>
      </c>
      <c r="O2484" s="82" t="s">
        <v>585</v>
      </c>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x</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c r="AE2484" s="345"/>
      <c r="AF2484" s="349">
        <v>8</v>
      </c>
    </row>
    <row r="2485" spans="1:32" s="349" customFormat="1" ht="15.75" customHeight="1">
      <c r="A2485" s="334" t="str">
        <f>IF(B2485&lt;&gt;"",IF(AND(B2485='IN-TC'!$S$4,OR(TH!N2485="1111",TH!O2485="1111")),TH!D2485,""),"")</f>
        <v/>
      </c>
      <c r="B2485" s="993">
        <f t="shared" si="247"/>
        <v>8</v>
      </c>
      <c r="C2485" s="78">
        <v>42593</v>
      </c>
      <c r="D2485" s="78" t="s">
        <v>579</v>
      </c>
      <c r="E2485" s="78">
        <f t="shared" si="248"/>
        <v>42593</v>
      </c>
      <c r="F2485" s="72" t="s">
        <v>1060</v>
      </c>
      <c r="G2485" s="79" t="s">
        <v>914</v>
      </c>
      <c r="H2485" s="959" t="s">
        <v>598</v>
      </c>
      <c r="I2485" s="435"/>
      <c r="J2485" s="435"/>
      <c r="K2485" s="426">
        <v>35.08</v>
      </c>
      <c r="L2485" s="443">
        <v>22270</v>
      </c>
      <c r="M2485" s="81">
        <f t="shared" si="249"/>
        <v>781232</v>
      </c>
      <c r="N2485" s="82" t="s">
        <v>99</v>
      </c>
      <c r="O2485" s="82" t="s">
        <v>585</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c r="AE2485" s="345"/>
      <c r="AF2485" s="345"/>
    </row>
    <row r="2486" spans="1:32" s="349" customFormat="1" ht="15.75" customHeight="1">
      <c r="A2486" s="334" t="str">
        <f>IF(B2486&lt;&gt;"",IF(AND(B2486='IN-TC'!$S$4,OR(TH!N2486="1111",TH!O2486="1111")),TH!D2486,""),"")</f>
        <v/>
      </c>
      <c r="B2486" s="993">
        <f t="shared" si="247"/>
        <v>8</v>
      </c>
      <c r="C2486" s="78">
        <v>42593</v>
      </c>
      <c r="D2486" s="78" t="s">
        <v>579</v>
      </c>
      <c r="E2486" s="78">
        <f t="shared" si="248"/>
        <v>42593</v>
      </c>
      <c r="F2486" s="72" t="s">
        <v>613</v>
      </c>
      <c r="G2486" s="79" t="s">
        <v>914</v>
      </c>
      <c r="H2486" s="959" t="s">
        <v>598</v>
      </c>
      <c r="I2486" s="435"/>
      <c r="J2486" s="435"/>
      <c r="K2486" s="426">
        <v>51.98</v>
      </c>
      <c r="L2486" s="443">
        <v>22270</v>
      </c>
      <c r="M2486" s="81">
        <f t="shared" si="249"/>
        <v>1157595</v>
      </c>
      <c r="N2486" s="82" t="s">
        <v>101</v>
      </c>
      <c r="O2486" s="82" t="s">
        <v>585</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c r="AE2486" s="345"/>
      <c r="AF2486" s="345">
        <v>8</v>
      </c>
    </row>
    <row r="2487" spans="1:32" s="349" customFormat="1" ht="15.75" customHeight="1">
      <c r="A2487" s="334" t="str">
        <f>IF(B2487&lt;&gt;"",IF(AND(B2487='IN-TC'!$S$4,OR(TH!N2487="1111",TH!O2487="1111")),TH!D2487,""),"")</f>
        <v/>
      </c>
      <c r="B2487" s="993">
        <f t="shared" si="247"/>
        <v>8</v>
      </c>
      <c r="C2487" s="78">
        <v>42593</v>
      </c>
      <c r="D2487" s="78" t="s">
        <v>579</v>
      </c>
      <c r="E2487" s="78">
        <f t="shared" si="248"/>
        <v>42593</v>
      </c>
      <c r="F2487" s="72" t="s">
        <v>1191</v>
      </c>
      <c r="G2487" s="79" t="s">
        <v>914</v>
      </c>
      <c r="H2487" s="959" t="s">
        <v>598</v>
      </c>
      <c r="I2487" s="435"/>
      <c r="J2487" s="435"/>
      <c r="K2487" s="426">
        <v>5.2</v>
      </c>
      <c r="L2487" s="443">
        <v>22270</v>
      </c>
      <c r="M2487" s="81">
        <f t="shared" si="249"/>
        <v>115804</v>
      </c>
      <c r="N2487" s="82" t="s">
        <v>9</v>
      </c>
      <c r="O2487" s="82" t="s">
        <v>585</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x</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c r="AE2487" s="345"/>
      <c r="AF2487" s="349">
        <v>8</v>
      </c>
    </row>
    <row r="2488" spans="1:32" s="349" customFormat="1" ht="15.75" customHeight="1">
      <c r="A2488" s="334" t="str">
        <f>IF(B2488&lt;&gt;"",IF(AND(B2488='IN-TC'!$S$4,OR(TH!N2488="1111",TH!O2488="1111")),TH!D2488,""),"")</f>
        <v/>
      </c>
      <c r="B2488" s="993">
        <f t="shared" si="247"/>
        <v>8</v>
      </c>
      <c r="C2488" s="78">
        <v>42593</v>
      </c>
      <c r="D2488" s="78" t="s">
        <v>579</v>
      </c>
      <c r="E2488" s="78">
        <f t="shared" si="248"/>
        <v>42593</v>
      </c>
      <c r="F2488" s="72" t="s">
        <v>1986</v>
      </c>
      <c r="G2488" s="79" t="s">
        <v>914</v>
      </c>
      <c r="H2488" s="959" t="s">
        <v>598</v>
      </c>
      <c r="I2488" s="435"/>
      <c r="J2488" s="435"/>
      <c r="K2488" s="426">
        <v>35</v>
      </c>
      <c r="L2488" s="443">
        <v>22270</v>
      </c>
      <c r="M2488" s="81">
        <f t="shared" si="249"/>
        <v>779450</v>
      </c>
      <c r="N2488" s="82" t="s">
        <v>101</v>
      </c>
      <c r="O2488" s="82" t="s">
        <v>585</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c r="AE2488" s="345"/>
      <c r="AF2488" s="345"/>
    </row>
    <row r="2489" spans="1:32" s="349" customFormat="1" ht="15.75" customHeight="1">
      <c r="A2489" s="334" t="str">
        <f>IF(B2489&lt;&gt;"",IF(AND(B2489='IN-TC'!$S$4,OR(TH!N2489="1111",TH!O2489="1111")),TH!D2489,""),"")</f>
        <v/>
      </c>
      <c r="B2489" s="993">
        <f t="shared" si="247"/>
        <v>8</v>
      </c>
      <c r="C2489" s="78">
        <v>42593</v>
      </c>
      <c r="D2489" s="78" t="s">
        <v>579</v>
      </c>
      <c r="E2489" s="78">
        <f t="shared" si="248"/>
        <v>42593</v>
      </c>
      <c r="F2489" s="72" t="s">
        <v>1062</v>
      </c>
      <c r="G2489" s="79" t="s">
        <v>914</v>
      </c>
      <c r="H2489" s="959" t="s">
        <v>598</v>
      </c>
      <c r="I2489" s="435"/>
      <c r="J2489" s="435"/>
      <c r="K2489" s="426"/>
      <c r="L2489" s="435"/>
      <c r="M2489" s="81">
        <v>2279470</v>
      </c>
      <c r="N2489" s="82" t="s">
        <v>585</v>
      </c>
      <c r="O2489" s="82" t="s">
        <v>43</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c r="AE2489" s="345"/>
      <c r="AF2489" s="345"/>
    </row>
    <row r="2490" spans="1:32" s="349" customFormat="1" ht="15.75" customHeight="1">
      <c r="A2490" s="334" t="str">
        <f>IF(B2490&lt;&gt;"",IF(AND(B2490='IN-TC'!$S$4,OR(TH!N2492="1111",TH!O2492="1111")),TH!D2492,""),"")</f>
        <v/>
      </c>
      <c r="B2490" s="63">
        <f t="shared" si="247"/>
        <v>8</v>
      </c>
      <c r="C2490" s="64">
        <v>42594</v>
      </c>
      <c r="D2490" s="64" t="s">
        <v>876</v>
      </c>
      <c r="E2490" s="64">
        <f t="shared" si="248"/>
        <v>42594</v>
      </c>
      <c r="F2490" s="72" t="s">
        <v>1809</v>
      </c>
      <c r="G2490" s="972" t="s">
        <v>1812</v>
      </c>
      <c r="H2490" s="72" t="s">
        <v>1813</v>
      </c>
      <c r="I2490" s="437"/>
      <c r="J2490" s="437"/>
      <c r="K2490" s="428"/>
      <c r="L2490" s="437"/>
      <c r="M2490" s="65">
        <v>1038546</v>
      </c>
      <c r="N2490" s="82" t="s">
        <v>9</v>
      </c>
      <c r="O2490" s="66" t="s">
        <v>63</v>
      </c>
      <c r="P2490" s="82" t="str">
        <f>IF(AND('331-CT'!$E$7=TH!H2492,OR(N2490="331",O2490="331")),"x","")</f>
        <v/>
      </c>
      <c r="Q2490" s="82" t="str">
        <f>IF(AND(B2490='111'!$L$11,OR($N2490=$Q$7,$O2490=$Q$7)),"x","")</f>
        <v/>
      </c>
      <c r="R2490" s="82" t="str">
        <f>IF(AND($N2490=$Q$7,$B2490&lt;'111'!$L$11),"x","")</f>
        <v/>
      </c>
      <c r="S2490" s="82" t="str">
        <f>IF(AND($O2490=$Q$7,$B2490&lt;'111'!$L$11),"x","")</f>
        <v>x</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IF(OR(TH!N2492=TH!$X$7,O2490=TH!$X$7),"x","")</f>
        <v>x</v>
      </c>
      <c r="Y2490" s="82" t="str">
        <f>IF(AND(OR(N2490="131",O2490="131"),H2490='131-CT'!$H$9),"x","")</f>
        <v/>
      </c>
      <c r="Z2490" s="82"/>
      <c r="AA2490" s="82" t="str">
        <f>IF(AND(MONTH(E2490)='IN-NX'!$J$5,'IN-NX'!$D$7=D2490),"x","")</f>
        <v/>
      </c>
      <c r="AB2490" s="82" t="str">
        <f>IF(AND(OR(LEFT(TH!N2492,2)="15",LEFT(TH!O2492,2)="15"),LEFT(TH!O2492,3)&lt;&gt;"111",'152-CT'!$J$8=TH!F2492),"x","")</f>
        <v/>
      </c>
      <c r="AC2490" s="82" t="str">
        <f>IF(AND(OR(LEFT(TH!N2492,2)="15",LEFT(TH!O2492,2)="15"),TK!$E$7=TH!F2492),"x","")</f>
        <v/>
      </c>
      <c r="AD2490" s="82" t="str">
        <f>IF(AND(N2490="1521",MONTH(C2490)='BK-NL'!$M$11),"x","")</f>
        <v/>
      </c>
      <c r="AF2490" s="349">
        <v>8</v>
      </c>
    </row>
    <row r="2491" spans="1:32" s="349" customFormat="1" ht="15.75" customHeight="1">
      <c r="A2491" s="334" t="str">
        <f>IF(B2491&lt;&gt;"",IF(AND(B2491='IN-TC'!$S$4,OR(TH!N2497="1111",TH!O2497="1111")),TH!D2497,""),"")</f>
        <v/>
      </c>
      <c r="B2491" s="63">
        <f t="shared" si="247"/>
        <v>8</v>
      </c>
      <c r="C2491" s="64">
        <v>42595</v>
      </c>
      <c r="D2491" s="64" t="s">
        <v>877</v>
      </c>
      <c r="E2491" s="64">
        <f t="shared" si="248"/>
        <v>42595</v>
      </c>
      <c r="F2491" s="72" t="s">
        <v>1107</v>
      </c>
      <c r="G2491" s="972" t="s">
        <v>1814</v>
      </c>
      <c r="H2491" s="72" t="s">
        <v>805</v>
      </c>
      <c r="I2491" s="437"/>
      <c r="J2491" s="437"/>
      <c r="K2491" s="428"/>
      <c r="L2491" s="437"/>
      <c r="M2491" s="65">
        <v>1068364</v>
      </c>
      <c r="N2491" s="66" t="s">
        <v>101</v>
      </c>
      <c r="O2491" s="66" t="s">
        <v>63</v>
      </c>
      <c r="P2491" s="82" t="str">
        <f>IF(AND('331-CT'!$E$7=TH!H2497,OR(N2491="331",O2491="331")),"x","")</f>
        <v/>
      </c>
      <c r="Q2491" s="82" t="str">
        <f>IF(AND(B2491='111'!$L$11,OR($N2491=$Q$7,$O2491=$Q$7)),"x","")</f>
        <v/>
      </c>
      <c r="R2491" s="82" t="str">
        <f>IF(AND($N2491=$Q$7,$B2491&lt;'111'!$L$11),"x","")</f>
        <v/>
      </c>
      <c r="S2491" s="82" t="str">
        <f>IF(AND($O2491=$Q$7,$B2491&lt;'111'!$L$11),"x","")</f>
        <v>x</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IF(OR(TH!N2497=TH!$X$7,O2491=TH!$X$7),"x","")</f>
        <v/>
      </c>
      <c r="Y2491" s="82" t="str">
        <f>IF(AND(OR(N2491="131",O2491="131"),H2491='131-CT'!$H$9),"x","")</f>
        <v/>
      </c>
      <c r="Z2491" s="82"/>
      <c r="AA2491" s="82" t="str">
        <f>IF(AND(MONTH(E2491)='IN-NX'!$J$5,'IN-NX'!$D$7=D2491),"x","")</f>
        <v/>
      </c>
      <c r="AB2491" s="82" t="str">
        <f>IF(AND(OR(LEFT(TH!N2497,2)="15",LEFT(TH!O2497,2)="15"),LEFT(TH!O2497,3)&lt;&gt;"111",'152-CT'!$J$8=TH!F2497),"x","")</f>
        <v/>
      </c>
      <c r="AC2491" s="82" t="str">
        <f>IF(AND(OR(LEFT(TH!N2497,2)="15",LEFT(TH!O2497,2)="15"),TK!$E$7=TH!F2497),"x","")</f>
        <v/>
      </c>
      <c r="AD2491" s="82" t="str">
        <f>IF(AND(N2491="1521",MONTH(C2491)='BK-NL'!$M$11),"x","")</f>
        <v/>
      </c>
      <c r="AF2491" s="349">
        <v>8</v>
      </c>
    </row>
    <row r="2492" spans="1:32" s="349" customFormat="1" ht="15.75" customHeight="1">
      <c r="A2492" s="334" t="str">
        <f>IF(B2492&lt;&gt;"",IF(AND(B2492='IN-TC'!$S$4,OR(TH!N2498="1111",TH!O2498="1111")),TH!D2498,""),"")</f>
        <v/>
      </c>
      <c r="B2492" s="63">
        <f t="shared" si="247"/>
        <v>8</v>
      </c>
      <c r="C2492" s="64">
        <v>42595</v>
      </c>
      <c r="D2492" s="64" t="s">
        <v>877</v>
      </c>
      <c r="E2492" s="64">
        <f t="shared" si="248"/>
        <v>42595</v>
      </c>
      <c r="F2492" s="72" t="s">
        <v>1337</v>
      </c>
      <c r="G2492" s="972" t="s">
        <v>1814</v>
      </c>
      <c r="H2492" s="72" t="s">
        <v>805</v>
      </c>
      <c r="I2492" s="437"/>
      <c r="J2492" s="437"/>
      <c r="K2492" s="428"/>
      <c r="L2492" s="437"/>
      <c r="M2492" s="65">
        <v>106836</v>
      </c>
      <c r="N2492" s="82" t="s">
        <v>9</v>
      </c>
      <c r="O2492" s="66" t="s">
        <v>63</v>
      </c>
      <c r="P2492" s="82" t="str">
        <f>IF(AND('331-CT'!$E$7=TH!H2498,OR(N2492="331",O2492="331")),"x","")</f>
        <v/>
      </c>
      <c r="Q2492" s="82" t="str">
        <f>IF(AND(B2492='111'!$L$11,OR($N2492=$Q$7,$O2492=$Q$7)),"x","")</f>
        <v/>
      </c>
      <c r="R2492" s="82" t="str">
        <f>IF(AND($N2492=$Q$7,$B2492&lt;'111'!$L$11),"x","")</f>
        <v/>
      </c>
      <c r="S2492" s="82" t="str">
        <f>IF(AND($O2492=$Q$7,$B2492&lt;'111'!$L$11),"x","")</f>
        <v>x</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IF(OR(TH!N2498=TH!$X$7,O2492=TH!$X$7),"x","")</f>
        <v/>
      </c>
      <c r="Y2492" s="82" t="str">
        <f>IF(AND(OR(N2492="131",O2492="131"),H2492='131-CT'!$H$9),"x","")</f>
        <v/>
      </c>
      <c r="Z2492" s="82"/>
      <c r="AA2492" s="82" t="str">
        <f>IF(AND(MONTH(E2492)='IN-NX'!$J$5,'IN-NX'!$D$7=D2492),"x","")</f>
        <v/>
      </c>
      <c r="AB2492" s="82" t="str">
        <f>IF(AND(OR(LEFT(TH!N2498,2)="15",LEFT(TH!O2498,2)="15"),LEFT(TH!O2498,3)&lt;&gt;"111",'152-CT'!$J$8=TH!F2498),"x","")</f>
        <v/>
      </c>
      <c r="AC2492" s="82" t="str">
        <f>IF(AND(OR(LEFT(TH!N2498,2)="15",LEFT(TH!O2498,2)="15"),TK!$E$7=TH!F2498),"x","")</f>
        <v/>
      </c>
      <c r="AD2492" s="82" t="str">
        <f>IF(AND(N2492="1521",MONTH(C2492)='BK-NL'!$M$11),"x","")</f>
        <v/>
      </c>
      <c r="AF2492" s="349">
        <v>8</v>
      </c>
    </row>
    <row r="2493" spans="1:32" s="349" customFormat="1" ht="15.75" customHeight="1">
      <c r="A2493" s="334" t="str">
        <f>IF(B2493&lt;&gt;"",IF(AND(B2493='IN-TC'!$S$4,OR(TH!N2493="1111",TH!O2493="1111")),TH!D2493,""),"")</f>
        <v/>
      </c>
      <c r="B2493" s="63">
        <f t="shared" si="247"/>
        <v>8</v>
      </c>
      <c r="C2493" s="64">
        <v>42594</v>
      </c>
      <c r="D2493" s="64" t="s">
        <v>699</v>
      </c>
      <c r="E2493" s="64">
        <f t="shared" si="248"/>
        <v>42594</v>
      </c>
      <c r="F2493" s="72" t="s">
        <v>1891</v>
      </c>
      <c r="G2493" s="67" t="s">
        <v>915</v>
      </c>
      <c r="H2493" s="72" t="s">
        <v>1211</v>
      </c>
      <c r="I2493" s="437"/>
      <c r="J2493" s="437"/>
      <c r="K2493" s="428"/>
      <c r="L2493" s="437"/>
      <c r="M2493" s="65">
        <v>18000000</v>
      </c>
      <c r="N2493" s="66" t="s">
        <v>26</v>
      </c>
      <c r="O2493" s="66" t="s">
        <v>72</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2" s="349" customFormat="1" ht="15.75" customHeight="1">
      <c r="A2494" s="334" t="str">
        <f>IF(B2494&lt;&gt;"",IF(AND(B2494='IN-TC'!$S$4,OR(TH!N2494="1111",TH!O2494="1111")),TH!D2494,""),"")</f>
        <v/>
      </c>
      <c r="B2494" s="63">
        <f t="shared" si="247"/>
        <v>8</v>
      </c>
      <c r="C2494" s="64">
        <v>42594</v>
      </c>
      <c r="D2494" s="64" t="s">
        <v>702</v>
      </c>
      <c r="E2494" s="64">
        <f t="shared" ref="E2494:E2525" si="250">C2494</f>
        <v>42594</v>
      </c>
      <c r="F2494" s="72" t="s">
        <v>1919</v>
      </c>
      <c r="G2494" s="67" t="s">
        <v>915</v>
      </c>
      <c r="H2494" s="342" t="s">
        <v>629</v>
      </c>
      <c r="I2494" s="437"/>
      <c r="J2494" s="437"/>
      <c r="K2494" s="428"/>
      <c r="L2494" s="437"/>
      <c r="M2494" s="65">
        <v>17432580</v>
      </c>
      <c r="N2494" s="66" t="s">
        <v>8</v>
      </c>
      <c r="O2494" s="66" t="s">
        <v>26</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c r="AE2494" s="1136" t="str">
        <f>IF(H2494&lt;&gt;VLOOKUP(H2494,DSKH,1,0),"","x")</f>
        <v>x</v>
      </c>
    </row>
    <row r="2495" spans="1:32" s="349" customFormat="1" ht="15.75" customHeight="1">
      <c r="A2495" s="334" t="str">
        <f>IF(B2495&lt;&gt;"",IF(AND(B2495='IN-TC'!$S$4,OR(TH!N2495="1111",TH!O2495="1111")),TH!D2495,""),"")</f>
        <v/>
      </c>
      <c r="B2495" s="63">
        <f t="shared" si="247"/>
        <v>8</v>
      </c>
      <c r="C2495" s="64">
        <v>42594</v>
      </c>
      <c r="D2495" s="64" t="s">
        <v>702</v>
      </c>
      <c r="E2495" s="64">
        <f t="shared" si="250"/>
        <v>42594</v>
      </c>
      <c r="F2495" s="72" t="s">
        <v>1192</v>
      </c>
      <c r="G2495" s="67" t="s">
        <v>915</v>
      </c>
      <c r="H2495" s="72"/>
      <c r="I2495" s="437"/>
      <c r="J2495" s="437"/>
      <c r="K2495" s="428"/>
      <c r="L2495" s="437"/>
      <c r="M2495" s="65">
        <v>25000</v>
      </c>
      <c r="N2495" s="66" t="s">
        <v>101</v>
      </c>
      <c r="O2495" s="66" t="s">
        <v>26</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c r="AF2495" s="349">
        <v>8</v>
      </c>
    </row>
    <row r="2496" spans="1:32" s="349" customFormat="1" ht="15.75" customHeight="1">
      <c r="A2496" s="334" t="str">
        <f>IF(B2496&lt;&gt;"",IF(AND(B2496='IN-TC'!$S$4,OR(TH!N2496="1111",TH!O2496="1111")),TH!D2496,""),"")</f>
        <v/>
      </c>
      <c r="B2496" s="63">
        <f t="shared" si="247"/>
        <v>8</v>
      </c>
      <c r="C2496" s="64">
        <v>42594</v>
      </c>
      <c r="D2496" s="64" t="s">
        <v>702</v>
      </c>
      <c r="E2496" s="64">
        <f t="shared" si="250"/>
        <v>42594</v>
      </c>
      <c r="F2496" s="72" t="s">
        <v>1193</v>
      </c>
      <c r="G2496" s="67" t="s">
        <v>915</v>
      </c>
      <c r="H2496" s="72"/>
      <c r="I2496" s="437"/>
      <c r="J2496" s="437"/>
      <c r="K2496" s="428"/>
      <c r="L2496" s="437"/>
      <c r="M2496" s="65">
        <v>2500</v>
      </c>
      <c r="N2496" s="82" t="s">
        <v>9</v>
      </c>
      <c r="O2496" s="66" t="s">
        <v>26</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x</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c r="AF2496" s="349">
        <v>8</v>
      </c>
    </row>
    <row r="2497" spans="1:32" s="349" customFormat="1" ht="15.75" customHeight="1">
      <c r="A2497" s="334" t="str">
        <f>IF(B2497&lt;&gt;"",IF(AND(B2497='IN-TC'!$S$4,OR(TH!N1578="1111",TH!O1578="1111")),TH!D1578,""),"")</f>
        <v/>
      </c>
      <c r="B2497" s="1148">
        <f t="shared" si="247"/>
        <v>8</v>
      </c>
      <c r="C2497" s="1149">
        <v>42597</v>
      </c>
      <c r="D2497" s="1149" t="s">
        <v>878</v>
      </c>
      <c r="E2497" s="1149">
        <f t="shared" si="250"/>
        <v>42597</v>
      </c>
      <c r="F2497" s="512" t="s">
        <v>960</v>
      </c>
      <c r="G2497" s="1151"/>
      <c r="H2497" s="1150" t="s">
        <v>2239</v>
      </c>
      <c r="I2497" s="1152"/>
      <c r="J2497" s="1152"/>
      <c r="K2497" s="1153"/>
      <c r="L2497" s="1152"/>
      <c r="M2497" s="1154">
        <v>410000000</v>
      </c>
      <c r="N2497" s="1155" t="s">
        <v>272</v>
      </c>
      <c r="O2497" s="1155" t="s">
        <v>63</v>
      </c>
      <c r="P2497" s="1155" t="str">
        <f>IF(AND('331-CT'!$E$7=TH!H1578,OR(N2497="331",O2497="331")),"x","")</f>
        <v/>
      </c>
      <c r="Q2497" s="1155" t="str">
        <f>IF(AND(B2497='111'!$L$11,OR($N2497=$Q$7,$O2497=$Q$7)),"x","")</f>
        <v/>
      </c>
      <c r="R2497" s="1155" t="str">
        <f>IF(AND($N2497=$Q$7,$B2497&lt;'111'!$L$11),"x","")</f>
        <v/>
      </c>
      <c r="S2497" s="1155" t="str">
        <f>IF(AND($O2497=$Q$7,$B2497&lt;'111'!$L$11),"x","")</f>
        <v>x</v>
      </c>
      <c r="T2497" s="1155" t="str">
        <f>IF(ISERROR(FIND('112'!$M$9,G2497,1)),"",IF((AND(FIND('112'!$M$9,G2497,1)&gt;=1,B2497='112'!$K$9,OR($N2497='112'!$I$6,$O2497='112'!$I$6))),"x",""))</f>
        <v/>
      </c>
      <c r="U2497" s="1155" t="str">
        <f>IF(ISERROR(FIND('112'!$M$9,G2497,1)),"",IF((AND(LEFT(G2497,2)=LEFT('112'!$M$9,2),B2497&lt;'112'!$K$9,$N2497='112'!$I$6)),"x",""))</f>
        <v/>
      </c>
      <c r="V2497" s="1155" t="str">
        <f>IF(ISERROR(FIND('112'!$M$9,G2497,1)),"",IF((AND(RIGHT(G2497,2)=RIGHT('112'!$M$9,2),B2497&lt;'112'!$K$9,$O2497='112'!$I$6)),"x",""))</f>
        <v/>
      </c>
      <c r="W2497" s="1155" t="str">
        <f>IF(AND('341-CT'!$H$9=H2497,OR(LEFT(N2497,3)=$W$7,LEFT(O2497,3)=$W$7)),"x","")</f>
        <v/>
      </c>
      <c r="X2497" s="1155" t="str">
        <f>IF(OR(TH!N1578=TH!$X$7,O2497=TH!$X$7),"x","")</f>
        <v>x</v>
      </c>
      <c r="Y2497" s="1155" t="str">
        <f>IF(AND(OR(N2497="131",O2497="131"),H2497='131-CT'!$H$9),"x","")</f>
        <v/>
      </c>
      <c r="Z2497" s="1155"/>
      <c r="AA2497" s="1155" t="str">
        <f>IF(AND(MONTH(E2497)='IN-NX'!$J$5,'IN-NX'!$D$7=D2497),"x","")</f>
        <v/>
      </c>
      <c r="AB2497" s="1155" t="str">
        <f>IF(AND(OR(LEFT(TH!N1578,2)="15",LEFT(TH!O1578,2)="15"),LEFT(TH!O1578,3)&lt;&gt;"111",'152-CT'!$J$8=TH!F1578),"x","")</f>
        <v/>
      </c>
      <c r="AC2497" s="1155" t="str">
        <f>IF(AND(OR(LEFT(TH!N1578,2)="15",LEFT(TH!O1578,2)="15"),TK!$E$7=TH!F1578),"x","")</f>
        <v/>
      </c>
      <c r="AD2497" s="1155" t="str">
        <f>IF(AND(N2497="1521",MONTH(C2497)='BK-NL'!$M$11),"x","")</f>
        <v/>
      </c>
      <c r="AE2497" s="1156"/>
      <c r="AF2497" s="1156"/>
    </row>
    <row r="2498" spans="1:32" s="349" customFormat="1" ht="15.75" customHeight="1">
      <c r="A2498" s="334" t="str">
        <f>IF(B2498&lt;&gt;"",IF(AND(B2498='IN-TC'!$S$4,OR(TH!N2499="1111",TH!O2499="1111")),TH!D2499,""),"")</f>
        <v/>
      </c>
      <c r="B2498" s="63">
        <f t="shared" si="247"/>
        <v>8</v>
      </c>
      <c r="C2498" s="64">
        <v>42597</v>
      </c>
      <c r="D2498" s="64" t="s">
        <v>879</v>
      </c>
      <c r="E2498" s="64">
        <f t="shared" si="250"/>
        <v>42597</v>
      </c>
      <c r="F2498" s="72" t="s">
        <v>768</v>
      </c>
      <c r="G2498" s="972" t="s">
        <v>1815</v>
      </c>
      <c r="H2498" s="72" t="s">
        <v>805</v>
      </c>
      <c r="I2498" s="437"/>
      <c r="J2498" s="437"/>
      <c r="K2498" s="428"/>
      <c r="L2498" s="437"/>
      <c r="M2498" s="65">
        <v>530000</v>
      </c>
      <c r="N2498" s="66" t="s">
        <v>101</v>
      </c>
      <c r="O2498" s="66" t="s">
        <v>63</v>
      </c>
      <c r="P2498" s="82" t="str">
        <f>IF(AND('331-CT'!$E$7=TH!H2499,OR(N2498="331",O2498="331")),"x","")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IF(OR(TH!N2499=TH!$X$7,O2498=TH!$X$7),"x","")</f>
        <v>x</v>
      </c>
      <c r="Y2498" s="82" t="str">
        <f>IF(AND(OR(N2498="131",O2498="131"),H2498='131-CT'!$H$9),"x","")</f>
        <v/>
      </c>
      <c r="Z2498" s="82"/>
      <c r="AA2498" s="82" t="str">
        <f>IF(AND(MONTH(E2498)='IN-NX'!$J$5,'IN-NX'!$D$7=D2498),"x","")</f>
        <v/>
      </c>
      <c r="AB2498" s="82" t="str">
        <f>IF(AND(OR(LEFT(TH!N2499,2)="15",LEFT(TH!O2499,2)="15"),LEFT(TH!O2499,3)&lt;&gt;"111",'152-CT'!$J$8=TH!F2499),"x","")</f>
        <v/>
      </c>
      <c r="AC2498" s="82" t="str">
        <f>IF(AND(OR(LEFT(TH!N2499,2)="15",LEFT(TH!O2499,2)="15"),TK!$E$7=TH!F2499),"x","")</f>
        <v/>
      </c>
      <c r="AD2498" s="82" t="str">
        <f>IF(AND(N2498="1521",MONTH(C2498)='BK-NL'!$M$11),"x","")</f>
        <v/>
      </c>
      <c r="AF2498" s="349">
        <v>8</v>
      </c>
    </row>
    <row r="2499" spans="1:32" s="349" customFormat="1" ht="15.75" customHeight="1">
      <c r="A2499" s="334" t="str">
        <f>IF(B2499&lt;&gt;"",IF(AND(B2499='IN-TC'!$S$4,OR(TH!N2500="1111",TH!O2500="1111")),TH!D2500,""),"")</f>
        <v/>
      </c>
      <c r="B2499" s="63">
        <f t="shared" si="247"/>
        <v>8</v>
      </c>
      <c r="C2499" s="64">
        <v>42597</v>
      </c>
      <c r="D2499" s="64" t="s">
        <v>879</v>
      </c>
      <c r="E2499" s="64">
        <f t="shared" si="250"/>
        <v>42597</v>
      </c>
      <c r="F2499" s="72" t="s">
        <v>769</v>
      </c>
      <c r="G2499" s="972" t="s">
        <v>1815</v>
      </c>
      <c r="H2499" s="72" t="s">
        <v>805</v>
      </c>
      <c r="I2499" s="437"/>
      <c r="J2499" s="437"/>
      <c r="K2499" s="428"/>
      <c r="L2499" s="437"/>
      <c r="M2499" s="65">
        <v>53000</v>
      </c>
      <c r="N2499" s="82" t="s">
        <v>9</v>
      </c>
      <c r="O2499" s="66" t="s">
        <v>63</v>
      </c>
      <c r="P2499" s="82" t="str">
        <f>IF(AND('331-CT'!$E$7=TH!H2500,OR(N2499="331",O2499="331")),"x","")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IF(OR(TH!N2500=TH!$X$7,O2499=TH!$X$7),"x","")</f>
        <v/>
      </c>
      <c r="Y2499" s="82" t="str">
        <f>IF(AND(OR(N2499="131",O2499="131"),H2499='131-CT'!$H$9),"x","")</f>
        <v/>
      </c>
      <c r="Z2499" s="82"/>
      <c r="AA2499" s="82" t="str">
        <f>IF(AND(MONTH(E2499)='IN-NX'!$J$5,'IN-NX'!$D$7=D2499),"x","")</f>
        <v/>
      </c>
      <c r="AB2499" s="82" t="str">
        <f>IF(AND(OR(LEFT(TH!N2500,2)="15",LEFT(TH!O2500,2)="15"),LEFT(TH!O2500,3)&lt;&gt;"111",'152-CT'!$J$8=TH!F2500),"x","")</f>
        <v/>
      </c>
      <c r="AC2499" s="82" t="str">
        <f>IF(AND(OR(LEFT(TH!N2500,2)="15",LEFT(TH!O2500,2)="15"),TK!$E$7=TH!F2500),"x","")</f>
        <v/>
      </c>
      <c r="AD2499" s="82" t="str">
        <f>IF(AND(N2499="1521",MONTH(C2499)='BK-NL'!$M$11),"x","")</f>
        <v/>
      </c>
      <c r="AF2499" s="349">
        <v>8</v>
      </c>
    </row>
    <row r="2500" spans="1:32" s="349" customFormat="1" ht="15.75" customHeight="1">
      <c r="A2500" s="334" t="str">
        <f>IF(B2500&lt;&gt;"",IF(AND(B2500='IN-TC'!$S$4,OR(TH!N2504="1111",TH!O2504="1111")),TH!D2504,""),"")</f>
        <v/>
      </c>
      <c r="B2500" s="63">
        <f t="shared" si="247"/>
        <v>8</v>
      </c>
      <c r="C2500" s="64">
        <v>42598</v>
      </c>
      <c r="D2500" s="64" t="s">
        <v>880</v>
      </c>
      <c r="E2500" s="64">
        <f t="shared" si="250"/>
        <v>42598</v>
      </c>
      <c r="F2500" s="72" t="s">
        <v>1107</v>
      </c>
      <c r="G2500" s="972" t="s">
        <v>1816</v>
      </c>
      <c r="H2500" s="72" t="s">
        <v>805</v>
      </c>
      <c r="I2500" s="437"/>
      <c r="J2500" s="437"/>
      <c r="K2500" s="428"/>
      <c r="L2500" s="437"/>
      <c r="M2500" s="65">
        <v>783491</v>
      </c>
      <c r="N2500" s="66" t="s">
        <v>101</v>
      </c>
      <c r="O2500" s="66" t="s">
        <v>63</v>
      </c>
      <c r="P2500" s="82" t="str">
        <f>IF(AND('331-CT'!$E$7=TH!H2504,OR(N2500="331",O2500="331")),"x","")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IF(OR(TH!N2504=TH!$X$7,O2500=TH!$X$7),"x","")</f>
        <v>x</v>
      </c>
      <c r="Y2500" s="82" t="str">
        <f>IF(AND(OR(N2500="131",O2500="131"),H2500='131-CT'!$H$9),"x","")</f>
        <v/>
      </c>
      <c r="Z2500" s="82"/>
      <c r="AA2500" s="82" t="str">
        <f>IF(AND(MONTH(E2500)='IN-NX'!$J$5,'IN-NX'!$D$7=D2500),"x","")</f>
        <v/>
      </c>
      <c r="AB2500" s="82" t="str">
        <f>IF(AND(OR(LEFT(TH!N2504,2)="15",LEFT(TH!O2504,2)="15"),LEFT(TH!O2504,3)&lt;&gt;"111",'152-CT'!$J$8=TH!F2504),"x","")</f>
        <v/>
      </c>
      <c r="AC2500" s="82" t="str">
        <f>IF(AND(OR(LEFT(TH!N2504,2)="15",LEFT(TH!O2504,2)="15"),TK!$E$7=TH!F2504),"x","")</f>
        <v/>
      </c>
      <c r="AD2500" s="82" t="str">
        <f>IF(AND(N2500="1521",MONTH(C2500)='BK-NL'!$M$11),"x","")</f>
        <v/>
      </c>
      <c r="AF2500" s="349">
        <v>8</v>
      </c>
    </row>
    <row r="2501" spans="1:32" s="349" customFormat="1" ht="15.75" customHeight="1">
      <c r="A2501" s="334" t="str">
        <f>IF(B2501&lt;&gt;"",IF(AND(B2501='IN-TC'!$S$4,OR(TH!N2501="1111",TH!O2501="1111")),TH!D2501,""),"")</f>
        <v/>
      </c>
      <c r="B2501" s="63">
        <f t="shared" si="247"/>
        <v>8</v>
      </c>
      <c r="C2501" s="64">
        <v>42597</v>
      </c>
      <c r="D2501" s="64" t="s">
        <v>702</v>
      </c>
      <c r="E2501" s="64">
        <f t="shared" si="250"/>
        <v>42597</v>
      </c>
      <c r="F2501" s="72" t="s">
        <v>1782</v>
      </c>
      <c r="G2501" s="67" t="s">
        <v>914</v>
      </c>
      <c r="H2501" s="72" t="s">
        <v>1667</v>
      </c>
      <c r="I2501" s="437"/>
      <c r="J2501" s="437"/>
      <c r="K2501" s="428">
        <v>286.32</v>
      </c>
      <c r="L2501" s="437">
        <v>22280</v>
      </c>
      <c r="M2501" s="65">
        <f>ROUND(K2501*L2501,0)</f>
        <v>6379210</v>
      </c>
      <c r="N2501" s="66" t="s">
        <v>99</v>
      </c>
      <c r="O2501" s="66" t="s">
        <v>266</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2" s="349" customFormat="1" ht="15.75" customHeight="1">
      <c r="A2502" s="334" t="str">
        <f>IF(B2502&lt;&gt;"",IF(AND(B2502='IN-TC'!$S$4,OR(TH!N2502="1111",TH!O2502="1111")),TH!D2502,""),"")</f>
        <v/>
      </c>
      <c r="B2502" s="63">
        <f t="shared" si="247"/>
        <v>8</v>
      </c>
      <c r="C2502" s="64">
        <v>42597</v>
      </c>
      <c r="D2502" s="64" t="s">
        <v>702</v>
      </c>
      <c r="E2502" s="64">
        <f t="shared" si="250"/>
        <v>42597</v>
      </c>
      <c r="F2502" s="72" t="s">
        <v>1782</v>
      </c>
      <c r="G2502" s="67" t="s">
        <v>914</v>
      </c>
      <c r="H2502" s="72" t="s">
        <v>1892</v>
      </c>
      <c r="I2502" s="437"/>
      <c r="J2502" s="437"/>
      <c r="K2502" s="428">
        <v>161.25</v>
      </c>
      <c r="L2502" s="437">
        <v>22280</v>
      </c>
      <c r="M2502" s="65">
        <f>ROUND(K2502*L2502,0)</f>
        <v>3592650</v>
      </c>
      <c r="N2502" s="66" t="s">
        <v>99</v>
      </c>
      <c r="O2502" s="66" t="s">
        <v>266</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2" s="349" customFormat="1" ht="15.75" customHeight="1">
      <c r="A2503" s="334" t="str">
        <f>IF(B2503&lt;&gt;"",IF(AND(B2503='IN-TC'!$S$4,OR(TH!N2503="1111",TH!O2503="1111")),TH!D2503,""),"")</f>
        <v/>
      </c>
      <c r="B2503" s="63">
        <f t="shared" si="247"/>
        <v>8</v>
      </c>
      <c r="C2503" s="64">
        <v>42597</v>
      </c>
      <c r="D2503" s="64" t="s">
        <v>702</v>
      </c>
      <c r="E2503" s="64">
        <f t="shared" si="250"/>
        <v>42597</v>
      </c>
      <c r="F2503" s="72" t="s">
        <v>1782</v>
      </c>
      <c r="G2503" s="67" t="s">
        <v>914</v>
      </c>
      <c r="H2503" s="72" t="s">
        <v>1665</v>
      </c>
      <c r="I2503" s="437"/>
      <c r="J2503" s="437"/>
      <c r="K2503" s="428">
        <v>213.68</v>
      </c>
      <c r="L2503" s="437">
        <v>22280</v>
      </c>
      <c r="M2503" s="65">
        <f>ROUND(K2503*L2503,0)</f>
        <v>4760790</v>
      </c>
      <c r="N2503" s="66" t="s">
        <v>99</v>
      </c>
      <c r="O2503" s="66" t="s">
        <v>266</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2" s="349" customFormat="1" ht="15.75" customHeight="1">
      <c r="A2504" s="334" t="str">
        <f>IF(B2504&lt;&gt;"",IF(AND(B2504='IN-TC'!$S$4,OR(TH!N2505="1111",TH!O2505="1111")),TH!D2505,""),"")</f>
        <v/>
      </c>
      <c r="B2504" s="63">
        <f t="shared" si="247"/>
        <v>8</v>
      </c>
      <c r="C2504" s="64">
        <v>42598</v>
      </c>
      <c r="D2504" s="64" t="s">
        <v>880</v>
      </c>
      <c r="E2504" s="64">
        <f t="shared" si="250"/>
        <v>42598</v>
      </c>
      <c r="F2504" s="72" t="s">
        <v>1337</v>
      </c>
      <c r="G2504" s="972" t="s">
        <v>1816</v>
      </c>
      <c r="H2504" s="72" t="s">
        <v>805</v>
      </c>
      <c r="I2504" s="437"/>
      <c r="J2504" s="437"/>
      <c r="K2504" s="428"/>
      <c r="L2504" s="437"/>
      <c r="M2504" s="65">
        <v>78349</v>
      </c>
      <c r="N2504" s="82" t="s">
        <v>9</v>
      </c>
      <c r="O2504" s="66" t="s">
        <v>63</v>
      </c>
      <c r="P2504" s="82" t="str">
        <f>IF(AND('331-CT'!$E$7=TH!H2505,OR(N2504="331",O2504="331")),"x","")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IF(OR(TH!N2505=TH!$X$7,O2504=TH!$X$7),"x","")</f>
        <v/>
      </c>
      <c r="Y2504" s="82" t="str">
        <f>IF(AND(OR(N2504="131",O2504="131"),H2504='131-CT'!$H$9),"x","")</f>
        <v/>
      </c>
      <c r="Z2504" s="82"/>
      <c r="AA2504" s="82" t="str">
        <f>IF(AND(MONTH(E2504)='IN-NX'!$J$5,'IN-NX'!$D$7=D2504),"x","")</f>
        <v/>
      </c>
      <c r="AB2504" s="82" t="str">
        <f>IF(AND(OR(LEFT(TH!N2505,2)="15",LEFT(TH!O2505,2)="15"),LEFT(TH!O2505,3)&lt;&gt;"111",'152-CT'!$J$8=TH!F2505),"x","")</f>
        <v/>
      </c>
      <c r="AC2504" s="82" t="str">
        <f>IF(AND(OR(LEFT(TH!N2505,2)="15",LEFT(TH!O2505,2)="15"),TK!$E$7=TH!F2505),"x","")</f>
        <v/>
      </c>
      <c r="AD2504" s="82" t="str">
        <f>IF(AND(N2504="1521",MONTH(C2504)='BK-NL'!$M$11),"x","")</f>
        <v/>
      </c>
      <c r="AF2504" s="349">
        <v>8</v>
      </c>
    </row>
    <row r="2505" spans="1:32" s="349" customFormat="1" ht="15.75" customHeight="1">
      <c r="A2505" s="334" t="str">
        <f>IF(B2505&lt;&gt;"",IF(AND(B2505='IN-TC'!$S$4,OR(TH!N2512="1111",TH!O2512="1111")),TH!D2512,""),"")</f>
        <v/>
      </c>
      <c r="B2505" s="63">
        <f t="shared" si="247"/>
        <v>8</v>
      </c>
      <c r="C2505" s="64">
        <v>42599</v>
      </c>
      <c r="D2505" s="64" t="s">
        <v>881</v>
      </c>
      <c r="E2505" s="64">
        <f t="shared" si="250"/>
        <v>42599</v>
      </c>
      <c r="F2505" s="72" t="s">
        <v>768</v>
      </c>
      <c r="G2505" s="972" t="s">
        <v>1817</v>
      </c>
      <c r="H2505" s="72" t="s">
        <v>805</v>
      </c>
      <c r="I2505" s="437"/>
      <c r="J2505" s="437"/>
      <c r="K2505" s="428"/>
      <c r="L2505" s="437"/>
      <c r="M2505" s="65">
        <v>614800</v>
      </c>
      <c r="N2505" s="66" t="s">
        <v>101</v>
      </c>
      <c r="O2505" s="66" t="s">
        <v>63</v>
      </c>
      <c r="P2505" s="82" t="str">
        <f>IF(AND('331-CT'!$E$7=TH!H2512,OR(N2505="331",O2505="331")),"x","")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IF(OR(TH!N2512=TH!$X$7,O2505=TH!$X$7),"x","")</f>
        <v>x</v>
      </c>
      <c r="Y2505" s="82" t="str">
        <f>IF(AND(OR(N2505="131",O2505="131"),H2505='131-CT'!$H$9),"x","")</f>
        <v/>
      </c>
      <c r="Z2505" s="82"/>
      <c r="AA2505" s="82" t="str">
        <f>IF(AND(MONTH(E2505)='IN-NX'!$J$5,'IN-NX'!$D$7=D2505),"x","")</f>
        <v/>
      </c>
      <c r="AB2505" s="82" t="str">
        <f>IF(AND(OR(LEFT(TH!N2512,2)="15",LEFT(TH!O2512,2)="15"),LEFT(TH!O2512,3)&lt;&gt;"111",'152-CT'!$J$8=TH!F2512),"x","")</f>
        <v/>
      </c>
      <c r="AC2505" s="82" t="str">
        <f>IF(AND(OR(LEFT(TH!N2512,2)="15",LEFT(TH!O2512,2)="15"),TK!$E$7=TH!F2512),"x","")</f>
        <v/>
      </c>
      <c r="AD2505" s="82" t="str">
        <f>IF(AND(N2505="1521",MONTH(C2505)='BK-NL'!$M$11),"x","")</f>
        <v/>
      </c>
      <c r="AF2505" s="349">
        <v>8</v>
      </c>
    </row>
    <row r="2506" spans="1:32" s="349" customFormat="1" ht="15.75" customHeight="1">
      <c r="A2506" s="334" t="str">
        <f>IF(B2506&lt;&gt;"",IF(AND(B2506='IN-TC'!$S$4,OR(TH!N2506="1111",TH!O2506="1111")),TH!D2506,""),"")</f>
        <v/>
      </c>
      <c r="B2506" s="63">
        <f t="shared" si="247"/>
        <v>8</v>
      </c>
      <c r="C2506" s="64">
        <v>42598</v>
      </c>
      <c r="D2506" s="64" t="s">
        <v>702</v>
      </c>
      <c r="E2506" s="64">
        <f t="shared" si="250"/>
        <v>42598</v>
      </c>
      <c r="F2506" s="72" t="s">
        <v>1438</v>
      </c>
      <c r="G2506" s="67" t="s">
        <v>914</v>
      </c>
      <c r="H2506" s="72"/>
      <c r="I2506" s="437"/>
      <c r="J2506" s="437"/>
      <c r="K2506" s="428">
        <v>1600</v>
      </c>
      <c r="L2506" s="437">
        <v>22270</v>
      </c>
      <c r="M2506" s="65">
        <f>ROUND(K2506*L2506,0)</f>
        <v>35632000</v>
      </c>
      <c r="N2506" s="66" t="s">
        <v>26</v>
      </c>
      <c r="O2506" s="66" t="s">
        <v>266</v>
      </c>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2" s="349" customFormat="1" ht="15.75" customHeight="1">
      <c r="A2507" s="334" t="str">
        <f>IF(B2507&lt;&gt;"",IF(AND(B2507='IN-TC'!$S$4,OR(TH!N2507="1111",TH!O2507="1111")),TH!D2507,""),"")</f>
        <v/>
      </c>
      <c r="B2507" s="63">
        <f t="shared" si="247"/>
        <v>8</v>
      </c>
      <c r="C2507" s="64">
        <v>42598</v>
      </c>
      <c r="D2507" s="64" t="s">
        <v>899</v>
      </c>
      <c r="E2507" s="64">
        <f t="shared" si="250"/>
        <v>42598</v>
      </c>
      <c r="F2507" s="72" t="s">
        <v>1139</v>
      </c>
      <c r="G2507" s="67" t="s">
        <v>914</v>
      </c>
      <c r="H2507" s="72" t="s">
        <v>760</v>
      </c>
      <c r="I2507" s="437"/>
      <c r="J2507" s="437"/>
      <c r="K2507" s="428"/>
      <c r="L2507" s="437"/>
      <c r="M2507" s="65">
        <v>35600000</v>
      </c>
      <c r="N2507" s="66" t="s">
        <v>63</v>
      </c>
      <c r="O2507" s="66" t="s">
        <v>26</v>
      </c>
      <c r="P2507" s="82" t="str">
        <f>IF(AND('331-CT'!$E$7=TH!H2507,OR(N2507="331",O2507="331")),"x","")</f>
        <v/>
      </c>
      <c r="Q2507" s="82" t="str">
        <f>IF(AND(B2507='111'!$L$11,OR($N2507=$Q$7,$O2507=$Q$7)),"x","")</f>
        <v/>
      </c>
      <c r="R2507" s="82" t="str">
        <f>IF(AND($N2507=$Q$7,$B2507&lt;'111'!$L$11),"x","")</f>
        <v>x</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2" s="349" customFormat="1" ht="15.75" customHeight="1">
      <c r="A2508" s="334" t="str">
        <f>IF(B2508&lt;&gt;"",IF(AND(B2508='IN-TC'!$S$4,OR(TH!N2508="1111",TH!O2508="1111")),TH!D2508,""),"")</f>
        <v/>
      </c>
      <c r="B2508" s="63">
        <f t="shared" si="247"/>
        <v>8</v>
      </c>
      <c r="C2508" s="64">
        <v>42598</v>
      </c>
      <c r="D2508" s="64" t="s">
        <v>702</v>
      </c>
      <c r="E2508" s="64">
        <f t="shared" si="250"/>
        <v>42598</v>
      </c>
      <c r="F2508" s="72" t="s">
        <v>1648</v>
      </c>
      <c r="G2508" s="67" t="s">
        <v>914</v>
      </c>
      <c r="H2508" s="342"/>
      <c r="I2508" s="437"/>
      <c r="J2508" s="437"/>
      <c r="K2508" s="428"/>
      <c r="L2508" s="437"/>
      <c r="M2508" s="65">
        <v>50000</v>
      </c>
      <c r="N2508" s="66" t="s">
        <v>101</v>
      </c>
      <c r="O2508" s="66" t="s">
        <v>26</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c r="AF2508" s="349">
        <v>8</v>
      </c>
    </row>
    <row r="2509" spans="1:32" s="349" customFormat="1" ht="15.75" customHeight="1">
      <c r="A2509" s="334" t="str">
        <f>IF(B2509&lt;&gt;"",IF(AND(B2509='IN-TC'!$S$4,OR(TH!N2509="1111",TH!O2509="1111")),TH!D2509,""),"")</f>
        <v/>
      </c>
      <c r="B2509" s="63">
        <f t="shared" ref="B2509:B2572" si="251">IF(C2509&lt;&gt;"",MONTH(C2509),"")</f>
        <v>8</v>
      </c>
      <c r="C2509" s="64">
        <v>42598</v>
      </c>
      <c r="D2509" s="64" t="s">
        <v>702</v>
      </c>
      <c r="E2509" s="64">
        <f t="shared" si="250"/>
        <v>42598</v>
      </c>
      <c r="F2509" s="72" t="s">
        <v>1649</v>
      </c>
      <c r="G2509" s="67" t="s">
        <v>914</v>
      </c>
      <c r="H2509" s="342"/>
      <c r="I2509" s="437"/>
      <c r="J2509" s="437"/>
      <c r="K2509" s="428"/>
      <c r="L2509" s="437"/>
      <c r="M2509" s="65">
        <v>5000</v>
      </c>
      <c r="N2509" s="82" t="s">
        <v>9</v>
      </c>
      <c r="O2509" s="66" t="s">
        <v>26</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x</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c r="AF2509" s="349">
        <v>8</v>
      </c>
    </row>
    <row r="2510" spans="1:32" s="349" customFormat="1" ht="15.75" customHeight="1">
      <c r="A2510" s="334" t="str">
        <f>IF(B2510&lt;&gt;"",IF(AND(B2510='IN-TC'!$S$4,OR(TH!N2510="1111",TH!O2510="1111")),TH!D2510,""),"")</f>
        <v/>
      </c>
      <c r="B2510" s="63">
        <f t="shared" si="251"/>
        <v>8</v>
      </c>
      <c r="C2510" s="64">
        <v>42598</v>
      </c>
      <c r="D2510" s="64" t="s">
        <v>702</v>
      </c>
      <c r="E2510" s="64">
        <f t="shared" si="250"/>
        <v>42598</v>
      </c>
      <c r="F2510" s="72" t="s">
        <v>1648</v>
      </c>
      <c r="G2510" s="67" t="s">
        <v>914</v>
      </c>
      <c r="H2510" s="342"/>
      <c r="I2510" s="437"/>
      <c r="J2510" s="437"/>
      <c r="K2510" s="428"/>
      <c r="L2510" s="437"/>
      <c r="M2510" s="65">
        <v>50000</v>
      </c>
      <c r="N2510" s="66" t="s">
        <v>101</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c r="AF2510" s="349">
        <v>8</v>
      </c>
    </row>
    <row r="2511" spans="1:32" s="349" customFormat="1" ht="15.75" customHeight="1">
      <c r="A2511" s="334" t="str">
        <f>IF(B2511&lt;&gt;"",IF(AND(B2511='IN-TC'!$S$4,OR(TH!N2511="1111",TH!O2511="1111")),TH!D2511,""),"")</f>
        <v/>
      </c>
      <c r="B2511" s="63">
        <f t="shared" si="251"/>
        <v>8</v>
      </c>
      <c r="C2511" s="64">
        <v>42598</v>
      </c>
      <c r="D2511" s="64" t="s">
        <v>702</v>
      </c>
      <c r="E2511" s="64">
        <f t="shared" si="250"/>
        <v>42598</v>
      </c>
      <c r="F2511" s="72" t="s">
        <v>1649</v>
      </c>
      <c r="G2511" s="67" t="s">
        <v>914</v>
      </c>
      <c r="H2511" s="342"/>
      <c r="I2511" s="437"/>
      <c r="J2511" s="437"/>
      <c r="K2511" s="428"/>
      <c r="L2511" s="437"/>
      <c r="M2511" s="65">
        <v>5000</v>
      </c>
      <c r="N2511" s="82" t="s">
        <v>9</v>
      </c>
      <c r="O2511" s="66" t="s">
        <v>26</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x</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c r="AF2511" s="349">
        <v>8</v>
      </c>
    </row>
    <row r="2512" spans="1:32" s="349" customFormat="1" ht="15.75" customHeight="1">
      <c r="A2512" s="334" t="str">
        <f>IF(B2512&lt;&gt;"",IF(AND(B2512='IN-TC'!$S$4,OR(TH!N2513="1111",TH!O2513="1111")),TH!D2513,""),"")</f>
        <v/>
      </c>
      <c r="B2512" s="63">
        <f t="shared" si="251"/>
        <v>8</v>
      </c>
      <c r="C2512" s="64">
        <v>42599</v>
      </c>
      <c r="D2512" s="64" t="s">
        <v>881</v>
      </c>
      <c r="E2512" s="64">
        <f t="shared" si="250"/>
        <v>42599</v>
      </c>
      <c r="F2512" s="72" t="s">
        <v>769</v>
      </c>
      <c r="G2512" s="972" t="s">
        <v>1817</v>
      </c>
      <c r="H2512" s="72" t="s">
        <v>805</v>
      </c>
      <c r="I2512" s="437"/>
      <c r="J2512" s="437"/>
      <c r="K2512" s="428"/>
      <c r="L2512" s="437"/>
      <c r="M2512" s="65">
        <v>61480</v>
      </c>
      <c r="N2512" s="82" t="s">
        <v>9</v>
      </c>
      <c r="O2512" s="66" t="s">
        <v>63</v>
      </c>
      <c r="P2512" s="82" t="str">
        <f>IF(AND('331-CT'!$E$7=TH!H2513,OR(N2512="331",O2512="331")),"x","")</f>
        <v/>
      </c>
      <c r="Q2512" s="82" t="str">
        <f>IF(AND(B2512='111'!$L$11,OR($N2512=$Q$7,$O2512=$Q$7)),"x","")</f>
        <v/>
      </c>
      <c r="R2512" s="82" t="str">
        <f>IF(AND($N2512=$Q$7,$B2512&lt;'111'!$L$11),"x","")</f>
        <v/>
      </c>
      <c r="S2512" s="82" t="str">
        <f>IF(AND($O2512=$Q$7,$B2512&lt;'111'!$L$11),"x","")</f>
        <v>x</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IF(OR(TH!N2513=TH!$X$7,O2512=TH!$X$7),"x","")</f>
        <v/>
      </c>
      <c r="Y2512" s="82" t="str">
        <f>IF(AND(OR(N2512="131",O2512="131"),H2512='131-CT'!$H$9),"x","")</f>
        <v/>
      </c>
      <c r="Z2512" s="82"/>
      <c r="AA2512" s="82" t="str">
        <f>IF(AND(MONTH(E2512)='IN-NX'!$J$5,'IN-NX'!$D$7=D2512),"x","")</f>
        <v/>
      </c>
      <c r="AB2512" s="82" t="str">
        <f>IF(AND(OR(LEFT(TH!N2513,2)="15",LEFT(TH!O2513,2)="15"),LEFT(TH!O2513,3)&lt;&gt;"111",'152-CT'!$J$8=TH!F2513),"x","")</f>
        <v/>
      </c>
      <c r="AC2512" s="82" t="str">
        <f>IF(AND(OR(LEFT(TH!N2513,2)="15",LEFT(TH!O2513,2)="15"),TK!$E$7=TH!F2513),"x","")</f>
        <v/>
      </c>
      <c r="AD2512" s="82" t="str">
        <f>IF(AND(N2512="1521",MONTH(C2512)='BK-NL'!$M$11),"x","")</f>
        <v/>
      </c>
      <c r="AF2512" s="349">
        <v>8</v>
      </c>
    </row>
    <row r="2513" spans="1:32" s="349" customFormat="1" ht="15.75" customHeight="1">
      <c r="A2513" s="334" t="str">
        <f>IF(B2513&lt;&gt;"",IF(AND(B2513='IN-TC'!$S$4,OR(TH!N2514="1111",TH!O2514="1111")),TH!D2514,""),"")</f>
        <v/>
      </c>
      <c r="B2513" s="63">
        <f t="shared" si="251"/>
        <v>8</v>
      </c>
      <c r="C2513" s="64">
        <v>42600</v>
      </c>
      <c r="D2513" s="64" t="s">
        <v>882</v>
      </c>
      <c r="E2513" s="64">
        <f t="shared" si="250"/>
        <v>42600</v>
      </c>
      <c r="F2513" s="72" t="s">
        <v>1107</v>
      </c>
      <c r="G2513" s="972" t="s">
        <v>1818</v>
      </c>
      <c r="H2513" s="72" t="s">
        <v>805</v>
      </c>
      <c r="I2513" s="437"/>
      <c r="J2513" s="437"/>
      <c r="K2513" s="428"/>
      <c r="L2513" s="437"/>
      <c r="M2513" s="65">
        <v>405736</v>
      </c>
      <c r="N2513" s="66" t="s">
        <v>101</v>
      </c>
      <c r="O2513" s="66" t="s">
        <v>63</v>
      </c>
      <c r="P2513" s="82" t="str">
        <f>IF(AND('331-CT'!$E$7=TH!H2514,OR(N2513="331",O2513="331")),"x","")</f>
        <v/>
      </c>
      <c r="Q2513" s="82" t="str">
        <f>IF(AND(B2513='111'!$L$11,OR($N2513=$Q$7,$O2513=$Q$7)),"x","")</f>
        <v/>
      </c>
      <c r="R2513" s="82" t="str">
        <f>IF(AND($N2513=$Q$7,$B2513&lt;'111'!$L$11),"x","")</f>
        <v/>
      </c>
      <c r="S2513" s="82" t="str">
        <f>IF(AND($O2513=$Q$7,$B2513&lt;'111'!$L$11),"x","")</f>
        <v>x</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IF(OR(TH!N2514=TH!$X$7,O2513=TH!$X$7),"x","")</f>
        <v>x</v>
      </c>
      <c r="Y2513" s="82" t="str">
        <f>IF(AND(OR(N2513="131",O2513="131"),H2513='131-CT'!$H$9),"x","")</f>
        <v/>
      </c>
      <c r="Z2513" s="82"/>
      <c r="AA2513" s="82" t="str">
        <f>IF(AND(MONTH(E2513)='IN-NX'!$J$5,'IN-NX'!$D$7=D2513),"x","")</f>
        <v/>
      </c>
      <c r="AB2513" s="82" t="str">
        <f>IF(AND(OR(LEFT(TH!N2514,2)="15",LEFT(TH!O2514,2)="15"),LEFT(TH!O2514,3)&lt;&gt;"111",'152-CT'!$J$8=TH!F2514),"x","")</f>
        <v/>
      </c>
      <c r="AC2513" s="82" t="str">
        <f>IF(AND(OR(LEFT(TH!N2514,2)="15",LEFT(TH!O2514,2)="15"),TK!$E$7=TH!F2514),"x","")</f>
        <v/>
      </c>
      <c r="AD2513" s="82" t="str">
        <f>IF(AND(N2513="1521",MONTH(C2513)='BK-NL'!$M$11),"x","")</f>
        <v/>
      </c>
      <c r="AF2513" s="349">
        <v>8</v>
      </c>
    </row>
    <row r="2514" spans="1:32" ht="15.75" customHeight="1">
      <c r="A2514" s="334" t="str">
        <f>IF(B2514&lt;&gt;"",IF(AND(B2514='IN-TC'!$S$4,OR(TH!N2515="1111",TH!O2515="1111")),TH!D2515,""),"")</f>
        <v/>
      </c>
      <c r="B2514" s="63">
        <f t="shared" si="251"/>
        <v>8</v>
      </c>
      <c r="C2514" s="64">
        <v>42600</v>
      </c>
      <c r="D2514" s="64" t="s">
        <v>882</v>
      </c>
      <c r="E2514" s="64">
        <f t="shared" si="250"/>
        <v>42600</v>
      </c>
      <c r="F2514" s="72" t="s">
        <v>1337</v>
      </c>
      <c r="G2514" s="972" t="s">
        <v>1818</v>
      </c>
      <c r="H2514" s="72" t="s">
        <v>805</v>
      </c>
      <c r="I2514" s="437"/>
      <c r="J2514" s="437"/>
      <c r="K2514" s="428"/>
      <c r="L2514" s="437"/>
      <c r="M2514" s="65">
        <v>40574</v>
      </c>
      <c r="N2514" s="82" t="s">
        <v>9</v>
      </c>
      <c r="O2514" s="66" t="s">
        <v>63</v>
      </c>
      <c r="P2514" s="82" t="str">
        <f>IF(AND('331-CT'!$E$7=TH!H2515,OR(N2514="331",O2514="331")),"x","")</f>
        <v/>
      </c>
      <c r="Q2514" s="82" t="str">
        <f>IF(AND(B2514='111'!$L$11,OR($N2514=$Q$7,$O2514=$Q$7)),"x","")</f>
        <v/>
      </c>
      <c r="R2514" s="82" t="str">
        <f>IF(AND($N2514=$Q$7,$B2514&lt;'111'!$L$11),"x","")</f>
        <v/>
      </c>
      <c r="S2514" s="82" t="str">
        <f>IF(AND($O2514=$Q$7,$B2514&lt;'111'!$L$11),"x","")</f>
        <v>x</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IF(OR(TH!N2515=TH!$X$7,O2514=TH!$X$7),"x","")</f>
        <v/>
      </c>
      <c r="Y2514" s="82" t="str">
        <f>IF(AND(OR(N2514="131",O2514="131"),H2514='131-CT'!$H$9),"x","")</f>
        <v/>
      </c>
      <c r="Z2514" s="82"/>
      <c r="AA2514" s="82" t="str">
        <f>IF(AND(MONTH(E2514)='IN-NX'!$J$5,'IN-NX'!$D$7=D2514),"x","")</f>
        <v/>
      </c>
      <c r="AB2514" s="82" t="str">
        <f>IF(AND(OR(LEFT(TH!N2515,2)="15",LEFT(TH!O2515,2)="15"),LEFT(TH!O2515,3)&lt;&gt;"111",'152-CT'!$J$8=TH!F2515),"x","")</f>
        <v/>
      </c>
      <c r="AC2514" s="82" t="str">
        <f>IF(AND(OR(LEFT(TH!N2515,2)="15",LEFT(TH!O2515,2)="15"),TK!$E$7=TH!F2515),"x","")</f>
        <v/>
      </c>
      <c r="AD2514" s="82" t="str">
        <f>IF(AND(N2514="1521",MONTH(C2514)='BK-NL'!$M$11),"x","")</f>
        <v/>
      </c>
      <c r="AE2514" s="349"/>
      <c r="AF2514" s="349">
        <v>8</v>
      </c>
    </row>
    <row r="2515" spans="1:32" s="349" customFormat="1" ht="15.75" customHeight="1">
      <c r="A2515" s="334" t="str">
        <f>IF(B2515&lt;&gt;"",IF(AND(B2515='IN-TC'!$S$4,OR(TH!N1579="1111",TH!O1579="1111")),TH!D1579,""),"")</f>
        <v/>
      </c>
      <c r="B2515" s="1148">
        <f t="shared" si="251"/>
        <v>8</v>
      </c>
      <c r="C2515" s="1149">
        <v>42602</v>
      </c>
      <c r="D2515" s="1149" t="s">
        <v>883</v>
      </c>
      <c r="E2515" s="1149">
        <f t="shared" si="250"/>
        <v>42602</v>
      </c>
      <c r="F2515" s="512" t="s">
        <v>960</v>
      </c>
      <c r="G2515" s="1151"/>
      <c r="H2515" s="1150" t="s">
        <v>959</v>
      </c>
      <c r="I2515" s="1152"/>
      <c r="J2515" s="1152"/>
      <c r="K2515" s="1153"/>
      <c r="L2515" s="1231"/>
      <c r="M2515" s="1154">
        <v>117500000</v>
      </c>
      <c r="N2515" s="1155" t="s">
        <v>272</v>
      </c>
      <c r="O2515" s="1155" t="s">
        <v>63</v>
      </c>
      <c r="P2515" s="1155" t="str">
        <f>IF(AND('331-CT'!$E$7=TH!H1579,OR(N2515="331",O2515="331")),"x","")</f>
        <v/>
      </c>
      <c r="Q2515" s="1155" t="str">
        <f>IF(AND(B2515='111'!$L$11,OR($N2515=$Q$7,$O2515=$Q$7)),"x","")</f>
        <v/>
      </c>
      <c r="R2515" s="1155" t="str">
        <f>IF(AND($N2515=$Q$7,$B2515&lt;'111'!$L$11),"x","")</f>
        <v/>
      </c>
      <c r="S2515" s="1155" t="str">
        <f>IF(AND($O2515=$Q$7,$B2515&lt;'111'!$L$11),"x","")</f>
        <v>x</v>
      </c>
      <c r="T2515" s="1155" t="str">
        <f>IF(ISERROR(FIND('112'!$M$9,G2515,1)),"",IF((AND(FIND('112'!$M$9,G2515,1)&gt;=1,B2515='112'!$K$9,OR($N2515='112'!$I$6,$O2515='112'!$I$6))),"x",""))</f>
        <v/>
      </c>
      <c r="U2515" s="1155" t="str">
        <f>IF(ISERROR(FIND('112'!$M$9,G2515,1)),"",IF((AND(LEFT(G2515,2)=LEFT('112'!$M$9,2),B2515&lt;'112'!$K$9,$N2515='112'!$I$6)),"x",""))</f>
        <v/>
      </c>
      <c r="V2515" s="1155" t="str">
        <f>IF(ISERROR(FIND('112'!$M$9,G2515,1)),"",IF((AND(RIGHT(G2515,2)=RIGHT('112'!$M$9,2),B2515&lt;'112'!$K$9,$O2515='112'!$I$6)),"x",""))</f>
        <v/>
      </c>
      <c r="W2515" s="1155" t="str">
        <f>IF(AND('341-CT'!$H$9=H2515,OR(LEFT(N2515,3)=$W$7,LEFT(O2515,3)=$W$7)),"x","")</f>
        <v/>
      </c>
      <c r="X2515" s="1155" t="str">
        <f>IF(OR(TH!N1579=TH!$X$7,O2515=TH!$X$7),"x","")</f>
        <v/>
      </c>
      <c r="Y2515" s="1155" t="str">
        <f>IF(AND(OR(N2515="131",O2515="131"),H2515='131-CT'!$H$9),"x","")</f>
        <v/>
      </c>
      <c r="Z2515" s="1155"/>
      <c r="AA2515" s="1155" t="str">
        <f>IF(AND(MONTH(E2515)='IN-NX'!$J$5,'IN-NX'!$D$7=D2515),"x","")</f>
        <v/>
      </c>
      <c r="AB2515" s="1155" t="str">
        <f>IF(AND(OR(LEFT(TH!N1579,2)="15",LEFT(TH!O1579,2)="15"),LEFT(TH!O1579,3)&lt;&gt;"111",'152-CT'!$J$8=TH!F1579),"x","")</f>
        <v/>
      </c>
      <c r="AC2515" s="1155" t="str">
        <f>IF(AND(OR(LEFT(TH!N1579,2)="15",LEFT(TH!O1579,2)="15"),TK!$E$7=TH!F1579),"x","")</f>
        <v/>
      </c>
      <c r="AD2515" s="1155" t="str">
        <f>IF(AND(N2515="1521",MONTH(C2515)='BK-NL'!$M$11),"x","")</f>
        <v/>
      </c>
      <c r="AE2515" s="1156"/>
      <c r="AF2515" s="1156"/>
    </row>
    <row r="2516" spans="1:32" s="349" customFormat="1" ht="15.75" customHeight="1">
      <c r="A2516" s="334" t="str">
        <f>IF(B2516&lt;&gt;"",IF(AND(B2516='IN-TC'!$S$4,OR(TH!N2516="1111",TH!O2516="1111")),TH!D2516,""),"")</f>
        <v/>
      </c>
      <c r="B2516" s="63">
        <f t="shared" si="251"/>
        <v>8</v>
      </c>
      <c r="C2516" s="64">
        <v>42600</v>
      </c>
      <c r="D2516" s="64" t="s">
        <v>699</v>
      </c>
      <c r="E2516" s="64">
        <f t="shared" si="250"/>
        <v>42600</v>
      </c>
      <c r="F2516" s="72" t="s">
        <v>1450</v>
      </c>
      <c r="G2516" s="67" t="s">
        <v>1558</v>
      </c>
      <c r="H2516" s="72" t="s">
        <v>1890</v>
      </c>
      <c r="I2516" s="437"/>
      <c r="J2516" s="437"/>
      <c r="K2516" s="428">
        <v>83392.5</v>
      </c>
      <c r="L2516" s="437">
        <v>22300</v>
      </c>
      <c r="M2516" s="65">
        <f t="shared" ref="M2516:M2521" si="252">ROUND(K2516*L2516,0)</f>
        <v>1859652750</v>
      </c>
      <c r="N2516" s="66" t="s">
        <v>266</v>
      </c>
      <c r="O2516" s="66" t="s">
        <v>585</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2" s="349" customFormat="1" ht="15.75" customHeight="1">
      <c r="A2517" s="334" t="str">
        <f>IF(B2517&lt;&gt;"",IF(AND(B2517='IN-TC'!$S$4,OR(TH!N2517="1111",TH!O2517="1111")),TH!D2517,""),"")</f>
        <v/>
      </c>
      <c r="B2517" s="63">
        <f t="shared" si="251"/>
        <v>8</v>
      </c>
      <c r="C2517" s="64">
        <v>42600</v>
      </c>
      <c r="D2517" s="64" t="s">
        <v>702</v>
      </c>
      <c r="E2517" s="64">
        <f t="shared" si="250"/>
        <v>42600</v>
      </c>
      <c r="F2517" s="72" t="s">
        <v>1793</v>
      </c>
      <c r="G2517" s="67" t="s">
        <v>1558</v>
      </c>
      <c r="H2517" s="72"/>
      <c r="I2517" s="437"/>
      <c r="J2517" s="437"/>
      <c r="K2517" s="428">
        <v>45.87</v>
      </c>
      <c r="L2517" s="437">
        <v>22300</v>
      </c>
      <c r="M2517" s="65">
        <f t="shared" si="252"/>
        <v>1022901</v>
      </c>
      <c r="N2517" s="66" t="s">
        <v>101</v>
      </c>
      <c r="O2517" s="66" t="s">
        <v>266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2" s="349" customFormat="1" ht="15.75" customHeight="1">
      <c r="A2518" s="334" t="str">
        <f>IF(B2518&lt;&gt;"",IF(AND(B2518='IN-TC'!$S$4,OR(TH!N2518="1111",TH!O2518="1111")),TH!D2518,""),"")</f>
        <v/>
      </c>
      <c r="B2518" s="63">
        <f t="shared" si="251"/>
        <v>8</v>
      </c>
      <c r="C2518" s="64">
        <v>42600</v>
      </c>
      <c r="D2518" s="64" t="s">
        <v>702</v>
      </c>
      <c r="E2518" s="64">
        <f t="shared" si="250"/>
        <v>42600</v>
      </c>
      <c r="F2518" s="72" t="s">
        <v>1436</v>
      </c>
      <c r="G2518" s="67" t="s">
        <v>1558</v>
      </c>
      <c r="H2518" s="72" t="s">
        <v>1936</v>
      </c>
      <c r="I2518" s="437"/>
      <c r="J2518" s="437"/>
      <c r="K2518" s="428">
        <v>30.33</v>
      </c>
      <c r="L2518" s="437">
        <v>22300</v>
      </c>
      <c r="M2518" s="65">
        <f t="shared" si="252"/>
        <v>676359</v>
      </c>
      <c r="N2518" s="66" t="s">
        <v>101</v>
      </c>
      <c r="O2518" s="66" t="s">
        <v>266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2" s="349" customFormat="1" ht="15.75" customHeight="1">
      <c r="A2519" s="334" t="str">
        <f>IF(B2519&lt;&gt;"",IF(AND(B2519='IN-TC'!$S$4,OR(TH!N2519="1111",TH!O2519="1111")),TH!D2519,""),"")</f>
        <v/>
      </c>
      <c r="B2519" s="63">
        <f t="shared" si="251"/>
        <v>8</v>
      </c>
      <c r="C2519" s="64">
        <v>42600</v>
      </c>
      <c r="D2519" s="64" t="s">
        <v>702</v>
      </c>
      <c r="E2519" s="64">
        <f t="shared" si="250"/>
        <v>42600</v>
      </c>
      <c r="F2519" s="72" t="s">
        <v>1793</v>
      </c>
      <c r="G2519" s="67" t="s">
        <v>1558</v>
      </c>
      <c r="H2519" s="72" t="s">
        <v>1937</v>
      </c>
      <c r="I2519" s="437"/>
      <c r="J2519" s="437"/>
      <c r="K2519" s="428">
        <v>5</v>
      </c>
      <c r="L2519" s="437">
        <v>21857</v>
      </c>
      <c r="M2519" s="65">
        <f t="shared" si="252"/>
        <v>109285</v>
      </c>
      <c r="N2519" s="66" t="s">
        <v>101</v>
      </c>
      <c r="O2519" s="66" t="s">
        <v>266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2" s="349" customFormat="1" ht="15.75" customHeight="1">
      <c r="A2520" s="334" t="str">
        <f>IF(B2520&lt;&gt;"",IF(AND(B2520='IN-TC'!$S$4,OR(TH!N2520="1111",TH!O2520="1111")),TH!D2520,""),"")</f>
        <v/>
      </c>
      <c r="B2520" s="63">
        <f t="shared" si="251"/>
        <v>8</v>
      </c>
      <c r="C2520" s="64">
        <v>42600</v>
      </c>
      <c r="D2520" s="64" t="s">
        <v>699</v>
      </c>
      <c r="E2520" s="64">
        <f t="shared" si="250"/>
        <v>42600</v>
      </c>
      <c r="F2520" s="72" t="s">
        <v>1438</v>
      </c>
      <c r="G2520" s="67" t="s">
        <v>1558</v>
      </c>
      <c r="H2520" s="72" t="s">
        <v>1795</v>
      </c>
      <c r="I2520" s="437"/>
      <c r="J2520" s="437"/>
      <c r="K2520" s="428">
        <v>61500</v>
      </c>
      <c r="L2520" s="437">
        <v>22260</v>
      </c>
      <c r="M2520" s="65">
        <f t="shared" si="252"/>
        <v>1368990000</v>
      </c>
      <c r="N2520" s="66" t="s">
        <v>26</v>
      </c>
      <c r="O2520" s="66" t="s">
        <v>266</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x</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2" s="349" customFormat="1" ht="15.75" customHeight="1">
      <c r="A2521" s="334" t="str">
        <f>IF(B2521&lt;&gt;"",IF(AND(B2521='IN-TC'!$S$4,OR(TH!N2521="1111",TH!O2521="1111")),TH!D2521,""),"")</f>
        <v/>
      </c>
      <c r="B2521" s="63">
        <f t="shared" si="251"/>
        <v>8</v>
      </c>
      <c r="C2521" s="64">
        <v>42600</v>
      </c>
      <c r="D2521" s="64" t="s">
        <v>702</v>
      </c>
      <c r="E2521" s="64">
        <f t="shared" si="250"/>
        <v>42600</v>
      </c>
      <c r="F2521" s="72" t="s">
        <v>1183</v>
      </c>
      <c r="G2521" s="67" t="s">
        <v>1558</v>
      </c>
      <c r="H2521" s="963" t="s">
        <v>1875</v>
      </c>
      <c r="I2521" s="437"/>
      <c r="J2521" s="437"/>
      <c r="K2521" s="428">
        <v>61000</v>
      </c>
      <c r="L2521" s="437">
        <v>22308</v>
      </c>
      <c r="M2521" s="65">
        <f t="shared" si="252"/>
        <v>1360788000</v>
      </c>
      <c r="N2521" s="66" t="s">
        <v>260</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x</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2" s="349" customFormat="1" ht="15.75" customHeight="1">
      <c r="A2522" s="334" t="str">
        <f>IF(B2522&lt;&gt;"",IF(AND(B2522='IN-TC'!$S$4,OR(TH!N2522="1111",TH!O2522="1111")),TH!D2522,""),"")</f>
        <v/>
      </c>
      <c r="B2522" s="63">
        <f t="shared" si="251"/>
        <v>8</v>
      </c>
      <c r="C2522" s="64">
        <v>42600</v>
      </c>
      <c r="D2522" s="64" t="s">
        <v>702</v>
      </c>
      <c r="E2522" s="64">
        <f t="shared" si="250"/>
        <v>42600</v>
      </c>
      <c r="F2522" s="72" t="s">
        <v>1782</v>
      </c>
      <c r="G2522" s="67" t="s">
        <v>1558</v>
      </c>
      <c r="H2522" s="963" t="s">
        <v>1875</v>
      </c>
      <c r="I2522" s="437"/>
      <c r="J2522" s="437"/>
      <c r="K2522" s="428"/>
      <c r="L2522" s="437"/>
      <c r="M2522" s="65">
        <v>3674128</v>
      </c>
      <c r="N2522" s="66" t="s">
        <v>99</v>
      </c>
      <c r="O2522" s="66" t="s">
        <v>26</v>
      </c>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x</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2" s="349" customFormat="1" ht="15.75" customHeight="1">
      <c r="A2523" s="334" t="str">
        <f>IF(B2523&lt;&gt;"",IF(AND(B2523='IN-TC'!$S$4,OR(TH!N2523="1111",TH!O2523="1111")),TH!D2523,""),"")</f>
        <v/>
      </c>
      <c r="B2523" s="63">
        <f t="shared" si="251"/>
        <v>8</v>
      </c>
      <c r="C2523" s="64">
        <v>42600</v>
      </c>
      <c r="D2523" s="64" t="s">
        <v>699</v>
      </c>
      <c r="E2523" s="64">
        <f t="shared" si="250"/>
        <v>42600</v>
      </c>
      <c r="F2523" s="72" t="s">
        <v>1438</v>
      </c>
      <c r="G2523" s="67" t="s">
        <v>1558</v>
      </c>
      <c r="H2523" s="72" t="s">
        <v>1795</v>
      </c>
      <c r="I2523" s="437"/>
      <c r="J2523" s="437"/>
      <c r="K2523" s="428">
        <v>21500</v>
      </c>
      <c r="L2523" s="437">
        <v>22292</v>
      </c>
      <c r="M2523" s="65">
        <f>ROUND(K2523*L2523,0)</f>
        <v>479278000</v>
      </c>
      <c r="N2523" s="66" t="s">
        <v>26</v>
      </c>
      <c r="O2523" s="66" t="s">
        <v>266</v>
      </c>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x</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2" s="349" customFormat="1" ht="15.75" customHeight="1">
      <c r="A2524" s="334" t="str">
        <f>IF(B2524&lt;&gt;"",IF(AND(B2524='IN-TC'!$S$4,OR(TH!N2524="1111",TH!O2524="1111")),TH!D2524,""),"")</f>
        <v/>
      </c>
      <c r="B2524" s="63">
        <f t="shared" si="251"/>
        <v>8</v>
      </c>
      <c r="C2524" s="64">
        <v>42600</v>
      </c>
      <c r="D2524" s="64" t="s">
        <v>699</v>
      </c>
      <c r="E2524" s="64">
        <f t="shared" si="250"/>
        <v>42600</v>
      </c>
      <c r="F2524" s="72" t="s">
        <v>1925</v>
      </c>
      <c r="G2524" s="67" t="s">
        <v>1558</v>
      </c>
      <c r="H2524" s="72" t="s">
        <v>1926</v>
      </c>
      <c r="I2524" s="437"/>
      <c r="J2524" s="437"/>
      <c r="K2524" s="428">
        <v>63000</v>
      </c>
      <c r="L2524" s="437">
        <v>22292</v>
      </c>
      <c r="M2524" s="65">
        <v>1404396000</v>
      </c>
      <c r="N2524" s="66" t="s">
        <v>26</v>
      </c>
      <c r="O2524" s="66" t="s">
        <v>260</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x</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2" s="349" customFormat="1" ht="15.75" customHeight="1">
      <c r="A2525" s="334" t="str">
        <f>IF(B2525&lt;&gt;"",IF(AND(B2525='IN-TC'!$S$4,OR(TH!N2525="1111",TH!O2525="1111")),TH!D2525,""),"")</f>
        <v/>
      </c>
      <c r="B2525" s="63">
        <f t="shared" si="251"/>
        <v>8</v>
      </c>
      <c r="C2525" s="64">
        <v>42600</v>
      </c>
      <c r="D2525" s="64" t="s">
        <v>902</v>
      </c>
      <c r="E2525" s="64">
        <f t="shared" si="250"/>
        <v>42600</v>
      </c>
      <c r="F2525" s="72" t="s">
        <v>1139</v>
      </c>
      <c r="G2525" s="67" t="s">
        <v>1558</v>
      </c>
      <c r="H2525" s="72" t="s">
        <v>760</v>
      </c>
      <c r="I2525" s="437"/>
      <c r="J2525" s="437"/>
      <c r="K2525" s="428"/>
      <c r="L2525" s="437"/>
      <c r="M2525" s="65">
        <v>1365000000</v>
      </c>
      <c r="N2525" s="66" t="s">
        <v>63</v>
      </c>
      <c r="O2525" s="66" t="s">
        <v>26</v>
      </c>
      <c r="P2525" s="82" t="str">
        <f>IF(AND('331-CT'!$E$7=TH!H2525,OR(N2525="331",O2525="331")),"x","")</f>
        <v/>
      </c>
      <c r="Q2525" s="82" t="str">
        <f>IF(AND(B2525='111'!$L$11,OR($N2525=$Q$7,$O2525=$Q$7)),"x","")</f>
        <v/>
      </c>
      <c r="R2525" s="82" t="str">
        <f>IF(AND($N2525=$Q$7,$B2525&lt;'111'!$L$11),"x","")</f>
        <v>x</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x</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2" s="349" customFormat="1" ht="15.75" customHeight="1">
      <c r="A2526" s="334" t="str">
        <f>IF(B2526&lt;&gt;"",IF(AND(B2526='IN-TC'!$S$4,OR(TH!N2526="1111",TH!O2526="1111")),TH!D2526,""),"")</f>
        <v/>
      </c>
      <c r="B2526" s="63">
        <f t="shared" si="251"/>
        <v>8</v>
      </c>
      <c r="C2526" s="64">
        <v>42601</v>
      </c>
      <c r="D2526" s="64" t="s">
        <v>702</v>
      </c>
      <c r="E2526" s="64">
        <f t="shared" ref="E2526:E2557" si="253">C2526</f>
        <v>42601</v>
      </c>
      <c r="F2526" s="72" t="s">
        <v>1443</v>
      </c>
      <c r="G2526" s="67" t="s">
        <v>1558</v>
      </c>
      <c r="H2526" s="72" t="s">
        <v>1211</v>
      </c>
      <c r="I2526" s="437"/>
      <c r="J2526" s="437"/>
      <c r="K2526" s="428"/>
      <c r="L2526" s="437"/>
      <c r="M2526" s="65">
        <v>20000000</v>
      </c>
      <c r="N2526" s="66" t="s">
        <v>72</v>
      </c>
      <c r="O2526" s="66" t="s">
        <v>26</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x</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2" s="349" customFormat="1" ht="15.75" customHeight="1">
      <c r="A2527" s="334" t="str">
        <f>IF(B2527&lt;&gt;"",IF(AND(B2527='IN-TC'!$S$4,OR(TH!N2527="1111",TH!O2527="1111")),TH!D2527,""),"")</f>
        <v/>
      </c>
      <c r="B2527" s="63">
        <f t="shared" si="251"/>
        <v>8</v>
      </c>
      <c r="C2527" s="64">
        <v>42601</v>
      </c>
      <c r="D2527" s="64" t="s">
        <v>702</v>
      </c>
      <c r="E2527" s="64">
        <f t="shared" si="253"/>
        <v>42601</v>
      </c>
      <c r="F2527" s="72" t="s">
        <v>1544</v>
      </c>
      <c r="G2527" s="67" t="s">
        <v>1558</v>
      </c>
      <c r="H2527" s="72" t="s">
        <v>1795</v>
      </c>
      <c r="I2527" s="437"/>
      <c r="J2527" s="437"/>
      <c r="K2527" s="428"/>
      <c r="L2527" s="437"/>
      <c r="M2527" s="65">
        <v>10000</v>
      </c>
      <c r="N2527" s="66" t="s">
        <v>101</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x</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c r="AF2527" s="349">
        <v>8</v>
      </c>
    </row>
    <row r="2528" spans="1:32" s="349" customFormat="1" ht="15.75" customHeight="1">
      <c r="A2528" s="334" t="str">
        <f>IF(B2528&lt;&gt;"",IF(AND(B2528='IN-TC'!$S$4,OR(TH!N2528="1111",TH!O2528="1111")),TH!D2528,""),"")</f>
        <v/>
      </c>
      <c r="B2528" s="63">
        <f t="shared" si="251"/>
        <v>8</v>
      </c>
      <c r="C2528" s="64">
        <v>42601</v>
      </c>
      <c r="D2528" s="64" t="s">
        <v>702</v>
      </c>
      <c r="E2528" s="64">
        <f t="shared" si="253"/>
        <v>42601</v>
      </c>
      <c r="F2528" s="72" t="s">
        <v>1545</v>
      </c>
      <c r="G2528" s="67" t="s">
        <v>1558</v>
      </c>
      <c r="H2528" s="72" t="s">
        <v>1795</v>
      </c>
      <c r="I2528" s="437"/>
      <c r="J2528" s="437"/>
      <c r="K2528" s="428"/>
      <c r="L2528" s="437"/>
      <c r="M2528" s="65">
        <v>1000</v>
      </c>
      <c r="N2528" s="82" t="s">
        <v>9</v>
      </c>
      <c r="O2528" s="66" t="s">
        <v>26</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x</v>
      </c>
      <c r="W2528" s="82" t="str">
        <f>IF(AND('341-CT'!$H$9=H2528,OR(LEFT(N2528,3)=$W$7,LEFT(O2528,3)=$W$7)),"x","")</f>
        <v/>
      </c>
      <c r="X2528" s="82" t="str">
        <f>IF(OR(TH!N2528=TH!$X$7,O2528=TH!$X$7),"x","")</f>
        <v>x</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c r="AF2528" s="349">
        <v>8</v>
      </c>
    </row>
    <row r="2529" spans="1:32" s="349" customFormat="1" ht="15.75" customHeight="1">
      <c r="A2529" s="334" t="str">
        <f>IF(B2529&lt;&gt;"",IF(AND(B2529='IN-TC'!$S$4,OR(TH!N2529="1111",TH!O2529="1111")),TH!D2529,""),"")</f>
        <v/>
      </c>
      <c r="B2529" s="63">
        <f t="shared" si="251"/>
        <v>8</v>
      </c>
      <c r="C2529" s="64">
        <v>42601</v>
      </c>
      <c r="D2529" s="64" t="s">
        <v>702</v>
      </c>
      <c r="E2529" s="64">
        <f t="shared" si="253"/>
        <v>42601</v>
      </c>
      <c r="F2529" s="72" t="s">
        <v>1194</v>
      </c>
      <c r="G2529" s="67" t="s">
        <v>1655</v>
      </c>
      <c r="H2529" s="72" t="s">
        <v>1795</v>
      </c>
      <c r="I2529" s="437"/>
      <c r="J2529" s="437"/>
      <c r="K2529" s="428"/>
      <c r="L2529" s="437"/>
      <c r="M2529" s="65">
        <v>500000000</v>
      </c>
      <c r="N2529" s="66" t="s">
        <v>26</v>
      </c>
      <c r="O2529" s="66" t="s">
        <v>26</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x</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2" s="349" customFormat="1" ht="15.75" customHeight="1">
      <c r="A2530" s="334" t="str">
        <f>IF(B2530&lt;&gt;"",IF(AND(B2530='IN-TC'!$S$4,OR(TH!N2530="1111",TH!O2530="1111")),TH!D2530,""),"")</f>
        <v/>
      </c>
      <c r="B2530" s="63">
        <f t="shared" si="251"/>
        <v>8</v>
      </c>
      <c r="C2530" s="64">
        <v>42601</v>
      </c>
      <c r="D2530" s="64" t="s">
        <v>702</v>
      </c>
      <c r="E2530" s="64">
        <f t="shared" si="253"/>
        <v>42601</v>
      </c>
      <c r="F2530" s="72" t="s">
        <v>1192</v>
      </c>
      <c r="G2530" s="67" t="s">
        <v>1558</v>
      </c>
      <c r="H2530" s="72" t="s">
        <v>1795</v>
      </c>
      <c r="I2530" s="437"/>
      <c r="J2530" s="437"/>
      <c r="K2530" s="428"/>
      <c r="L2530" s="437"/>
      <c r="M2530" s="65">
        <v>150000</v>
      </c>
      <c r="N2530" s="66" t="s">
        <v>101</v>
      </c>
      <c r="O2530" s="66" t="s">
        <v>26</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x</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c r="AF2530" s="349">
        <v>8</v>
      </c>
    </row>
    <row r="2531" spans="1:32" s="349" customFormat="1" ht="15.75" customHeight="1">
      <c r="A2531" s="334" t="str">
        <f>IF(B2531&lt;&gt;"",IF(AND(B2531='IN-TC'!$S$4,OR(TH!N2531="1111",TH!O2531="1111")),TH!D2531,""),"")</f>
        <v/>
      </c>
      <c r="B2531" s="63">
        <f t="shared" si="251"/>
        <v>8</v>
      </c>
      <c r="C2531" s="64">
        <v>42601</v>
      </c>
      <c r="D2531" s="64" t="s">
        <v>702</v>
      </c>
      <c r="E2531" s="64">
        <f t="shared" si="253"/>
        <v>42601</v>
      </c>
      <c r="F2531" s="72" t="s">
        <v>1193</v>
      </c>
      <c r="G2531" s="67" t="s">
        <v>1558</v>
      </c>
      <c r="H2531" s="72" t="s">
        <v>1795</v>
      </c>
      <c r="I2531" s="437"/>
      <c r="J2531" s="437"/>
      <c r="K2531" s="428"/>
      <c r="L2531" s="437"/>
      <c r="M2531" s="65">
        <v>15000</v>
      </c>
      <c r="N2531" s="82" t="s">
        <v>9</v>
      </c>
      <c r="O2531" s="66" t="s">
        <v>26</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x</v>
      </c>
      <c r="W2531" s="82" t="str">
        <f>IF(AND('341-CT'!$H$9=H2531,OR(LEFT(N2531,3)=$W$7,LEFT(O2531,3)=$W$7)),"x","")</f>
        <v/>
      </c>
      <c r="X2531" s="82" t="str">
        <f>IF(OR(TH!N2531=TH!$X$7,O2531=TH!$X$7),"x","")</f>
        <v>x</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c r="AF2531" s="349">
        <v>8</v>
      </c>
    </row>
    <row r="2532" spans="1:32" s="349" customFormat="1" ht="15.75" customHeight="1">
      <c r="A2532" s="334" t="str">
        <f>IF(B2532&lt;&gt;"",IF(AND(B2532='IN-TC'!$S$4,OR(TH!N2532="1111",TH!O2532="1111")),TH!D2532,""),"")</f>
        <v/>
      </c>
      <c r="B2532" s="63">
        <f t="shared" si="251"/>
        <v>8</v>
      </c>
      <c r="C2532" s="64">
        <v>42601</v>
      </c>
      <c r="D2532" s="64" t="s">
        <v>702</v>
      </c>
      <c r="E2532" s="64">
        <f t="shared" si="253"/>
        <v>42601</v>
      </c>
      <c r="F2532" s="72" t="s">
        <v>1443</v>
      </c>
      <c r="G2532" s="67" t="s">
        <v>915</v>
      </c>
      <c r="H2532" s="72" t="s">
        <v>1211</v>
      </c>
      <c r="I2532" s="437"/>
      <c r="J2532" s="437"/>
      <c r="K2532" s="428"/>
      <c r="L2532" s="437"/>
      <c r="M2532" s="65">
        <v>30000000</v>
      </c>
      <c r="N2532" s="66" t="s">
        <v>72</v>
      </c>
      <c r="O2532" s="66" t="s">
        <v>26</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2" s="349" customFormat="1" ht="15.75" customHeight="1">
      <c r="A2533" s="334" t="str">
        <f>IF(B2533&lt;&gt;"",IF(AND(B2533='IN-TC'!$S$4,OR(TH!N2533="1111",TH!O2533="1111")),TH!D2533,""),"")</f>
        <v/>
      </c>
      <c r="B2533" s="63">
        <f t="shared" si="251"/>
        <v>8</v>
      </c>
      <c r="C2533" s="64">
        <v>42601</v>
      </c>
      <c r="D2533" s="64" t="s">
        <v>702</v>
      </c>
      <c r="E2533" s="64">
        <f t="shared" si="253"/>
        <v>42601</v>
      </c>
      <c r="F2533" s="72" t="s">
        <v>1209</v>
      </c>
      <c r="G2533" s="67" t="s">
        <v>915</v>
      </c>
      <c r="H2533" s="72" t="s">
        <v>623</v>
      </c>
      <c r="I2533" s="437"/>
      <c r="J2533" s="437"/>
      <c r="K2533" s="428"/>
      <c r="L2533" s="437"/>
      <c r="M2533" s="65">
        <v>59355400</v>
      </c>
      <c r="N2533" s="66" t="s">
        <v>8</v>
      </c>
      <c r="O2533" s="66" t="s">
        <v>26</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c r="AE2533" s="1136" t="str">
        <f>IF(H2533&lt;&gt;VLOOKUP(H2533,DSKH,1,0),"","x")</f>
        <v>x</v>
      </c>
    </row>
    <row r="2534" spans="1:32" s="349" customFormat="1" ht="15.75" customHeight="1">
      <c r="A2534" s="334" t="str">
        <f>IF(B2534&lt;&gt;"",IF(AND(B2534='IN-TC'!$S$4,OR(TH!N2534="1111",TH!O2534="1111")),TH!D2534,""),"")</f>
        <v/>
      </c>
      <c r="B2534" s="63">
        <f t="shared" si="251"/>
        <v>8</v>
      </c>
      <c r="C2534" s="64">
        <v>42601</v>
      </c>
      <c r="D2534" s="64" t="s">
        <v>702</v>
      </c>
      <c r="E2534" s="64">
        <f t="shared" si="253"/>
        <v>42601</v>
      </c>
      <c r="F2534" s="72" t="s">
        <v>1192</v>
      </c>
      <c r="G2534" s="67" t="s">
        <v>915</v>
      </c>
      <c r="H2534" s="72"/>
      <c r="I2534" s="437"/>
      <c r="J2534" s="437"/>
      <c r="K2534" s="428"/>
      <c r="L2534" s="437"/>
      <c r="M2534" s="65">
        <v>20000</v>
      </c>
      <c r="N2534" s="66" t="s">
        <v>101</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c r="AF2534" s="349">
        <v>8</v>
      </c>
    </row>
    <row r="2535" spans="1:32" s="345" customFormat="1" ht="15.75" customHeight="1">
      <c r="A2535" s="334" t="str">
        <f>IF(B2535&lt;&gt;"",IF(AND(B2535='IN-TC'!$S$4,OR(TH!N2535="1111",TH!O2535="1111")),TH!D2535,""),"")</f>
        <v/>
      </c>
      <c r="B2535" s="63">
        <f t="shared" si="251"/>
        <v>8</v>
      </c>
      <c r="C2535" s="64">
        <v>42601</v>
      </c>
      <c r="D2535" s="64" t="s">
        <v>702</v>
      </c>
      <c r="E2535" s="64">
        <f t="shared" si="253"/>
        <v>42601</v>
      </c>
      <c r="F2535" s="72" t="s">
        <v>1193</v>
      </c>
      <c r="G2535" s="67" t="s">
        <v>915</v>
      </c>
      <c r="H2535" s="72"/>
      <c r="I2535" s="437"/>
      <c r="J2535" s="437"/>
      <c r="K2535" s="428"/>
      <c r="L2535" s="437"/>
      <c r="M2535" s="65">
        <v>2000</v>
      </c>
      <c r="N2535" s="82" t="s">
        <v>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x</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c r="AE2535" s="349"/>
      <c r="AF2535" s="349">
        <v>8</v>
      </c>
    </row>
    <row r="2536" spans="1:32" s="345" customFormat="1" ht="15.75" customHeight="1">
      <c r="A2536" s="334" t="str">
        <f>IF(B2536&lt;&gt;"",IF(AND(B2536='IN-TC'!$S$4,OR(TH!N2536="1111",TH!O2536="1111")),TH!D2536,""),"")</f>
        <v/>
      </c>
      <c r="B2536" s="63">
        <f t="shared" si="251"/>
        <v>8</v>
      </c>
      <c r="C2536" s="64">
        <v>42601</v>
      </c>
      <c r="D2536" s="64" t="s">
        <v>702</v>
      </c>
      <c r="E2536" s="64">
        <f t="shared" si="253"/>
        <v>42601</v>
      </c>
      <c r="F2536" s="72" t="s">
        <v>1546</v>
      </c>
      <c r="G2536" s="67" t="s">
        <v>915</v>
      </c>
      <c r="H2536" s="72" t="s">
        <v>1416</v>
      </c>
      <c r="I2536" s="437"/>
      <c r="J2536" s="437"/>
      <c r="K2536" s="428"/>
      <c r="L2536" s="437"/>
      <c r="M2536" s="65">
        <v>50100000</v>
      </c>
      <c r="N2536" s="66" t="s">
        <v>8</v>
      </c>
      <c r="O2536" s="66" t="s">
        <v>26</v>
      </c>
      <c r="P2536" s="82" t="str">
        <f>IF(AND('331-CT'!$E$7=TH!H2536,OR(N2536="331",O2536="331")),"x","")</f>
        <v>x</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c r="AE2536" s="1136" t="str">
        <f>IF(H2536&lt;&gt;VLOOKUP(H2536,DSKH,1,0),"","x")</f>
        <v>x</v>
      </c>
      <c r="AF2536" s="349"/>
    </row>
    <row r="2537" spans="1:32" s="345" customFormat="1" ht="15.75" customHeight="1">
      <c r="A2537" s="334" t="str">
        <f>IF(B2537&lt;&gt;"",IF(AND(B2537='IN-TC'!$S$4,OR(TH!N2537="1111",TH!O2537="1111")),TH!D2537,""),"")</f>
        <v/>
      </c>
      <c r="B2537" s="63">
        <f t="shared" si="251"/>
        <v>8</v>
      </c>
      <c r="C2537" s="64">
        <v>42601</v>
      </c>
      <c r="D2537" s="64" t="s">
        <v>702</v>
      </c>
      <c r="E2537" s="64">
        <f t="shared" si="253"/>
        <v>42601</v>
      </c>
      <c r="F2537" s="72" t="s">
        <v>1192</v>
      </c>
      <c r="G2537" s="67" t="s">
        <v>915</v>
      </c>
      <c r="H2537" s="72"/>
      <c r="I2537" s="437"/>
      <c r="J2537" s="437"/>
      <c r="K2537" s="428"/>
      <c r="L2537" s="437"/>
      <c r="M2537" s="65">
        <v>20000</v>
      </c>
      <c r="N2537" s="66" t="s">
        <v>101</v>
      </c>
      <c r="O2537" s="66" t="s">
        <v>26</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c r="AE2537" s="349"/>
      <c r="AF2537" s="349">
        <v>8</v>
      </c>
    </row>
    <row r="2538" spans="1:32" s="345" customFormat="1" ht="15.75" customHeight="1">
      <c r="A2538" s="334" t="str">
        <f>IF(B2538&lt;&gt;"",IF(AND(B2538='IN-TC'!$S$4,OR(TH!N2538="1111",TH!O2538="1111")),TH!D2538,""),"")</f>
        <v/>
      </c>
      <c r="B2538" s="63">
        <f t="shared" si="251"/>
        <v>8</v>
      </c>
      <c r="C2538" s="64">
        <v>42601</v>
      </c>
      <c r="D2538" s="64" t="s">
        <v>702</v>
      </c>
      <c r="E2538" s="64">
        <f t="shared" si="253"/>
        <v>42601</v>
      </c>
      <c r="F2538" s="72" t="s">
        <v>1193</v>
      </c>
      <c r="G2538" s="67" t="s">
        <v>915</v>
      </c>
      <c r="H2538" s="72"/>
      <c r="I2538" s="437"/>
      <c r="J2538" s="437"/>
      <c r="K2538" s="428"/>
      <c r="L2538" s="437"/>
      <c r="M2538" s="65">
        <v>2000</v>
      </c>
      <c r="N2538" s="82" t="s">
        <v>9</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x</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c r="AE2538" s="349"/>
      <c r="AF2538" s="349">
        <v>8</v>
      </c>
    </row>
    <row r="2539" spans="1:32" s="345" customFormat="1" ht="15.75" customHeight="1">
      <c r="A2539" s="334" t="str">
        <f>IF(B2539&lt;&gt;"",IF(AND(B2539='IN-TC'!$S$4,OR(TH!N2539="1111",TH!O2539="1111")),TH!D2539,""),"")</f>
        <v/>
      </c>
      <c r="B2539" s="63">
        <f t="shared" si="251"/>
        <v>8</v>
      </c>
      <c r="C2539" s="64">
        <v>42601</v>
      </c>
      <c r="D2539" s="64" t="s">
        <v>702</v>
      </c>
      <c r="E2539" s="64">
        <f t="shared" si="253"/>
        <v>42601</v>
      </c>
      <c r="F2539" s="72" t="s">
        <v>1546</v>
      </c>
      <c r="G2539" s="67" t="s">
        <v>915</v>
      </c>
      <c r="H2539" s="342" t="s">
        <v>620</v>
      </c>
      <c r="I2539" s="437"/>
      <c r="J2539" s="437"/>
      <c r="K2539" s="428"/>
      <c r="L2539" s="437"/>
      <c r="M2539" s="65">
        <v>50000000</v>
      </c>
      <c r="N2539" s="66" t="s">
        <v>8</v>
      </c>
      <c r="O2539" s="66" t="s">
        <v>26</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c r="AE2539" s="1136" t="str">
        <f>IF(H2539&lt;&gt;VLOOKUP(H2539,DSKH,1,0),"","x")</f>
        <v>x</v>
      </c>
      <c r="AF2539" s="349"/>
    </row>
    <row r="2540" spans="1:32" s="345" customFormat="1" ht="15.75" customHeight="1">
      <c r="A2540" s="334" t="str">
        <f>IF(B2540&lt;&gt;"",IF(AND(B2540='IN-TC'!$S$4,OR(TH!N2540="1111",TH!O2540="1111")),TH!D2540,""),"")</f>
        <v/>
      </c>
      <c r="B2540" s="63">
        <f t="shared" si="251"/>
        <v>8</v>
      </c>
      <c r="C2540" s="64">
        <v>42601</v>
      </c>
      <c r="D2540" s="64" t="s">
        <v>702</v>
      </c>
      <c r="E2540" s="64">
        <f t="shared" si="253"/>
        <v>42601</v>
      </c>
      <c r="F2540" s="72" t="s">
        <v>1192</v>
      </c>
      <c r="G2540" s="67" t="s">
        <v>915</v>
      </c>
      <c r="H2540" s="72"/>
      <c r="I2540" s="437"/>
      <c r="J2540" s="437"/>
      <c r="K2540" s="428"/>
      <c r="L2540" s="437"/>
      <c r="M2540" s="65">
        <v>20000</v>
      </c>
      <c r="N2540" s="66" t="s">
        <v>101</v>
      </c>
      <c r="O2540" s="66" t="s">
        <v>26</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c r="AE2540" s="349"/>
      <c r="AF2540" s="349">
        <v>8</v>
      </c>
    </row>
    <row r="2541" spans="1:32" s="345" customFormat="1" ht="15.75" customHeight="1">
      <c r="A2541" s="334" t="str">
        <f>IF(B2541&lt;&gt;"",IF(AND(B2541='IN-TC'!$S$4,OR(TH!N2541="1111",TH!O2541="1111")),TH!D2541,""),"")</f>
        <v/>
      </c>
      <c r="B2541" s="63">
        <f t="shared" si="251"/>
        <v>8</v>
      </c>
      <c r="C2541" s="64">
        <v>42601</v>
      </c>
      <c r="D2541" s="64" t="s">
        <v>702</v>
      </c>
      <c r="E2541" s="64">
        <f t="shared" si="253"/>
        <v>42601</v>
      </c>
      <c r="F2541" s="72" t="s">
        <v>1193</v>
      </c>
      <c r="G2541" s="67" t="s">
        <v>915</v>
      </c>
      <c r="H2541" s="72"/>
      <c r="I2541" s="437"/>
      <c r="J2541" s="437"/>
      <c r="K2541" s="428"/>
      <c r="L2541" s="437"/>
      <c r="M2541" s="65">
        <v>2000</v>
      </c>
      <c r="N2541" s="82" t="s">
        <v>9</v>
      </c>
      <c r="O2541" s="66" t="s">
        <v>26</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x</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c r="AE2541" s="349"/>
      <c r="AF2541" s="349">
        <v>8</v>
      </c>
    </row>
    <row r="2542" spans="1:32" s="345" customFormat="1" ht="15.75" customHeight="1">
      <c r="A2542" s="334" t="str">
        <f>IF(B2542&lt;&gt;"",IF(AND(B2542='IN-TC'!$S$4,OR(TH!N2542="1111",TH!O2542="1111")),TH!D2542,""),"")</f>
        <v/>
      </c>
      <c r="B2542" s="63">
        <f t="shared" si="251"/>
        <v>8</v>
      </c>
      <c r="C2542" s="64">
        <v>42601</v>
      </c>
      <c r="D2542" s="64" t="s">
        <v>702</v>
      </c>
      <c r="E2542" s="64">
        <f t="shared" si="253"/>
        <v>42601</v>
      </c>
      <c r="F2542" s="72" t="s">
        <v>1546</v>
      </c>
      <c r="G2542" s="67" t="s">
        <v>915</v>
      </c>
      <c r="H2542" s="342" t="s">
        <v>619</v>
      </c>
      <c r="I2542" s="437"/>
      <c r="J2542" s="437"/>
      <c r="K2542" s="428"/>
      <c r="L2542" s="437"/>
      <c r="M2542" s="65">
        <v>6400000</v>
      </c>
      <c r="N2542" s="66" t="s">
        <v>8</v>
      </c>
      <c r="O2542" s="66" t="s">
        <v>26</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c r="AE2542" s="1136" t="str">
        <f>IF(H2542&lt;&gt;VLOOKUP(H2542,DSKH,1,0),"","x")</f>
        <v>x</v>
      </c>
      <c r="AF2542" s="349"/>
    </row>
    <row r="2543" spans="1:32" s="345" customFormat="1" ht="15.75" customHeight="1">
      <c r="A2543" s="334" t="str">
        <f>IF(B2543&lt;&gt;"",IF(AND(B2543='IN-TC'!$S$4,OR(TH!N2543="1111",TH!O2543="1111")),TH!D2543,""),"")</f>
        <v/>
      </c>
      <c r="B2543" s="63">
        <f t="shared" si="251"/>
        <v>8</v>
      </c>
      <c r="C2543" s="64">
        <v>42601</v>
      </c>
      <c r="D2543" s="64" t="s">
        <v>702</v>
      </c>
      <c r="E2543" s="64">
        <f t="shared" si="253"/>
        <v>42601</v>
      </c>
      <c r="F2543" s="72" t="s">
        <v>1192</v>
      </c>
      <c r="G2543" s="67" t="s">
        <v>915</v>
      </c>
      <c r="H2543" s="72"/>
      <c r="I2543" s="437"/>
      <c r="J2543" s="437"/>
      <c r="K2543" s="428"/>
      <c r="L2543" s="437"/>
      <c r="M2543" s="65">
        <v>20000</v>
      </c>
      <c r="N2543" s="66" t="s">
        <v>101</v>
      </c>
      <c r="O2543" s="66" t="s">
        <v>26</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c r="AE2543" s="349"/>
      <c r="AF2543" s="349">
        <v>8</v>
      </c>
    </row>
    <row r="2544" spans="1:32" s="349" customFormat="1" ht="15.75" customHeight="1">
      <c r="A2544" s="334" t="str">
        <f>IF(B2544&lt;&gt;"",IF(AND(B2544='IN-TC'!$S$4,OR(TH!N2544="1111",TH!O2544="1111")),TH!D2544,""),"")</f>
        <v/>
      </c>
      <c r="B2544" s="63">
        <f t="shared" si="251"/>
        <v>8</v>
      </c>
      <c r="C2544" s="64">
        <v>42601</v>
      </c>
      <c r="D2544" s="64" t="s">
        <v>702</v>
      </c>
      <c r="E2544" s="64">
        <f t="shared" si="253"/>
        <v>42601</v>
      </c>
      <c r="F2544" s="72" t="s">
        <v>1193</v>
      </c>
      <c r="G2544" s="67" t="s">
        <v>915</v>
      </c>
      <c r="H2544" s="72"/>
      <c r="I2544" s="437"/>
      <c r="J2544" s="437"/>
      <c r="K2544" s="428"/>
      <c r="L2544" s="437"/>
      <c r="M2544" s="65">
        <v>2000</v>
      </c>
      <c r="N2544" s="82" t="s">
        <v>9</v>
      </c>
      <c r="O2544" s="66" t="s">
        <v>26</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x</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F2544" s="349">
        <v>8</v>
      </c>
    </row>
    <row r="2545" spans="1:32" s="349" customFormat="1" ht="15.75" customHeight="1">
      <c r="A2545" s="334" t="str">
        <f>IF(B2545&lt;&gt;"",IF(AND(B2545='IN-TC'!$S$4,OR(TH!N2545="1111",TH!O2545="1111")),TH!D2545,""),"")</f>
        <v/>
      </c>
      <c r="B2545" s="63">
        <f t="shared" si="251"/>
        <v>8</v>
      </c>
      <c r="C2545" s="64">
        <v>42601</v>
      </c>
      <c r="D2545" s="64" t="s">
        <v>702</v>
      </c>
      <c r="E2545" s="64">
        <f t="shared" si="253"/>
        <v>42601</v>
      </c>
      <c r="F2545" s="72" t="s">
        <v>1921</v>
      </c>
      <c r="G2545" s="67" t="s">
        <v>915</v>
      </c>
      <c r="H2545" s="342" t="s">
        <v>629</v>
      </c>
      <c r="I2545" s="437"/>
      <c r="J2545" s="437"/>
      <c r="K2545" s="428"/>
      <c r="L2545" s="437"/>
      <c r="M2545" s="65">
        <v>32480910</v>
      </c>
      <c r="N2545" s="66" t="s">
        <v>8</v>
      </c>
      <c r="O2545" s="66" t="s">
        <v>26</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c r="AE2545" s="1136" t="str">
        <f>IF(H2545&lt;&gt;VLOOKUP(H2545,DSKH,1,0),"","x")</f>
        <v>x</v>
      </c>
    </row>
    <row r="2546" spans="1:32" s="349" customFormat="1" ht="15.75" customHeight="1">
      <c r="A2546" s="334" t="str">
        <f>IF(B2546&lt;&gt;"",IF(AND(B2546='IN-TC'!$S$4,OR(TH!N2546="1111",TH!O2546="1111")),TH!D2546,""),"")</f>
        <v/>
      </c>
      <c r="B2546" s="63">
        <f t="shared" si="251"/>
        <v>8</v>
      </c>
      <c r="C2546" s="64">
        <v>42601</v>
      </c>
      <c r="D2546" s="64" t="s">
        <v>702</v>
      </c>
      <c r="E2546" s="64">
        <f t="shared" si="253"/>
        <v>42601</v>
      </c>
      <c r="F2546" s="72" t="s">
        <v>1192</v>
      </c>
      <c r="G2546" s="67" t="s">
        <v>915</v>
      </c>
      <c r="H2546" s="72"/>
      <c r="I2546" s="437"/>
      <c r="J2546" s="437"/>
      <c r="K2546" s="428"/>
      <c r="L2546" s="437"/>
      <c r="M2546" s="65">
        <v>20000</v>
      </c>
      <c r="N2546" s="66" t="s">
        <v>101</v>
      </c>
      <c r="O2546" s="66" t="s">
        <v>26</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c r="AF2546" s="349">
        <v>8</v>
      </c>
    </row>
    <row r="2547" spans="1:32" s="349" customFormat="1" ht="15.75" customHeight="1">
      <c r="A2547" s="334" t="str">
        <f>IF(B2547&lt;&gt;"",IF(AND(B2547='IN-TC'!$S$4,OR(TH!N2547="1111",TH!O2547="1111")),TH!D2547,""),"")</f>
        <v/>
      </c>
      <c r="B2547" s="63">
        <f t="shared" si="251"/>
        <v>8</v>
      </c>
      <c r="C2547" s="64">
        <v>42601</v>
      </c>
      <c r="D2547" s="64" t="s">
        <v>702</v>
      </c>
      <c r="E2547" s="64">
        <f t="shared" si="253"/>
        <v>42601</v>
      </c>
      <c r="F2547" s="72" t="s">
        <v>1193</v>
      </c>
      <c r="G2547" s="67" t="s">
        <v>915</v>
      </c>
      <c r="H2547" s="72"/>
      <c r="I2547" s="437"/>
      <c r="J2547" s="437"/>
      <c r="K2547" s="428"/>
      <c r="L2547" s="437"/>
      <c r="M2547" s="65">
        <v>2000</v>
      </c>
      <c r="N2547" s="82" t="s">
        <v>9</v>
      </c>
      <c r="O2547" s="66" t="s">
        <v>26</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x</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c r="AF2547" s="349">
        <v>8</v>
      </c>
    </row>
    <row r="2548" spans="1:32" s="349" customFormat="1" ht="15.75" customHeight="1">
      <c r="A2548" s="334" t="str">
        <f>IF(B2548&lt;&gt;"",IF(AND(B2548='IN-TC'!$S$4,OR(TH!N2548="1111",TH!O2548="1111")),TH!D2548,""),"")</f>
        <v/>
      </c>
      <c r="B2548" s="63">
        <f t="shared" si="251"/>
        <v>8</v>
      </c>
      <c r="C2548" s="64">
        <v>42601</v>
      </c>
      <c r="D2548" s="64" t="s">
        <v>702</v>
      </c>
      <c r="E2548" s="64">
        <f t="shared" si="253"/>
        <v>42601</v>
      </c>
      <c r="F2548" s="72" t="s">
        <v>1922</v>
      </c>
      <c r="G2548" s="67" t="s">
        <v>915</v>
      </c>
      <c r="H2548" s="72" t="s">
        <v>1378</v>
      </c>
      <c r="I2548" s="437"/>
      <c r="J2548" s="437"/>
      <c r="K2548" s="428"/>
      <c r="L2548" s="437"/>
      <c r="M2548" s="65">
        <v>17842328</v>
      </c>
      <c r="N2548" s="66" t="s">
        <v>8</v>
      </c>
      <c r="O2548" s="66" t="s">
        <v>26</v>
      </c>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c r="AE2548" s="1136" t="str">
        <f>IF(H2548&lt;&gt;VLOOKUP(H2548,DSKH,1,0),"","x")</f>
        <v>x</v>
      </c>
    </row>
    <row r="2549" spans="1:32" s="349" customFormat="1" ht="15.75" customHeight="1">
      <c r="A2549" s="334" t="str">
        <f>IF(B2549&lt;&gt;"",IF(AND(B2549='IN-TC'!$S$4,OR(TH!N2549="1111",TH!O2549="1111")),TH!D2549,""),"")</f>
        <v/>
      </c>
      <c r="B2549" s="63">
        <f t="shared" si="251"/>
        <v>8</v>
      </c>
      <c r="C2549" s="64">
        <v>42602</v>
      </c>
      <c r="D2549" s="64" t="s">
        <v>702</v>
      </c>
      <c r="E2549" s="64">
        <f t="shared" si="253"/>
        <v>42602</v>
      </c>
      <c r="F2549" s="72" t="s">
        <v>1443</v>
      </c>
      <c r="G2549" s="67" t="s">
        <v>915</v>
      </c>
      <c r="H2549" s="72" t="s">
        <v>1211</v>
      </c>
      <c r="I2549" s="437"/>
      <c r="J2549" s="437"/>
      <c r="K2549" s="428"/>
      <c r="L2549" s="437"/>
      <c r="M2549" s="65">
        <v>23000000</v>
      </c>
      <c r="N2549" s="66" t="s">
        <v>72</v>
      </c>
      <c r="O2549" s="66" t="s">
        <v>26</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2" s="349" customFormat="1" ht="15.75" customHeight="1">
      <c r="A2550" s="334" t="str">
        <f>IF(B2550&lt;&gt;"",IF(AND(B2550='IN-TC'!$S$4,OR(TH!N2550="1111",TH!O2550="1111")),TH!D2550,""),"")</f>
        <v/>
      </c>
      <c r="B2550" s="63">
        <f t="shared" si="251"/>
        <v>8</v>
      </c>
      <c r="C2550" s="64">
        <v>42602</v>
      </c>
      <c r="D2550" s="64" t="s">
        <v>905</v>
      </c>
      <c r="E2550" s="64">
        <f t="shared" si="253"/>
        <v>42602</v>
      </c>
      <c r="F2550" s="72" t="s">
        <v>1139</v>
      </c>
      <c r="G2550" s="67" t="s">
        <v>915</v>
      </c>
      <c r="H2550" s="72" t="s">
        <v>760</v>
      </c>
      <c r="I2550" s="437"/>
      <c r="J2550" s="437"/>
      <c r="K2550" s="428"/>
      <c r="L2550" s="437"/>
      <c r="M2550" s="65">
        <v>250000000</v>
      </c>
      <c r="N2550" s="66" t="s">
        <v>63</v>
      </c>
      <c r="O2550" s="66" t="s">
        <v>26</v>
      </c>
      <c r="P2550" s="82" t="str">
        <f>IF(AND('331-CT'!$E$7=TH!H2550,OR(N2550="331",O2550="331")),"x","")</f>
        <v/>
      </c>
      <c r="Q2550" s="82" t="str">
        <f>IF(AND(B2550='111'!$L$11,OR($N2550=$Q$7,$O2550=$Q$7)),"x","")</f>
        <v/>
      </c>
      <c r="R2550" s="82" t="str">
        <f>IF(AND($N2550=$Q$7,$B2550&lt;'111'!$L$11),"x","")</f>
        <v>x</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2" s="349" customFormat="1" ht="15.75" customHeight="1">
      <c r="A2551" s="334" t="str">
        <f>IF(B2551&lt;&gt;"",IF(AND(B2551='IN-TC'!$S$4,OR(TH!N2551="1111",TH!O2551="1111")),TH!D2551,""),"")</f>
        <v/>
      </c>
      <c r="B2551" s="63">
        <f t="shared" si="251"/>
        <v>8</v>
      </c>
      <c r="C2551" s="64">
        <v>42604</v>
      </c>
      <c r="D2551" s="64" t="s">
        <v>699</v>
      </c>
      <c r="E2551" s="64">
        <f t="shared" si="253"/>
        <v>42604</v>
      </c>
      <c r="F2551" s="72" t="s">
        <v>1933</v>
      </c>
      <c r="G2551" s="67" t="s">
        <v>1558</v>
      </c>
      <c r="H2551" s="72" t="s">
        <v>1936</v>
      </c>
      <c r="I2551" s="437"/>
      <c r="J2551" s="437"/>
      <c r="K2551" s="428">
        <v>63000</v>
      </c>
      <c r="L2551" s="437">
        <v>22292</v>
      </c>
      <c r="M2551" s="65">
        <v>1404396000</v>
      </c>
      <c r="N2551" s="66" t="s">
        <v>26</v>
      </c>
      <c r="O2551" s="66" t="s">
        <v>260</v>
      </c>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x</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2" s="349" customFormat="1" ht="15.75" customHeight="1">
      <c r="A2552" s="334" t="str">
        <f>IF(B2552&lt;&gt;"",IF(AND(B2552='IN-TC'!$S$4,OR(TH!N2552="1111",TH!O2552="1111")),TH!D2552,""),"")</f>
        <v/>
      </c>
      <c r="B2552" s="63">
        <f t="shared" si="251"/>
        <v>8</v>
      </c>
      <c r="C2552" s="64">
        <v>42604</v>
      </c>
      <c r="D2552" s="64" t="s">
        <v>702</v>
      </c>
      <c r="E2552" s="64">
        <f t="shared" si="253"/>
        <v>42604</v>
      </c>
      <c r="F2552" s="72" t="s">
        <v>1782</v>
      </c>
      <c r="G2552" s="67" t="s">
        <v>1558</v>
      </c>
      <c r="H2552" s="963" t="s">
        <v>1875</v>
      </c>
      <c r="I2552" s="437"/>
      <c r="J2552" s="437"/>
      <c r="K2552" s="428"/>
      <c r="L2552" s="437"/>
      <c r="M2552" s="1154">
        <v>6085622</v>
      </c>
      <c r="N2552" s="66" t="s">
        <v>99</v>
      </c>
      <c r="O2552" s="66" t="s">
        <v>26</v>
      </c>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x</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E2552" s="328"/>
      <c r="AF2552" s="328"/>
    </row>
    <row r="2553" spans="1:32" s="349" customFormat="1" ht="15.75" customHeight="1">
      <c r="A2553" s="334" t="str">
        <f>IF(B2553&lt;&gt;"",IF(AND(B2553='IN-TC'!$S$4,OR(TH!N2553="1111",TH!O2553="1111")),TH!D2553,""),"")</f>
        <v/>
      </c>
      <c r="B2553" s="63">
        <f t="shared" si="251"/>
        <v>8</v>
      </c>
      <c r="C2553" s="64">
        <v>42604</v>
      </c>
      <c r="D2553" s="64" t="s">
        <v>702</v>
      </c>
      <c r="E2553" s="64">
        <f t="shared" si="253"/>
        <v>42604</v>
      </c>
      <c r="F2553" s="72" t="s">
        <v>1782</v>
      </c>
      <c r="G2553" s="67" t="s">
        <v>1558</v>
      </c>
      <c r="H2553" s="963" t="s">
        <v>1875</v>
      </c>
      <c r="I2553" s="437"/>
      <c r="J2553" s="437"/>
      <c r="K2553" s="428"/>
      <c r="L2553" s="1214"/>
      <c r="M2553" s="65">
        <v>6671345</v>
      </c>
      <c r="N2553" s="66" t="s">
        <v>99</v>
      </c>
      <c r="O2553" s="66" t="s">
        <v>26</v>
      </c>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x</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2" s="349" customFormat="1" ht="15.75" customHeight="1">
      <c r="A2554" s="334" t="str">
        <f>IF(B2554&lt;&gt;"",IF(AND(B2554='IN-TC'!$S$4,OR(TH!N2554="1111",TH!O2554="1111")),TH!D2554,""),"")</f>
        <v/>
      </c>
      <c r="B2554" s="63">
        <f t="shared" si="251"/>
        <v>8</v>
      </c>
      <c r="C2554" s="64">
        <v>42604</v>
      </c>
      <c r="D2554" s="64" t="s">
        <v>702</v>
      </c>
      <c r="E2554" s="64">
        <f t="shared" si="253"/>
        <v>42604</v>
      </c>
      <c r="F2554" s="72" t="s">
        <v>1782</v>
      </c>
      <c r="G2554" s="67" t="s">
        <v>1558</v>
      </c>
      <c r="H2554" s="963" t="s">
        <v>1875</v>
      </c>
      <c r="I2554" s="437"/>
      <c r="J2554" s="437"/>
      <c r="K2554" s="428"/>
      <c r="L2554" s="437"/>
      <c r="M2554" s="65">
        <v>6708016</v>
      </c>
      <c r="N2554" s="66" t="s">
        <v>99</v>
      </c>
      <c r="O2554" s="66" t="s">
        <v>26</v>
      </c>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x</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2" s="349" customFormat="1" ht="15.75" customHeight="1">
      <c r="A2555" s="334" t="str">
        <f>IF(B2555&lt;&gt;"",IF(AND(B2555='IN-TC'!$S$4,OR(TH!N2555="1111",TH!O2555="1111")),TH!D2555,""),"")</f>
        <v/>
      </c>
      <c r="B2555" s="63">
        <f t="shared" si="251"/>
        <v>8</v>
      </c>
      <c r="C2555" s="64">
        <v>42604</v>
      </c>
      <c r="D2555" s="64" t="s">
        <v>702</v>
      </c>
      <c r="E2555" s="64">
        <f t="shared" si="253"/>
        <v>42604</v>
      </c>
      <c r="F2555" s="72" t="s">
        <v>1782</v>
      </c>
      <c r="G2555" s="67" t="s">
        <v>1558</v>
      </c>
      <c r="H2555" s="963" t="s">
        <v>1875</v>
      </c>
      <c r="I2555" s="437"/>
      <c r="J2555" s="437"/>
      <c r="K2555" s="428"/>
      <c r="L2555" s="437"/>
      <c r="M2555" s="65">
        <v>5670694</v>
      </c>
      <c r="N2555" s="66" t="s">
        <v>99</v>
      </c>
      <c r="O2555" s="66" t="s">
        <v>26</v>
      </c>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x</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2" s="349" customFormat="1" ht="15.75" customHeight="1">
      <c r="A2556" s="334" t="str">
        <f>IF(B2556&lt;&gt;"",IF(AND(B2556='IN-TC'!$S$4,OR(TH!N2556="1111",TH!O2556="1111")),TH!D2556,""),"")</f>
        <v/>
      </c>
      <c r="B2556" s="63">
        <f t="shared" si="251"/>
        <v>8</v>
      </c>
      <c r="C2556" s="64">
        <v>42604</v>
      </c>
      <c r="D2556" s="64" t="s">
        <v>702</v>
      </c>
      <c r="E2556" s="64">
        <f t="shared" si="253"/>
        <v>42604</v>
      </c>
      <c r="F2556" s="72" t="s">
        <v>1782</v>
      </c>
      <c r="G2556" s="67" t="s">
        <v>1558</v>
      </c>
      <c r="H2556" s="963" t="s">
        <v>1875</v>
      </c>
      <c r="I2556" s="437"/>
      <c r="J2556" s="437"/>
      <c r="K2556" s="428"/>
      <c r="L2556" s="437"/>
      <c r="M2556" s="65">
        <v>6223932</v>
      </c>
      <c r="N2556" s="66" t="s">
        <v>99</v>
      </c>
      <c r="O2556" s="66" t="s">
        <v>26</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x</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2" s="349" customFormat="1" ht="15.75" customHeight="1">
      <c r="A2557" s="334" t="str">
        <f>IF(B2557&lt;&gt;"",IF(AND(B2557='IN-TC'!$S$4,OR(TH!N2557="1111",TH!O2557="1111")),TH!D2557,""),"")</f>
        <v/>
      </c>
      <c r="B2557" s="63">
        <f t="shared" si="251"/>
        <v>8</v>
      </c>
      <c r="C2557" s="64">
        <v>42604</v>
      </c>
      <c r="D2557" s="64" t="s">
        <v>702</v>
      </c>
      <c r="E2557" s="64">
        <f t="shared" si="253"/>
        <v>42604</v>
      </c>
      <c r="F2557" s="72" t="s">
        <v>1782</v>
      </c>
      <c r="G2557" s="67" t="s">
        <v>1558</v>
      </c>
      <c r="H2557" s="963" t="s">
        <v>1875</v>
      </c>
      <c r="I2557" s="437"/>
      <c r="J2557" s="437"/>
      <c r="K2557" s="428"/>
      <c r="L2557" s="437"/>
      <c r="M2557" s="65">
        <v>6154777</v>
      </c>
      <c r="N2557" s="66" t="s">
        <v>99</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x</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2" s="349" customFormat="1" ht="15.75" customHeight="1">
      <c r="A2558" s="334" t="str">
        <f>IF(B2558&lt;&gt;"",IF(AND(B2558='IN-TC'!$S$4,OR(TH!N2558="1111",TH!O2558="1111")),TH!D2558,""),"")</f>
        <v/>
      </c>
      <c r="B2558" s="63">
        <f t="shared" si="251"/>
        <v>8</v>
      </c>
      <c r="C2558" s="64">
        <v>42605</v>
      </c>
      <c r="D2558" s="64" t="s">
        <v>884</v>
      </c>
      <c r="E2558" s="64">
        <f t="shared" ref="E2558:E2589" si="254">C2558</f>
        <v>42605</v>
      </c>
      <c r="F2558" s="72" t="s">
        <v>1107</v>
      </c>
      <c r="G2558" s="972" t="s">
        <v>1819</v>
      </c>
      <c r="H2558" s="72" t="s">
        <v>805</v>
      </c>
      <c r="I2558" s="437"/>
      <c r="J2558" s="437"/>
      <c r="K2558" s="428"/>
      <c r="L2558" s="437"/>
      <c r="M2558" s="65">
        <v>686627</v>
      </c>
      <c r="N2558" s="66" t="s">
        <v>101</v>
      </c>
      <c r="O2558" s="66" t="s">
        <v>63</v>
      </c>
      <c r="P2558" s="82" t="str">
        <f>IF(AND('331-CT'!$E$7=TH!H2558,OR(N2558="331",O2558="331")),"x","")</f>
        <v/>
      </c>
      <c r="Q2558" s="82" t="str">
        <f>IF(AND(B2558='111'!$L$11,OR($N2558=$Q$7,$O2558=$Q$7)),"x","")</f>
        <v/>
      </c>
      <c r="R2558" s="82" t="str">
        <f>IF(AND($N2558=$Q$7,$B2558&lt;'111'!$L$11),"x","")</f>
        <v/>
      </c>
      <c r="S2558" s="82" t="str">
        <f>IF(AND($O2558=$Q$7,$B2558&lt;'111'!$L$11),"x","")</f>
        <v>x</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c r="AF2558" s="349">
        <v>8</v>
      </c>
    </row>
    <row r="2559" spans="1:32" s="349" customFormat="1" ht="15.75" customHeight="1">
      <c r="A2559" s="334" t="str">
        <f>IF(B2559&lt;&gt;"",IF(AND(B2559='IN-TC'!$S$4,OR(TH!N2559="1111",TH!O2559="1111")),TH!D2559,""),"")</f>
        <v/>
      </c>
      <c r="B2559" s="63">
        <f t="shared" si="251"/>
        <v>8</v>
      </c>
      <c r="C2559" s="64">
        <v>42605</v>
      </c>
      <c r="D2559" s="64" t="s">
        <v>884</v>
      </c>
      <c r="E2559" s="64">
        <f t="shared" si="254"/>
        <v>42605</v>
      </c>
      <c r="F2559" s="72" t="s">
        <v>1337</v>
      </c>
      <c r="G2559" s="972" t="s">
        <v>1819</v>
      </c>
      <c r="H2559" s="72" t="s">
        <v>805</v>
      </c>
      <c r="I2559" s="437"/>
      <c r="J2559" s="437"/>
      <c r="K2559" s="428"/>
      <c r="L2559" s="437"/>
      <c r="M2559" s="65">
        <v>68663</v>
      </c>
      <c r="N2559" s="82" t="s">
        <v>9</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x</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c r="AF2559" s="349">
        <v>8</v>
      </c>
    </row>
    <row r="2560" spans="1:32" s="349" customFormat="1" ht="15.75" customHeight="1">
      <c r="A2560" s="334" t="str">
        <f>IF(B2560&lt;&gt;"",IF(AND(B2560='IN-TC'!$S$4,OR(TH!N2560="1111",TH!O2560="1111")),TH!D2560,""),"")</f>
        <v/>
      </c>
      <c r="B2560" s="63">
        <f t="shared" si="251"/>
        <v>8</v>
      </c>
      <c r="C2560" s="64">
        <v>42605</v>
      </c>
      <c r="D2560" s="64" t="s">
        <v>885</v>
      </c>
      <c r="E2560" s="64">
        <f t="shared" si="254"/>
        <v>42605</v>
      </c>
      <c r="F2560" s="72" t="s">
        <v>1100</v>
      </c>
      <c r="G2560" s="67" t="s">
        <v>1558</v>
      </c>
      <c r="H2560" s="72" t="s">
        <v>760</v>
      </c>
      <c r="I2560" s="437"/>
      <c r="J2560" s="437"/>
      <c r="K2560" s="428"/>
      <c r="L2560" s="437"/>
      <c r="M2560" s="65">
        <v>1800000000</v>
      </c>
      <c r="N2560" s="66" t="s">
        <v>26</v>
      </c>
      <c r="O2560" s="66" t="s">
        <v>63</v>
      </c>
      <c r="P2560" s="82" t="str">
        <f>IF(AND('331-CT'!$E$7=TH!H2560,OR(N2560="331",O2560="331")),"x","")</f>
        <v/>
      </c>
      <c r="Q2560" s="82" t="str">
        <f>IF(AND(B2560='111'!$L$11,OR($N2560=$Q$7,$O2560=$Q$7)),"x","")</f>
        <v/>
      </c>
      <c r="R2560" s="82" t="str">
        <f>IF(AND($N2560=$Q$7,$B2560&lt;'111'!$L$11),"x","")</f>
        <v/>
      </c>
      <c r="S2560" s="82" t="str">
        <f>IF(AND($O2560=$Q$7,$B2560&lt;'111'!$L$11),"x","")</f>
        <v>x</v>
      </c>
      <c r="T2560" s="82" t="str">
        <f>IF(ISERROR(FIND('112'!$M$9,G2560,1)),"",IF((AND(FIND('112'!$M$9,G2560,1)&gt;=1,B2560='112'!$K$9,OR($N2560='112'!$I$6,$O2560='112'!$I$6))),"x",""))</f>
        <v/>
      </c>
      <c r="U2560" s="82" t="str">
        <f>IF(ISERROR(FIND('112'!$M$9,G2560,1)),"",IF((AND(LEFT(G2560,2)=LEFT('112'!$M$9,2),B2560&lt;'112'!$K$9,$N2560='112'!$I$6)),"x",""))</f>
        <v>x</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2" s="349" customFormat="1" ht="15.75" customHeight="1">
      <c r="A2561" s="334" t="str">
        <f>IF(B2561&lt;&gt;"",IF(AND(B2561='IN-TC'!$S$4,OR(TH!N2561="1111",TH!O2561="1111")),TH!D2561,""),"")</f>
        <v/>
      </c>
      <c r="B2561" s="63">
        <f t="shared" si="251"/>
        <v>8</v>
      </c>
      <c r="C2561" s="64">
        <v>42605</v>
      </c>
      <c r="D2561" s="64" t="s">
        <v>906</v>
      </c>
      <c r="E2561" s="64">
        <f t="shared" si="254"/>
        <v>42605</v>
      </c>
      <c r="F2561" s="72" t="s">
        <v>1139</v>
      </c>
      <c r="G2561" s="67" t="s">
        <v>1558</v>
      </c>
      <c r="H2561" s="72" t="s">
        <v>760</v>
      </c>
      <c r="I2561" s="437"/>
      <c r="J2561" s="437"/>
      <c r="K2561" s="428"/>
      <c r="L2561" s="437"/>
      <c r="M2561" s="65">
        <v>1350000000</v>
      </c>
      <c r="N2561" s="66" t="s">
        <v>63</v>
      </c>
      <c r="O2561" s="66" t="s">
        <v>26</v>
      </c>
      <c r="P2561" s="82" t="str">
        <f>IF(AND('331-CT'!$E$7=TH!H2561,OR(N2561="331",O2561="331")),"x","")</f>
        <v/>
      </c>
      <c r="Q2561" s="82" t="str">
        <f>IF(AND(B2561='111'!$L$11,OR($N2561=$Q$7,$O2561=$Q$7)),"x","")</f>
        <v/>
      </c>
      <c r="R2561" s="82" t="str">
        <f>IF(AND($N2561=$Q$7,$B2561&lt;'111'!$L$11),"x","")</f>
        <v>x</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x</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2" s="349" customFormat="1" ht="15.75" customHeight="1">
      <c r="A2562" s="334" t="str">
        <f>IF(B2562&lt;&gt;"",IF(AND(B2562='IN-TC'!$S$4,OR(TH!N2562="1111",TH!O2562="1111")),TH!D2562,""),"")</f>
        <v/>
      </c>
      <c r="B2562" s="63">
        <f t="shared" si="251"/>
        <v>8</v>
      </c>
      <c r="C2562" s="64">
        <v>42606</v>
      </c>
      <c r="D2562" s="64" t="s">
        <v>886</v>
      </c>
      <c r="E2562" s="64">
        <f t="shared" si="254"/>
        <v>42606</v>
      </c>
      <c r="F2562" s="72" t="s">
        <v>1107</v>
      </c>
      <c r="G2562" s="972" t="s">
        <v>1820</v>
      </c>
      <c r="H2562" s="72" t="s">
        <v>805</v>
      </c>
      <c r="I2562" s="437"/>
      <c r="J2562" s="437"/>
      <c r="K2562" s="428"/>
      <c r="L2562" s="437"/>
      <c r="M2562" s="65">
        <v>584364</v>
      </c>
      <c r="N2562" s="66" t="s">
        <v>101</v>
      </c>
      <c r="O2562" s="66" t="s">
        <v>63</v>
      </c>
      <c r="P2562" s="82" t="str">
        <f>IF(AND('331-CT'!$E$7=TH!H2562,OR(N2562="331",O2562="331")),"x","")</f>
        <v/>
      </c>
      <c r="Q2562" s="82" t="str">
        <f>IF(AND(B2562='111'!$L$11,OR($N2562=$Q$7,$O2562=$Q$7)),"x","")</f>
        <v/>
      </c>
      <c r="R2562" s="82" t="str">
        <f>IF(AND($N2562=$Q$7,$B2562&lt;'111'!$L$11),"x","")</f>
        <v/>
      </c>
      <c r="S2562" s="82" t="str">
        <f>IF(AND($O2562=$Q$7,$B2562&lt;'111'!$L$11),"x","")</f>
        <v>x</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c r="AF2562" s="349">
        <v>8</v>
      </c>
    </row>
    <row r="2563" spans="1:32" s="349" customFormat="1" ht="15.75" customHeight="1">
      <c r="A2563" s="334" t="str">
        <f>IF(B2563&lt;&gt;"",IF(AND(B2563='IN-TC'!$S$4,OR(TH!N2563="1111",TH!O2563="1111")),TH!D2563,""),"")</f>
        <v/>
      </c>
      <c r="B2563" s="63">
        <f t="shared" si="251"/>
        <v>8</v>
      </c>
      <c r="C2563" s="64">
        <v>42606</v>
      </c>
      <c r="D2563" s="64" t="s">
        <v>886</v>
      </c>
      <c r="E2563" s="64">
        <f t="shared" si="254"/>
        <v>42606</v>
      </c>
      <c r="F2563" s="72" t="s">
        <v>1337</v>
      </c>
      <c r="G2563" s="972" t="s">
        <v>1820</v>
      </c>
      <c r="H2563" s="72" t="s">
        <v>805</v>
      </c>
      <c r="I2563" s="437"/>
      <c r="J2563" s="437"/>
      <c r="K2563" s="428"/>
      <c r="L2563" s="437"/>
      <c r="M2563" s="65">
        <v>58436</v>
      </c>
      <c r="N2563" s="82" t="s">
        <v>9</v>
      </c>
      <c r="O2563" s="66" t="s">
        <v>63</v>
      </c>
      <c r="P2563" s="82" t="str">
        <f>IF(AND('331-CT'!$E$7=TH!H2563,OR(N2563="331",O2563="331")),"x","")</f>
        <v/>
      </c>
      <c r="Q2563" s="82" t="str">
        <f>IF(AND(B2563='111'!$L$11,OR($N2563=$Q$7,$O2563=$Q$7)),"x","")</f>
        <v/>
      </c>
      <c r="R2563" s="82" t="str">
        <f>IF(AND($N2563=$Q$7,$B2563&lt;'111'!$L$11),"x","")</f>
        <v/>
      </c>
      <c r="S2563" s="82" t="str">
        <f>IF(AND($O2563=$Q$7,$B2563&lt;'111'!$L$11),"x","")</f>
        <v>x</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x</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c r="AF2563" s="349">
        <v>8</v>
      </c>
    </row>
    <row r="2564" spans="1:32" s="349" customFormat="1" ht="15.75" customHeight="1">
      <c r="A2564" s="334" t="str">
        <f>IF(B2564&lt;&gt;"",IF(AND(B2564='IN-TC'!$S$4,OR(TH!N2564="1111",TH!O2564="1111")),TH!D2564,""),"")</f>
        <v/>
      </c>
      <c r="B2564" s="63">
        <f t="shared" si="251"/>
        <v>8</v>
      </c>
      <c r="C2564" s="64">
        <v>42606</v>
      </c>
      <c r="D2564" s="64" t="s">
        <v>887</v>
      </c>
      <c r="E2564" s="64">
        <f t="shared" si="254"/>
        <v>42606</v>
      </c>
      <c r="F2564" s="72" t="s">
        <v>1100</v>
      </c>
      <c r="G2564" s="67" t="s">
        <v>914</v>
      </c>
      <c r="H2564" s="72" t="s">
        <v>760</v>
      </c>
      <c r="I2564" s="437"/>
      <c r="J2564" s="437"/>
      <c r="K2564" s="428"/>
      <c r="L2564" s="437"/>
      <c r="M2564" s="65">
        <v>50000000</v>
      </c>
      <c r="N2564" s="66" t="s">
        <v>26</v>
      </c>
      <c r="O2564" s="66" t="s">
        <v>63</v>
      </c>
      <c r="P2564" s="82" t="str">
        <f>IF(AND('331-CT'!$E$7=TH!H2564,OR(N2564="331",O2564="331")),"x","")</f>
        <v/>
      </c>
      <c r="Q2564" s="82" t="str">
        <f>IF(AND(B2564='111'!$L$11,OR($N2564=$Q$7,$O2564=$Q$7)),"x","")</f>
        <v/>
      </c>
      <c r="R2564" s="82" t="str">
        <f>IF(AND($N2564=$Q$7,$B2564&lt;'111'!$L$11),"x","")</f>
        <v/>
      </c>
      <c r="S2564" s="82" t="str">
        <f>IF(AND($O2564=$Q$7,$B2564&lt;'111'!$L$11),"x","")</f>
        <v>x</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2" s="349" customFormat="1" ht="15.75" customHeight="1">
      <c r="A2565" s="334" t="str">
        <f>IF(B2565&lt;&gt;"",IF(AND(B2565='IN-TC'!$S$4,OR(TH!N2565="1111",TH!O2565="1111")),TH!D2565,""),"")</f>
        <v/>
      </c>
      <c r="B2565" s="63">
        <f t="shared" si="251"/>
        <v>8</v>
      </c>
      <c r="C2565" s="64">
        <v>42606</v>
      </c>
      <c r="D2565" s="64" t="s">
        <v>699</v>
      </c>
      <c r="E2565" s="64">
        <f t="shared" si="254"/>
        <v>42606</v>
      </c>
      <c r="F2565" s="72" t="s">
        <v>1450</v>
      </c>
      <c r="G2565" s="67" t="s">
        <v>1558</v>
      </c>
      <c r="H2565" s="72" t="s">
        <v>1552</v>
      </c>
      <c r="I2565" s="437"/>
      <c r="J2565" s="437"/>
      <c r="K2565" s="428">
        <v>69830.41</v>
      </c>
      <c r="L2565" s="437">
        <v>22292</v>
      </c>
      <c r="M2565" s="65">
        <f>ROUND(K2565*L2565,0)</f>
        <v>1556659500</v>
      </c>
      <c r="N2565" s="66" t="s">
        <v>266</v>
      </c>
      <c r="O2565" s="66" t="s">
        <v>585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2" s="349" customFormat="1" ht="15.75" customHeight="1">
      <c r="A2566" s="334" t="str">
        <f>IF(B2566&lt;&gt;"",IF(AND(B2566='IN-TC'!$S$4,OR(TH!N2566="1111",TH!O2566="1111")),TH!D2566,""),"")</f>
        <v/>
      </c>
      <c r="B2566" s="63">
        <f t="shared" si="251"/>
        <v>8</v>
      </c>
      <c r="C2566" s="64">
        <v>42606</v>
      </c>
      <c r="D2566" s="64" t="s">
        <v>579</v>
      </c>
      <c r="E2566" s="64">
        <f t="shared" si="254"/>
        <v>42606</v>
      </c>
      <c r="F2566" s="72" t="s">
        <v>1889</v>
      </c>
      <c r="G2566" s="67" t="s">
        <v>1558</v>
      </c>
      <c r="H2566" s="72" t="s">
        <v>1552</v>
      </c>
      <c r="I2566" s="437"/>
      <c r="J2566" s="437"/>
      <c r="K2566" s="428">
        <v>169.59</v>
      </c>
      <c r="L2566" s="437">
        <v>22292</v>
      </c>
      <c r="M2566" s="65">
        <f>ROUND(K2566*L2566,0)</f>
        <v>3780500</v>
      </c>
      <c r="N2566" s="66" t="s">
        <v>101</v>
      </c>
      <c r="O2566" s="66" t="s">
        <v>585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2" s="349" customFormat="1" ht="15.75" customHeight="1">
      <c r="A2567" s="334" t="str">
        <f>IF(B2567&lt;&gt;"",IF(AND(B2567='IN-TC'!$S$4,OR(TH!N2567="1111",TH!O2567="1111")),TH!D2567,""),"")</f>
        <v/>
      </c>
      <c r="B2567" s="63">
        <f t="shared" si="251"/>
        <v>8</v>
      </c>
      <c r="C2567" s="64">
        <v>42606</v>
      </c>
      <c r="D2567" s="64" t="s">
        <v>579</v>
      </c>
      <c r="E2567" s="64">
        <f t="shared" si="254"/>
        <v>42606</v>
      </c>
      <c r="F2567" s="72" t="s">
        <v>1062</v>
      </c>
      <c r="G2567" s="67" t="s">
        <v>1558</v>
      </c>
      <c r="H2567" s="72" t="s">
        <v>1552</v>
      </c>
      <c r="I2567" s="437"/>
      <c r="J2567" s="437"/>
      <c r="K2567" s="428"/>
      <c r="L2567" s="437"/>
      <c r="M2567" s="65">
        <v>2240000</v>
      </c>
      <c r="N2567" s="66" t="s">
        <v>585</v>
      </c>
      <c r="O2567" s="66" t="s">
        <v>43</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2" s="349" customFormat="1" ht="15.75" customHeight="1">
      <c r="A2568" s="334" t="str">
        <f>IF(B2568&lt;&gt;"",IF(AND(B2568='IN-TC'!$S$4,OR(TH!N2568="1111",TH!O2568="1111")),TH!D2568,""),"")</f>
        <v/>
      </c>
      <c r="B2568" s="63">
        <f t="shared" si="251"/>
        <v>8</v>
      </c>
      <c r="C2568" s="64">
        <v>42606</v>
      </c>
      <c r="D2568" s="64" t="s">
        <v>702</v>
      </c>
      <c r="E2568" s="64">
        <f t="shared" si="254"/>
        <v>42606</v>
      </c>
      <c r="F2568" s="72" t="s">
        <v>1935</v>
      </c>
      <c r="G2568" s="67" t="s">
        <v>1558</v>
      </c>
      <c r="H2568" s="72" t="s">
        <v>1936</v>
      </c>
      <c r="I2568" s="437"/>
      <c r="J2568" s="437"/>
      <c r="K2568" s="428">
        <v>63000</v>
      </c>
      <c r="L2568" s="437">
        <v>22292</v>
      </c>
      <c r="M2568" s="65">
        <f t="shared" ref="M2568:M2575" si="255">ROUND(K2568*L2568,0)</f>
        <v>1404396000</v>
      </c>
      <c r="N2568" s="66" t="s">
        <v>260</v>
      </c>
      <c r="O2568" s="66" t="s">
        <v>266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2" s="349" customFormat="1" ht="15.75" customHeight="1">
      <c r="A2569" s="334" t="str">
        <f>IF(B2569&lt;&gt;"",IF(AND(B2569='IN-TC'!$S$4,OR(TH!N2569="1111",TH!O2569="1111")),TH!D2569,""),"")</f>
        <v/>
      </c>
      <c r="B2569" s="63">
        <f t="shared" si="251"/>
        <v>8</v>
      </c>
      <c r="C2569" s="64">
        <v>42606</v>
      </c>
      <c r="D2569" s="64" t="s">
        <v>702</v>
      </c>
      <c r="E2569" s="64">
        <f t="shared" si="254"/>
        <v>42606</v>
      </c>
      <c r="F2569" s="72" t="s">
        <v>1934</v>
      </c>
      <c r="G2569" s="67" t="s">
        <v>1558</v>
      </c>
      <c r="H2569" s="72" t="s">
        <v>1937</v>
      </c>
      <c r="I2569" s="437"/>
      <c r="J2569" s="437"/>
      <c r="K2569" s="428">
        <v>10.5</v>
      </c>
      <c r="L2569" s="437">
        <v>22292</v>
      </c>
      <c r="M2569" s="65">
        <f t="shared" si="255"/>
        <v>234066</v>
      </c>
      <c r="N2569" s="66" t="s">
        <v>101</v>
      </c>
      <c r="O2569" s="66" t="s">
        <v>266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2" s="349" customFormat="1" ht="15.75" customHeight="1">
      <c r="A2570" s="334" t="str">
        <f>IF(B2570&lt;&gt;"",IF(AND(B2570='IN-TC'!$S$4,OR(TH!N2570="1111",TH!O2570="1111")),TH!D2570,""),"")</f>
        <v/>
      </c>
      <c r="B2570" s="63">
        <f t="shared" si="251"/>
        <v>8</v>
      </c>
      <c r="C2570" s="64">
        <v>42606</v>
      </c>
      <c r="D2570" s="64" t="s">
        <v>702</v>
      </c>
      <c r="E2570" s="64">
        <f t="shared" si="254"/>
        <v>42606</v>
      </c>
      <c r="F2570" s="72" t="s">
        <v>1782</v>
      </c>
      <c r="G2570" s="67" t="s">
        <v>1558</v>
      </c>
      <c r="H2570" s="72" t="s">
        <v>1938</v>
      </c>
      <c r="I2570" s="437"/>
      <c r="J2570" s="437"/>
      <c r="K2570" s="428">
        <v>387.5</v>
      </c>
      <c r="L2570" s="437">
        <v>22292</v>
      </c>
      <c r="M2570" s="65">
        <f t="shared" si="255"/>
        <v>8638150</v>
      </c>
      <c r="N2570" s="66" t="s">
        <v>99</v>
      </c>
      <c r="O2570" s="66" t="s">
        <v>266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2" s="349" customFormat="1" ht="15.75" customHeight="1">
      <c r="A2571" s="334" t="str">
        <f>IF(B2571&lt;&gt;"",IF(AND(B2571='IN-TC'!$S$4,OR(TH!N2571="1111",TH!O2571="1111")),TH!D2571,""),"")</f>
        <v/>
      </c>
      <c r="B2571" s="63">
        <f t="shared" si="251"/>
        <v>8</v>
      </c>
      <c r="C2571" s="64">
        <v>42606</v>
      </c>
      <c r="D2571" s="64" t="s">
        <v>699</v>
      </c>
      <c r="E2571" s="64">
        <f t="shared" si="254"/>
        <v>42606</v>
      </c>
      <c r="F2571" s="72" t="s">
        <v>1450</v>
      </c>
      <c r="G2571" s="79" t="s">
        <v>915</v>
      </c>
      <c r="H2571" s="1164" t="s">
        <v>1539</v>
      </c>
      <c r="I2571" s="437"/>
      <c r="J2571" s="437"/>
      <c r="K2571" s="428">
        <v>1974.3</v>
      </c>
      <c r="L2571" s="437">
        <v>22270</v>
      </c>
      <c r="M2571" s="65">
        <f t="shared" si="255"/>
        <v>43967661</v>
      </c>
      <c r="N2571" s="82" t="s">
        <v>266</v>
      </c>
      <c r="O2571" s="82" t="s">
        <v>585</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2" s="349" customFormat="1" ht="15.75" customHeight="1">
      <c r="A2572" s="334" t="str">
        <f>IF(B2572&lt;&gt;"",IF(AND(B2572='IN-TC'!$S$4,OR(TH!N2572="1111",TH!O2572="1111")),TH!D2572,""),"")</f>
        <v/>
      </c>
      <c r="B2572" s="63">
        <f t="shared" si="251"/>
        <v>8</v>
      </c>
      <c r="C2572" s="64">
        <v>42606</v>
      </c>
      <c r="D2572" s="64" t="s">
        <v>579</v>
      </c>
      <c r="E2572" s="64">
        <f t="shared" si="254"/>
        <v>42606</v>
      </c>
      <c r="F2572" s="72" t="s">
        <v>1513</v>
      </c>
      <c r="G2572" s="79" t="s">
        <v>915</v>
      </c>
      <c r="H2572" s="1164" t="s">
        <v>1539</v>
      </c>
      <c r="I2572" s="437"/>
      <c r="J2572" s="437"/>
      <c r="K2572" s="428">
        <v>5.2</v>
      </c>
      <c r="L2572" s="437">
        <v>22270</v>
      </c>
      <c r="M2572" s="65">
        <f t="shared" si="255"/>
        <v>115804</v>
      </c>
      <c r="N2572" s="82" t="s">
        <v>101</v>
      </c>
      <c r="O2572" s="82" t="s">
        <v>585</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2" s="349" customFormat="1" ht="15.75" customHeight="1">
      <c r="A2573" s="334" t="str">
        <f>IF(B2573&lt;&gt;"",IF(AND(B2573='IN-TC'!$S$4,OR(TH!N2573="1111",TH!O2573="1111")),TH!D2573,""),"")</f>
        <v/>
      </c>
      <c r="B2573" s="63">
        <f t="shared" ref="B2573:B2636" si="256">IF(C2573&lt;&gt;"",MONTH(C2573),"")</f>
        <v>8</v>
      </c>
      <c r="C2573" s="64">
        <v>42606</v>
      </c>
      <c r="D2573" s="64" t="s">
        <v>699</v>
      </c>
      <c r="E2573" s="64">
        <f t="shared" si="254"/>
        <v>42606</v>
      </c>
      <c r="F2573" s="72" t="s">
        <v>1450</v>
      </c>
      <c r="G2573" s="79" t="s">
        <v>915</v>
      </c>
      <c r="H2573" s="1164" t="s">
        <v>1539</v>
      </c>
      <c r="I2573" s="437"/>
      <c r="J2573" s="437"/>
      <c r="K2573" s="428">
        <v>6642.37</v>
      </c>
      <c r="L2573" s="437">
        <v>22270</v>
      </c>
      <c r="M2573" s="65">
        <f t="shared" si="255"/>
        <v>147925580</v>
      </c>
      <c r="N2573" s="82" t="s">
        <v>266</v>
      </c>
      <c r="O2573" s="82" t="s">
        <v>585</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2" s="349" customFormat="1" ht="15.75" customHeight="1">
      <c r="A2574" s="334" t="str">
        <f>IF(B2574&lt;&gt;"",IF(AND(B2574='IN-TC'!$S$4,OR(TH!N2574="1111",TH!O2574="1111")),TH!D2574,""),"")</f>
        <v/>
      </c>
      <c r="B2574" s="63">
        <f t="shared" si="256"/>
        <v>8</v>
      </c>
      <c r="C2574" s="64">
        <v>42606</v>
      </c>
      <c r="D2574" s="64" t="s">
        <v>579</v>
      </c>
      <c r="E2574" s="64">
        <f t="shared" si="254"/>
        <v>42606</v>
      </c>
      <c r="F2574" s="72" t="s">
        <v>1513</v>
      </c>
      <c r="G2574" s="79" t="s">
        <v>915</v>
      </c>
      <c r="H2574" s="1164" t="s">
        <v>1539</v>
      </c>
      <c r="I2574" s="437"/>
      <c r="J2574" s="437"/>
      <c r="K2574" s="428">
        <v>6.22</v>
      </c>
      <c r="L2574" s="437">
        <v>22270</v>
      </c>
      <c r="M2574" s="65">
        <f t="shared" si="255"/>
        <v>138519</v>
      </c>
      <c r="N2574" s="82" t="s">
        <v>101</v>
      </c>
      <c r="O2574" s="82" t="s">
        <v>585</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2" s="349" customFormat="1" ht="15.75" customHeight="1">
      <c r="A2575" s="334" t="str">
        <f>IF(B2575&lt;&gt;"",IF(AND(B2575='IN-TC'!$S$4,OR(TH!N2575="1111",TH!O2575="1111")),TH!D2575,""),"")</f>
        <v/>
      </c>
      <c r="B2575" s="63">
        <f t="shared" si="256"/>
        <v>8</v>
      </c>
      <c r="C2575" s="64">
        <v>42606</v>
      </c>
      <c r="D2575" s="64" t="s">
        <v>579</v>
      </c>
      <c r="E2575" s="64">
        <f t="shared" si="254"/>
        <v>42606</v>
      </c>
      <c r="F2575" s="72" t="s">
        <v>2220</v>
      </c>
      <c r="G2575" s="79" t="s">
        <v>915</v>
      </c>
      <c r="H2575" s="1164" t="s">
        <v>1539</v>
      </c>
      <c r="I2575" s="437"/>
      <c r="J2575" s="437"/>
      <c r="K2575" s="428">
        <v>330.59</v>
      </c>
      <c r="L2575" s="437">
        <v>22270</v>
      </c>
      <c r="M2575" s="65">
        <f t="shared" si="255"/>
        <v>7362239</v>
      </c>
      <c r="N2575" s="82" t="s">
        <v>585</v>
      </c>
      <c r="O2575" s="82" t="s">
        <v>103</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2" s="349" customFormat="1" ht="15.75" customHeight="1">
      <c r="A2576" s="334" t="str">
        <f>IF(B2576&lt;&gt;"",IF(AND(B2576='IN-TC'!$S$4,OR(TH!N2576="1111",TH!O2576="1111")),TH!D2576,""),"")</f>
        <v/>
      </c>
      <c r="B2576" s="63">
        <f t="shared" si="256"/>
        <v>8</v>
      </c>
      <c r="C2576" s="64">
        <v>42606</v>
      </c>
      <c r="D2576" s="64" t="s">
        <v>579</v>
      </c>
      <c r="E2576" s="64">
        <f t="shared" si="254"/>
        <v>42606</v>
      </c>
      <c r="F2576" s="72" t="s">
        <v>1062</v>
      </c>
      <c r="G2576" s="79" t="s">
        <v>915</v>
      </c>
      <c r="H2576" s="1164" t="s">
        <v>1539</v>
      </c>
      <c r="I2576" s="437"/>
      <c r="J2576" s="437"/>
      <c r="K2576" s="428"/>
      <c r="L2576" s="437"/>
      <c r="M2576" s="65">
        <v>521925</v>
      </c>
      <c r="N2576" s="82" t="s">
        <v>585</v>
      </c>
      <c r="O2576" s="82" t="s">
        <v>103</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2" s="349" customFormat="1" ht="15.75" customHeight="1">
      <c r="A2577" s="334" t="str">
        <f>IF(B2577&lt;&gt;"",IF(AND(B2577='IN-TC'!$S$4,OR(TH!N2577="1111",TH!O2577="1111")),TH!D2577,""),"")</f>
        <v/>
      </c>
      <c r="B2577" s="63">
        <f t="shared" si="256"/>
        <v>8</v>
      </c>
      <c r="C2577" s="64">
        <v>42606</v>
      </c>
      <c r="D2577" s="64" t="s">
        <v>702</v>
      </c>
      <c r="E2577" s="64">
        <f t="shared" si="254"/>
        <v>42606</v>
      </c>
      <c r="F2577" s="72" t="s">
        <v>1913</v>
      </c>
      <c r="G2577" s="67" t="s">
        <v>1558</v>
      </c>
      <c r="H2577" s="72" t="s">
        <v>1936</v>
      </c>
      <c r="I2577" s="437"/>
      <c r="J2577" s="437"/>
      <c r="K2577" s="428"/>
      <c r="L2577" s="437"/>
      <c r="M2577" s="65">
        <v>2063292</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x</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2" s="349" customFormat="1" ht="15.75" customHeight="1">
      <c r="A2578" s="334" t="str">
        <f>IF(B2578&lt;&gt;"",IF(AND(B2578='IN-TC'!$S$4,OR(TH!N2578="1111",TH!O2578="1111")),TH!D2578,""),"")</f>
        <v/>
      </c>
      <c r="B2578" s="63">
        <f t="shared" si="256"/>
        <v>8</v>
      </c>
      <c r="C2578" s="64">
        <v>42606</v>
      </c>
      <c r="D2578" s="64" t="s">
        <v>702</v>
      </c>
      <c r="E2578" s="64">
        <f t="shared" si="254"/>
        <v>42606</v>
      </c>
      <c r="F2578" s="72" t="s">
        <v>1913</v>
      </c>
      <c r="G2578" s="67" t="s">
        <v>1558</v>
      </c>
      <c r="H2578" s="72" t="s">
        <v>1937</v>
      </c>
      <c r="I2578" s="437"/>
      <c r="J2578" s="437"/>
      <c r="K2578" s="428"/>
      <c r="L2578" s="437"/>
      <c r="M2578" s="65">
        <v>122815</v>
      </c>
      <c r="N2578" s="66" t="s">
        <v>101</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x</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2" s="349" customFormat="1" ht="15.75" customHeight="1">
      <c r="A2579" s="334" t="str">
        <f>IF(B2579&lt;&gt;"",IF(AND(B2579='IN-TC'!$S$4,OR(TH!N2579="1111",TH!O2579="1111")),TH!D2579,""),"")</f>
        <v/>
      </c>
      <c r="B2579" s="63">
        <f t="shared" si="256"/>
        <v>8</v>
      </c>
      <c r="C2579" s="64">
        <v>42606</v>
      </c>
      <c r="D2579" s="64" t="s">
        <v>702</v>
      </c>
      <c r="E2579" s="64">
        <f t="shared" si="254"/>
        <v>42606</v>
      </c>
      <c r="F2579" s="72" t="s">
        <v>1924</v>
      </c>
      <c r="G2579" s="67" t="s">
        <v>914</v>
      </c>
      <c r="H2579" s="72" t="s">
        <v>1654</v>
      </c>
      <c r="I2579" s="437"/>
      <c r="J2579" s="437"/>
      <c r="K2579" s="428"/>
      <c r="L2579" s="437"/>
      <c r="M2579" s="65">
        <v>28690200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c r="AE2579" s="1136" t="str">
        <f>IF(H2579&lt;&gt;VLOOKUP(H2579,DSKH,1,0),"","x")</f>
        <v>x</v>
      </c>
    </row>
    <row r="2580" spans="1:32" s="349" customFormat="1" ht="15.75" customHeight="1">
      <c r="A2580" s="334" t="str">
        <f>IF(B2580&lt;&gt;"",IF(AND(B2580='IN-TC'!$S$4,OR(TH!N2580="1111",TH!O2580="1111")),TH!D2580,""),"")</f>
        <v/>
      </c>
      <c r="B2580" s="63">
        <f t="shared" si="256"/>
        <v>8</v>
      </c>
      <c r="C2580" s="64">
        <v>42606</v>
      </c>
      <c r="D2580" s="64" t="s">
        <v>702</v>
      </c>
      <c r="E2580" s="64">
        <f t="shared" si="254"/>
        <v>42606</v>
      </c>
      <c r="F2580" s="72" t="s">
        <v>1192</v>
      </c>
      <c r="G2580" s="67" t="s">
        <v>914</v>
      </c>
      <c r="H2580" s="72"/>
      <c r="I2580" s="437"/>
      <c r="J2580" s="437"/>
      <c r="K2580" s="428"/>
      <c r="L2580" s="437"/>
      <c r="M2580" s="65">
        <v>40000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c r="AF2580" s="349">
        <v>8</v>
      </c>
    </row>
    <row r="2581" spans="1:32" s="349" customFormat="1" ht="15.75" customHeight="1">
      <c r="A2581" s="334" t="str">
        <f>IF(B2581&lt;&gt;"",IF(AND(B2581='IN-TC'!$S$4,OR(TH!N2581="1111",TH!O2581="1111")),TH!D2581,""),"")</f>
        <v/>
      </c>
      <c r="B2581" s="63">
        <f t="shared" si="256"/>
        <v>8</v>
      </c>
      <c r="C2581" s="64">
        <v>42606</v>
      </c>
      <c r="D2581" s="64" t="s">
        <v>702</v>
      </c>
      <c r="E2581" s="64">
        <f t="shared" si="254"/>
        <v>42606</v>
      </c>
      <c r="F2581" s="72" t="s">
        <v>1193</v>
      </c>
      <c r="G2581" s="67" t="s">
        <v>914</v>
      </c>
      <c r="H2581" s="72"/>
      <c r="I2581" s="437"/>
      <c r="J2581" s="437"/>
      <c r="K2581" s="428"/>
      <c r="L2581" s="437"/>
      <c r="M2581" s="65">
        <v>4000</v>
      </c>
      <c r="N2581" s="82"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x</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c r="AF2581" s="349">
        <v>8</v>
      </c>
    </row>
    <row r="2582" spans="1:32" s="349" customFormat="1" ht="15.75" customHeight="1">
      <c r="A2582" s="334" t="str">
        <f>IF(B2582&lt;&gt;"",IF(AND(B2582='IN-TC'!$S$4,OR(TH!N2582="1111",TH!O2582="1111")),TH!D2582,""),"")</f>
        <v/>
      </c>
      <c r="B2582" s="63">
        <f t="shared" si="256"/>
        <v>8</v>
      </c>
      <c r="C2582" s="64">
        <v>42607</v>
      </c>
      <c r="D2582" s="64" t="s">
        <v>699</v>
      </c>
      <c r="E2582" s="64">
        <f t="shared" si="254"/>
        <v>42607</v>
      </c>
      <c r="F2582" s="72" t="s">
        <v>1647</v>
      </c>
      <c r="G2582" s="67" t="s">
        <v>1558</v>
      </c>
      <c r="H2582" s="72" t="s">
        <v>1795</v>
      </c>
      <c r="I2582" s="437"/>
      <c r="J2582" s="437"/>
      <c r="K2582" s="428"/>
      <c r="L2582" s="437"/>
      <c r="M2582" s="65">
        <v>16442</v>
      </c>
      <c r="N2582" s="66" t="s">
        <v>26</v>
      </c>
      <c r="O2582" s="66" t="s">
        <v>43</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x</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2" s="349" customFormat="1" ht="15.75" customHeight="1">
      <c r="A2583" s="334" t="str">
        <f>IF(B2583&lt;&gt;"",IF(AND(B2583='IN-TC'!$S$4,OR(TH!N2583="1111",TH!O2583="1111")),TH!D2583,""),"")</f>
        <v/>
      </c>
      <c r="B2583" s="63">
        <f t="shared" si="256"/>
        <v>8</v>
      </c>
      <c r="C2583" s="64">
        <v>42608</v>
      </c>
      <c r="D2583" s="64" t="s">
        <v>888</v>
      </c>
      <c r="E2583" s="64">
        <f t="shared" si="254"/>
        <v>42608</v>
      </c>
      <c r="F2583" s="72" t="s">
        <v>1175</v>
      </c>
      <c r="G2583" s="972" t="s">
        <v>1822</v>
      </c>
      <c r="H2583" s="318" t="s">
        <v>616</v>
      </c>
      <c r="I2583" s="437"/>
      <c r="J2583" s="437"/>
      <c r="K2583" s="428"/>
      <c r="L2583" s="437"/>
      <c r="M2583" s="65">
        <v>5280000</v>
      </c>
      <c r="N2583" s="66" t="s">
        <v>8</v>
      </c>
      <c r="O2583" s="66" t="s">
        <v>63</v>
      </c>
      <c r="P2583" s="82" t="str">
        <f>IF(AND('331-CT'!$E$7=TH!H2583,OR(N2583="331",O2583="331")),"x","")</f>
        <v/>
      </c>
      <c r="Q2583" s="82" t="str">
        <f>IF(AND(B2583='111'!$L$11,OR($N2583=$Q$7,$O2583=$Q$7)),"x","")</f>
        <v/>
      </c>
      <c r="R2583" s="82" t="str">
        <f>IF(AND($N2583=$Q$7,$B2583&lt;'111'!$L$11),"x","")</f>
        <v/>
      </c>
      <c r="S2583" s="82" t="str">
        <f>IF(AND($O2583=$Q$7,$B2583&lt;'111'!$L$11),"x","")</f>
        <v>x</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c r="AE2583" s="1136" t="str">
        <f>IF(H2583&lt;&gt;VLOOKUP(H2583,DSKH,1,0),"","x")</f>
        <v>x</v>
      </c>
    </row>
    <row r="2584" spans="1:32" s="349" customFormat="1" ht="15.75" customHeight="1">
      <c r="A2584" s="334" t="str">
        <f>IF(B2584&lt;&gt;"",IF(AND(B2584='IN-TC'!$S$4,OR(TH!N2584="1111",TH!O2584="1111")),TH!D2584,""),"")</f>
        <v/>
      </c>
      <c r="B2584" s="63">
        <f t="shared" si="256"/>
        <v>8</v>
      </c>
      <c r="C2584" s="64">
        <v>42608</v>
      </c>
      <c r="D2584" s="64" t="s">
        <v>889</v>
      </c>
      <c r="E2584" s="64">
        <f t="shared" si="254"/>
        <v>42608</v>
      </c>
      <c r="F2584" s="72" t="s">
        <v>224</v>
      </c>
      <c r="G2584" s="972" t="s">
        <v>1821</v>
      </c>
      <c r="H2584" s="342" t="s">
        <v>618</v>
      </c>
      <c r="I2584" s="437">
        <v>450</v>
      </c>
      <c r="J2584" s="437">
        <v>18060.607</v>
      </c>
      <c r="K2584" s="428"/>
      <c r="L2584" s="437"/>
      <c r="M2584" s="65">
        <f>ROUND(I2584*J2584,0)</f>
        <v>8127273</v>
      </c>
      <c r="N2584" s="66" t="s">
        <v>282</v>
      </c>
      <c r="O2584" s="66" t="s">
        <v>63</v>
      </c>
      <c r="P2584" s="82" t="str">
        <f>IF(AND('331-CT'!$E$7=TH!H2584,OR(N2584="331",O2584="331")),"x","")</f>
        <v/>
      </c>
      <c r="Q2584" s="82" t="str">
        <f>IF(AND(B2584='111'!$L$11,OR($N2584=$Q$7,$O2584=$Q$7)),"x","")</f>
        <v/>
      </c>
      <c r="R2584" s="82" t="str">
        <f>IF(AND($N2584=$Q$7,$B2584&lt;'111'!$L$11),"x","")</f>
        <v/>
      </c>
      <c r="S2584" s="82" t="str">
        <f>IF(AND($O2584=$Q$7,$B2584&lt;'111'!$L$11),"x","")</f>
        <v>x</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c r="AE2584" s="1158"/>
      <c r="AF2584" s="349">
        <v>8</v>
      </c>
    </row>
    <row r="2585" spans="1:32" s="349" customFormat="1" ht="15.75" customHeight="1">
      <c r="A2585" s="334" t="str">
        <f>IF(B2585&lt;&gt;"",IF(AND(B2585='IN-TC'!$S$4,OR(TH!N2585="1111",TH!O2585="1111")),TH!D2585,""),"")</f>
        <v/>
      </c>
      <c r="B2585" s="63">
        <f t="shared" si="256"/>
        <v>8</v>
      </c>
      <c r="C2585" s="64">
        <v>42608</v>
      </c>
      <c r="D2585" s="64" t="s">
        <v>889</v>
      </c>
      <c r="E2585" s="64">
        <f t="shared" si="254"/>
        <v>42608</v>
      </c>
      <c r="F2585" s="72" t="s">
        <v>1348</v>
      </c>
      <c r="G2585" s="972" t="s">
        <v>1821</v>
      </c>
      <c r="H2585" s="342" t="s">
        <v>618</v>
      </c>
      <c r="I2585" s="437"/>
      <c r="J2585" s="437"/>
      <c r="K2585" s="428"/>
      <c r="L2585" s="437"/>
      <c r="M2585" s="65">
        <v>812727</v>
      </c>
      <c r="N2585" s="82" t="s">
        <v>9</v>
      </c>
      <c r="O2585" s="66" t="s">
        <v>63</v>
      </c>
      <c r="P2585" s="82" t="str">
        <f>IF(AND('331-CT'!$E$7=TH!H2585,OR(N2585="331",O2585="331")),"x","")</f>
        <v/>
      </c>
      <c r="Q2585" s="82" t="str">
        <f>IF(AND(B2585='111'!$L$11,OR($N2585=$Q$7,$O2585=$Q$7)),"x","")</f>
        <v/>
      </c>
      <c r="R2585" s="82" t="str">
        <f>IF(AND($N2585=$Q$7,$B2585&lt;'111'!$L$11),"x","")</f>
        <v/>
      </c>
      <c r="S2585" s="82" t="str">
        <f>IF(AND($O2585=$Q$7,$B2585&lt;'111'!$L$11),"x","")</f>
        <v>x</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x</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c r="AE2585" s="1158"/>
      <c r="AF2585" s="349">
        <v>8</v>
      </c>
    </row>
    <row r="2586" spans="1:32" s="349" customFormat="1" ht="15.75" customHeight="1">
      <c r="A2586" s="334" t="str">
        <f>IF(B2586&lt;&gt;"",IF(AND(B2586='IN-TC'!$S$4,OR(TH!N2586="1111",TH!O2586="1111")),TH!D2586,""),"")</f>
        <v/>
      </c>
      <c r="B2586" s="63">
        <f t="shared" si="256"/>
        <v>8</v>
      </c>
      <c r="C2586" s="64">
        <v>42609</v>
      </c>
      <c r="D2586" s="64" t="s">
        <v>890</v>
      </c>
      <c r="E2586" s="64">
        <f t="shared" si="254"/>
        <v>42609</v>
      </c>
      <c r="F2586" s="72" t="s">
        <v>1823</v>
      </c>
      <c r="G2586" s="972" t="s">
        <v>1825</v>
      </c>
      <c r="H2586" s="72" t="s">
        <v>836</v>
      </c>
      <c r="I2586" s="437"/>
      <c r="J2586" s="437"/>
      <c r="K2586" s="428"/>
      <c r="L2586" s="437"/>
      <c r="M2586" s="65">
        <v>16050000</v>
      </c>
      <c r="N2586" s="66" t="s">
        <v>101</v>
      </c>
      <c r="O2586" s="66" t="s">
        <v>63</v>
      </c>
      <c r="P2586" s="82" t="str">
        <f>IF(AND('331-CT'!$E$7=TH!H2586,OR(N2586="331",O2586="331")),"x","")</f>
        <v/>
      </c>
      <c r="Q2586" s="82" t="str">
        <f>IF(AND(B2586='111'!$L$11,OR($N2586=$Q$7,$O2586=$Q$7)),"x","")</f>
        <v/>
      </c>
      <c r="R2586" s="82" t="str">
        <f>IF(AND($N2586=$Q$7,$B2586&lt;'111'!$L$11),"x","")</f>
        <v/>
      </c>
      <c r="S2586" s="82" t="str">
        <f>IF(AND($O2586=$Q$7,$B2586&lt;'111'!$L$11),"x","")</f>
        <v>x</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c r="AF2586" s="349">
        <v>8</v>
      </c>
    </row>
    <row r="2587" spans="1:32" s="349" customFormat="1" ht="15.75" customHeight="1">
      <c r="A2587" s="334" t="str">
        <f>IF(B2587&lt;&gt;"",IF(AND(B2587='IN-TC'!$S$4,OR(TH!N2587="1111",TH!O2587="1111")),TH!D2587,""),"")</f>
        <v/>
      </c>
      <c r="B2587" s="63">
        <f t="shared" si="256"/>
        <v>8</v>
      </c>
      <c r="C2587" s="64">
        <v>42609</v>
      </c>
      <c r="D2587" s="64" t="s">
        <v>890</v>
      </c>
      <c r="E2587" s="64">
        <f t="shared" si="254"/>
        <v>42609</v>
      </c>
      <c r="F2587" s="72" t="s">
        <v>1824</v>
      </c>
      <c r="G2587" s="972" t="s">
        <v>1825</v>
      </c>
      <c r="H2587" s="72" t="s">
        <v>836</v>
      </c>
      <c r="I2587" s="437"/>
      <c r="J2587" s="437"/>
      <c r="K2587" s="428"/>
      <c r="L2587" s="437"/>
      <c r="M2587" s="65">
        <v>1605000</v>
      </c>
      <c r="N2587" s="82" t="s">
        <v>9</v>
      </c>
      <c r="O2587" s="66" t="s">
        <v>63</v>
      </c>
      <c r="P2587" s="82" t="str">
        <f>IF(AND('331-CT'!$E$7=TH!H2587,OR(N2587="331",O2587="331")),"x","")</f>
        <v/>
      </c>
      <c r="Q2587" s="82" t="str">
        <f>IF(AND(B2587='111'!$L$11,OR($N2587=$Q$7,$O2587=$Q$7)),"x","")</f>
        <v/>
      </c>
      <c r="R2587" s="82" t="str">
        <f>IF(AND($N2587=$Q$7,$B2587&lt;'111'!$L$11),"x","")</f>
        <v/>
      </c>
      <c r="S2587" s="82" t="str">
        <f>IF(AND($O2587=$Q$7,$B2587&lt;'111'!$L$11),"x","")</f>
        <v>x</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x</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c r="AF2587" s="349">
        <v>8</v>
      </c>
    </row>
    <row r="2588" spans="1:32" s="349" customFormat="1" ht="15.75" customHeight="1">
      <c r="A2588" s="334" t="str">
        <f>IF(B2588&lt;&gt;"",IF(AND(B2588='IN-TC'!$S$4,OR(TH!N2588="1111",TH!O2588="1111")),TH!D2588,""),"")</f>
        <v/>
      </c>
      <c r="B2588" s="63">
        <f t="shared" si="256"/>
        <v>8</v>
      </c>
      <c r="C2588" s="64">
        <v>42610</v>
      </c>
      <c r="D2588" s="64" t="s">
        <v>891</v>
      </c>
      <c r="E2588" s="64">
        <f t="shared" si="254"/>
        <v>42610</v>
      </c>
      <c r="F2588" s="72" t="s">
        <v>768</v>
      </c>
      <c r="G2588" s="972" t="s">
        <v>1826</v>
      </c>
      <c r="H2588" s="72" t="s">
        <v>805</v>
      </c>
      <c r="I2588" s="437"/>
      <c r="J2588" s="437"/>
      <c r="K2588" s="428"/>
      <c r="L2588" s="437"/>
      <c r="M2588" s="65">
        <v>573845</v>
      </c>
      <c r="N2588" s="66" t="s">
        <v>101</v>
      </c>
      <c r="O2588" s="66" t="s">
        <v>63</v>
      </c>
      <c r="P2588" s="82" t="str">
        <f>IF(AND('331-CT'!$E$7=TH!H2588,OR(N2588="331",O2588="331")),"x","")</f>
        <v/>
      </c>
      <c r="Q2588" s="82" t="str">
        <f>IF(AND(B2588='111'!$L$11,OR($N2588=$Q$7,$O2588=$Q$7)),"x","")</f>
        <v/>
      </c>
      <c r="R2588" s="82" t="str">
        <f>IF(AND($N2588=$Q$7,$B2588&lt;'111'!$L$11),"x","")</f>
        <v/>
      </c>
      <c r="S2588" s="82" t="str">
        <f>IF(AND($O2588=$Q$7,$B2588&lt;'111'!$L$11),"x","")</f>
        <v>x</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c r="AF2588" s="349">
        <v>8</v>
      </c>
    </row>
    <row r="2589" spans="1:32" s="349" customFormat="1" ht="15.75" customHeight="1">
      <c r="A2589" s="334" t="str">
        <f>IF(B2589&lt;&gt;"",IF(AND(B2589='IN-TC'!$S$4,OR(TH!N2589="1111",TH!O2589="1111")),TH!D2589,""),"")</f>
        <v/>
      </c>
      <c r="B2589" s="63">
        <f t="shared" si="256"/>
        <v>8</v>
      </c>
      <c r="C2589" s="64">
        <v>42610</v>
      </c>
      <c r="D2589" s="64" t="s">
        <v>891</v>
      </c>
      <c r="E2589" s="64">
        <f t="shared" si="254"/>
        <v>42610</v>
      </c>
      <c r="F2589" s="72" t="s">
        <v>769</v>
      </c>
      <c r="G2589" s="972" t="s">
        <v>1826</v>
      </c>
      <c r="H2589" s="72" t="s">
        <v>805</v>
      </c>
      <c r="I2589" s="437"/>
      <c r="J2589" s="437"/>
      <c r="K2589" s="428"/>
      <c r="L2589" s="437"/>
      <c r="M2589" s="65">
        <v>57385</v>
      </c>
      <c r="N2589" s="82" t="s">
        <v>9</v>
      </c>
      <c r="O2589" s="66" t="s">
        <v>63</v>
      </c>
      <c r="P2589" s="82" t="str">
        <f>IF(AND('331-CT'!$E$7=TH!H2589,OR(N2589="331",O2589="331")),"x","")</f>
        <v/>
      </c>
      <c r="Q2589" s="82" t="str">
        <f>IF(AND(B2589='111'!$L$11,OR($N2589=$Q$7,$O2589=$Q$7)),"x","")</f>
        <v/>
      </c>
      <c r="R2589" s="82" t="str">
        <f>IF(AND($N2589=$Q$7,$B2589&lt;'111'!$L$11),"x","")</f>
        <v/>
      </c>
      <c r="S2589" s="82" t="str">
        <f>IF(AND($O2589=$Q$7,$B2589&lt;'111'!$L$11),"x","")</f>
        <v>x</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x</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c r="AF2589" s="349">
        <v>8</v>
      </c>
    </row>
    <row r="2590" spans="1:32" s="349" customFormat="1" ht="15.75" customHeight="1">
      <c r="A2590" s="334" t="str">
        <f>IF(B2590&lt;&gt;"",IF(AND(B2590='IN-TC'!$S$4,OR(TH!N2590="1111",TH!O2590="1111")),TH!D2590,""),"")</f>
        <v/>
      </c>
      <c r="B2590" s="63">
        <f t="shared" si="256"/>
        <v>8</v>
      </c>
      <c r="C2590" s="64">
        <v>42611</v>
      </c>
      <c r="D2590" s="64" t="s">
        <v>892</v>
      </c>
      <c r="E2590" s="64">
        <f t="shared" ref="E2590:E2612" si="257">C2590</f>
        <v>42611</v>
      </c>
      <c r="F2590" s="72" t="s">
        <v>1804</v>
      </c>
      <c r="G2590" s="972" t="s">
        <v>1827</v>
      </c>
      <c r="H2590" s="72" t="s">
        <v>1102</v>
      </c>
      <c r="I2590" s="437"/>
      <c r="J2590" s="437"/>
      <c r="K2590" s="428"/>
      <c r="L2590" s="437"/>
      <c r="M2590" s="65">
        <v>1328700</v>
      </c>
      <c r="N2590" s="66" t="s">
        <v>101</v>
      </c>
      <c r="O2590" s="66" t="s">
        <v>63</v>
      </c>
      <c r="P2590" s="82" t="str">
        <f>IF(AND('331-CT'!$E$7=TH!H2590,OR(N2590="331",O2590="331")),"x","")</f>
        <v/>
      </c>
      <c r="Q2590" s="82" t="str">
        <f>IF(AND(B2590='111'!$L$11,OR($N2590=$Q$7,$O2590=$Q$7)),"x","")</f>
        <v/>
      </c>
      <c r="R2590" s="82" t="str">
        <f>IF(AND($N2590=$Q$7,$B2590&lt;'111'!$L$11),"x","")</f>
        <v/>
      </c>
      <c r="S2590" s="82" t="str">
        <f>IF(AND($O2590=$Q$7,$B2590&lt;'111'!$L$11),"x","")</f>
        <v>x</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c r="AF2590" s="349">
        <v>8</v>
      </c>
    </row>
    <row r="2591" spans="1:32" s="349" customFormat="1" ht="15.75" customHeight="1">
      <c r="A2591" s="334" t="str">
        <f>IF(B2591&lt;&gt;"",IF(AND(B2591='IN-TC'!$S$4,OR(TH!N2591="1111",TH!O2591="1111")),TH!D2591,""),"")</f>
        <v/>
      </c>
      <c r="B2591" s="63">
        <f t="shared" si="256"/>
        <v>8</v>
      </c>
      <c r="C2591" s="64">
        <v>42611</v>
      </c>
      <c r="D2591" s="64" t="s">
        <v>892</v>
      </c>
      <c r="E2591" s="64">
        <f t="shared" si="257"/>
        <v>42611</v>
      </c>
      <c r="F2591" s="72" t="s">
        <v>1805</v>
      </c>
      <c r="G2591" s="972" t="s">
        <v>1827</v>
      </c>
      <c r="H2591" s="72" t="s">
        <v>1102</v>
      </c>
      <c r="I2591" s="437"/>
      <c r="J2591" s="437"/>
      <c r="K2591" s="428"/>
      <c r="L2591" s="437"/>
      <c r="M2591" s="65">
        <v>132870</v>
      </c>
      <c r="N2591" s="82" t="s">
        <v>9</v>
      </c>
      <c r="O2591" s="66" t="s">
        <v>63</v>
      </c>
      <c r="P2591" s="82" t="str">
        <f>IF(AND('331-CT'!$E$7=TH!H2591,OR(N2591="331",O2591="331")),"x","")</f>
        <v/>
      </c>
      <c r="Q2591" s="82" t="str">
        <f>IF(AND(B2591='111'!$L$11,OR($N2591=$Q$7,$O2591=$Q$7)),"x","")</f>
        <v/>
      </c>
      <c r="R2591" s="82" t="str">
        <f>IF(AND($N2591=$Q$7,$B2591&lt;'111'!$L$11),"x","")</f>
        <v/>
      </c>
      <c r="S2591" s="82" t="str">
        <f>IF(AND($O2591=$Q$7,$B2591&lt;'111'!$L$11),"x","")</f>
        <v>x</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x</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c r="AF2591" s="349">
        <v>8</v>
      </c>
    </row>
    <row r="2592" spans="1:32" s="349" customFormat="1" ht="15.75" customHeight="1">
      <c r="A2592" s="334" t="str">
        <f>IF(B2592&lt;&gt;"",IF(AND(B2592='IN-TC'!$S$4,OR(TH!N2592="1111",TH!O2592="1111")),TH!D2592,""),"")</f>
        <v/>
      </c>
      <c r="B2592" s="63">
        <f t="shared" si="256"/>
        <v>8</v>
      </c>
      <c r="C2592" s="64">
        <v>42611</v>
      </c>
      <c r="D2592" s="64" t="s">
        <v>702</v>
      </c>
      <c r="E2592" s="64">
        <f t="shared" si="257"/>
        <v>42611</v>
      </c>
      <c r="F2592" s="72" t="s">
        <v>1663</v>
      </c>
      <c r="G2592" s="67" t="s">
        <v>1915</v>
      </c>
      <c r="H2592" s="72"/>
      <c r="I2592" s="437"/>
      <c r="J2592" s="437"/>
      <c r="K2592" s="428">
        <v>6700</v>
      </c>
      <c r="L2592" s="437">
        <v>22260</v>
      </c>
      <c r="M2592" s="65">
        <f>ROUND(K2592*L2592,0)</f>
        <v>149142000</v>
      </c>
      <c r="N2592" s="66" t="s">
        <v>266</v>
      </c>
      <c r="O2592" s="66" t="s">
        <v>266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2" s="349" customFormat="1" ht="15.75" customHeight="1">
      <c r="A2593" s="334" t="str">
        <f>IF(B2593&lt;&gt;"",IF(AND(B2593='IN-TC'!$S$4,OR(TH!N2593="1111",TH!O2593="1111")),TH!D2593,""),"")</f>
        <v/>
      </c>
      <c r="B2593" s="63">
        <f t="shared" si="256"/>
        <v>8</v>
      </c>
      <c r="C2593" s="64">
        <v>42611</v>
      </c>
      <c r="D2593" s="64" t="s">
        <v>702</v>
      </c>
      <c r="E2593" s="64">
        <f t="shared" si="257"/>
        <v>42611</v>
      </c>
      <c r="F2593" s="72" t="s">
        <v>1914</v>
      </c>
      <c r="G2593" s="67" t="s">
        <v>1558</v>
      </c>
      <c r="H2593" s="72"/>
      <c r="I2593" s="437"/>
      <c r="J2593" s="437"/>
      <c r="K2593" s="428">
        <v>3.3</v>
      </c>
      <c r="L2593" s="437">
        <v>22260</v>
      </c>
      <c r="M2593" s="65">
        <f>ROUND(K2593*L2593,0)</f>
        <v>73458</v>
      </c>
      <c r="N2593" s="66" t="s">
        <v>101</v>
      </c>
      <c r="O2593" s="66" t="s">
        <v>266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2" s="349" customFormat="1" ht="15.75" customHeight="1">
      <c r="A2594" s="334" t="str">
        <f>IF(B2594&lt;&gt;"",IF(AND(B2594='IN-TC'!$S$4,OR(TH!N2594="1111",TH!O2594="1111")),TH!D2594,""),"")</f>
        <v/>
      </c>
      <c r="B2594" s="63">
        <f t="shared" si="256"/>
        <v>8</v>
      </c>
      <c r="C2594" s="64">
        <v>42611</v>
      </c>
      <c r="D2594" s="64" t="s">
        <v>702</v>
      </c>
      <c r="E2594" s="64">
        <f t="shared" si="257"/>
        <v>42611</v>
      </c>
      <c r="F2594" s="72" t="s">
        <v>1438</v>
      </c>
      <c r="G2594" s="79" t="s">
        <v>921</v>
      </c>
      <c r="H2594" s="72"/>
      <c r="I2594" s="437"/>
      <c r="J2594" s="437"/>
      <c r="K2594" s="428">
        <v>8600</v>
      </c>
      <c r="L2594" s="437">
        <v>22295</v>
      </c>
      <c r="M2594" s="65">
        <f>ROUND(K2594*L2594,0)</f>
        <v>191737000</v>
      </c>
      <c r="N2594" s="66" t="s">
        <v>26</v>
      </c>
      <c r="O2594" s="82" t="s">
        <v>266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2" s="349" customFormat="1" ht="15.75" customHeight="1">
      <c r="A2595" s="334" t="str">
        <f>IF(B2595&lt;&gt;"",IF(AND(B2595='IN-TC'!$S$4,OR(TH!N2595="1111",TH!O2595="1111")),TH!D2595,""),"")</f>
        <v/>
      </c>
      <c r="B2595" s="63">
        <f t="shared" si="256"/>
        <v>8</v>
      </c>
      <c r="C2595" s="64">
        <v>42611</v>
      </c>
      <c r="D2595" s="64" t="s">
        <v>702</v>
      </c>
      <c r="E2595" s="64">
        <f t="shared" si="257"/>
        <v>42611</v>
      </c>
      <c r="F2595" s="72" t="s">
        <v>1194</v>
      </c>
      <c r="G2595" s="67" t="s">
        <v>1916</v>
      </c>
      <c r="H2595" s="72"/>
      <c r="I2595" s="437"/>
      <c r="J2595" s="437"/>
      <c r="K2595" s="428"/>
      <c r="L2595" s="437"/>
      <c r="M2595" s="65">
        <v>210000000</v>
      </c>
      <c r="N2595" s="66" t="s">
        <v>26</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x</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2" s="349" customFormat="1" ht="15.75" customHeight="1">
      <c r="A2596" s="334" t="str">
        <f>IF(B2596&lt;&gt;"",IF(AND(B2596='IN-TC'!$S$4,OR(TH!N2596="1111",TH!O2596="1111")),TH!D2596,""),"")</f>
        <v/>
      </c>
      <c r="B2596" s="63">
        <f t="shared" si="256"/>
        <v>8</v>
      </c>
      <c r="C2596" s="64">
        <v>42611</v>
      </c>
      <c r="D2596" s="64" t="s">
        <v>702</v>
      </c>
      <c r="E2596" s="64">
        <f t="shared" si="257"/>
        <v>42611</v>
      </c>
      <c r="F2596" s="72" t="s">
        <v>1192</v>
      </c>
      <c r="G2596" s="67" t="s">
        <v>914</v>
      </c>
      <c r="H2596" s="72"/>
      <c r="I2596" s="437"/>
      <c r="J2596" s="437"/>
      <c r="K2596" s="428"/>
      <c r="L2596" s="437"/>
      <c r="M2596" s="65">
        <v>63000</v>
      </c>
      <c r="N2596" s="66" t="s">
        <v>101</v>
      </c>
      <c r="O2596" s="66" t="s">
        <v>26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c r="AE2596" s="1136"/>
      <c r="AF2596" s="349">
        <v>8</v>
      </c>
    </row>
    <row r="2597" spans="1:32" s="349" customFormat="1" ht="15.75" customHeight="1">
      <c r="A2597" s="334" t="str">
        <f>IF(B2597&lt;&gt;"",IF(AND(B2597='IN-TC'!$S$4,OR(TH!N2597="1111",TH!O2597="1111")),TH!D2597,""),"")</f>
        <v/>
      </c>
      <c r="B2597" s="63">
        <f t="shared" si="256"/>
        <v>8</v>
      </c>
      <c r="C2597" s="64">
        <v>42611</v>
      </c>
      <c r="D2597" s="64" t="s">
        <v>702</v>
      </c>
      <c r="E2597" s="64">
        <f t="shared" si="257"/>
        <v>42611</v>
      </c>
      <c r="F2597" s="72" t="s">
        <v>1193</v>
      </c>
      <c r="G2597" s="67" t="s">
        <v>914</v>
      </c>
      <c r="H2597" s="72"/>
      <c r="I2597" s="437"/>
      <c r="J2597" s="437"/>
      <c r="K2597" s="428"/>
      <c r="L2597" s="437"/>
      <c r="M2597" s="65">
        <v>6300</v>
      </c>
      <c r="N2597" s="66" t="s">
        <v>9</v>
      </c>
      <c r="O2597" s="66" t="s">
        <v>26</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x</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c r="AF2597" s="349">
        <v>8</v>
      </c>
    </row>
    <row r="2598" spans="1:32" s="349" customFormat="1" ht="15.75" customHeight="1">
      <c r="A2598" s="334" t="str">
        <f>IF(B2598&lt;&gt;"",IF(AND(B2598='IN-TC'!$S$4,OR(TH!N2598="1111",TH!O2598="1111")),TH!D2598,""),"")</f>
        <v/>
      </c>
      <c r="B2598" s="63">
        <f t="shared" si="256"/>
        <v>8</v>
      </c>
      <c r="C2598" s="64">
        <v>42612</v>
      </c>
      <c r="D2598" s="64" t="s">
        <v>893</v>
      </c>
      <c r="E2598" s="64">
        <f t="shared" si="257"/>
        <v>42612</v>
      </c>
      <c r="F2598" s="72" t="s">
        <v>1354</v>
      </c>
      <c r="G2598" s="67"/>
      <c r="H2598" s="72" t="s">
        <v>1356</v>
      </c>
      <c r="I2598" s="437"/>
      <c r="J2598" s="437"/>
      <c r="K2598" s="428"/>
      <c r="L2598" s="437"/>
      <c r="M2598" s="65">
        <v>245455</v>
      </c>
      <c r="N2598" s="66" t="s">
        <v>101</v>
      </c>
      <c r="O2598" s="66"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c r="AF2598" s="349">
        <v>8</v>
      </c>
    </row>
    <row r="2599" spans="1:32" s="349" customFormat="1" ht="15.75" customHeight="1">
      <c r="A2599" s="334" t="str">
        <f>IF(B2599&lt;&gt;"",IF(AND(B2599='IN-TC'!$S$4,OR(TH!N2599="1111",TH!O2599="1111")),TH!D2599,""),"")</f>
        <v/>
      </c>
      <c r="B2599" s="63">
        <f t="shared" si="256"/>
        <v>8</v>
      </c>
      <c r="C2599" s="64">
        <v>42612</v>
      </c>
      <c r="D2599" s="64" t="s">
        <v>893</v>
      </c>
      <c r="E2599" s="64">
        <f t="shared" si="257"/>
        <v>42612</v>
      </c>
      <c r="F2599" s="72" t="s">
        <v>1355</v>
      </c>
      <c r="G2599" s="67"/>
      <c r="H2599" s="72" t="s">
        <v>1356</v>
      </c>
      <c r="I2599" s="437"/>
      <c r="J2599" s="437"/>
      <c r="K2599" s="428"/>
      <c r="L2599" s="437"/>
      <c r="M2599" s="65">
        <v>24545</v>
      </c>
      <c r="N2599" s="82" t="s">
        <v>9</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x</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c r="AF2599" s="349">
        <v>8</v>
      </c>
    </row>
    <row r="2600" spans="1:32" s="349" customFormat="1" ht="15.75" customHeight="1">
      <c r="A2600" s="334" t="str">
        <f>IF(B2600&lt;&gt;"",IF(AND(B2600='IN-TC'!$S$4,OR(TH!N2600="1111",TH!O2600="1111")),TH!D2600,""),"")</f>
        <v/>
      </c>
      <c r="B2600" s="63">
        <f t="shared" si="256"/>
        <v>8</v>
      </c>
      <c r="C2600" s="64">
        <v>42612</v>
      </c>
      <c r="D2600" s="64" t="s">
        <v>702</v>
      </c>
      <c r="E2600" s="64">
        <f t="shared" si="257"/>
        <v>42612</v>
      </c>
      <c r="F2600" s="72" t="s">
        <v>1183</v>
      </c>
      <c r="G2600" s="67" t="s">
        <v>1558</v>
      </c>
      <c r="H2600" s="963" t="s">
        <v>1875</v>
      </c>
      <c r="I2600" s="437"/>
      <c r="J2600" s="437"/>
      <c r="K2600" s="428">
        <v>89000</v>
      </c>
      <c r="L2600" s="437">
        <v>22308</v>
      </c>
      <c r="M2600" s="65">
        <f>ROUND(K2600*L2600,0)</f>
        <v>1985412000</v>
      </c>
      <c r="N2600" s="66" t="s">
        <v>260</v>
      </c>
      <c r="O2600" s="66" t="s">
        <v>26</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x</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2" s="349" customFormat="1" ht="15.75" customHeight="1">
      <c r="A2601" s="334" t="str">
        <f>IF(B2601&lt;&gt;"",IF(AND(B2601='IN-TC'!$S$4,OR(TH!N2601="1111",TH!O2601="1111")),TH!D2601,""),"")</f>
        <v/>
      </c>
      <c r="B2601" s="63">
        <f t="shared" si="256"/>
        <v>8</v>
      </c>
      <c r="C2601" s="64">
        <v>42612</v>
      </c>
      <c r="D2601" s="64" t="s">
        <v>702</v>
      </c>
      <c r="E2601" s="64">
        <f t="shared" si="257"/>
        <v>42612</v>
      </c>
      <c r="F2601" s="72" t="s">
        <v>1880</v>
      </c>
      <c r="G2601" s="67" t="s">
        <v>1558</v>
      </c>
      <c r="H2601" s="963" t="s">
        <v>1875</v>
      </c>
      <c r="I2601" s="437"/>
      <c r="J2601" s="437"/>
      <c r="K2601" s="428"/>
      <c r="L2601" s="437"/>
      <c r="M2601" s="65">
        <v>6991959</v>
      </c>
      <c r="N2601" s="66" t="s">
        <v>99</v>
      </c>
      <c r="O2601" s="66" t="s">
        <v>26</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x</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c r="AF2601" s="1170"/>
    </row>
    <row r="2602" spans="1:32" s="349" customFormat="1" ht="15.75" customHeight="1">
      <c r="A2602" s="334" t="str">
        <f>IF(B2602&lt;&gt;"",IF(AND(B2602='IN-TC'!$S$4,OR(TH!N2602="1111",TH!O2602="1111")),TH!D2602,""),"")</f>
        <v/>
      </c>
      <c r="B2602" s="63">
        <f t="shared" si="256"/>
        <v>8</v>
      </c>
      <c r="C2602" s="64">
        <v>42612</v>
      </c>
      <c r="D2602" s="64" t="s">
        <v>699</v>
      </c>
      <c r="E2602" s="64">
        <f t="shared" si="257"/>
        <v>42612</v>
      </c>
      <c r="F2602" s="72" t="s">
        <v>1939</v>
      </c>
      <c r="G2602" s="67" t="s">
        <v>1558</v>
      </c>
      <c r="H2602" s="72" t="s">
        <v>1940</v>
      </c>
      <c r="I2602" s="437"/>
      <c r="J2602" s="437"/>
      <c r="K2602" s="428">
        <v>89500</v>
      </c>
      <c r="L2602" s="437">
        <v>22308</v>
      </c>
      <c r="M2602" s="65">
        <f>ROUND(K2602*L2602,0)</f>
        <v>1996566000</v>
      </c>
      <c r="N2602" s="66" t="s">
        <v>266</v>
      </c>
      <c r="O2602" s="66" t="s">
        <v>260</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2" s="349" customFormat="1" ht="15.75" customHeight="1">
      <c r="A2603" s="334" t="str">
        <f>IF(B2603&lt;&gt;"",IF(AND(B2603='IN-TC'!$S$4,OR(TH!N2603="1111",TH!O2603="1111")),TH!D2603,""),"")</f>
        <v/>
      </c>
      <c r="B2603" s="63">
        <f t="shared" si="256"/>
        <v>8</v>
      </c>
      <c r="C2603" s="64">
        <v>42612</v>
      </c>
      <c r="D2603" s="64" t="s">
        <v>699</v>
      </c>
      <c r="E2603" s="64">
        <f t="shared" si="257"/>
        <v>42612</v>
      </c>
      <c r="F2603" s="72" t="s">
        <v>1438</v>
      </c>
      <c r="G2603" s="67" t="s">
        <v>1558</v>
      </c>
      <c r="H2603" s="72"/>
      <c r="I2603" s="437"/>
      <c r="J2603" s="437"/>
      <c r="K2603" s="428">
        <v>89500</v>
      </c>
      <c r="L2603" s="437">
        <v>22308</v>
      </c>
      <c r="M2603" s="65">
        <f>ROUND(K2603*L2603,0)</f>
        <v>1996566000</v>
      </c>
      <c r="N2603" s="66" t="s">
        <v>26</v>
      </c>
      <c r="O2603" s="66" t="s">
        <v>266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x</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2" s="349" customFormat="1" ht="15.75" customHeight="1">
      <c r="A2604" s="334" t="str">
        <f>IF(B2604&lt;&gt;"",IF(AND(B2604='IN-TC'!$S$4,OR(TH!N2604="1111",TH!O2604="1111")),TH!D2604,""),"")</f>
        <v/>
      </c>
      <c r="B2604" s="63">
        <f t="shared" si="256"/>
        <v>8</v>
      </c>
      <c r="C2604" s="64">
        <v>42612</v>
      </c>
      <c r="D2604" s="64" t="s">
        <v>913</v>
      </c>
      <c r="E2604" s="64">
        <f t="shared" si="257"/>
        <v>42612</v>
      </c>
      <c r="F2604" s="72" t="s">
        <v>1139</v>
      </c>
      <c r="G2604" s="67" t="s">
        <v>1558</v>
      </c>
      <c r="H2604" s="72" t="s">
        <v>760</v>
      </c>
      <c r="I2604" s="437"/>
      <c r="J2604" s="437"/>
      <c r="K2604" s="428"/>
      <c r="L2604" s="437"/>
      <c r="M2604" s="65">
        <v>2000000000</v>
      </c>
      <c r="N2604" s="66" t="s">
        <v>63</v>
      </c>
      <c r="O2604" s="66" t="s">
        <v>26</v>
      </c>
      <c r="P2604" s="82" t="str">
        <f>IF(AND('331-CT'!$E$7=TH!H2604,OR(N2604="331",O2604="331")),"x","")</f>
        <v/>
      </c>
      <c r="Q2604" s="82" t="str">
        <f>IF(AND(B2604='111'!$L$11,OR($N2604=$Q$7,$O2604=$Q$7)),"x","")</f>
        <v/>
      </c>
      <c r="R2604" s="82" t="str">
        <f>IF(AND($N2604=$Q$7,$B2604&lt;'111'!$L$11),"x","")</f>
        <v>x</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x</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2" s="348" customFormat="1" ht="15.75" customHeight="1">
      <c r="A2605" s="1229" t="str">
        <f>IF(B2605&lt;&gt;"",IF(AND(B2605='IN-TC'!$S$4,OR(TH!N2605="1111",TH!O2605="1111")),TH!D2605,""),"")</f>
        <v/>
      </c>
      <c r="B2605" s="1134">
        <f t="shared" si="256"/>
        <v>8</v>
      </c>
      <c r="C2605" s="92">
        <v>42612</v>
      </c>
      <c r="D2605" s="92" t="s">
        <v>1556</v>
      </c>
      <c r="E2605" s="92">
        <f t="shared" si="257"/>
        <v>42612</v>
      </c>
      <c r="F2605" s="72" t="s">
        <v>1891</v>
      </c>
      <c r="G2605" s="93"/>
      <c r="H2605" s="94" t="s">
        <v>1211</v>
      </c>
      <c r="I2605" s="443"/>
      <c r="J2605" s="443"/>
      <c r="K2605" s="434"/>
      <c r="L2605" s="443"/>
      <c r="M2605" s="95">
        <v>276000000</v>
      </c>
      <c r="N2605" s="83" t="s">
        <v>63</v>
      </c>
      <c r="O2605" s="83" t="s">
        <v>72</v>
      </c>
      <c r="P2605" s="83" t="str">
        <f>IF(AND('331-CT'!$E$7=TH!H2605,OR(N2605="331",O2605="331")),"x","")</f>
        <v/>
      </c>
      <c r="Q2605" s="83" t="str">
        <f>IF(AND(B2605='111'!$L$11,OR($N2605=$Q$7,$O2605=$Q$7)),"x","")</f>
        <v/>
      </c>
      <c r="R2605" s="83" t="str">
        <f>IF(AND($N2605=$Q$7,$B2605&lt;'111'!$L$11),"x","")</f>
        <v>x</v>
      </c>
      <c r="S2605" s="83" t="str">
        <f>IF(AND($O2605=$Q$7,$B2605&lt;'111'!$L$11),"x","")</f>
        <v/>
      </c>
      <c r="T2605" s="83" t="str">
        <f>IF(ISERROR(FIND('112'!$M$9,G2605,1)),"",IF((AND(FIND('112'!$M$9,G2605,1)&gt;=1,B2605='112'!$K$9,OR($N2605='112'!$I$6,$O2605='112'!$I$6))),"x",""))</f>
        <v/>
      </c>
      <c r="U2605" s="83" t="str">
        <f>IF(ISERROR(FIND('112'!$M$9,G2605,1)),"",IF((AND(LEFT(G2605,2)=LEFT('112'!$M$9,2),B2605&lt;'112'!$K$9,$N2605='112'!$I$6)),"x",""))</f>
        <v/>
      </c>
      <c r="V2605" s="83" t="str">
        <f>IF(ISERROR(FIND('112'!$M$9,G2605,1)),"",IF((AND(RIGHT(G2605,2)=RIGHT('112'!$M$9,2),B2605&lt;'112'!$K$9,$O2605='112'!$I$6)),"x",""))</f>
        <v/>
      </c>
      <c r="W2605" s="83" t="str">
        <f>IF(AND('341-CT'!$H$9=H2605,OR(LEFT(N2605,3)=$W$7,LEFT(O2605,3)=$W$7)),"x","")</f>
        <v/>
      </c>
      <c r="X2605" s="83" t="str">
        <f>IF(OR(TH!N2605=TH!$X$7,O2605=TH!$X$7),"x","")</f>
        <v/>
      </c>
      <c r="Y2605" s="83" t="str">
        <f>IF(AND(OR(N2605="131",O2605="131"),H2605='131-CT'!$H$9),"x","")</f>
        <v/>
      </c>
      <c r="Z2605" s="83"/>
      <c r="AA2605" s="83" t="str">
        <f>IF(AND(MONTH(E2605)='IN-NX'!$J$5,'IN-NX'!$D$7=D2605),"x","")</f>
        <v/>
      </c>
      <c r="AB2605" s="83" t="str">
        <f>IF(AND(OR(LEFT(TH!N2605,2)="15",LEFT(TH!O2605,2)="15"),LEFT(TH!O2605,3)&lt;&gt;"111",'152-CT'!$J$8=TH!F2605),"x","")</f>
        <v/>
      </c>
      <c r="AC2605" s="83" t="str">
        <f>IF(AND(OR(LEFT(TH!N2605,2)="15",LEFT(TH!O2605,2)="15"),TK!$E$7=TH!F2605),"x","")</f>
        <v/>
      </c>
      <c r="AD2605" s="83" t="str">
        <f>IF(AND(N2605="1521",MONTH(C2605)='BK-NL'!$M$11),"x","")</f>
        <v/>
      </c>
    </row>
    <row r="2606" spans="1:32" s="349" customFormat="1" ht="15.75" customHeight="1">
      <c r="A2606" s="334" t="str">
        <f>IF(B2606&lt;&gt;"",IF(AND(B2606='IN-TC'!$S$4,OR(TH!N2606="1111",TH!O2606="1111")),TH!D2606,""),"")</f>
        <v/>
      </c>
      <c r="B2606" s="63">
        <f t="shared" si="256"/>
        <v>8</v>
      </c>
      <c r="C2606" s="64">
        <v>42612</v>
      </c>
      <c r="D2606" s="64" t="s">
        <v>702</v>
      </c>
      <c r="E2606" s="64">
        <f t="shared" si="257"/>
        <v>42612</v>
      </c>
      <c r="F2606" s="72" t="s">
        <v>1544</v>
      </c>
      <c r="G2606" s="67" t="s">
        <v>1558</v>
      </c>
      <c r="H2606" s="72" t="s">
        <v>1795</v>
      </c>
      <c r="I2606" s="437"/>
      <c r="J2606" s="437"/>
      <c r="K2606" s="428"/>
      <c r="L2606" s="437"/>
      <c r="M2606" s="65">
        <v>10000</v>
      </c>
      <c r="N2606" s="66" t="s">
        <v>101</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x</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c r="AF2606" s="349">
        <v>8</v>
      </c>
    </row>
    <row r="2607" spans="1:32" s="349" customFormat="1" ht="15.75" customHeight="1">
      <c r="A2607" s="334" t="str">
        <f>IF(B2607&lt;&gt;"",IF(AND(B2607='IN-TC'!$S$4,OR(TH!N2607="1111",TH!O2607="1111")),TH!D2607,""),"")</f>
        <v/>
      </c>
      <c r="B2607" s="63">
        <f t="shared" si="256"/>
        <v>8</v>
      </c>
      <c r="C2607" s="64">
        <v>42612</v>
      </c>
      <c r="D2607" s="64" t="s">
        <v>702</v>
      </c>
      <c r="E2607" s="64">
        <f t="shared" si="257"/>
        <v>42612</v>
      </c>
      <c r="F2607" s="72" t="s">
        <v>1545</v>
      </c>
      <c r="G2607" s="67" t="s">
        <v>1558</v>
      </c>
      <c r="H2607" s="72" t="s">
        <v>1795</v>
      </c>
      <c r="I2607" s="437"/>
      <c r="J2607" s="437"/>
      <c r="K2607" s="428"/>
      <c r="L2607" s="437"/>
      <c r="M2607" s="65">
        <v>1000</v>
      </c>
      <c r="N2607" s="82" t="s">
        <v>9</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x</v>
      </c>
      <c r="W2607" s="82" t="str">
        <f>IF(AND('341-CT'!$H$9=H2607,OR(LEFT(N2607,3)=$W$7,LEFT(O2607,3)=$W$7)),"x","")</f>
        <v/>
      </c>
      <c r="X2607" s="82" t="str">
        <f>IF(OR(TH!N2607=TH!$X$7,O2607=TH!$X$7),"x","")</f>
        <v>x</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c r="AF2607" s="349">
        <v>8</v>
      </c>
    </row>
    <row r="2608" spans="1:32" s="348" customFormat="1" ht="15.75" customHeight="1">
      <c r="A2608" s="1229" t="str">
        <f>IF(B2608&lt;&gt;"",IF(AND(B2608='IN-TC'!$S$4,OR(TH!N2608="1111",TH!O2608="1111")),TH!D2608,""),"")</f>
        <v/>
      </c>
      <c r="B2608" s="1134">
        <f t="shared" si="256"/>
        <v>8</v>
      </c>
      <c r="C2608" s="92">
        <v>42613</v>
      </c>
      <c r="D2608" s="92" t="s">
        <v>894</v>
      </c>
      <c r="E2608" s="92">
        <f t="shared" si="257"/>
        <v>42613</v>
      </c>
      <c r="F2608" s="94" t="s">
        <v>1943</v>
      </c>
      <c r="G2608" s="93"/>
      <c r="H2608" s="94" t="s">
        <v>845</v>
      </c>
      <c r="I2608" s="443"/>
      <c r="J2608" s="443"/>
      <c r="K2608" s="434"/>
      <c r="L2608" s="443"/>
      <c r="M2608" s="95">
        <v>142952908</v>
      </c>
      <c r="N2608" s="83" t="s">
        <v>589</v>
      </c>
      <c r="O2608" s="83" t="s">
        <v>63</v>
      </c>
      <c r="P2608" s="82" t="str">
        <f>IF(AND('331-CT'!$E$7=TH!H2608,OR(N2608="331",O2608="331")),"x","")</f>
        <v/>
      </c>
      <c r="Q2608" s="82" t="str">
        <f>IF(AND(B2608='111'!$L$11,OR($N2608=$Q$7,$O2608=$Q$7)),"x","")</f>
        <v/>
      </c>
      <c r="R2608" s="82" t="str">
        <f>IF(AND($N2608=$Q$7,$B2608&lt;'111'!$L$11),"x","")</f>
        <v/>
      </c>
      <c r="S2608" s="82" t="str">
        <f>IF(AND($O2608=$Q$7,$B2608&lt;'111'!$L$11),"x","")</f>
        <v>x</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2" s="349" customFormat="1" ht="15.75" customHeight="1">
      <c r="A2609" s="334" t="str">
        <f>IF(B2609&lt;&gt;"",IF(AND(B2609='IN-TC'!$S$4,OR(TH!N2609="1111",TH!O2609="1111")),TH!D2609,""),"")</f>
        <v/>
      </c>
      <c r="B2609" s="63">
        <f t="shared" si="256"/>
        <v>8</v>
      </c>
      <c r="C2609" s="64">
        <v>42613</v>
      </c>
      <c r="D2609" s="64" t="s">
        <v>702</v>
      </c>
      <c r="E2609" s="64">
        <f t="shared" si="257"/>
        <v>42613</v>
      </c>
      <c r="F2609" s="72" t="s">
        <v>1438</v>
      </c>
      <c r="G2609" s="67" t="s">
        <v>916</v>
      </c>
      <c r="H2609" s="72"/>
      <c r="I2609" s="437"/>
      <c r="J2609" s="437"/>
      <c r="K2609" s="428">
        <v>6700</v>
      </c>
      <c r="L2609" s="437">
        <v>22280</v>
      </c>
      <c r="M2609" s="65">
        <f>ROUND(K2609*L2609,0)</f>
        <v>149276000</v>
      </c>
      <c r="N2609" s="66" t="s">
        <v>26</v>
      </c>
      <c r="O2609" s="66" t="s">
        <v>266</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2" s="349" customFormat="1" ht="15.75" customHeight="1">
      <c r="A2610" s="334" t="str">
        <f>IF(B2610&lt;&gt;"",IF(AND(B2610='IN-TC'!$S$4,OR(TH!N2610="1111",TH!O2610="1111")),TH!D2610,""),"")</f>
        <v/>
      </c>
      <c r="B2610" s="63">
        <f t="shared" si="256"/>
        <v>8</v>
      </c>
      <c r="C2610" s="64">
        <v>42613</v>
      </c>
      <c r="D2610" s="64" t="s">
        <v>702</v>
      </c>
      <c r="E2610" s="64">
        <f t="shared" si="257"/>
        <v>42613</v>
      </c>
      <c r="F2610" s="72" t="s">
        <v>1923</v>
      </c>
      <c r="G2610" s="67" t="s">
        <v>915</v>
      </c>
      <c r="H2610" s="342" t="s">
        <v>629</v>
      </c>
      <c r="I2610" s="437"/>
      <c r="J2610" s="437"/>
      <c r="K2610" s="428"/>
      <c r="L2610" s="437"/>
      <c r="M2610" s="65">
        <v>24124980</v>
      </c>
      <c r="N2610" s="66" t="s">
        <v>8</v>
      </c>
      <c r="O2610" s="66" t="s">
        <v>26</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c r="AE2610" s="1136" t="str">
        <f>IF(H2610&lt;&gt;VLOOKUP(H2610,DSKH,1,0),"","x")</f>
        <v>x</v>
      </c>
    </row>
    <row r="2611" spans="1:32" s="349" customFormat="1" ht="15.75" customHeight="1">
      <c r="A2611" s="334" t="str">
        <f>IF(B2611&lt;&gt;"",IF(AND(B2611='IN-TC'!$S$4,OR(TH!N2611="1111",TH!O2611="1111")),TH!D2611,""),"")</f>
        <v/>
      </c>
      <c r="B2611" s="63">
        <f t="shared" si="256"/>
        <v>8</v>
      </c>
      <c r="C2611" s="64">
        <v>42613</v>
      </c>
      <c r="D2611" s="64" t="s">
        <v>702</v>
      </c>
      <c r="E2611" s="64">
        <f t="shared" si="257"/>
        <v>42613</v>
      </c>
      <c r="F2611" s="72" t="s">
        <v>1192</v>
      </c>
      <c r="G2611" s="67" t="s">
        <v>915</v>
      </c>
      <c r="H2611" s="72"/>
      <c r="I2611" s="437"/>
      <c r="J2611" s="437"/>
      <c r="K2611" s="428"/>
      <c r="L2611" s="437"/>
      <c r="M2611" s="65">
        <v>25000</v>
      </c>
      <c r="N2611" s="66" t="s">
        <v>101</v>
      </c>
      <c r="O2611" s="66" t="s">
        <v>26</v>
      </c>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c r="AF2611" s="349">
        <v>8</v>
      </c>
    </row>
    <row r="2612" spans="1:32" s="349" customFormat="1" ht="15.75" customHeight="1">
      <c r="A2612" s="334" t="str">
        <f>IF(B2612&lt;&gt;"",IF(AND(B2612='IN-TC'!$S$4,OR(TH!N2612="1111",TH!O2612="1111")),TH!D2612,""),"")</f>
        <v/>
      </c>
      <c r="B2612" s="63">
        <f t="shared" si="256"/>
        <v>8</v>
      </c>
      <c r="C2612" s="64">
        <v>42613</v>
      </c>
      <c r="D2612" s="64" t="s">
        <v>702</v>
      </c>
      <c r="E2612" s="64">
        <f t="shared" si="257"/>
        <v>42613</v>
      </c>
      <c r="F2612" s="72" t="s">
        <v>1193</v>
      </c>
      <c r="G2612" s="67" t="s">
        <v>915</v>
      </c>
      <c r="H2612" s="72"/>
      <c r="I2612" s="437"/>
      <c r="J2612" s="437"/>
      <c r="K2612" s="428"/>
      <c r="L2612" s="437"/>
      <c r="M2612" s="65">
        <v>2500</v>
      </c>
      <c r="N2612" s="82" t="s">
        <v>9</v>
      </c>
      <c r="O2612" s="66" t="s">
        <v>26</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x</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c r="AF2612" s="349">
        <v>8</v>
      </c>
    </row>
    <row r="2613" spans="1:32" s="345" customFormat="1" ht="15.75" customHeight="1">
      <c r="A2613" s="334" t="str">
        <f>IF(B2613&lt;&gt;"",IF(AND(B2613='IN-TC'!$S$4,OR(TH!N2613="1111",TH!O2613="1111")),TH!D2613,""),"")</f>
        <v/>
      </c>
      <c r="B2613" s="993">
        <f t="shared" si="256"/>
        <v>8</v>
      </c>
      <c r="C2613" s="78">
        <v>42613</v>
      </c>
      <c r="D2613" s="78" t="s">
        <v>579</v>
      </c>
      <c r="E2613" s="78">
        <v>42585</v>
      </c>
      <c r="F2613" s="72" t="s">
        <v>1745</v>
      </c>
      <c r="G2613" s="975" t="s">
        <v>1832</v>
      </c>
      <c r="H2613" s="80" t="s">
        <v>1747</v>
      </c>
      <c r="I2613" s="435"/>
      <c r="J2613" s="435"/>
      <c r="K2613" s="426"/>
      <c r="L2613" s="435"/>
      <c r="M2613" s="81">
        <v>32045455</v>
      </c>
      <c r="N2613" s="82" t="s">
        <v>101</v>
      </c>
      <c r="O2613" s="82" t="s">
        <v>8</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c r="AE2613" s="341" t="str">
        <f t="shared" ref="AE2613:AE2640" si="258">IF(H2613&lt;&gt;VLOOKUP(H2613,DSKH,1,0),"","x")</f>
        <v>x</v>
      </c>
      <c r="AF2613" s="349">
        <v>8</v>
      </c>
    </row>
    <row r="2614" spans="1:32" s="345" customFormat="1" ht="15.75" customHeight="1">
      <c r="A2614" s="334" t="str">
        <f>IF(B2614&lt;&gt;"",IF(AND(B2614='IN-TC'!$S$4,OR(TH!N2614="1111",TH!O2614="1111")),TH!D2614,""),"")</f>
        <v/>
      </c>
      <c r="B2614" s="993">
        <f t="shared" si="256"/>
        <v>8</v>
      </c>
      <c r="C2614" s="78">
        <v>42613</v>
      </c>
      <c r="D2614" s="78" t="s">
        <v>579</v>
      </c>
      <c r="E2614" s="78">
        <v>42585</v>
      </c>
      <c r="F2614" s="72" t="s">
        <v>1746</v>
      </c>
      <c r="G2614" s="975" t="s">
        <v>1832</v>
      </c>
      <c r="H2614" s="80" t="s">
        <v>1747</v>
      </c>
      <c r="I2614" s="435"/>
      <c r="J2614" s="435"/>
      <c r="K2614" s="426"/>
      <c r="L2614" s="435"/>
      <c r="M2614" s="81">
        <v>3204545</v>
      </c>
      <c r="N2614" s="82" t="s">
        <v>9</v>
      </c>
      <c r="O2614" s="82" t="s">
        <v>8</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x</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c r="AE2614" s="341" t="str">
        <f t="shared" si="258"/>
        <v>x</v>
      </c>
      <c r="AF2614" s="349">
        <v>8</v>
      </c>
    </row>
    <row r="2615" spans="1:32" s="345" customFormat="1" ht="15.75" customHeight="1">
      <c r="A2615" s="334" t="str">
        <f>IF(B2615&lt;&gt;"",IF(AND(B2615='IN-TC'!$S$4,OR(TH!N2615="1111",TH!O2615="1111")),TH!D2615,""),"")</f>
        <v/>
      </c>
      <c r="B2615" s="993">
        <f t="shared" si="256"/>
        <v>8</v>
      </c>
      <c r="C2615" s="78">
        <v>42613</v>
      </c>
      <c r="D2615" s="78" t="s">
        <v>579</v>
      </c>
      <c r="E2615" s="78">
        <v>42586</v>
      </c>
      <c r="F2615" s="72" t="s">
        <v>1169</v>
      </c>
      <c r="G2615" s="975" t="s">
        <v>1846</v>
      </c>
      <c r="H2615" s="80" t="s">
        <v>626</v>
      </c>
      <c r="I2615" s="435"/>
      <c r="J2615" s="435"/>
      <c r="K2615" s="426"/>
      <c r="L2615" s="435"/>
      <c r="M2615" s="81">
        <v>2775000</v>
      </c>
      <c r="N2615" s="82" t="s">
        <v>588</v>
      </c>
      <c r="O2615" s="82" t="s">
        <v>8</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c r="AE2615" s="341" t="str">
        <f t="shared" si="258"/>
        <v>x</v>
      </c>
    </row>
    <row r="2616" spans="1:32" s="345" customFormat="1" ht="15.75" customHeight="1">
      <c r="A2616" s="334" t="str">
        <f>IF(B2616&lt;&gt;"",IF(AND(B2616='IN-TC'!$S$4,OR(TH!N2616="1111",TH!O2616="1111")),TH!D2616,""),"")</f>
        <v/>
      </c>
      <c r="B2616" s="993">
        <f t="shared" si="256"/>
        <v>8</v>
      </c>
      <c r="C2616" s="78">
        <v>42613</v>
      </c>
      <c r="D2616" s="78" t="s">
        <v>579</v>
      </c>
      <c r="E2616" s="78">
        <v>42586</v>
      </c>
      <c r="F2616" s="72" t="s">
        <v>635</v>
      </c>
      <c r="G2616" s="975" t="s">
        <v>1847</v>
      </c>
      <c r="H2616" s="80" t="s">
        <v>626</v>
      </c>
      <c r="I2616" s="435"/>
      <c r="J2616" s="435"/>
      <c r="K2616" s="426"/>
      <c r="L2616" s="435"/>
      <c r="M2616" s="81">
        <v>420000</v>
      </c>
      <c r="N2616" s="82" t="s">
        <v>588</v>
      </c>
      <c r="O2616" s="82" t="s">
        <v>8</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c r="AE2616" s="341" t="str">
        <f t="shared" si="258"/>
        <v>x</v>
      </c>
    </row>
    <row r="2617" spans="1:32" s="345" customFormat="1" ht="15.75" customHeight="1">
      <c r="A2617" s="334" t="str">
        <f>IF(B2617&lt;&gt;"",IF(AND(B2617='IN-TC'!$S$4,OR(TH!N2617="1111",TH!O2617="1111")),TH!D2617,""),"")</f>
        <v/>
      </c>
      <c r="B2617" s="993">
        <f t="shared" si="256"/>
        <v>8</v>
      </c>
      <c r="C2617" s="78">
        <v>42613</v>
      </c>
      <c r="D2617" s="78" t="s">
        <v>579</v>
      </c>
      <c r="E2617" s="78">
        <v>42586</v>
      </c>
      <c r="F2617" s="72" t="s">
        <v>1169</v>
      </c>
      <c r="G2617" s="975" t="s">
        <v>1848</v>
      </c>
      <c r="H2617" s="80" t="s">
        <v>626</v>
      </c>
      <c r="I2617" s="435"/>
      <c r="J2617" s="435"/>
      <c r="K2617" s="426"/>
      <c r="L2617" s="435"/>
      <c r="M2617" s="81">
        <v>6440000</v>
      </c>
      <c r="N2617" s="82" t="s">
        <v>588</v>
      </c>
      <c r="O2617" s="82" t="s">
        <v>8</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c r="AE2617" s="341" t="str">
        <f t="shared" si="258"/>
        <v>x</v>
      </c>
    </row>
    <row r="2618" spans="1:32" s="345" customFormat="1" ht="15.75" customHeight="1">
      <c r="A2618" s="334" t="str">
        <f>IF(B2618&lt;&gt;"",IF(AND(B2618='IN-TC'!$S$4,OR(TH!N2618="1111",TH!O2618="1111")),TH!D2618,""),"")</f>
        <v/>
      </c>
      <c r="B2618" s="993">
        <f t="shared" si="256"/>
        <v>8</v>
      </c>
      <c r="C2618" s="78">
        <v>42613</v>
      </c>
      <c r="D2618" s="78" t="s">
        <v>579</v>
      </c>
      <c r="E2618" s="78">
        <v>42589</v>
      </c>
      <c r="F2618" s="72" t="s">
        <v>1850</v>
      </c>
      <c r="G2618" s="975" t="s">
        <v>1855</v>
      </c>
      <c r="H2618" s="80" t="s">
        <v>629</v>
      </c>
      <c r="I2618" s="435"/>
      <c r="J2618" s="435"/>
      <c r="K2618" s="426"/>
      <c r="L2618" s="435"/>
      <c r="M2618" s="81">
        <v>29528100</v>
      </c>
      <c r="N2618" s="82" t="s">
        <v>282</v>
      </c>
      <c r="O2618" s="82" t="s">
        <v>8</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c r="AE2618" s="341" t="str">
        <f t="shared" si="258"/>
        <v>x</v>
      </c>
      <c r="AF2618" s="345">
        <v>8</v>
      </c>
    </row>
    <row r="2619" spans="1:32" s="345" customFormat="1" ht="15.75" customHeight="1">
      <c r="A2619" s="334" t="str">
        <f>IF(B2619&lt;&gt;"",IF(AND(B2619='IN-TC'!$S$4,OR(TH!N2619="1111",TH!O2619="1111")),TH!D2619,""),"")</f>
        <v/>
      </c>
      <c r="B2619" s="993">
        <f t="shared" si="256"/>
        <v>8</v>
      </c>
      <c r="C2619" s="78">
        <v>42613</v>
      </c>
      <c r="D2619" s="78" t="s">
        <v>579</v>
      </c>
      <c r="E2619" s="78">
        <v>42589</v>
      </c>
      <c r="F2619" s="72" t="s">
        <v>1849</v>
      </c>
      <c r="G2619" s="975" t="s">
        <v>1855</v>
      </c>
      <c r="H2619" s="80" t="s">
        <v>629</v>
      </c>
      <c r="I2619" s="435"/>
      <c r="J2619" s="435"/>
      <c r="K2619" s="426"/>
      <c r="L2619" s="435"/>
      <c r="M2619" s="81">
        <v>2952810</v>
      </c>
      <c r="N2619" s="82" t="s">
        <v>9</v>
      </c>
      <c r="O2619" s="82" t="s">
        <v>8</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x</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c r="AE2619" s="341" t="str">
        <f t="shared" si="258"/>
        <v>x</v>
      </c>
      <c r="AF2619" s="345">
        <v>8</v>
      </c>
    </row>
    <row r="2620" spans="1:32" s="345" customFormat="1" ht="15.75" customHeight="1">
      <c r="A2620" s="334" t="str">
        <f>IF(B2620&lt;&gt;"",IF(AND(B2620='IN-TC'!$S$4,OR(TH!N2620="1111",TH!O2620="1111")),TH!D2620,""),"")</f>
        <v/>
      </c>
      <c r="B2620" s="993">
        <f t="shared" si="256"/>
        <v>8</v>
      </c>
      <c r="C2620" s="78">
        <v>42613</v>
      </c>
      <c r="D2620" s="78" t="s">
        <v>579</v>
      </c>
      <c r="E2620" s="78">
        <v>42590</v>
      </c>
      <c r="F2620" s="72" t="s">
        <v>1500</v>
      </c>
      <c r="G2620" s="975" t="s">
        <v>1869</v>
      </c>
      <c r="H2620" s="80" t="s">
        <v>1498</v>
      </c>
      <c r="I2620" s="435"/>
      <c r="J2620" s="435"/>
      <c r="K2620" s="426"/>
      <c r="L2620" s="435"/>
      <c r="M2620" s="81">
        <v>21213500</v>
      </c>
      <c r="N2620" s="82" t="s">
        <v>588</v>
      </c>
      <c r="O2620" s="82" t="s">
        <v>8</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c r="AE2620" s="341" t="str">
        <f t="shared" si="258"/>
        <v>x</v>
      </c>
    </row>
    <row r="2621" spans="1:32" s="345" customFormat="1" ht="15.75" customHeight="1">
      <c r="A2621" s="334" t="str">
        <f>IF(B2621&lt;&gt;"",IF(AND(B2621='IN-TC'!$S$4,OR(TH!N2621="1111",TH!O2621="1111")),TH!D2621,""),"")</f>
        <v/>
      </c>
      <c r="B2621" s="993">
        <f t="shared" si="256"/>
        <v>8</v>
      </c>
      <c r="C2621" s="78">
        <v>42613</v>
      </c>
      <c r="D2621" s="78" t="s">
        <v>579</v>
      </c>
      <c r="E2621" s="78">
        <v>42590</v>
      </c>
      <c r="F2621" s="72" t="s">
        <v>1865</v>
      </c>
      <c r="G2621" s="975" t="s">
        <v>1870</v>
      </c>
      <c r="H2621" s="80" t="s">
        <v>1498</v>
      </c>
      <c r="I2621" s="435"/>
      <c r="J2621" s="435"/>
      <c r="K2621" s="426"/>
      <c r="L2621" s="435"/>
      <c r="M2621" s="81">
        <v>8507730</v>
      </c>
      <c r="N2621" s="82" t="s">
        <v>588</v>
      </c>
      <c r="O2621" s="82" t="s">
        <v>8</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c r="AE2621" s="341" t="str">
        <f t="shared" si="258"/>
        <v>x</v>
      </c>
      <c r="AF2621" s="345">
        <v>8</v>
      </c>
    </row>
    <row r="2622" spans="1:32" s="345" customFormat="1" ht="15.75" customHeight="1">
      <c r="A2622" s="334" t="str">
        <f>IF(B2622&lt;&gt;"",IF(AND(B2622='IN-TC'!$S$4,OR(TH!N2622="1111",TH!O2622="1111")),TH!D2622,""),"")</f>
        <v/>
      </c>
      <c r="B2622" s="993">
        <f t="shared" si="256"/>
        <v>8</v>
      </c>
      <c r="C2622" s="78">
        <v>42613</v>
      </c>
      <c r="D2622" s="78" t="s">
        <v>579</v>
      </c>
      <c r="E2622" s="78">
        <v>42590</v>
      </c>
      <c r="F2622" s="72" t="s">
        <v>1866</v>
      </c>
      <c r="G2622" s="975" t="s">
        <v>1870</v>
      </c>
      <c r="H2622" s="80" t="s">
        <v>1498</v>
      </c>
      <c r="I2622" s="435"/>
      <c r="J2622" s="435"/>
      <c r="K2622" s="426"/>
      <c r="L2622" s="435"/>
      <c r="M2622" s="81">
        <v>850773</v>
      </c>
      <c r="N2622" s="82" t="s">
        <v>9</v>
      </c>
      <c r="O2622" s="82" t="s">
        <v>8</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x</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341" t="str">
        <f t="shared" si="258"/>
        <v>x</v>
      </c>
      <c r="AF2622" s="345">
        <v>8</v>
      </c>
    </row>
    <row r="2623" spans="1:32" s="345" customFormat="1" ht="15.75" customHeight="1">
      <c r="A2623" s="334" t="str">
        <f>IF(B2623&lt;&gt;"",IF(AND(B2623='IN-TC'!$S$4,OR(TH!N2623="1111",TH!O2623="1111")),TH!D2623,""),"")</f>
        <v/>
      </c>
      <c r="B2623" s="993">
        <f t="shared" si="256"/>
        <v>8</v>
      </c>
      <c r="C2623" s="78">
        <v>42613</v>
      </c>
      <c r="D2623" s="78" t="s">
        <v>579</v>
      </c>
      <c r="E2623" s="78">
        <v>42591</v>
      </c>
      <c r="F2623" s="72" t="s">
        <v>636</v>
      </c>
      <c r="G2623" s="975" t="s">
        <v>1856</v>
      </c>
      <c r="H2623" s="80" t="s">
        <v>627</v>
      </c>
      <c r="I2623" s="435"/>
      <c r="J2623" s="435"/>
      <c r="K2623" s="426"/>
      <c r="L2623" s="435"/>
      <c r="M2623" s="81">
        <v>2000000</v>
      </c>
      <c r="N2623" s="82" t="s">
        <v>588</v>
      </c>
      <c r="O2623" s="82" t="s">
        <v>8</v>
      </c>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c r="AE2623" s="341" t="str">
        <f t="shared" si="258"/>
        <v>x</v>
      </c>
      <c r="AF2623" s="345">
        <v>8</v>
      </c>
    </row>
    <row r="2624" spans="1:32" s="345" customFormat="1" ht="15.75" customHeight="1">
      <c r="A2624" s="334" t="str">
        <f>IF(B2624&lt;&gt;"",IF(AND(B2624='IN-TC'!$S$4,OR(TH!N2624="1111",TH!O2624="1111")),TH!D2624,""),"")</f>
        <v/>
      </c>
      <c r="B2624" s="993">
        <f t="shared" si="256"/>
        <v>8</v>
      </c>
      <c r="C2624" s="78">
        <v>42613</v>
      </c>
      <c r="D2624" s="78" t="s">
        <v>579</v>
      </c>
      <c r="E2624" s="78">
        <v>42591</v>
      </c>
      <c r="F2624" s="72" t="s">
        <v>637</v>
      </c>
      <c r="G2624" s="975" t="s">
        <v>1856</v>
      </c>
      <c r="H2624" s="80" t="s">
        <v>627</v>
      </c>
      <c r="I2624" s="435"/>
      <c r="J2624" s="435"/>
      <c r="K2624" s="426"/>
      <c r="L2624" s="435"/>
      <c r="M2624" s="81">
        <v>200000</v>
      </c>
      <c r="N2624" s="82" t="s">
        <v>9</v>
      </c>
      <c r="O2624" s="82" t="s">
        <v>8</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x</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c r="AE2624" s="341" t="str">
        <f t="shared" si="258"/>
        <v>x</v>
      </c>
      <c r="AF2624" s="345">
        <v>8</v>
      </c>
    </row>
    <row r="2625" spans="1:32" s="345" customFormat="1" ht="15.75" customHeight="1">
      <c r="A2625" s="334" t="str">
        <f>IF(B2625&lt;&gt;"",IF(AND(B2625='IN-TC'!$S$4,OR(TH!N2625="1111",TH!O2625="1111")),TH!D2625,""),"")</f>
        <v/>
      </c>
      <c r="B2625" s="993">
        <f t="shared" si="256"/>
        <v>8</v>
      </c>
      <c r="C2625" s="78">
        <v>42613</v>
      </c>
      <c r="D2625" s="78" t="s">
        <v>579</v>
      </c>
      <c r="E2625" s="78">
        <v>42593</v>
      </c>
      <c r="F2625" s="72" t="s">
        <v>636</v>
      </c>
      <c r="G2625" s="975" t="s">
        <v>1857</v>
      </c>
      <c r="H2625" s="80" t="s">
        <v>627</v>
      </c>
      <c r="I2625" s="435"/>
      <c r="J2625" s="435"/>
      <c r="K2625" s="426"/>
      <c r="L2625" s="435"/>
      <c r="M2625" s="81">
        <v>2000000</v>
      </c>
      <c r="N2625" s="82" t="s">
        <v>588</v>
      </c>
      <c r="O2625" s="82" t="s">
        <v>8</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c r="AE2625" s="341" t="str">
        <f t="shared" si="258"/>
        <v>x</v>
      </c>
      <c r="AF2625" s="345">
        <v>8</v>
      </c>
    </row>
    <row r="2626" spans="1:32" s="345" customFormat="1" ht="15.75" customHeight="1">
      <c r="A2626" s="334" t="str">
        <f>IF(B2626&lt;&gt;"",IF(AND(B2626='IN-TC'!$S$4,OR(TH!N2626="1111",TH!O2626="1111")),TH!D2626,""),"")</f>
        <v/>
      </c>
      <c r="B2626" s="993">
        <f t="shared" si="256"/>
        <v>8</v>
      </c>
      <c r="C2626" s="78">
        <v>42613</v>
      </c>
      <c r="D2626" s="78" t="s">
        <v>579</v>
      </c>
      <c r="E2626" s="78">
        <v>42593</v>
      </c>
      <c r="F2626" s="72" t="s">
        <v>637</v>
      </c>
      <c r="G2626" s="975" t="s">
        <v>1857</v>
      </c>
      <c r="H2626" s="80" t="s">
        <v>627</v>
      </c>
      <c r="I2626" s="435"/>
      <c r="J2626" s="435"/>
      <c r="K2626" s="426"/>
      <c r="L2626" s="435"/>
      <c r="M2626" s="81">
        <v>200000</v>
      </c>
      <c r="N2626" s="82" t="s">
        <v>9</v>
      </c>
      <c r="O2626" s="82" t="s">
        <v>8</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x</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c r="AE2626" s="341" t="str">
        <f t="shared" si="258"/>
        <v>x</v>
      </c>
      <c r="AF2626" s="345">
        <v>8</v>
      </c>
    </row>
    <row r="2627" spans="1:32" s="345" customFormat="1" ht="15.75" customHeight="1">
      <c r="A2627" s="334" t="str">
        <f>IF(B2627&lt;&gt;"",IF(AND(B2627='IN-TC'!$S$4,OR(TH!N2627="1111",TH!O2627="1111")),TH!D2627,""),"")</f>
        <v/>
      </c>
      <c r="B2627" s="993">
        <f t="shared" si="256"/>
        <v>8</v>
      </c>
      <c r="C2627" s="78">
        <v>42613</v>
      </c>
      <c r="D2627" s="78" t="s">
        <v>579</v>
      </c>
      <c r="E2627" s="78">
        <v>42598</v>
      </c>
      <c r="F2627" s="72" t="s">
        <v>1851</v>
      </c>
      <c r="G2627" s="975" t="s">
        <v>2193</v>
      </c>
      <c r="H2627" s="80" t="s">
        <v>629</v>
      </c>
      <c r="I2627" s="435"/>
      <c r="J2627" s="435"/>
      <c r="K2627" s="426"/>
      <c r="L2627" s="435"/>
      <c r="M2627" s="81">
        <v>21931800</v>
      </c>
      <c r="N2627" s="82" t="s">
        <v>282</v>
      </c>
      <c r="O2627" s="82" t="s">
        <v>8</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c r="AE2627" s="341" t="str">
        <f t="shared" si="258"/>
        <v>x</v>
      </c>
      <c r="AF2627" s="345">
        <v>8</v>
      </c>
    </row>
    <row r="2628" spans="1:32" s="345" customFormat="1" ht="15.75" customHeight="1">
      <c r="A2628" s="334" t="str">
        <f>IF(B2628&lt;&gt;"",IF(AND(B2628='IN-TC'!$S$4,OR(TH!N2628="1111",TH!O2628="1111")),TH!D2628,""),"")</f>
        <v/>
      </c>
      <c r="B2628" s="993">
        <f t="shared" si="256"/>
        <v>8</v>
      </c>
      <c r="C2628" s="78">
        <v>42613</v>
      </c>
      <c r="D2628" s="78" t="s">
        <v>579</v>
      </c>
      <c r="E2628" s="78">
        <v>42598</v>
      </c>
      <c r="F2628" s="72" t="s">
        <v>1852</v>
      </c>
      <c r="G2628" s="975" t="s">
        <v>2193</v>
      </c>
      <c r="H2628" s="80" t="s">
        <v>629</v>
      </c>
      <c r="I2628" s="435"/>
      <c r="J2628" s="435"/>
      <c r="K2628" s="426"/>
      <c r="L2628" s="435"/>
      <c r="M2628" s="81">
        <v>2193180</v>
      </c>
      <c r="N2628" s="82" t="s">
        <v>9</v>
      </c>
      <c r="O2628" s="82" t="s">
        <v>8</v>
      </c>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x</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E2628" s="341" t="str">
        <f t="shared" si="258"/>
        <v>x</v>
      </c>
      <c r="AF2628" s="345">
        <v>8</v>
      </c>
    </row>
    <row r="2629" spans="1:32" s="345" customFormat="1" ht="15.75" customHeight="1">
      <c r="A2629" s="334" t="str">
        <f>IF(B2629&lt;&gt;"",IF(AND(B2629='IN-TC'!$S$4,OR(TH!N2629="1111",TH!O2629="1111")),TH!D2629,""),"")</f>
        <v/>
      </c>
      <c r="B2629" s="993">
        <f t="shared" si="256"/>
        <v>8</v>
      </c>
      <c r="C2629" s="78">
        <v>42613</v>
      </c>
      <c r="D2629" s="78" t="s">
        <v>579</v>
      </c>
      <c r="E2629" s="78">
        <v>42600</v>
      </c>
      <c r="F2629" s="72" t="s">
        <v>1858</v>
      </c>
      <c r="G2629" s="975" t="s">
        <v>1859</v>
      </c>
      <c r="H2629" s="80" t="s">
        <v>1860</v>
      </c>
      <c r="I2629" s="435"/>
      <c r="J2629" s="435"/>
      <c r="K2629" s="426"/>
      <c r="L2629" s="435"/>
      <c r="M2629" s="81">
        <v>6699000</v>
      </c>
      <c r="N2629" s="82" t="s">
        <v>588</v>
      </c>
      <c r="O2629" s="82" t="s">
        <v>8</v>
      </c>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c r="AE2629" s="341" t="str">
        <f t="shared" si="258"/>
        <v>x</v>
      </c>
    </row>
    <row r="2630" spans="1:32" s="345" customFormat="1" ht="15.75" customHeight="1">
      <c r="A2630" s="334" t="str">
        <f>IF(B2630&lt;&gt;"",IF(AND(B2630='IN-TC'!$S$4,OR(TH!N2630="1111",TH!O2630="1111")),TH!D2630,""),"")</f>
        <v/>
      </c>
      <c r="B2630" s="993">
        <f t="shared" si="256"/>
        <v>8</v>
      </c>
      <c r="C2630" s="78">
        <v>42613</v>
      </c>
      <c r="D2630" s="78" t="s">
        <v>579</v>
      </c>
      <c r="E2630" s="78">
        <v>42600</v>
      </c>
      <c r="F2630" s="72" t="s">
        <v>1862</v>
      </c>
      <c r="G2630" s="975" t="s">
        <v>1861</v>
      </c>
      <c r="H2630" s="80" t="s">
        <v>1860</v>
      </c>
      <c r="I2630" s="435"/>
      <c r="J2630" s="435"/>
      <c r="K2630" s="426"/>
      <c r="L2630" s="435"/>
      <c r="M2630" s="81">
        <v>3731540</v>
      </c>
      <c r="N2630" s="82" t="s">
        <v>588</v>
      </c>
      <c r="O2630" s="82" t="s">
        <v>8</v>
      </c>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c r="AE2630" s="341" t="str">
        <f t="shared" si="258"/>
        <v>x</v>
      </c>
      <c r="AF2630" s="345">
        <v>8</v>
      </c>
    </row>
    <row r="2631" spans="1:32" s="345" customFormat="1" ht="15.75" customHeight="1">
      <c r="A2631" s="334" t="str">
        <f>IF(B2631&lt;&gt;"",IF(AND(B2631='IN-TC'!$S$4,OR(TH!N2631="1111",TH!O2631="1111")),TH!D2631,""),"")</f>
        <v/>
      </c>
      <c r="B2631" s="993">
        <f t="shared" si="256"/>
        <v>8</v>
      </c>
      <c r="C2631" s="78">
        <v>42613</v>
      </c>
      <c r="D2631" s="78" t="s">
        <v>579</v>
      </c>
      <c r="E2631" s="78">
        <v>42600</v>
      </c>
      <c r="F2631" s="72" t="s">
        <v>1863</v>
      </c>
      <c r="G2631" s="975" t="s">
        <v>1861</v>
      </c>
      <c r="H2631" s="80" t="s">
        <v>1860</v>
      </c>
      <c r="I2631" s="435"/>
      <c r="J2631" s="435"/>
      <c r="K2631" s="426"/>
      <c r="L2631" s="435"/>
      <c r="M2631" s="81">
        <v>373154</v>
      </c>
      <c r="N2631" s="82" t="s">
        <v>9</v>
      </c>
      <c r="O2631" s="82" t="s">
        <v>8</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x</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E2631" s="341" t="str">
        <f t="shared" si="258"/>
        <v>x</v>
      </c>
      <c r="AF2631" s="345">
        <v>8</v>
      </c>
    </row>
    <row r="2632" spans="1:32" s="345" customFormat="1" ht="15.75" customHeight="1">
      <c r="A2632" s="334" t="str">
        <f>IF(B2632&lt;&gt;"",IF(AND(B2632='IN-TC'!$S$4,OR(TH!N2632="1111",TH!O2632="1111")),TH!D2632,""),"")</f>
        <v/>
      </c>
      <c r="B2632" s="993">
        <f t="shared" si="256"/>
        <v>8</v>
      </c>
      <c r="C2632" s="78">
        <v>42613</v>
      </c>
      <c r="D2632" s="78" t="s">
        <v>579</v>
      </c>
      <c r="E2632" s="78">
        <v>42608</v>
      </c>
      <c r="F2632" s="72" t="s">
        <v>1853</v>
      </c>
      <c r="G2632" s="975" t="s">
        <v>2194</v>
      </c>
      <c r="H2632" s="80" t="s">
        <v>629</v>
      </c>
      <c r="I2632" s="435"/>
      <c r="J2632" s="435"/>
      <c r="K2632" s="426"/>
      <c r="L2632" s="435"/>
      <c r="M2632" s="81">
        <v>21880500</v>
      </c>
      <c r="N2632" s="82" t="s">
        <v>282</v>
      </c>
      <c r="O2632" s="82" t="s">
        <v>8</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c r="AE2632" s="341" t="str">
        <f t="shared" si="258"/>
        <v>x</v>
      </c>
      <c r="AF2632" s="345">
        <v>8</v>
      </c>
    </row>
    <row r="2633" spans="1:32" s="345" customFormat="1" ht="15.75" customHeight="1">
      <c r="A2633" s="334" t="str">
        <f>IF(B2633&lt;&gt;"",IF(AND(B2633='IN-TC'!$S$4,OR(TH!N2633="1111",TH!O2633="1111")),TH!D2633,""),"")</f>
        <v/>
      </c>
      <c r="B2633" s="993">
        <f t="shared" si="256"/>
        <v>8</v>
      </c>
      <c r="C2633" s="78">
        <v>42613</v>
      </c>
      <c r="D2633" s="78" t="s">
        <v>579</v>
      </c>
      <c r="E2633" s="78">
        <v>42608</v>
      </c>
      <c r="F2633" s="72" t="s">
        <v>1854</v>
      </c>
      <c r="G2633" s="975" t="s">
        <v>2194</v>
      </c>
      <c r="H2633" s="80" t="s">
        <v>629</v>
      </c>
      <c r="I2633" s="435"/>
      <c r="J2633" s="435"/>
      <c r="K2633" s="426"/>
      <c r="L2633" s="435"/>
      <c r="M2633" s="81">
        <v>2188050</v>
      </c>
      <c r="N2633" s="82" t="s">
        <v>9</v>
      </c>
      <c r="O2633" s="82" t="s">
        <v>8</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x</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c r="AE2633" s="341" t="str">
        <f t="shared" si="258"/>
        <v>x</v>
      </c>
      <c r="AF2633" s="345">
        <v>8</v>
      </c>
    </row>
    <row r="2634" spans="1:32" s="345" customFormat="1" ht="15.75" customHeight="1">
      <c r="A2634" s="334" t="str">
        <f>IF(B2634&lt;&gt;"",IF(AND(B2634='IN-TC'!$S$4,OR(TH!N2634="1111",TH!O2634="1111")),TH!D2634,""),"")</f>
        <v/>
      </c>
      <c r="B2634" s="993">
        <f t="shared" si="256"/>
        <v>8</v>
      </c>
      <c r="C2634" s="78">
        <v>42613</v>
      </c>
      <c r="D2634" s="78" t="s">
        <v>579</v>
      </c>
      <c r="E2634" s="78">
        <v>42611</v>
      </c>
      <c r="F2634" s="72" t="s">
        <v>636</v>
      </c>
      <c r="G2634" s="975" t="s">
        <v>1932</v>
      </c>
      <c r="H2634" s="80" t="s">
        <v>627</v>
      </c>
      <c r="I2634" s="435"/>
      <c r="J2634" s="435"/>
      <c r="K2634" s="426"/>
      <c r="L2634" s="435"/>
      <c r="M2634" s="81">
        <v>2041360</v>
      </c>
      <c r="N2634" s="82" t="s">
        <v>588</v>
      </c>
      <c r="O2634" s="82" t="s">
        <v>8</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c r="AE2634" s="341" t="str">
        <f t="shared" si="258"/>
        <v>x</v>
      </c>
      <c r="AF2634" s="345">
        <v>8</v>
      </c>
    </row>
    <row r="2635" spans="1:32" s="345" customFormat="1" ht="15.75" customHeight="1">
      <c r="A2635" s="334" t="str">
        <f>IF(B2635&lt;&gt;"",IF(AND(B2635='IN-TC'!$S$4,OR(TH!N2635="1111",TH!O2635="1111")),TH!D2635,""),"")</f>
        <v/>
      </c>
      <c r="B2635" s="993">
        <f t="shared" si="256"/>
        <v>8</v>
      </c>
      <c r="C2635" s="78">
        <v>42613</v>
      </c>
      <c r="D2635" s="78" t="s">
        <v>579</v>
      </c>
      <c r="E2635" s="78">
        <v>42611</v>
      </c>
      <c r="F2635" s="72" t="s">
        <v>637</v>
      </c>
      <c r="G2635" s="975" t="s">
        <v>1932</v>
      </c>
      <c r="H2635" s="80" t="s">
        <v>627</v>
      </c>
      <c r="I2635" s="435"/>
      <c r="J2635" s="435"/>
      <c r="K2635" s="426"/>
      <c r="L2635" s="435"/>
      <c r="M2635" s="81">
        <v>204136</v>
      </c>
      <c r="N2635" s="82" t="s">
        <v>9</v>
      </c>
      <c r="O2635" s="82" t="s">
        <v>8</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x</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c r="AE2635" s="341" t="str">
        <f t="shared" si="258"/>
        <v>x</v>
      </c>
      <c r="AF2635" s="345">
        <v>8</v>
      </c>
    </row>
    <row r="2636" spans="1:32" s="345" customFormat="1" ht="15.75" customHeight="1">
      <c r="A2636" s="334" t="str">
        <f>IF(B2636&lt;&gt;"",IF(AND(B2636='IN-TC'!$S$4,OR(TH!N2636="1111",TH!O2636="1111")),TH!D2636,""),"")</f>
        <v/>
      </c>
      <c r="B2636" s="993">
        <f t="shared" si="256"/>
        <v>8</v>
      </c>
      <c r="C2636" s="78">
        <v>42613</v>
      </c>
      <c r="D2636" s="78" t="s">
        <v>579</v>
      </c>
      <c r="E2636" s="78">
        <v>42613</v>
      </c>
      <c r="F2636" s="72" t="s">
        <v>1862</v>
      </c>
      <c r="G2636" s="975" t="s">
        <v>1864</v>
      </c>
      <c r="H2636" s="80" t="s">
        <v>1860</v>
      </c>
      <c r="I2636" s="435"/>
      <c r="J2636" s="435"/>
      <c r="K2636" s="426"/>
      <c r="L2636" s="435"/>
      <c r="M2636" s="81">
        <v>4382920</v>
      </c>
      <c r="N2636" s="82" t="s">
        <v>588</v>
      </c>
      <c r="O2636" s="82" t="s">
        <v>8</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c r="AE2636" s="341" t="str">
        <f t="shared" si="258"/>
        <v>x</v>
      </c>
      <c r="AF2636" s="345">
        <v>8</v>
      </c>
    </row>
    <row r="2637" spans="1:32" s="345" customFormat="1" ht="15.75" customHeight="1">
      <c r="A2637" s="334" t="str">
        <f>IF(B2637&lt;&gt;"",IF(AND(B2637='IN-TC'!$S$4,OR(TH!N2637="1111",TH!O2637="1111")),TH!D2637,""),"")</f>
        <v/>
      </c>
      <c r="B2637" s="993">
        <f t="shared" ref="B2637:B2700" si="259">IF(C2637&lt;&gt;"",MONTH(C2637),"")</f>
        <v>8</v>
      </c>
      <c r="C2637" s="78">
        <v>42613</v>
      </c>
      <c r="D2637" s="78" t="s">
        <v>579</v>
      </c>
      <c r="E2637" s="78">
        <v>42613</v>
      </c>
      <c r="F2637" s="72" t="s">
        <v>1863</v>
      </c>
      <c r="G2637" s="975" t="s">
        <v>1864</v>
      </c>
      <c r="H2637" s="80" t="s">
        <v>1860</v>
      </c>
      <c r="I2637" s="435"/>
      <c r="J2637" s="435"/>
      <c r="K2637" s="426"/>
      <c r="L2637" s="435"/>
      <c r="M2637" s="81">
        <v>438292</v>
      </c>
      <c r="N2637" s="82" t="s">
        <v>9</v>
      </c>
      <c r="O2637" s="82" t="s">
        <v>8</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x</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c r="AE2637" s="341" t="str">
        <f t="shared" si="258"/>
        <v>x</v>
      </c>
      <c r="AF2637" s="345">
        <v>8</v>
      </c>
    </row>
    <row r="2638" spans="1:32" s="345" customFormat="1" ht="15.75" customHeight="1">
      <c r="A2638" s="334" t="str">
        <f>IF(B2638&lt;&gt;"",IF(AND(B2638='IN-TC'!$S$4,OR(TH!N2638="1111",TH!O2638="1111")),TH!D2638,""),"")</f>
        <v/>
      </c>
      <c r="B2638" s="993">
        <f t="shared" si="259"/>
        <v>8</v>
      </c>
      <c r="C2638" s="78">
        <v>42613</v>
      </c>
      <c r="D2638" s="78" t="s">
        <v>579</v>
      </c>
      <c r="E2638" s="78">
        <v>42613</v>
      </c>
      <c r="F2638" s="72" t="s">
        <v>1858</v>
      </c>
      <c r="G2638" s="975" t="s">
        <v>1929</v>
      </c>
      <c r="H2638" s="80" t="s">
        <v>1931</v>
      </c>
      <c r="I2638" s="435"/>
      <c r="J2638" s="435"/>
      <c r="K2638" s="426"/>
      <c r="L2638" s="435"/>
      <c r="M2638" s="81">
        <v>24884526</v>
      </c>
      <c r="N2638" s="82" t="s">
        <v>588</v>
      </c>
      <c r="O2638" s="82" t="s">
        <v>8</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c r="AE2638" s="341" t="str">
        <f t="shared" si="258"/>
        <v>x</v>
      </c>
    </row>
    <row r="2639" spans="1:32" s="345" customFormat="1" ht="15.75" customHeight="1">
      <c r="A2639" s="334" t="str">
        <f>IF(B2639&lt;&gt;"",IF(AND(B2639='IN-TC'!$S$4,OR(TH!N2639="1111",TH!O2639="1111")),TH!D2639,""),"")</f>
        <v/>
      </c>
      <c r="B2639" s="993">
        <f t="shared" si="259"/>
        <v>8</v>
      </c>
      <c r="C2639" s="78">
        <v>42613</v>
      </c>
      <c r="D2639" s="78" t="s">
        <v>579</v>
      </c>
      <c r="E2639" s="78">
        <v>42613</v>
      </c>
      <c r="F2639" s="72" t="s">
        <v>1927</v>
      </c>
      <c r="G2639" s="975" t="s">
        <v>1930</v>
      </c>
      <c r="H2639" s="80" t="s">
        <v>1931</v>
      </c>
      <c r="I2639" s="435"/>
      <c r="J2639" s="435"/>
      <c r="K2639" s="426"/>
      <c r="L2639" s="435"/>
      <c r="M2639" s="81">
        <v>2569100</v>
      </c>
      <c r="N2639" s="82" t="s">
        <v>588</v>
      </c>
      <c r="O2639" s="82" t="s">
        <v>8</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c r="AE2639" s="341" t="str">
        <f t="shared" si="258"/>
        <v>x</v>
      </c>
      <c r="AF2639" s="345">
        <v>8</v>
      </c>
    </row>
    <row r="2640" spans="1:32" s="345" customFormat="1" ht="15.75" customHeight="1">
      <c r="A2640" s="334" t="str">
        <f>IF(B2640&lt;&gt;"",IF(AND(B2640='IN-TC'!$S$4,OR(TH!N2640="1111",TH!O2640="1111")),TH!D2640,""),"")</f>
        <v/>
      </c>
      <c r="B2640" s="993">
        <f t="shared" si="259"/>
        <v>8</v>
      </c>
      <c r="C2640" s="78">
        <v>42613</v>
      </c>
      <c r="D2640" s="78" t="s">
        <v>579</v>
      </c>
      <c r="E2640" s="78">
        <v>42613</v>
      </c>
      <c r="F2640" s="72" t="s">
        <v>1928</v>
      </c>
      <c r="G2640" s="975" t="s">
        <v>1930</v>
      </c>
      <c r="H2640" s="80" t="s">
        <v>1931</v>
      </c>
      <c r="I2640" s="435"/>
      <c r="J2640" s="435"/>
      <c r="K2640" s="426"/>
      <c r="L2640" s="435"/>
      <c r="M2640" s="81">
        <v>256910</v>
      </c>
      <c r="N2640" s="82" t="s">
        <v>9</v>
      </c>
      <c r="O2640" s="82" t="s">
        <v>8</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x</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c r="AE2640" s="341" t="str">
        <f t="shared" si="258"/>
        <v>x</v>
      </c>
      <c r="AF2640" s="345">
        <v>8</v>
      </c>
    </row>
    <row r="2641" spans="1:31" s="349" customFormat="1" ht="15.75" customHeight="1">
      <c r="A2641" s="334" t="str">
        <f>IF(B2641&lt;&gt;"",IF(AND(B2641='IN-TC'!$S$4,OR(TH!N2641="1111",TH!O2641="1111")),TH!D2641,""),"")</f>
        <v/>
      </c>
      <c r="B2641" s="63">
        <f t="shared" si="259"/>
        <v>9</v>
      </c>
      <c r="C2641" s="64">
        <v>42634</v>
      </c>
      <c r="D2641" s="64" t="s">
        <v>674</v>
      </c>
      <c r="E2641" s="64">
        <f t="shared" ref="E2641:E2654" si="260">C2641</f>
        <v>42634</v>
      </c>
      <c r="F2641" s="72" t="s">
        <v>650</v>
      </c>
      <c r="G2641" s="972" t="s">
        <v>1987</v>
      </c>
      <c r="H2641" s="72" t="s">
        <v>1416</v>
      </c>
      <c r="I2641" s="437">
        <v>2400</v>
      </c>
      <c r="J2641" s="437">
        <v>14000</v>
      </c>
      <c r="K2641" s="428"/>
      <c r="L2641" s="437"/>
      <c r="M2641" s="65">
        <v>33600000</v>
      </c>
      <c r="N2641" s="66" t="s">
        <v>276</v>
      </c>
      <c r="O2641" s="66" t="s">
        <v>8</v>
      </c>
      <c r="P2641" s="82" t="str">
        <f>IF(AND('331-CT'!$E$7=TH!H2641,OR(N2641="331",O2641="331")),"x","")</f>
        <v>x</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x</v>
      </c>
      <c r="AC2641" s="82" t="str">
        <f>IF(AND(OR(LEFT(TH!N2641,2)="15",LEFT(TH!O2641,2)="15"),TK!$E$7=TH!F2641),"x","")</f>
        <v/>
      </c>
      <c r="AD2641" s="82" t="str">
        <f>IF(AND(N2641="1521",MONTH(C2641)='BK-NL'!$M$11),"x","")</f>
        <v/>
      </c>
      <c r="AE2641" s="349">
        <v>1</v>
      </c>
    </row>
    <row r="2642" spans="1:31" s="349" customFormat="1" ht="15.75" customHeight="1">
      <c r="A2642" s="334" t="str">
        <f>IF(B2642&lt;&gt;"",IF(AND(B2642='IN-TC'!$S$4,OR(TH!N2642="1111",TH!O2642="1111")),TH!D2642,""),"")</f>
        <v/>
      </c>
      <c r="B2642" s="63">
        <f t="shared" si="259"/>
        <v>9</v>
      </c>
      <c r="C2642" s="64">
        <v>42634</v>
      </c>
      <c r="D2642" s="64" t="s">
        <v>674</v>
      </c>
      <c r="E2642" s="64">
        <f t="shared" si="260"/>
        <v>42634</v>
      </c>
      <c r="F2642" s="72" t="s">
        <v>651</v>
      </c>
      <c r="G2642" s="972" t="s">
        <v>1987</v>
      </c>
      <c r="H2642" s="72" t="s">
        <v>1416</v>
      </c>
      <c r="I2642" s="437"/>
      <c r="J2642" s="437"/>
      <c r="K2642" s="428"/>
      <c r="L2642" s="437"/>
      <c r="M2642" s="65">
        <v>3360000</v>
      </c>
      <c r="N2642" s="66" t="s">
        <v>9</v>
      </c>
      <c r="O2642" s="66" t="s">
        <v>8</v>
      </c>
      <c r="P2642" s="82" t="str">
        <f>IF(AND('331-CT'!$E$7=TH!H2642,OR(N2642="331",O2642="331")),"x","")</f>
        <v>x</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x</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c r="AE2642" s="349">
        <v>1</v>
      </c>
    </row>
    <row r="2643" spans="1:31" s="349" customFormat="1" ht="15.75" customHeight="1">
      <c r="A2643" s="334" t="str">
        <f>IF(B2643&lt;&gt;"",IF(AND(B2643='IN-TC'!$S$4,OR(TH!N2736="1111",TH!O2736="1111")),TH!D2736,""),"")</f>
        <v/>
      </c>
      <c r="B2643" s="63">
        <f t="shared" si="259"/>
        <v>9</v>
      </c>
      <c r="C2643" s="64">
        <v>42614</v>
      </c>
      <c r="D2643" s="64" t="s">
        <v>864</v>
      </c>
      <c r="E2643" s="64">
        <f t="shared" si="260"/>
        <v>42614</v>
      </c>
      <c r="F2643" s="72" t="s">
        <v>2032</v>
      </c>
      <c r="G2643" s="972" t="s">
        <v>2033</v>
      </c>
      <c r="H2643" s="72" t="s">
        <v>1423</v>
      </c>
      <c r="I2643" s="437"/>
      <c r="J2643" s="437"/>
      <c r="K2643" s="428"/>
      <c r="L2643" s="437"/>
      <c r="M2643" s="65">
        <v>380000</v>
      </c>
      <c r="N2643" s="66" t="s">
        <v>101</v>
      </c>
      <c r="O2643" s="66" t="s">
        <v>63</v>
      </c>
      <c r="P2643" s="82" t="str">
        <f>IF(AND('331-CT'!$E$7=TH!H2736,OR(N2643="331",O2643="331")),"x","")</f>
        <v/>
      </c>
      <c r="Q2643" s="82" t="str">
        <f>IF(AND(B2643='111'!$L$11,OR($N2643=$Q$7,$O2643=$Q$7)),"x","")</f>
        <v>x</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IF(OR(TH!N2736=TH!$X$7,O2643=TH!$X$7),"x","")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c r="AE2643" s="349">
        <v>1</v>
      </c>
    </row>
    <row r="2644" spans="1:31" s="349" customFormat="1" ht="15.75" customHeight="1">
      <c r="A2644" s="334" t="str">
        <f>IF(B2644&lt;&gt;"",IF(AND(B2644='IN-TC'!$S$4,OR(TH!N2737="1111",TH!O2737="1111")),TH!D2737,""),"")</f>
        <v/>
      </c>
      <c r="B2644" s="63">
        <f t="shared" si="259"/>
        <v>9</v>
      </c>
      <c r="C2644" s="64">
        <v>42614</v>
      </c>
      <c r="D2644" s="64" t="s">
        <v>864</v>
      </c>
      <c r="E2644" s="64">
        <f t="shared" si="260"/>
        <v>42614</v>
      </c>
      <c r="F2644" s="72" t="s">
        <v>2034</v>
      </c>
      <c r="G2644" s="972" t="s">
        <v>2033</v>
      </c>
      <c r="H2644" s="72" t="s">
        <v>1423</v>
      </c>
      <c r="I2644" s="437"/>
      <c r="J2644" s="437"/>
      <c r="K2644" s="428"/>
      <c r="L2644" s="437"/>
      <c r="M2644" s="65">
        <v>19000</v>
      </c>
      <c r="N2644" s="66" t="s">
        <v>9</v>
      </c>
      <c r="O2644" s="66" t="s">
        <v>63</v>
      </c>
      <c r="P2644" s="82" t="str">
        <f>IF(AND('331-CT'!$E$7=TH!H2737,OR(N2644="331",O2644="331")),"x","")</f>
        <v/>
      </c>
      <c r="Q2644" s="82" t="str">
        <f>IF(AND(B2644='111'!$L$11,OR($N2644=$Q$7,$O2644=$Q$7)),"x","")</f>
        <v>x</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IF(OR(TH!N2737=TH!$X$7,O2644=TH!$X$7),"x","")</f>
        <v>x</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c r="AE2644" s="349">
        <v>1</v>
      </c>
    </row>
    <row r="2645" spans="1:31" s="349" customFormat="1" ht="15.75" customHeight="1">
      <c r="A2645" s="334" t="str">
        <f>IF(B2645&lt;&gt;"",IF(AND(B2645='IN-TC'!$S$4,OR(TH!N2645="1111",TH!O2645="1111")),TH!D2645,""),"")</f>
        <v/>
      </c>
      <c r="B2645" s="63">
        <f t="shared" si="259"/>
        <v>9</v>
      </c>
      <c r="C2645" s="64">
        <v>42642</v>
      </c>
      <c r="D2645" s="64" t="s">
        <v>675</v>
      </c>
      <c r="E2645" s="64">
        <f t="shared" si="260"/>
        <v>42642</v>
      </c>
      <c r="F2645" s="72" t="s">
        <v>1836</v>
      </c>
      <c r="G2645" s="972" t="s">
        <v>2069</v>
      </c>
      <c r="H2645" s="72" t="s">
        <v>1841</v>
      </c>
      <c r="I2645" s="437">
        <v>23500</v>
      </c>
      <c r="J2645" s="437">
        <v>1150</v>
      </c>
      <c r="K2645" s="428"/>
      <c r="L2645" s="437"/>
      <c r="M2645" s="65">
        <f>I2645*J2645</f>
        <v>27025000</v>
      </c>
      <c r="N2645" s="66" t="s">
        <v>276</v>
      </c>
      <c r="O2645" s="66" t="s">
        <v>8</v>
      </c>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c r="AE2645" s="349">
        <v>1</v>
      </c>
    </row>
    <row r="2646" spans="1:31" s="349" customFormat="1" ht="15.75" customHeight="1">
      <c r="A2646" s="334" t="str">
        <f>IF(B2646&lt;&gt;"",IF(AND(B2646='IN-TC'!$S$4,OR(TH!N2646="1111",TH!O2646="1111")),TH!D2646,""),"")</f>
        <v/>
      </c>
      <c r="B2646" s="63">
        <f t="shared" si="259"/>
        <v>9</v>
      </c>
      <c r="C2646" s="64">
        <v>42642</v>
      </c>
      <c r="D2646" s="64" t="s">
        <v>675</v>
      </c>
      <c r="E2646" s="64">
        <f t="shared" si="260"/>
        <v>42642</v>
      </c>
      <c r="F2646" s="72" t="s">
        <v>2068</v>
      </c>
      <c r="G2646" s="972" t="s">
        <v>2069</v>
      </c>
      <c r="H2646" s="72" t="s">
        <v>1841</v>
      </c>
      <c r="I2646" s="437"/>
      <c r="J2646" s="437"/>
      <c r="K2646" s="428"/>
      <c r="L2646" s="437"/>
      <c r="M2646" s="65">
        <v>2702500</v>
      </c>
      <c r="N2646" s="66" t="s">
        <v>9</v>
      </c>
      <c r="O2646" s="66" t="s">
        <v>8</v>
      </c>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x</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c r="AE2646" s="349">
        <v>1</v>
      </c>
    </row>
    <row r="2647" spans="1:31" s="349" customFormat="1" ht="15.75" customHeight="1">
      <c r="A2647" s="334" t="str">
        <f>IF(B2647&lt;&gt;"",IF(AND(B2647='IN-TC'!$S$4,OR(TH!N2647="1111",TH!O2647="1111")),TH!D2647,""),"")</f>
        <v/>
      </c>
      <c r="B2647" s="63">
        <f t="shared" si="259"/>
        <v>9</v>
      </c>
      <c r="C2647" s="64">
        <v>42643</v>
      </c>
      <c r="D2647" s="64" t="s">
        <v>676</v>
      </c>
      <c r="E2647" s="64">
        <f t="shared" si="260"/>
        <v>42643</v>
      </c>
      <c r="F2647" s="72" t="s">
        <v>401</v>
      </c>
      <c r="G2647" s="972" t="s">
        <v>2025</v>
      </c>
      <c r="H2647" s="72" t="s">
        <v>620</v>
      </c>
      <c r="I2647" s="437">
        <v>502</v>
      </c>
      <c r="J2647" s="437">
        <v>18200</v>
      </c>
      <c r="K2647" s="428"/>
      <c r="L2647" s="437"/>
      <c r="M2647" s="65">
        <f>I2647*J2647</f>
        <v>9136400</v>
      </c>
      <c r="N2647" s="66" t="s">
        <v>276</v>
      </c>
      <c r="O2647" s="66" t="s">
        <v>8</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E2647" s="349">
        <v>1</v>
      </c>
    </row>
    <row r="2648" spans="1:31" s="349" customFormat="1" ht="15.75" customHeight="1">
      <c r="A2648" s="334" t="str">
        <f>IF(B2648&lt;&gt;"",IF(AND(B2648='IN-TC'!$S$4,OR(TH!N2648="1111",TH!O2648="1111")),TH!D2648,""),"")</f>
        <v/>
      </c>
      <c r="B2648" s="63">
        <f t="shared" si="259"/>
        <v>9</v>
      </c>
      <c r="C2648" s="64">
        <v>42643</v>
      </c>
      <c r="D2648" s="64" t="s">
        <v>676</v>
      </c>
      <c r="E2648" s="64">
        <f t="shared" si="260"/>
        <v>42643</v>
      </c>
      <c r="F2648" s="72" t="s">
        <v>2022</v>
      </c>
      <c r="G2648" s="972" t="s">
        <v>2025</v>
      </c>
      <c r="H2648" s="72" t="s">
        <v>620</v>
      </c>
      <c r="I2648" s="437">
        <v>204</v>
      </c>
      <c r="J2648" s="437">
        <v>13500</v>
      </c>
      <c r="K2648" s="428"/>
      <c r="L2648" s="437"/>
      <c r="M2648" s="65">
        <f>I2648*J2648</f>
        <v>2754000</v>
      </c>
      <c r="N2648" s="66" t="s">
        <v>276</v>
      </c>
      <c r="O2648" s="66" t="s">
        <v>8</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c r="AE2648" s="349">
        <v>1</v>
      </c>
    </row>
    <row r="2649" spans="1:31" s="349" customFormat="1" ht="15.75" customHeight="1">
      <c r="A2649" s="334" t="str">
        <f>IF(B2649&lt;&gt;"",IF(AND(B2649='IN-TC'!$S$4,OR(TH!N2649="1111",TH!O2649="1111")),TH!D2649,""),"")</f>
        <v/>
      </c>
      <c r="B2649" s="63">
        <f t="shared" si="259"/>
        <v>9</v>
      </c>
      <c r="C2649" s="64">
        <v>42643</v>
      </c>
      <c r="D2649" s="64" t="s">
        <v>676</v>
      </c>
      <c r="E2649" s="64">
        <f t="shared" si="260"/>
        <v>42643</v>
      </c>
      <c r="F2649" s="72" t="s">
        <v>2023</v>
      </c>
      <c r="G2649" s="972" t="s">
        <v>2025</v>
      </c>
      <c r="H2649" s="72" t="s">
        <v>620</v>
      </c>
      <c r="I2649" s="437">
        <v>4468</v>
      </c>
      <c r="J2649" s="437">
        <v>10300</v>
      </c>
      <c r="K2649" s="428"/>
      <c r="L2649" s="437"/>
      <c r="M2649" s="65">
        <f>I2649*J2649</f>
        <v>46020400</v>
      </c>
      <c r="N2649" s="66" t="s">
        <v>276</v>
      </c>
      <c r="O2649" s="66" t="s">
        <v>8</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c r="AE2649" s="349">
        <v>1</v>
      </c>
    </row>
    <row r="2650" spans="1:31" s="349" customFormat="1" ht="15.75" customHeight="1">
      <c r="A2650" s="334" t="str">
        <f>IF(B2650&lt;&gt;"",IF(AND(B2650='IN-TC'!$S$4,OR(TH!N2650="1111",TH!O2650="1111")),TH!D2650,""),"")</f>
        <v/>
      </c>
      <c r="B2650" s="63">
        <f t="shared" si="259"/>
        <v>9</v>
      </c>
      <c r="C2650" s="64">
        <v>42643</v>
      </c>
      <c r="D2650" s="64" t="s">
        <v>676</v>
      </c>
      <c r="E2650" s="64">
        <f t="shared" si="260"/>
        <v>42643</v>
      </c>
      <c r="F2650" s="72" t="s">
        <v>2024</v>
      </c>
      <c r="G2650" s="972" t="s">
        <v>2025</v>
      </c>
      <c r="H2650" s="72" t="s">
        <v>620</v>
      </c>
      <c r="I2650" s="437">
        <v>1077</v>
      </c>
      <c r="J2650" s="437">
        <v>13500</v>
      </c>
      <c r="K2650" s="428"/>
      <c r="L2650" s="437"/>
      <c r="M2650" s="65">
        <f>I2650*J2650</f>
        <v>14539500</v>
      </c>
      <c r="N2650" s="66" t="s">
        <v>276</v>
      </c>
      <c r="O2650" s="66" t="s">
        <v>8</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c r="AE2650" s="349">
        <v>1</v>
      </c>
    </row>
    <row r="2651" spans="1:31" s="349" customFormat="1" ht="15.75" customHeight="1">
      <c r="A2651" s="334" t="str">
        <f>IF(B2651&lt;&gt;"",IF(AND(B2651='IN-TC'!$S$4,OR(TH!N2651="1111",TH!O2651="1111")),TH!D2651,""),"")</f>
        <v/>
      </c>
      <c r="B2651" s="63">
        <f t="shared" si="259"/>
        <v>9</v>
      </c>
      <c r="C2651" s="64">
        <v>42643</v>
      </c>
      <c r="D2651" s="64" t="s">
        <v>676</v>
      </c>
      <c r="E2651" s="64">
        <f t="shared" si="260"/>
        <v>42643</v>
      </c>
      <c r="F2651" s="72" t="s">
        <v>1506</v>
      </c>
      <c r="G2651" s="972" t="s">
        <v>2025</v>
      </c>
      <c r="H2651" s="72" t="s">
        <v>620</v>
      </c>
      <c r="I2651" s="437">
        <v>253</v>
      </c>
      <c r="J2651" s="437">
        <v>13000</v>
      </c>
      <c r="K2651" s="428"/>
      <c r="L2651" s="437"/>
      <c r="M2651" s="65">
        <f>I2651*J2651</f>
        <v>3289000</v>
      </c>
      <c r="N2651" s="66" t="s">
        <v>276</v>
      </c>
      <c r="O2651" s="66" t="s">
        <v>8</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c r="AE2651" s="349">
        <v>1</v>
      </c>
    </row>
    <row r="2652" spans="1:31" s="349" customFormat="1" ht="15.75" customHeight="1">
      <c r="A2652" s="334" t="str">
        <f>IF(B2652&lt;&gt;"",IF(AND(B2652='IN-TC'!$S$4,OR(TH!N2652="1111",TH!O2652="1111")),TH!D2652,""),"")</f>
        <v/>
      </c>
      <c r="B2652" s="63">
        <f t="shared" si="259"/>
        <v>9</v>
      </c>
      <c r="C2652" s="64">
        <v>42643</v>
      </c>
      <c r="D2652" s="64" t="s">
        <v>676</v>
      </c>
      <c r="E2652" s="64">
        <f t="shared" si="260"/>
        <v>42643</v>
      </c>
      <c r="F2652" s="72" t="s">
        <v>649</v>
      </c>
      <c r="G2652" s="972" t="s">
        <v>2025</v>
      </c>
      <c r="H2652" s="72" t="s">
        <v>620</v>
      </c>
      <c r="I2652" s="437"/>
      <c r="J2652" s="437"/>
      <c r="K2652" s="428"/>
      <c r="L2652" s="437"/>
      <c r="M2652" s="65">
        <v>7573930</v>
      </c>
      <c r="N2652" s="66" t="s">
        <v>9</v>
      </c>
      <c r="O2652" s="66" t="s">
        <v>8</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x</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c r="AE2652" s="349">
        <v>1</v>
      </c>
    </row>
    <row r="2653" spans="1:31" s="349" customFormat="1" ht="15.75" customHeight="1">
      <c r="A2653" s="334" t="str">
        <f>IF(B2653&lt;&gt;"",IF(AND(B2653='IN-TC'!$S$4,OR(TH!N2653="1111",TH!O2653="1111")),TH!D2653,""),"")</f>
        <v/>
      </c>
      <c r="B2653" s="63">
        <f t="shared" si="259"/>
        <v>9</v>
      </c>
      <c r="C2653" s="64">
        <v>42637</v>
      </c>
      <c r="D2653" s="64" t="s">
        <v>579</v>
      </c>
      <c r="E2653" s="64">
        <f t="shared" si="260"/>
        <v>42637</v>
      </c>
      <c r="F2653" s="72" t="s">
        <v>1424</v>
      </c>
      <c r="G2653" s="972" t="s">
        <v>1989</v>
      </c>
      <c r="H2653" s="72" t="s">
        <v>1427</v>
      </c>
      <c r="I2653" s="437"/>
      <c r="J2653" s="437"/>
      <c r="K2653" s="428"/>
      <c r="L2653" s="437"/>
      <c r="M2653" s="65">
        <v>26960000</v>
      </c>
      <c r="N2653" s="66" t="s">
        <v>101</v>
      </c>
      <c r="O2653" s="66" t="s">
        <v>8</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c r="AE2653" s="349">
        <v>1</v>
      </c>
    </row>
    <row r="2654" spans="1:31" s="349" customFormat="1" ht="15.75" customHeight="1">
      <c r="A2654" s="334" t="str">
        <f>IF(B2654&lt;&gt;"",IF(AND(B2654='IN-TC'!$S$4,OR(TH!N2654="1111",TH!O2654="1111")),TH!D2654,""),"")</f>
        <v/>
      </c>
      <c r="B2654" s="63">
        <f t="shared" si="259"/>
        <v>9</v>
      </c>
      <c r="C2654" s="64">
        <v>42637</v>
      </c>
      <c r="D2654" s="64" t="s">
        <v>579</v>
      </c>
      <c r="E2654" s="64">
        <f t="shared" si="260"/>
        <v>42637</v>
      </c>
      <c r="F2654" s="72" t="s">
        <v>1425</v>
      </c>
      <c r="G2654" s="972" t="s">
        <v>1989</v>
      </c>
      <c r="H2654" s="72" t="s">
        <v>1427</v>
      </c>
      <c r="I2654" s="437"/>
      <c r="J2654" s="437"/>
      <c r="K2654" s="428"/>
      <c r="L2654" s="437"/>
      <c r="M2654" s="65">
        <v>2696000</v>
      </c>
      <c r="N2654" s="66" t="s">
        <v>9</v>
      </c>
      <c r="O2654" s="66" t="s">
        <v>8</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x</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c r="AE2654" s="349">
        <v>1</v>
      </c>
    </row>
    <row r="2655" spans="1:31" s="349" customFormat="1" ht="15.75" customHeight="1">
      <c r="A2655" s="334" t="str">
        <f>IF(B2655&lt;&gt;"",IF(AND(B2655='IN-TC'!$S$4,OR(TH!N2655="1111",TH!O2655="1111")),TH!D2655,""),"")</f>
        <v/>
      </c>
      <c r="B2655" s="63">
        <f t="shared" si="259"/>
        <v>9</v>
      </c>
      <c r="C2655" s="64">
        <v>42643</v>
      </c>
      <c r="D2655" s="64" t="s">
        <v>579</v>
      </c>
      <c r="E2655" s="64">
        <v>42621</v>
      </c>
      <c r="F2655" s="72" t="s">
        <v>1500</v>
      </c>
      <c r="G2655" s="972" t="s">
        <v>1990</v>
      </c>
      <c r="H2655" s="72" t="s">
        <v>1498</v>
      </c>
      <c r="I2655" s="437"/>
      <c r="J2655" s="437"/>
      <c r="K2655" s="428"/>
      <c r="L2655" s="437"/>
      <c r="M2655" s="65">
        <v>26126100</v>
      </c>
      <c r="N2655" s="66" t="s">
        <v>588</v>
      </c>
      <c r="O2655" s="66" t="s">
        <v>8</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1" s="349" customFormat="1" ht="15.75" customHeight="1">
      <c r="A2656" s="334" t="str">
        <f>IF(B2656&lt;&gt;"",IF(AND(B2656='IN-TC'!$S$4,OR(TH!N2656="1111",TH!O2656="1111")),TH!D2656,""),"")</f>
        <v/>
      </c>
      <c r="B2656" s="63">
        <f t="shared" si="259"/>
        <v>9</v>
      </c>
      <c r="C2656" s="64">
        <v>42643</v>
      </c>
      <c r="D2656" s="64" t="s">
        <v>579</v>
      </c>
      <c r="E2656" s="64">
        <v>42621</v>
      </c>
      <c r="F2656" s="72" t="s">
        <v>1991</v>
      </c>
      <c r="G2656" s="972" t="s">
        <v>1992</v>
      </c>
      <c r="H2656" s="72" t="s">
        <v>1498</v>
      </c>
      <c r="I2656" s="437"/>
      <c r="J2656" s="437"/>
      <c r="K2656" s="428"/>
      <c r="L2656" s="437"/>
      <c r="M2656" s="65">
        <v>19355644</v>
      </c>
      <c r="N2656" s="66" t="s">
        <v>588</v>
      </c>
      <c r="O2656" s="66" t="s">
        <v>8</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c r="AE2656" s="349">
        <v>1</v>
      </c>
    </row>
    <row r="2657" spans="1:31" s="349" customFormat="1" ht="15.75" customHeight="1">
      <c r="A2657" s="334" t="str">
        <f>IF(B2657&lt;&gt;"",IF(AND(B2657='IN-TC'!$S$4,OR(TH!N2657="1111",TH!O2657="1111")),TH!D2657,""),"")</f>
        <v/>
      </c>
      <c r="B2657" s="63">
        <f t="shared" si="259"/>
        <v>9</v>
      </c>
      <c r="C2657" s="64">
        <v>42643</v>
      </c>
      <c r="D2657" s="64" t="s">
        <v>579</v>
      </c>
      <c r="E2657" s="64">
        <v>42621</v>
      </c>
      <c r="F2657" s="72" t="s">
        <v>1993</v>
      </c>
      <c r="G2657" s="972" t="s">
        <v>1992</v>
      </c>
      <c r="H2657" s="72" t="s">
        <v>1498</v>
      </c>
      <c r="I2657" s="437"/>
      <c r="J2657" s="437"/>
      <c r="K2657" s="428"/>
      <c r="L2657" s="437"/>
      <c r="M2657" s="65">
        <v>1935564</v>
      </c>
      <c r="N2657" s="66" t="s">
        <v>9</v>
      </c>
      <c r="O2657" s="66" t="s">
        <v>8</v>
      </c>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x</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c r="AE2657" s="349">
        <v>1</v>
      </c>
    </row>
    <row r="2658" spans="1:31" s="349" customFormat="1" ht="15.75" customHeight="1">
      <c r="A2658" s="334" t="str">
        <f>IF(B2658&lt;&gt;"",IF(AND(B2658='IN-TC'!$S$4,OR(TH!N2658="1111",TH!O2658="1111")),TH!D2658,""),"")</f>
        <v/>
      </c>
      <c r="B2658" s="63">
        <f t="shared" si="259"/>
        <v>9</v>
      </c>
      <c r="C2658" s="64">
        <v>42643</v>
      </c>
      <c r="D2658" s="64" t="s">
        <v>579</v>
      </c>
      <c r="E2658" s="64">
        <v>42602</v>
      </c>
      <c r="F2658" s="72" t="s">
        <v>1500</v>
      </c>
      <c r="G2658" s="972" t="s">
        <v>1994</v>
      </c>
      <c r="H2658" s="72" t="s">
        <v>1498</v>
      </c>
      <c r="I2658" s="437"/>
      <c r="J2658" s="437"/>
      <c r="K2658" s="428"/>
      <c r="L2658" s="437"/>
      <c r="M2658" s="65">
        <v>26126100</v>
      </c>
      <c r="N2658" s="66" t="s">
        <v>588</v>
      </c>
      <c r="O2658" s="66" t="s">
        <v>8</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1" s="349" customFormat="1" ht="15.75" customHeight="1">
      <c r="A2659" s="334" t="str">
        <f>IF(B2659&lt;&gt;"",IF(AND(B2659='IN-TC'!$S$4,OR(TH!N2659="1111",TH!O2659="1111")),TH!D2659,""),"")</f>
        <v/>
      </c>
      <c r="B2659" s="63">
        <f t="shared" si="259"/>
        <v>9</v>
      </c>
      <c r="C2659" s="64">
        <v>42643</v>
      </c>
      <c r="D2659" s="64" t="s">
        <v>579</v>
      </c>
      <c r="E2659" s="64">
        <v>42602</v>
      </c>
      <c r="F2659" s="72" t="s">
        <v>1996</v>
      </c>
      <c r="G2659" s="972" t="s">
        <v>1995</v>
      </c>
      <c r="H2659" s="72" t="s">
        <v>1498</v>
      </c>
      <c r="I2659" s="437"/>
      <c r="J2659" s="437"/>
      <c r="K2659" s="428"/>
      <c r="L2659" s="437"/>
      <c r="M2659" s="1218">
        <v>19735254</v>
      </c>
      <c r="N2659" s="66" t="s">
        <v>588</v>
      </c>
      <c r="O2659" s="66" t="s">
        <v>8</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c r="AE2659" s="349">
        <v>1</v>
      </c>
    </row>
    <row r="2660" spans="1:31" s="349" customFormat="1" ht="15.75" customHeight="1">
      <c r="A2660" s="334" t="str">
        <f>IF(B2660&lt;&gt;"",IF(AND(B2660='IN-TC'!$S$4,OR(TH!N2660="1111",TH!O2660="1111")),TH!D2660,""),"")</f>
        <v/>
      </c>
      <c r="B2660" s="63">
        <f t="shared" si="259"/>
        <v>9</v>
      </c>
      <c r="C2660" s="64">
        <v>42643</v>
      </c>
      <c r="D2660" s="64" t="s">
        <v>579</v>
      </c>
      <c r="E2660" s="64">
        <v>42602</v>
      </c>
      <c r="F2660" s="72" t="s">
        <v>1997</v>
      </c>
      <c r="G2660" s="972" t="s">
        <v>1995</v>
      </c>
      <c r="H2660" s="72" t="s">
        <v>1498</v>
      </c>
      <c r="I2660" s="437"/>
      <c r="J2660" s="437"/>
      <c r="K2660" s="428"/>
      <c r="L2660" s="437"/>
      <c r="M2660" s="1218">
        <v>1973525</v>
      </c>
      <c r="N2660" s="66" t="s">
        <v>9</v>
      </c>
      <c r="O2660" s="66" t="s">
        <v>8</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x</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c r="AE2660" s="349">
        <v>1</v>
      </c>
    </row>
    <row r="2661" spans="1:31" s="349" customFormat="1" ht="15.75" customHeight="1">
      <c r="A2661" s="334" t="str">
        <f>IF(B2661&lt;&gt;"",IF(AND(B2661='IN-TC'!$S$4,OR(TH!N2661="1111",TH!O2661="1111")),TH!D2661,""),"")</f>
        <v/>
      </c>
      <c r="B2661" s="63">
        <f t="shared" si="259"/>
        <v>9</v>
      </c>
      <c r="C2661" s="64">
        <v>42635</v>
      </c>
      <c r="D2661" s="64" t="s">
        <v>579</v>
      </c>
      <c r="E2661" s="64">
        <f t="shared" ref="E2661:E2692" si="261">C2661</f>
        <v>42635</v>
      </c>
      <c r="F2661" s="72" t="s">
        <v>1169</v>
      </c>
      <c r="G2661" s="972" t="s">
        <v>1999</v>
      </c>
      <c r="H2661" s="72" t="s">
        <v>626</v>
      </c>
      <c r="I2661" s="437"/>
      <c r="J2661" s="437"/>
      <c r="K2661" s="428"/>
      <c r="L2661" s="437"/>
      <c r="M2661" s="65">
        <v>13360000</v>
      </c>
      <c r="N2661" s="66" t="s">
        <v>588</v>
      </c>
      <c r="O2661" s="66" t="s">
        <v>8</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1" s="349" customFormat="1" ht="15.75" customHeight="1">
      <c r="A2662" s="334" t="str">
        <f>IF(B2662&lt;&gt;"",IF(AND(B2662='IN-TC'!$S$4,OR(TH!N2662="1111",TH!O2662="1111")),TH!D2662,""),"")</f>
        <v/>
      </c>
      <c r="B2662" s="63">
        <f t="shared" si="259"/>
        <v>9</v>
      </c>
      <c r="C2662" s="64">
        <v>42635</v>
      </c>
      <c r="D2662" s="64" t="s">
        <v>579</v>
      </c>
      <c r="E2662" s="64">
        <f t="shared" si="261"/>
        <v>42635</v>
      </c>
      <c r="F2662" s="72" t="s">
        <v>1169</v>
      </c>
      <c r="G2662" s="972" t="s">
        <v>2000</v>
      </c>
      <c r="H2662" s="72" t="s">
        <v>626</v>
      </c>
      <c r="I2662" s="437"/>
      <c r="J2662" s="437"/>
      <c r="K2662" s="428"/>
      <c r="L2662" s="437"/>
      <c r="M2662" s="65">
        <v>14340000</v>
      </c>
      <c r="N2662" s="66" t="s">
        <v>588</v>
      </c>
      <c r="O2662" s="66" t="s">
        <v>8</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1" s="349" customFormat="1" ht="15.75" customHeight="1">
      <c r="A2663" s="334" t="str">
        <f>IF(B2663&lt;&gt;"",IF(AND(B2663='IN-TC'!$S$4,OR(TH!N2663="1111",TH!O2663="1111")),TH!D2663,""),"")</f>
        <v/>
      </c>
      <c r="B2663" s="63">
        <f t="shared" si="259"/>
        <v>9</v>
      </c>
      <c r="C2663" s="64">
        <v>42634</v>
      </c>
      <c r="D2663" s="64" t="s">
        <v>579</v>
      </c>
      <c r="E2663" s="64">
        <f t="shared" si="261"/>
        <v>42634</v>
      </c>
      <c r="F2663" s="72" t="s">
        <v>1998</v>
      </c>
      <c r="G2663" s="972" t="s">
        <v>2001</v>
      </c>
      <c r="H2663" s="72" t="s">
        <v>626</v>
      </c>
      <c r="I2663" s="437"/>
      <c r="J2663" s="437"/>
      <c r="K2663" s="428"/>
      <c r="L2663" s="437"/>
      <c r="M2663" s="65">
        <v>1663000</v>
      </c>
      <c r="N2663" s="66" t="s">
        <v>588</v>
      </c>
      <c r="O2663" s="66" t="s">
        <v>8</v>
      </c>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1" s="349" customFormat="1" ht="15.75" customHeight="1">
      <c r="A2664" s="334" t="str">
        <f>IF(B2664&lt;&gt;"",IF(AND(B2664='IN-TC'!$S$4,OR(TH!N2664="1111",TH!O2664="1111")),TH!D2664,""),"")</f>
        <v/>
      </c>
      <c r="B2664" s="63">
        <f t="shared" si="259"/>
        <v>9</v>
      </c>
      <c r="C2664" s="64">
        <v>42625</v>
      </c>
      <c r="D2664" s="64" t="s">
        <v>579</v>
      </c>
      <c r="E2664" s="64">
        <f t="shared" si="261"/>
        <v>42625</v>
      </c>
      <c r="F2664" s="72" t="s">
        <v>636</v>
      </c>
      <c r="G2664" s="972" t="s">
        <v>2002</v>
      </c>
      <c r="H2664" s="72" t="s">
        <v>627</v>
      </c>
      <c r="I2664" s="437"/>
      <c r="J2664" s="437"/>
      <c r="K2664" s="428"/>
      <c r="L2664" s="437"/>
      <c r="M2664" s="65">
        <v>2000000</v>
      </c>
      <c r="N2664" s="66" t="s">
        <v>588</v>
      </c>
      <c r="O2664" s="66" t="s">
        <v>8</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c r="AE2664" s="349">
        <v>1</v>
      </c>
    </row>
    <row r="2665" spans="1:31" s="349" customFormat="1" ht="15.75" customHeight="1">
      <c r="A2665" s="334" t="str">
        <f>IF(B2665&lt;&gt;"",IF(AND(B2665='IN-TC'!$S$4,OR(TH!N2665="1111",TH!O2665="1111")),TH!D2665,""),"")</f>
        <v/>
      </c>
      <c r="B2665" s="63">
        <f t="shared" si="259"/>
        <v>9</v>
      </c>
      <c r="C2665" s="64">
        <v>42625</v>
      </c>
      <c r="D2665" s="64" t="s">
        <v>579</v>
      </c>
      <c r="E2665" s="64">
        <f t="shared" si="261"/>
        <v>42625</v>
      </c>
      <c r="F2665" s="72" t="s">
        <v>637</v>
      </c>
      <c r="G2665" s="972" t="s">
        <v>2002</v>
      </c>
      <c r="H2665" s="72" t="s">
        <v>627</v>
      </c>
      <c r="I2665" s="437"/>
      <c r="J2665" s="437"/>
      <c r="K2665" s="428"/>
      <c r="L2665" s="437"/>
      <c r="M2665" s="65">
        <v>200000</v>
      </c>
      <c r="N2665" s="66" t="s">
        <v>9</v>
      </c>
      <c r="O2665" s="66" t="s">
        <v>8</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x</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E2665" s="349">
        <v>1</v>
      </c>
    </row>
    <row r="2666" spans="1:31" s="349" customFormat="1" ht="15.75" customHeight="1">
      <c r="A2666" s="334" t="str">
        <f>IF(B2666&lt;&gt;"",IF(AND(B2666='IN-TC'!$S$4,OR(TH!N2666="1111",TH!O2666="1111")),TH!D2666,""),"")</f>
        <v/>
      </c>
      <c r="B2666" s="63">
        <f t="shared" si="259"/>
        <v>9</v>
      </c>
      <c r="C2666" s="64">
        <v>42627</v>
      </c>
      <c r="D2666" s="64" t="s">
        <v>579</v>
      </c>
      <c r="E2666" s="64">
        <f t="shared" si="261"/>
        <v>42627</v>
      </c>
      <c r="F2666" s="72" t="s">
        <v>636</v>
      </c>
      <c r="G2666" s="972" t="s">
        <v>2003</v>
      </c>
      <c r="H2666" s="72" t="s">
        <v>627</v>
      </c>
      <c r="I2666" s="437"/>
      <c r="J2666" s="437"/>
      <c r="K2666" s="428"/>
      <c r="L2666" s="437"/>
      <c r="M2666" s="65">
        <v>2000000</v>
      </c>
      <c r="N2666" s="66" t="s">
        <v>588</v>
      </c>
      <c r="O2666" s="66" t="s">
        <v>8</v>
      </c>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c r="AE2666" s="349">
        <v>1</v>
      </c>
    </row>
    <row r="2667" spans="1:31" s="349" customFormat="1" ht="15.75" customHeight="1">
      <c r="A2667" s="334" t="str">
        <f>IF(B2667&lt;&gt;"",IF(AND(B2667='IN-TC'!$S$4,OR(TH!N2667="1111",TH!O2667="1111")),TH!D2667,""),"")</f>
        <v/>
      </c>
      <c r="B2667" s="63">
        <f t="shared" si="259"/>
        <v>9</v>
      </c>
      <c r="C2667" s="64">
        <v>42627</v>
      </c>
      <c r="D2667" s="64" t="s">
        <v>579</v>
      </c>
      <c r="E2667" s="64">
        <f t="shared" si="261"/>
        <v>42627</v>
      </c>
      <c r="F2667" s="72" t="s">
        <v>637</v>
      </c>
      <c r="G2667" s="972" t="s">
        <v>2003</v>
      </c>
      <c r="H2667" s="72" t="s">
        <v>627</v>
      </c>
      <c r="I2667" s="437"/>
      <c r="J2667" s="437"/>
      <c r="K2667" s="428"/>
      <c r="L2667" s="437"/>
      <c r="M2667" s="65">
        <v>200000</v>
      </c>
      <c r="N2667" s="66" t="s">
        <v>9</v>
      </c>
      <c r="O2667" s="66" t="s">
        <v>8</v>
      </c>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x</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c r="AE2667" s="349">
        <v>1</v>
      </c>
    </row>
    <row r="2668" spans="1:31" s="349" customFormat="1" ht="15.75" customHeight="1">
      <c r="A2668" s="334" t="str">
        <f>IF(B2668&lt;&gt;"",IF(AND(B2668='IN-TC'!$S$4,OR(TH!N2668="1111",TH!O2668="1111")),TH!D2668,""),"")</f>
        <v/>
      </c>
      <c r="B2668" s="63">
        <f t="shared" si="259"/>
        <v>9</v>
      </c>
      <c r="C2668" s="64">
        <v>42635</v>
      </c>
      <c r="D2668" s="64" t="s">
        <v>579</v>
      </c>
      <c r="E2668" s="64">
        <f t="shared" si="261"/>
        <v>42635</v>
      </c>
      <c r="F2668" s="72" t="s">
        <v>636</v>
      </c>
      <c r="G2668" s="972" t="s">
        <v>2004</v>
      </c>
      <c r="H2668" s="72" t="s">
        <v>627</v>
      </c>
      <c r="I2668" s="437"/>
      <c r="J2668" s="437"/>
      <c r="K2668" s="428"/>
      <c r="L2668" s="437"/>
      <c r="M2668" s="65">
        <v>163428701</v>
      </c>
      <c r="N2668" s="66" t="s">
        <v>588</v>
      </c>
      <c r="O2668" s="66" t="s">
        <v>8</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c r="AE2668" s="349">
        <v>1</v>
      </c>
    </row>
    <row r="2669" spans="1:31" s="349" customFormat="1" ht="15.75" customHeight="1">
      <c r="A2669" s="334" t="str">
        <f>IF(B2669&lt;&gt;"",IF(AND(B2669='IN-TC'!$S$4,OR(TH!N2669="1111",TH!O2669="1111")),TH!D2669,""),"")</f>
        <v/>
      </c>
      <c r="B2669" s="63">
        <f t="shared" si="259"/>
        <v>9</v>
      </c>
      <c r="C2669" s="64">
        <v>42635</v>
      </c>
      <c r="D2669" s="64" t="s">
        <v>579</v>
      </c>
      <c r="E2669" s="64">
        <f t="shared" si="261"/>
        <v>42635</v>
      </c>
      <c r="F2669" s="72" t="s">
        <v>637</v>
      </c>
      <c r="G2669" s="972" t="s">
        <v>2004</v>
      </c>
      <c r="H2669" s="72" t="s">
        <v>627</v>
      </c>
      <c r="I2669" s="437"/>
      <c r="J2669" s="437"/>
      <c r="K2669" s="428"/>
      <c r="L2669" s="437"/>
      <c r="M2669" s="65">
        <v>16342870</v>
      </c>
      <c r="N2669" s="66" t="s">
        <v>9</v>
      </c>
      <c r="O2669" s="66" t="s">
        <v>8</v>
      </c>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x</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c r="AE2669" s="349">
        <v>1</v>
      </c>
    </row>
    <row r="2670" spans="1:31" s="349" customFormat="1" ht="15.75" customHeight="1">
      <c r="A2670" s="334" t="str">
        <f>IF(B2670&lt;&gt;"",IF(AND(B2670='IN-TC'!$S$4,OR(TH!N2670="1111",TH!O2670="1111")),TH!D2670,""),"")</f>
        <v/>
      </c>
      <c r="B2670" s="63">
        <f t="shared" si="259"/>
        <v>9</v>
      </c>
      <c r="C2670" s="64">
        <v>42640</v>
      </c>
      <c r="D2670" s="64" t="s">
        <v>579</v>
      </c>
      <c r="E2670" s="64">
        <f t="shared" si="261"/>
        <v>42640</v>
      </c>
      <c r="F2670" s="72" t="s">
        <v>2005</v>
      </c>
      <c r="G2670" s="972" t="s">
        <v>2007</v>
      </c>
      <c r="H2670" s="72" t="s">
        <v>627</v>
      </c>
      <c r="I2670" s="437"/>
      <c r="J2670" s="437"/>
      <c r="K2670" s="428"/>
      <c r="L2670" s="437"/>
      <c r="M2670" s="65">
        <v>581625</v>
      </c>
      <c r="N2670" s="66" t="s">
        <v>588</v>
      </c>
      <c r="O2670" s="66" t="s">
        <v>8</v>
      </c>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c r="AE2670" s="349">
        <v>1</v>
      </c>
    </row>
    <row r="2671" spans="1:31" s="349" customFormat="1" ht="15.75" customHeight="1">
      <c r="A2671" s="334" t="str">
        <f>IF(B2671&lt;&gt;"",IF(AND(B2671='IN-TC'!$S$4,OR(TH!N2671="1111",TH!O2671="1111")),TH!D2671,""),"")</f>
        <v/>
      </c>
      <c r="B2671" s="63">
        <f t="shared" si="259"/>
        <v>9</v>
      </c>
      <c r="C2671" s="64">
        <v>42640</v>
      </c>
      <c r="D2671" s="64" t="s">
        <v>579</v>
      </c>
      <c r="E2671" s="64">
        <f t="shared" si="261"/>
        <v>42640</v>
      </c>
      <c r="F2671" s="72" t="s">
        <v>2006</v>
      </c>
      <c r="G2671" s="972" t="s">
        <v>2007</v>
      </c>
      <c r="H2671" s="72" t="s">
        <v>627</v>
      </c>
      <c r="I2671" s="437"/>
      <c r="J2671" s="437"/>
      <c r="K2671" s="428"/>
      <c r="L2671" s="437"/>
      <c r="M2671" s="65">
        <v>58163</v>
      </c>
      <c r="N2671" s="66" t="s">
        <v>9</v>
      </c>
      <c r="O2671" s="66" t="s">
        <v>8</v>
      </c>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x</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c r="AE2671" s="349">
        <v>1</v>
      </c>
    </row>
    <row r="2672" spans="1:31" s="349" customFormat="1" ht="15.75" customHeight="1">
      <c r="A2672" s="334" t="str">
        <f>IF(B2672&lt;&gt;"",IF(AND(B2672='IN-TC'!$S$4,OR(TH!N2672="1111",TH!O2672="1111")),TH!D2672,""),"")</f>
        <v/>
      </c>
      <c r="B2672" s="63">
        <f t="shared" si="259"/>
        <v>9</v>
      </c>
      <c r="C2672" s="64">
        <v>42640</v>
      </c>
      <c r="D2672" s="64" t="s">
        <v>579</v>
      </c>
      <c r="E2672" s="64">
        <f t="shared" si="261"/>
        <v>42640</v>
      </c>
      <c r="F2672" s="72" t="s">
        <v>2008</v>
      </c>
      <c r="G2672" s="972" t="s">
        <v>2012</v>
      </c>
      <c r="H2672" s="7" t="s">
        <v>625</v>
      </c>
      <c r="I2672" s="437"/>
      <c r="J2672" s="437"/>
      <c r="K2672" s="428"/>
      <c r="L2672" s="437"/>
      <c r="M2672" s="65">
        <v>46800000</v>
      </c>
      <c r="N2672" s="66" t="s">
        <v>588</v>
      </c>
      <c r="O2672" s="66" t="s">
        <v>8</v>
      </c>
      <c r="P2672" s="82" t="str">
        <f>IF(AND('331-CT'!$E$7=TH!H2672,OR(N2672="331",O2672="331")),"x","")</f>
        <v/>
      </c>
      <c r="Q2672" s="82" t="str">
        <f>IF(AND(B2672='111'!$L$11,OR($N2672=$Q$7,$O2672=$Q$7)),"x","")</f>
        <v/>
      </c>
      <c r="R2672" s="82" t="str">
        <f>IF(AND($N2672=$Q$7,$B2672&lt;'111'!$L$11),"x","")</f>
        <v/>
      </c>
      <c r="S2672" s="82" t="str">
        <f>IF(AND($O2672=$Q$7,$B2672&lt;'111'!$L$11),"x","")</f>
        <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c r="AE2672" s="349">
        <v>1</v>
      </c>
    </row>
    <row r="2673" spans="1:31" s="349" customFormat="1" ht="15.75" customHeight="1">
      <c r="A2673" s="334" t="str">
        <f>IF(B2673&lt;&gt;"",IF(AND(B2673='IN-TC'!$S$4,OR(TH!N2673="1111",TH!O2673="1111")),TH!D2673,""),"")</f>
        <v/>
      </c>
      <c r="B2673" s="63">
        <f t="shared" si="259"/>
        <v>9</v>
      </c>
      <c r="C2673" s="64">
        <v>42640</v>
      </c>
      <c r="D2673" s="64" t="s">
        <v>579</v>
      </c>
      <c r="E2673" s="64">
        <f t="shared" si="261"/>
        <v>42640</v>
      </c>
      <c r="F2673" s="72" t="s">
        <v>2009</v>
      </c>
      <c r="G2673" s="972" t="s">
        <v>2012</v>
      </c>
      <c r="H2673" s="7" t="s">
        <v>625</v>
      </c>
      <c r="I2673" s="437"/>
      <c r="J2673" s="437"/>
      <c r="K2673" s="428"/>
      <c r="L2673" s="437"/>
      <c r="M2673" s="65">
        <v>4680000</v>
      </c>
      <c r="N2673" s="66" t="s">
        <v>9</v>
      </c>
      <c r="O2673" s="66" t="s">
        <v>8</v>
      </c>
      <c r="P2673" s="82" t="str">
        <f>IF(AND('331-CT'!$E$7=TH!H2673,OR(N2673="331",O2673="331")),"x","")</f>
        <v/>
      </c>
      <c r="Q2673" s="82" t="str">
        <f>IF(AND(B2673='111'!$L$11,OR($N2673=$Q$7,$O2673=$Q$7)),"x","")</f>
        <v/>
      </c>
      <c r="R2673" s="82" t="str">
        <f>IF(AND($N2673=$Q$7,$B2673&lt;'111'!$L$11),"x","")</f>
        <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x</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c r="AE2673" s="349">
        <v>1</v>
      </c>
    </row>
    <row r="2674" spans="1:31" s="349" customFormat="1" ht="15.75" customHeight="1">
      <c r="A2674" s="334" t="str">
        <f>IF(B2674&lt;&gt;"",IF(AND(B2674='IN-TC'!$S$4,OR(TH!N2674="1111",TH!O2674="1111")),TH!D2674,""),"")</f>
        <v/>
      </c>
      <c r="B2674" s="63">
        <f t="shared" si="259"/>
        <v>9</v>
      </c>
      <c r="C2674" s="64">
        <v>42641</v>
      </c>
      <c r="D2674" s="64" t="s">
        <v>579</v>
      </c>
      <c r="E2674" s="64">
        <f t="shared" si="261"/>
        <v>42641</v>
      </c>
      <c r="F2674" s="72" t="s">
        <v>2010</v>
      </c>
      <c r="G2674" s="972" t="s">
        <v>2013</v>
      </c>
      <c r="H2674" s="7" t="s">
        <v>625</v>
      </c>
      <c r="I2674" s="437"/>
      <c r="J2674" s="437"/>
      <c r="K2674" s="428"/>
      <c r="L2674" s="437"/>
      <c r="M2674" s="65">
        <v>47000000</v>
      </c>
      <c r="N2674" s="66" t="s">
        <v>588</v>
      </c>
      <c r="O2674" s="66" t="s">
        <v>8</v>
      </c>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c r="AE2674" s="349">
        <v>1</v>
      </c>
    </row>
    <row r="2675" spans="1:31" s="349" customFormat="1" ht="15.75" customHeight="1">
      <c r="A2675" s="334" t="str">
        <f>IF(B2675&lt;&gt;"",IF(AND(B2675='IN-TC'!$S$4,OR(TH!N2675="1111",TH!O2675="1111")),TH!D2675,""),"")</f>
        <v/>
      </c>
      <c r="B2675" s="63">
        <f t="shared" si="259"/>
        <v>9</v>
      </c>
      <c r="C2675" s="64">
        <v>42641</v>
      </c>
      <c r="D2675" s="64" t="s">
        <v>579</v>
      </c>
      <c r="E2675" s="64">
        <f t="shared" si="261"/>
        <v>42641</v>
      </c>
      <c r="F2675" s="72" t="s">
        <v>2011</v>
      </c>
      <c r="G2675" s="972" t="s">
        <v>2013</v>
      </c>
      <c r="H2675" s="7" t="s">
        <v>625</v>
      </c>
      <c r="I2675" s="437"/>
      <c r="J2675" s="437"/>
      <c r="K2675" s="428"/>
      <c r="L2675" s="437"/>
      <c r="M2675" s="65">
        <v>4700000</v>
      </c>
      <c r="N2675" s="66" t="s">
        <v>9</v>
      </c>
      <c r="O2675" s="66" t="s">
        <v>8</v>
      </c>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x</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c r="AE2675" s="349">
        <v>1</v>
      </c>
    </row>
    <row r="2676" spans="1:31" s="349" customFormat="1" ht="15.75" customHeight="1">
      <c r="A2676" s="334" t="str">
        <f>IF(B2676&lt;&gt;"",IF(AND(B2676='IN-TC'!$S$4,OR(TH!N2676="1111",TH!O2676="1111")),TH!D2676,""),"")</f>
        <v/>
      </c>
      <c r="B2676" s="63">
        <f t="shared" si="259"/>
        <v>9</v>
      </c>
      <c r="C2676" s="64">
        <v>42621</v>
      </c>
      <c r="D2676" s="64" t="s">
        <v>579</v>
      </c>
      <c r="E2676" s="64">
        <f t="shared" si="261"/>
        <v>42621</v>
      </c>
      <c r="F2676" s="72" t="s">
        <v>2014</v>
      </c>
      <c r="G2676" s="972" t="s">
        <v>2070</v>
      </c>
      <c r="H2676" s="72" t="s">
        <v>629</v>
      </c>
      <c r="I2676" s="437"/>
      <c r="J2676" s="437"/>
      <c r="K2676" s="428"/>
      <c r="L2676" s="437"/>
      <c r="M2676" s="65">
        <v>19673900</v>
      </c>
      <c r="N2676" s="66" t="s">
        <v>282</v>
      </c>
      <c r="O2676" s="66" t="s">
        <v>8</v>
      </c>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c r="AE2676" s="349">
        <v>1</v>
      </c>
    </row>
    <row r="2677" spans="1:31" s="349" customFormat="1" ht="15.75" customHeight="1">
      <c r="A2677" s="334" t="str">
        <f>IF(B2677&lt;&gt;"",IF(AND(B2677='IN-TC'!$S$4,OR(TH!N2677="1111",TH!O2677="1111")),TH!D2677,""),"")</f>
        <v/>
      </c>
      <c r="B2677" s="63">
        <f t="shared" si="259"/>
        <v>9</v>
      </c>
      <c r="C2677" s="64">
        <v>42621</v>
      </c>
      <c r="D2677" s="64" t="s">
        <v>579</v>
      </c>
      <c r="E2677" s="64">
        <f t="shared" si="261"/>
        <v>42621</v>
      </c>
      <c r="F2677" s="72" t="s">
        <v>2015</v>
      </c>
      <c r="G2677" s="972" t="s">
        <v>2070</v>
      </c>
      <c r="H2677" s="72" t="s">
        <v>629</v>
      </c>
      <c r="I2677" s="437"/>
      <c r="J2677" s="437"/>
      <c r="K2677" s="428"/>
      <c r="L2677" s="437"/>
      <c r="M2677" s="65">
        <v>1967390</v>
      </c>
      <c r="N2677" s="66" t="s">
        <v>9</v>
      </c>
      <c r="O2677" s="66" t="s">
        <v>8</v>
      </c>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x</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c r="AE2677" s="349">
        <v>1</v>
      </c>
    </row>
    <row r="2678" spans="1:31" s="349" customFormat="1" ht="15.75" customHeight="1">
      <c r="A2678" s="334" t="str">
        <f>IF(B2678&lt;&gt;"",IF(AND(B2678='IN-TC'!$S$4,OR(TH!N2678="1111",TH!O2678="1111")),TH!D2678,""),"")</f>
        <v/>
      </c>
      <c r="B2678" s="63">
        <f t="shared" si="259"/>
        <v>9</v>
      </c>
      <c r="C2678" s="64">
        <v>42629</v>
      </c>
      <c r="D2678" s="64" t="s">
        <v>579</v>
      </c>
      <c r="E2678" s="64">
        <f t="shared" si="261"/>
        <v>42629</v>
      </c>
      <c r="F2678" s="72" t="s">
        <v>2016</v>
      </c>
      <c r="G2678" s="972" t="s">
        <v>2071</v>
      </c>
      <c r="H2678" s="72" t="s">
        <v>629</v>
      </c>
      <c r="I2678" s="437"/>
      <c r="J2678" s="437"/>
      <c r="K2678" s="428"/>
      <c r="L2678" s="437"/>
      <c r="M2678" s="65">
        <v>21960800</v>
      </c>
      <c r="N2678" s="66" t="s">
        <v>282</v>
      </c>
      <c r="O2678" s="66" t="s">
        <v>8</v>
      </c>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c r="AE2678" s="349">
        <v>1</v>
      </c>
    </row>
    <row r="2679" spans="1:31" s="349" customFormat="1" ht="15.75" customHeight="1">
      <c r="A2679" s="334" t="str">
        <f>IF(B2679&lt;&gt;"",IF(AND(B2679='IN-TC'!$S$4,OR(TH!N2679="1111",TH!O2679="1111")),TH!D2679,""),"")</f>
        <v/>
      </c>
      <c r="B2679" s="63">
        <f t="shared" si="259"/>
        <v>9</v>
      </c>
      <c r="C2679" s="64">
        <v>42629</v>
      </c>
      <c r="D2679" s="64" t="s">
        <v>579</v>
      </c>
      <c r="E2679" s="64">
        <f t="shared" si="261"/>
        <v>42629</v>
      </c>
      <c r="F2679" s="72" t="s">
        <v>2017</v>
      </c>
      <c r="G2679" s="972" t="s">
        <v>2071</v>
      </c>
      <c r="H2679" s="72" t="s">
        <v>629</v>
      </c>
      <c r="I2679" s="437"/>
      <c r="J2679" s="437"/>
      <c r="K2679" s="428"/>
      <c r="L2679" s="437"/>
      <c r="M2679" s="65">
        <v>1296080</v>
      </c>
      <c r="N2679" s="66" t="s">
        <v>9</v>
      </c>
      <c r="O2679" s="66" t="s">
        <v>8</v>
      </c>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x</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c r="AE2679" s="349">
        <v>1</v>
      </c>
    </row>
    <row r="2680" spans="1:31" s="349" customFormat="1" ht="15.75" customHeight="1">
      <c r="A2680" s="334" t="str">
        <f>IF(B2680&lt;&gt;"",IF(AND(B2680='IN-TC'!$S$4,OR(TH!N2680="1111",TH!O2680="1111")),TH!D2680,""),"")</f>
        <v/>
      </c>
      <c r="B2680" s="63">
        <f t="shared" si="259"/>
        <v>9</v>
      </c>
      <c r="C2680" s="64">
        <v>42639</v>
      </c>
      <c r="D2680" s="64" t="s">
        <v>579</v>
      </c>
      <c r="E2680" s="64">
        <f t="shared" si="261"/>
        <v>42639</v>
      </c>
      <c r="F2680" s="72" t="s">
        <v>2018</v>
      </c>
      <c r="G2680" s="972" t="s">
        <v>2072</v>
      </c>
      <c r="H2680" s="72" t="s">
        <v>629</v>
      </c>
      <c r="I2680" s="437"/>
      <c r="J2680" s="437"/>
      <c r="K2680" s="428"/>
      <c r="L2680" s="437"/>
      <c r="M2680" s="65">
        <v>19112400</v>
      </c>
      <c r="N2680" s="66" t="s">
        <v>282</v>
      </c>
      <c r="O2680" s="66" t="s">
        <v>8</v>
      </c>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c r="AE2680" s="349">
        <v>1</v>
      </c>
    </row>
    <row r="2681" spans="1:31" s="349" customFormat="1" ht="15.75" customHeight="1">
      <c r="A2681" s="334" t="str">
        <f>IF(B2681&lt;&gt;"",IF(AND(B2681='IN-TC'!$S$4,OR(TH!N2681="1111",TH!O2681="1111")),TH!D2681,""),"")</f>
        <v/>
      </c>
      <c r="B2681" s="63">
        <f t="shared" si="259"/>
        <v>9</v>
      </c>
      <c r="C2681" s="64">
        <v>42639</v>
      </c>
      <c r="D2681" s="64" t="s">
        <v>579</v>
      </c>
      <c r="E2681" s="64">
        <f t="shared" si="261"/>
        <v>42639</v>
      </c>
      <c r="F2681" s="72" t="s">
        <v>2019</v>
      </c>
      <c r="G2681" s="972" t="s">
        <v>2072</v>
      </c>
      <c r="H2681" s="72" t="s">
        <v>629</v>
      </c>
      <c r="I2681" s="437"/>
      <c r="J2681" s="437"/>
      <c r="K2681" s="428"/>
      <c r="L2681" s="437"/>
      <c r="M2681" s="65">
        <v>1911240</v>
      </c>
      <c r="N2681" s="66" t="s">
        <v>9</v>
      </c>
      <c r="O2681" s="66" t="s">
        <v>8</v>
      </c>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x</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c r="AE2681" s="349">
        <v>1</v>
      </c>
    </row>
    <row r="2682" spans="1:31" s="349" customFormat="1" ht="15.75" customHeight="1">
      <c r="A2682" s="334" t="str">
        <f>IF(B2682&lt;&gt;"",IF(AND(B2682='IN-TC'!$S$4,OR(TH!N2682="1111",TH!O2682="1111")),TH!D2682,""),"")</f>
        <v/>
      </c>
      <c r="B2682" s="63">
        <f t="shared" si="259"/>
        <v>9</v>
      </c>
      <c r="C2682" s="64">
        <v>42622</v>
      </c>
      <c r="D2682" s="64" t="s">
        <v>870</v>
      </c>
      <c r="E2682" s="64">
        <f t="shared" si="261"/>
        <v>42622</v>
      </c>
      <c r="F2682" s="72" t="s">
        <v>1139</v>
      </c>
      <c r="G2682" s="67" t="s">
        <v>1558</v>
      </c>
      <c r="H2682" s="72" t="s">
        <v>760</v>
      </c>
      <c r="I2682" s="437"/>
      <c r="J2682" s="437"/>
      <c r="K2682" s="428"/>
      <c r="L2682" s="437"/>
      <c r="M2682" s="65">
        <v>1850000000</v>
      </c>
      <c r="N2682" s="66" t="s">
        <v>63</v>
      </c>
      <c r="O2682" s="66" t="s">
        <v>26</v>
      </c>
      <c r="P2682" s="82" t="str">
        <f>IF(AND('331-CT'!$E$7=TH!H2682,OR(N2682="331",O2682="331")),"x","")</f>
        <v/>
      </c>
      <c r="Q2682" s="82" t="str">
        <f>IF(AND(B2682='111'!$L$11,OR($N2682=$Q$7,$O2682=$Q$7)),"x","")</f>
        <v>x</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x</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1" s="349" customFormat="1" ht="15.75" customHeight="1">
      <c r="A2683" s="334" t="str">
        <f>IF(B2683&lt;&gt;"",IF(AND(B2683='IN-TC'!$S$4,OR(TH!N2683="1111",TH!O2683="1111")),TH!D2683,""),"")</f>
        <v/>
      </c>
      <c r="B2683" s="63">
        <f t="shared" si="259"/>
        <v>9</v>
      </c>
      <c r="C2683" s="64">
        <v>42622</v>
      </c>
      <c r="D2683" s="64" t="s">
        <v>899</v>
      </c>
      <c r="E2683" s="64">
        <f t="shared" si="261"/>
        <v>42622</v>
      </c>
      <c r="F2683" s="72" t="s">
        <v>1139</v>
      </c>
      <c r="G2683" s="67" t="s">
        <v>915</v>
      </c>
      <c r="H2683" s="72" t="s">
        <v>760</v>
      </c>
      <c r="I2683" s="437"/>
      <c r="J2683" s="437"/>
      <c r="K2683" s="428"/>
      <c r="L2683" s="437"/>
      <c r="M2683" s="65">
        <v>100000000</v>
      </c>
      <c r="N2683" s="66" t="s">
        <v>63</v>
      </c>
      <c r="O2683" s="66" t="s">
        <v>26</v>
      </c>
      <c r="P2683" s="82" t="str">
        <f>IF(AND('331-CT'!$E$7=TH!H2683,OR(N2683="331",O2683="331")),"x","")</f>
        <v/>
      </c>
      <c r="Q2683" s="82" t="str">
        <f>IF(AND(B2683='111'!$L$11,OR($N2683=$Q$7,$O2683=$Q$7)),"x","")</f>
        <v>x</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1" s="349" customFormat="1" ht="15.75" customHeight="1">
      <c r="A2684" s="334" t="str">
        <f>IF(B2684&lt;&gt;"",IF(AND(B2684='IN-TC'!$S$4,OR(TH!N2684="1111",TH!O2684="1111")),TH!D2684,""),"")</f>
        <v/>
      </c>
      <c r="B2684" s="63">
        <f t="shared" si="259"/>
        <v>9</v>
      </c>
      <c r="C2684" s="64">
        <v>42627</v>
      </c>
      <c r="D2684" s="64" t="s">
        <v>902</v>
      </c>
      <c r="E2684" s="64">
        <f t="shared" si="261"/>
        <v>42627</v>
      </c>
      <c r="F2684" s="72" t="s">
        <v>1139</v>
      </c>
      <c r="G2684" s="67" t="s">
        <v>1558</v>
      </c>
      <c r="H2684" s="72" t="s">
        <v>760</v>
      </c>
      <c r="I2684" s="437"/>
      <c r="J2684" s="437"/>
      <c r="K2684" s="428"/>
      <c r="L2684" s="437"/>
      <c r="M2684" s="65">
        <v>3300000000</v>
      </c>
      <c r="N2684" s="66" t="s">
        <v>63</v>
      </c>
      <c r="O2684" s="66" t="s">
        <v>26</v>
      </c>
      <c r="P2684" s="82" t="str">
        <f>IF(AND('331-CT'!$E$7=TH!H2684,OR(N2684="331",O2684="331")),"x","")</f>
        <v/>
      </c>
      <c r="Q2684" s="82" t="str">
        <f>IF(AND(B2684='111'!$L$11,OR($N2684=$Q$7,$O2684=$Q$7)),"x","")</f>
        <v>x</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x</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1" s="349" customFormat="1" ht="15.75" customHeight="1">
      <c r="A2685" s="334" t="str">
        <f>IF(B2685&lt;&gt;"",IF(AND(B2685='IN-TC'!$S$4,OR(TH!N2685="1111",TH!O2685="1111")),TH!D2685,""),"")</f>
        <v/>
      </c>
      <c r="B2685" s="63">
        <f t="shared" si="259"/>
        <v>9</v>
      </c>
      <c r="C2685" s="64">
        <v>42634</v>
      </c>
      <c r="D2685" s="64" t="s">
        <v>905</v>
      </c>
      <c r="E2685" s="64">
        <f t="shared" si="261"/>
        <v>42634</v>
      </c>
      <c r="F2685" s="72" t="s">
        <v>1139</v>
      </c>
      <c r="G2685" s="67" t="s">
        <v>1558</v>
      </c>
      <c r="H2685" s="72" t="s">
        <v>760</v>
      </c>
      <c r="I2685" s="437"/>
      <c r="J2685" s="437"/>
      <c r="K2685" s="428"/>
      <c r="L2685" s="437"/>
      <c r="M2685" s="65">
        <v>3300000000</v>
      </c>
      <c r="N2685" s="66" t="s">
        <v>63</v>
      </c>
      <c r="O2685" s="66" t="s">
        <v>26</v>
      </c>
      <c r="P2685" s="82" t="str">
        <f>IF(AND('331-CT'!$E$7=TH!H2685,OR(N2685="331",O2685="331")),"x","")</f>
        <v/>
      </c>
      <c r="Q2685" s="82" t="str">
        <f>IF(AND(B2685='111'!$L$11,OR($N2685=$Q$7,$O2685=$Q$7)),"x","")</f>
        <v>x</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x</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1" s="348" customFormat="1" ht="15.75" customHeight="1">
      <c r="A2686" s="1229" t="str">
        <f>IF(B2686&lt;&gt;"",IF(AND(B2686='IN-TC'!$S$4,OR(TH!N2686="1111",TH!O2686="1111")),TH!D2686,""),"")</f>
        <v/>
      </c>
      <c r="B2686" s="1134">
        <f t="shared" si="259"/>
        <v>9</v>
      </c>
      <c r="C2686" s="92">
        <v>42643</v>
      </c>
      <c r="D2686" s="92" t="s">
        <v>906</v>
      </c>
      <c r="E2686" s="92">
        <f t="shared" si="261"/>
        <v>42643</v>
      </c>
      <c r="F2686" s="72" t="s">
        <v>1891</v>
      </c>
      <c r="G2686" s="93"/>
      <c r="H2686" s="94" t="s">
        <v>1211</v>
      </c>
      <c r="I2686" s="443"/>
      <c r="J2686" s="443"/>
      <c r="K2686" s="434"/>
      <c r="L2686" s="443"/>
      <c r="M2686" s="95">
        <v>60000000</v>
      </c>
      <c r="N2686" s="83" t="s">
        <v>63</v>
      </c>
      <c r="O2686" s="83" t="s">
        <v>72</v>
      </c>
      <c r="P2686" s="83" t="str">
        <f>IF(AND('331-CT'!$E$7=TH!H2686,OR(N2686="331",O2686="331")),"x","")</f>
        <v/>
      </c>
      <c r="Q2686" s="83" t="str">
        <f>IF(AND(B2686='111'!$L$11,OR($N2686=$Q$7,$O2686=$Q$7)),"x","")</f>
        <v>x</v>
      </c>
      <c r="R2686" s="83" t="str">
        <f>IF(AND($N2686=$Q$7,$B2686&lt;'111'!$L$11),"x","")</f>
        <v/>
      </c>
      <c r="S2686" s="83" t="str">
        <f>IF(AND($O2686=$Q$7,$B2686&lt;'111'!$L$11),"x","")</f>
        <v/>
      </c>
      <c r="T2686" s="83" t="str">
        <f>IF(ISERROR(FIND('112'!$M$9,G2686,1)),"",IF((AND(FIND('112'!$M$9,G2686,1)&gt;=1,B2686='112'!$K$9,OR($N2686='112'!$I$6,$O2686='112'!$I$6))),"x",""))</f>
        <v/>
      </c>
      <c r="U2686" s="83" t="str">
        <f>IF(ISERROR(FIND('112'!$M$9,G2686,1)),"",IF((AND(LEFT(G2686,2)=LEFT('112'!$M$9,2),B2686&lt;'112'!$K$9,$N2686='112'!$I$6)),"x",""))</f>
        <v/>
      </c>
      <c r="V2686" s="83" t="str">
        <f>IF(ISERROR(FIND('112'!$M$9,G2686,1)),"",IF((AND(RIGHT(G2686,2)=RIGHT('112'!$M$9,2),B2686&lt;'112'!$K$9,$O2686='112'!$I$6)),"x",""))</f>
        <v/>
      </c>
      <c r="W2686" s="83" t="str">
        <f>IF(AND('341-CT'!$H$9=H2686,OR(LEFT(N2686,3)=$W$7,LEFT(O2686,3)=$W$7)),"x","")</f>
        <v/>
      </c>
      <c r="X2686" s="83" t="str">
        <f>IF(OR(TH!N2686=TH!$X$7,O2686=TH!$X$7),"x","")</f>
        <v/>
      </c>
      <c r="Y2686" s="83" t="str">
        <f>IF(AND(OR(N2686="131",O2686="131"),H2686='131-CT'!$H$9),"x","")</f>
        <v/>
      </c>
      <c r="Z2686" s="83"/>
      <c r="AA2686" s="83" t="str">
        <f>IF(AND(MONTH(E2686)='IN-NX'!$J$5,'IN-NX'!$D$7=D2686),"x","")</f>
        <v/>
      </c>
      <c r="AB2686" s="83" t="str">
        <f>IF(AND(OR(LEFT(TH!N2686,2)="15",LEFT(TH!O2686,2)="15"),LEFT(TH!O2686,3)&lt;&gt;"111",'152-CT'!$J$8=TH!F2686),"x","")</f>
        <v/>
      </c>
      <c r="AC2686" s="83" t="str">
        <f>IF(AND(OR(LEFT(TH!N2686,2)="15",LEFT(TH!O2686,2)="15"),TK!$E$7=TH!F2686),"x","")</f>
        <v/>
      </c>
      <c r="AD2686" s="83" t="str">
        <f>IF(AND(N2686="1521",MONTH(C2686)='BK-NL'!$M$11),"x","")</f>
        <v/>
      </c>
    </row>
    <row r="2687" spans="1:31" s="349" customFormat="1" ht="15.75" customHeight="1">
      <c r="A2687" s="334" t="str">
        <f>IF(B2687&lt;&gt;"",IF(AND(B2687='IN-TC'!$S$4,OR(TH!N2687="1111",TH!O2687="1111")),TH!D2687,""),"")</f>
        <v/>
      </c>
      <c r="B2687" s="63">
        <f t="shared" si="259"/>
        <v>9</v>
      </c>
      <c r="C2687" s="64">
        <v>42614</v>
      </c>
      <c r="D2687" s="64" t="s">
        <v>699</v>
      </c>
      <c r="E2687" s="64">
        <f t="shared" si="261"/>
        <v>42614</v>
      </c>
      <c r="F2687" s="72" t="s">
        <v>1917</v>
      </c>
      <c r="G2687" s="67" t="s">
        <v>1558</v>
      </c>
      <c r="H2687" s="72" t="s">
        <v>1795</v>
      </c>
      <c r="I2687" s="437"/>
      <c r="J2687" s="437"/>
      <c r="K2687" s="428">
        <v>231.24</v>
      </c>
      <c r="L2687" s="437">
        <v>22330</v>
      </c>
      <c r="M2687" s="65">
        <f>ROUND(K2687*L2687,0)</f>
        <v>5163589</v>
      </c>
      <c r="N2687" s="66" t="s">
        <v>266</v>
      </c>
      <c r="O2687" s="66" t="s">
        <v>26</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x</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1" s="349" customFormat="1" ht="15.75" customHeight="1">
      <c r="A2688" s="334" t="str">
        <f>IF(B2688&lt;&gt;"",IF(AND(B2688='IN-TC'!$S$4,OR(TH!N2688="1111",TH!O2688="1111")),TH!D2688,""),"")</f>
        <v/>
      </c>
      <c r="B2688" s="63">
        <f t="shared" si="259"/>
        <v>9</v>
      </c>
      <c r="C2688" s="64">
        <v>42618</v>
      </c>
      <c r="D2688" s="64" t="s">
        <v>702</v>
      </c>
      <c r="E2688" s="64">
        <f t="shared" si="261"/>
        <v>42618</v>
      </c>
      <c r="F2688" s="72" t="s">
        <v>1169</v>
      </c>
      <c r="G2688" s="67" t="s">
        <v>1558</v>
      </c>
      <c r="H2688" s="72" t="s">
        <v>1795</v>
      </c>
      <c r="I2688" s="437"/>
      <c r="J2688" s="437"/>
      <c r="K2688" s="428"/>
      <c r="L2688" s="437"/>
      <c r="M2688" s="65">
        <v>44660</v>
      </c>
      <c r="N2688" s="66" t="s">
        <v>101</v>
      </c>
      <c r="O2688" s="66" t="s">
        <v>26</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x</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c r="AE2688" s="349">
        <v>1</v>
      </c>
    </row>
    <row r="2689" spans="1:31" s="349" customFormat="1" ht="15.75" customHeight="1">
      <c r="A2689" s="334" t="str">
        <f>IF(B2689&lt;&gt;"",IF(AND(B2689='IN-TC'!$S$4,OR(TH!N2689="1111",TH!O2689="1111")),TH!D2689,""),"")</f>
        <v/>
      </c>
      <c r="B2689" s="63">
        <f t="shared" si="259"/>
        <v>9</v>
      </c>
      <c r="C2689" s="64">
        <v>42618</v>
      </c>
      <c r="D2689" s="64" t="s">
        <v>702</v>
      </c>
      <c r="E2689" s="64">
        <f t="shared" si="261"/>
        <v>42618</v>
      </c>
      <c r="F2689" s="72" t="s">
        <v>1631</v>
      </c>
      <c r="G2689" s="67" t="s">
        <v>1558</v>
      </c>
      <c r="H2689" s="72" t="s">
        <v>1795</v>
      </c>
      <c r="I2689" s="437"/>
      <c r="J2689" s="437"/>
      <c r="K2689" s="428"/>
      <c r="L2689" s="437"/>
      <c r="M2689" s="65">
        <v>4466</v>
      </c>
      <c r="N2689" s="66" t="s">
        <v>9</v>
      </c>
      <c r="O2689" s="66" t="s">
        <v>26</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x</v>
      </c>
      <c r="W2689" s="82" t="str">
        <f>IF(AND('341-CT'!$H$9=H2689,OR(LEFT(N2689,3)=$W$7,LEFT(O2689,3)=$W$7)),"x","")</f>
        <v/>
      </c>
      <c r="X2689" s="82" t="str">
        <f>IF(OR(TH!N2689=TH!$X$7,O2689=TH!$X$7),"x","")</f>
        <v>x</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c r="AE2689" s="349">
        <v>1</v>
      </c>
    </row>
    <row r="2690" spans="1:31" s="349" customFormat="1" ht="15.75" customHeight="1">
      <c r="A2690" s="334" t="str">
        <f>IF(B2690&lt;&gt;"",IF(AND(B2690='IN-TC'!$S$4,OR(TH!N2690="1111",TH!O2690="1111")),TH!D2690,""),"")</f>
        <v/>
      </c>
      <c r="B2690" s="63">
        <f t="shared" si="259"/>
        <v>9</v>
      </c>
      <c r="C2690" s="64">
        <v>42621</v>
      </c>
      <c r="D2690" s="64" t="s">
        <v>702</v>
      </c>
      <c r="E2690" s="64">
        <f t="shared" si="261"/>
        <v>42621</v>
      </c>
      <c r="F2690" s="72" t="s">
        <v>1169</v>
      </c>
      <c r="G2690" s="67" t="s">
        <v>1558</v>
      </c>
      <c r="H2690" s="72" t="s">
        <v>1795</v>
      </c>
      <c r="I2690" s="437"/>
      <c r="J2690" s="437"/>
      <c r="K2690" s="428"/>
      <c r="L2690" s="437"/>
      <c r="M2690" s="65">
        <v>901239</v>
      </c>
      <c r="N2690" s="66" t="s">
        <v>101</v>
      </c>
      <c r="O2690" s="66" t="s">
        <v>26</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x</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c r="AE2690" s="349">
        <v>1</v>
      </c>
    </row>
    <row r="2691" spans="1:31" s="349" customFormat="1" ht="15.75" customHeight="1">
      <c r="A2691" s="334" t="str">
        <f>IF(B2691&lt;&gt;"",IF(AND(B2691='IN-TC'!$S$4,OR(TH!N2691="1111",TH!O2691="1111")),TH!D2691,""),"")</f>
        <v/>
      </c>
      <c r="B2691" s="63">
        <f t="shared" si="259"/>
        <v>9</v>
      </c>
      <c r="C2691" s="64">
        <v>42621</v>
      </c>
      <c r="D2691" s="64" t="s">
        <v>702</v>
      </c>
      <c r="E2691" s="64">
        <f t="shared" si="261"/>
        <v>42621</v>
      </c>
      <c r="F2691" s="72" t="s">
        <v>1631</v>
      </c>
      <c r="G2691" s="67" t="s">
        <v>1558</v>
      </c>
      <c r="H2691" s="72" t="s">
        <v>1795</v>
      </c>
      <c r="I2691" s="437"/>
      <c r="J2691" s="437"/>
      <c r="K2691" s="428"/>
      <c r="L2691" s="437"/>
      <c r="M2691" s="65">
        <v>90124</v>
      </c>
      <c r="N2691" s="66" t="s">
        <v>9</v>
      </c>
      <c r="O2691" s="66" t="s">
        <v>26</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x</v>
      </c>
      <c r="W2691" s="82" t="str">
        <f>IF(AND('341-CT'!$H$9=H2691,OR(LEFT(N2691,3)=$W$7,LEFT(O2691,3)=$W$7)),"x","")</f>
        <v/>
      </c>
      <c r="X2691" s="82" t="str">
        <f>IF(OR(TH!N2691=TH!$X$7,O2691=TH!$X$7),"x","")</f>
        <v>x</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349">
        <v>1</v>
      </c>
    </row>
    <row r="2692" spans="1:31" s="349" customFormat="1" ht="15.75" customHeight="1">
      <c r="A2692" s="334" t="str">
        <f>IF(B2692&lt;&gt;"",IF(AND(B2692='IN-TC'!$S$4,OR(TH!N2692="1111",TH!O2692="1111")),TH!D2692,""),"")</f>
        <v/>
      </c>
      <c r="B2692" s="63">
        <f t="shared" si="259"/>
        <v>9</v>
      </c>
      <c r="C2692" s="64">
        <v>42621</v>
      </c>
      <c r="D2692" s="64" t="s">
        <v>699</v>
      </c>
      <c r="E2692" s="64">
        <f t="shared" si="261"/>
        <v>42621</v>
      </c>
      <c r="F2692" s="72" t="s">
        <v>1438</v>
      </c>
      <c r="G2692" s="67" t="s">
        <v>1558</v>
      </c>
      <c r="H2692" s="72" t="s">
        <v>1795</v>
      </c>
      <c r="I2692" s="437"/>
      <c r="J2692" s="437"/>
      <c r="K2692" s="428">
        <v>83500</v>
      </c>
      <c r="L2692" s="437">
        <v>22290</v>
      </c>
      <c r="M2692" s="65">
        <f>ROUND(K2692*L2692,0)</f>
        <v>1861215000</v>
      </c>
      <c r="N2692" s="66" t="s">
        <v>26</v>
      </c>
      <c r="O2692" s="66" t="s">
        <v>266</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x</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1" s="349" customFormat="1" ht="15.75" customHeight="1">
      <c r="A2693" s="334" t="str">
        <f>IF(B2693&lt;&gt;"",IF(AND(B2693='IN-TC'!$S$4,OR(TH!N2693="1111",TH!O2693="1111")),TH!D2693,""),"")</f>
        <v/>
      </c>
      <c r="B2693" s="63">
        <f t="shared" si="259"/>
        <v>9</v>
      </c>
      <c r="C2693" s="64">
        <v>42622</v>
      </c>
      <c r="D2693" s="64" t="s">
        <v>702</v>
      </c>
      <c r="E2693" s="64">
        <f t="shared" ref="E2693:E2724" si="262">C2693</f>
        <v>42622</v>
      </c>
      <c r="F2693" s="72" t="s">
        <v>1793</v>
      </c>
      <c r="G2693" s="67" t="s">
        <v>1558</v>
      </c>
      <c r="H2693" s="72" t="s">
        <v>1795</v>
      </c>
      <c r="I2693" s="437"/>
      <c r="J2693" s="437"/>
      <c r="K2693" s="428"/>
      <c r="L2693" s="437"/>
      <c r="M2693" s="65">
        <v>2203017</v>
      </c>
      <c r="N2693" s="66" t="s">
        <v>101</v>
      </c>
      <c r="O2693" s="66" t="s">
        <v>26</v>
      </c>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x</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c r="AE2693" s="349">
        <v>1</v>
      </c>
    </row>
    <row r="2694" spans="1:31" s="349" customFormat="1" ht="15.75" customHeight="1">
      <c r="A2694" s="334" t="str">
        <f>IF(B2694&lt;&gt;"",IF(AND(B2694='IN-TC'!$S$4,OR(TH!N2694="1111",TH!O2694="1111")),TH!D2694,""),"")</f>
        <v/>
      </c>
      <c r="B2694" s="63">
        <f t="shared" si="259"/>
        <v>9</v>
      </c>
      <c r="C2694" s="64">
        <v>42622</v>
      </c>
      <c r="D2694" s="64" t="s">
        <v>702</v>
      </c>
      <c r="E2694" s="64">
        <f t="shared" si="262"/>
        <v>42622</v>
      </c>
      <c r="F2694" s="72" t="s">
        <v>2028</v>
      </c>
      <c r="G2694" s="67" t="s">
        <v>1558</v>
      </c>
      <c r="H2694" s="72" t="s">
        <v>1795</v>
      </c>
      <c r="I2694" s="437"/>
      <c r="J2694" s="437"/>
      <c r="K2694" s="428"/>
      <c r="L2694" s="437"/>
      <c r="M2694" s="65">
        <v>220302</v>
      </c>
      <c r="N2694" s="66" t="s">
        <v>9</v>
      </c>
      <c r="O2694" s="66" t="s">
        <v>26</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x</v>
      </c>
      <c r="W2694" s="82" t="str">
        <f>IF(AND('341-CT'!$H$9=H2694,OR(LEFT(N2694,3)=$W$7,LEFT(O2694,3)=$W$7)),"x","")</f>
        <v/>
      </c>
      <c r="X2694" s="82" t="str">
        <f>IF(OR(TH!N2694=TH!$X$7,O2694=TH!$X$7),"x","")</f>
        <v>x</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c r="AE2694" s="349">
        <v>1</v>
      </c>
    </row>
    <row r="2695" spans="1:31" s="349" customFormat="1" ht="15.75" customHeight="1">
      <c r="A2695" s="334" t="str">
        <f>IF(B2695&lt;&gt;"",IF(AND(B2695='IN-TC'!$S$4,OR(TH!N2695="1111",TH!O2695="1111")),TH!D2695,""),"")</f>
        <v/>
      </c>
      <c r="B2695" s="63">
        <f t="shared" si="259"/>
        <v>9</v>
      </c>
      <c r="C2695" s="64">
        <v>42626</v>
      </c>
      <c r="D2695" s="64" t="s">
        <v>702</v>
      </c>
      <c r="E2695" s="64">
        <f t="shared" si="262"/>
        <v>42626</v>
      </c>
      <c r="F2695" s="72" t="s">
        <v>1793</v>
      </c>
      <c r="G2695" s="67" t="s">
        <v>1558</v>
      </c>
      <c r="H2695" s="72" t="s">
        <v>1795</v>
      </c>
      <c r="I2695" s="437"/>
      <c r="J2695" s="437"/>
      <c r="K2695" s="428"/>
      <c r="L2695" s="437"/>
      <c r="M2695" s="65">
        <v>1819873</v>
      </c>
      <c r="N2695" s="66" t="s">
        <v>101</v>
      </c>
      <c r="O2695" s="66" t="s">
        <v>26</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x</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1" s="349" customFormat="1" ht="15.75" customHeight="1">
      <c r="A2696" s="334" t="str">
        <f>IF(B2696&lt;&gt;"",IF(AND(B2696='IN-TC'!$S$4,OR(TH!N2696="1111",TH!O2696="1111")),TH!D2696,""),"")</f>
        <v/>
      </c>
      <c r="B2696" s="63">
        <f t="shared" si="259"/>
        <v>9</v>
      </c>
      <c r="C2696" s="64">
        <v>42626</v>
      </c>
      <c r="D2696" s="64" t="s">
        <v>699</v>
      </c>
      <c r="E2696" s="64">
        <f t="shared" si="262"/>
        <v>42626</v>
      </c>
      <c r="F2696" s="72" t="s">
        <v>1438</v>
      </c>
      <c r="G2696" s="67" t="s">
        <v>1558</v>
      </c>
      <c r="H2696" s="72" t="s">
        <v>1795</v>
      </c>
      <c r="I2696" s="437"/>
      <c r="J2696" s="437"/>
      <c r="K2696" s="428">
        <v>148300</v>
      </c>
      <c r="L2696" s="437">
        <v>22294</v>
      </c>
      <c r="M2696" s="65">
        <f>ROUND(K2696*L2696,0)</f>
        <v>3306200200</v>
      </c>
      <c r="N2696" s="66" t="s">
        <v>26</v>
      </c>
      <c r="O2696" s="66" t="s">
        <v>266</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x</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1" s="349" customFormat="1" ht="15.75" customHeight="1">
      <c r="A2697" s="334" t="str">
        <f>IF(B2697&lt;&gt;"",IF(AND(B2697='IN-TC'!$S$4,OR(TH!N2697="1111",TH!O2697="1111")),TH!D2697,""),"")</f>
        <v/>
      </c>
      <c r="B2697" s="63">
        <f t="shared" si="259"/>
        <v>9</v>
      </c>
      <c r="C2697" s="64">
        <v>42626</v>
      </c>
      <c r="D2697" s="64" t="s">
        <v>702</v>
      </c>
      <c r="E2697" s="64">
        <f t="shared" si="262"/>
        <v>42626</v>
      </c>
      <c r="F2697" s="72" t="s">
        <v>1183</v>
      </c>
      <c r="G2697" s="67" t="s">
        <v>1558</v>
      </c>
      <c r="H2697" s="963" t="s">
        <v>1875</v>
      </c>
      <c r="I2697" s="437"/>
      <c r="J2697" s="437"/>
      <c r="K2697" s="428">
        <v>88000</v>
      </c>
      <c r="L2697" s="437">
        <v>22308</v>
      </c>
      <c r="M2697" s="65">
        <f>ROUND(K2697*L2697,0)</f>
        <v>1963104000</v>
      </c>
      <c r="N2697" s="66" t="s">
        <v>260</v>
      </c>
      <c r="O2697" s="66" t="s">
        <v>26</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x</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1" s="349" customFormat="1" ht="15.75" customHeight="1">
      <c r="A2698" s="334" t="str">
        <f>IF(B2698&lt;&gt;"",IF(AND(B2698='IN-TC'!$S$4,OR(TH!N2698="1111",TH!O2698="1111")),TH!D2698,""),"")</f>
        <v/>
      </c>
      <c r="B2698" s="63">
        <f t="shared" si="259"/>
        <v>9</v>
      </c>
      <c r="C2698" s="64">
        <v>42626</v>
      </c>
      <c r="D2698" s="64" t="s">
        <v>702</v>
      </c>
      <c r="E2698" s="64">
        <f t="shared" si="262"/>
        <v>42626</v>
      </c>
      <c r="F2698" s="72" t="s">
        <v>1183</v>
      </c>
      <c r="G2698" s="67" t="s">
        <v>1558</v>
      </c>
      <c r="H2698" s="963" t="s">
        <v>1875</v>
      </c>
      <c r="I2698" s="437"/>
      <c r="J2698" s="437"/>
      <c r="K2698" s="428"/>
      <c r="L2698" s="437"/>
      <c r="M2698" s="65">
        <v>9387368</v>
      </c>
      <c r="N2698" s="66" t="s">
        <v>99</v>
      </c>
      <c r="O2698" s="66" t="s">
        <v>26</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x</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1" s="348" customFormat="1" ht="15.75" customHeight="1">
      <c r="A2699" s="334" t="str">
        <f>IF(B2699&lt;&gt;"",IF(AND(B2699='IN-TC'!$S$4,OR(TH!N2699="1111",TH!O2699="1111")),TH!D2699,""),"")</f>
        <v/>
      </c>
      <c r="B2699" s="1134">
        <f t="shared" si="259"/>
        <v>9</v>
      </c>
      <c r="C2699" s="92">
        <v>42626</v>
      </c>
      <c r="D2699" s="92" t="s">
        <v>699</v>
      </c>
      <c r="E2699" s="92">
        <f t="shared" si="262"/>
        <v>42626</v>
      </c>
      <c r="F2699" s="72" t="s">
        <v>2021</v>
      </c>
      <c r="G2699" s="93" t="s">
        <v>1558</v>
      </c>
      <c r="H2699" s="72" t="s">
        <v>2192</v>
      </c>
      <c r="I2699" s="443"/>
      <c r="J2699" s="443"/>
      <c r="K2699" s="434">
        <v>88000</v>
      </c>
      <c r="L2699" s="443">
        <v>22295</v>
      </c>
      <c r="M2699" s="95">
        <f>ROUND(K2699*L2699,0)</f>
        <v>1961960000</v>
      </c>
      <c r="N2699" s="83" t="s">
        <v>26</v>
      </c>
      <c r="O2699" s="83" t="s">
        <v>260</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x</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1" s="349" customFormat="1" ht="15.75" customHeight="1">
      <c r="A2700" s="334" t="str">
        <f>IF(B2700&lt;&gt;"",IF(AND(B2700='IN-TC'!$S$4,OR(TH!N2700="1111",TH!O2700="1111")),TH!D2700,""),"")</f>
        <v/>
      </c>
      <c r="B2700" s="63">
        <f t="shared" si="259"/>
        <v>9</v>
      </c>
      <c r="C2700" s="64">
        <v>42627</v>
      </c>
      <c r="D2700" s="64" t="s">
        <v>702</v>
      </c>
      <c r="E2700" s="64">
        <f t="shared" si="262"/>
        <v>42627</v>
      </c>
      <c r="F2700" s="72" t="s">
        <v>2020</v>
      </c>
      <c r="G2700" s="67" t="s">
        <v>1558</v>
      </c>
      <c r="H2700" s="72" t="s">
        <v>629</v>
      </c>
      <c r="I2700" s="437"/>
      <c r="J2700" s="437"/>
      <c r="K2700" s="428"/>
      <c r="L2700" s="437"/>
      <c r="M2700" s="65">
        <v>24057550</v>
      </c>
      <c r="N2700" s="66" t="s">
        <v>8</v>
      </c>
      <c r="O2700" s="66" t="s">
        <v>26</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x</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1" s="349" customFormat="1" ht="15.75" customHeight="1">
      <c r="A2701" s="334" t="str">
        <f>IF(B2701&lt;&gt;"",IF(AND(B2701='IN-TC'!$S$4,OR(TH!N2701="1111",TH!O2701="1111")),TH!D2701,""),"")</f>
        <v/>
      </c>
      <c r="B2701" s="63">
        <f t="shared" ref="B2701:B2772" si="263">IF(C2701&lt;&gt;"",MONTH(C2701),"")</f>
        <v>9</v>
      </c>
      <c r="C2701" s="64">
        <v>42627</v>
      </c>
      <c r="D2701" s="64" t="s">
        <v>702</v>
      </c>
      <c r="E2701" s="64">
        <f t="shared" si="262"/>
        <v>42627</v>
      </c>
      <c r="F2701" s="72" t="s">
        <v>1169</v>
      </c>
      <c r="G2701" s="67" t="s">
        <v>1558</v>
      </c>
      <c r="H2701" s="72" t="s">
        <v>1795</v>
      </c>
      <c r="I2701" s="437"/>
      <c r="J2701" s="437"/>
      <c r="K2701" s="428"/>
      <c r="L2701" s="437"/>
      <c r="M2701" s="65">
        <v>10000</v>
      </c>
      <c r="N2701" s="66" t="s">
        <v>101</v>
      </c>
      <c r="O2701" s="66" t="s">
        <v>26</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x</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c r="AE2701" s="349">
        <v>1</v>
      </c>
    </row>
    <row r="2702" spans="1:31" s="349" customFormat="1" ht="15.75" customHeight="1">
      <c r="A2702" s="334" t="str">
        <f>IF(B2702&lt;&gt;"",IF(AND(B2702='IN-TC'!$S$4,OR(TH!N2702="1111",TH!O2702="1111")),TH!D2702,""),"")</f>
        <v/>
      </c>
      <c r="B2702" s="63">
        <f t="shared" si="263"/>
        <v>9</v>
      </c>
      <c r="C2702" s="64">
        <v>42627</v>
      </c>
      <c r="D2702" s="64" t="s">
        <v>702</v>
      </c>
      <c r="E2702" s="64">
        <f t="shared" si="262"/>
        <v>42627</v>
      </c>
      <c r="F2702" s="72" t="s">
        <v>1631</v>
      </c>
      <c r="G2702" s="67" t="s">
        <v>1558</v>
      </c>
      <c r="H2702" s="72" t="s">
        <v>1795</v>
      </c>
      <c r="I2702" s="437"/>
      <c r="J2702" s="437"/>
      <c r="K2702" s="428"/>
      <c r="L2702" s="437"/>
      <c r="M2702" s="65">
        <v>1000</v>
      </c>
      <c r="N2702" s="66" t="s">
        <v>9</v>
      </c>
      <c r="O2702" s="66" t="s">
        <v>26</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x</v>
      </c>
      <c r="W2702" s="82" t="str">
        <f>IF(AND('341-CT'!$H$9=H2702,OR(LEFT(N2702,3)=$W$7,LEFT(O2702,3)=$W$7)),"x","")</f>
        <v/>
      </c>
      <c r="X2702" s="82" t="str">
        <f>IF(OR(TH!N2702=TH!$X$7,O2702=TH!$X$7),"x","")</f>
        <v>x</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c r="AE2702" s="349">
        <v>1</v>
      </c>
    </row>
    <row r="2703" spans="1:31" s="349" customFormat="1" ht="15.75" customHeight="1">
      <c r="A2703" s="334" t="str">
        <f>IF(B2703&lt;&gt;"",IF(AND(B2703='IN-TC'!$S$4,OR(TH!N2703="1111",TH!O2703="1111")),TH!D2703,""),"")</f>
        <v/>
      </c>
      <c r="B2703" s="63">
        <f t="shared" si="263"/>
        <v>9</v>
      </c>
      <c r="C2703" s="64">
        <v>42633</v>
      </c>
      <c r="D2703" s="64" t="s">
        <v>702</v>
      </c>
      <c r="E2703" s="64">
        <f t="shared" si="262"/>
        <v>42633</v>
      </c>
      <c r="F2703" s="72" t="s">
        <v>1793</v>
      </c>
      <c r="G2703" s="67" t="s">
        <v>1558</v>
      </c>
      <c r="H2703" s="72" t="s">
        <v>1795</v>
      </c>
      <c r="I2703" s="437"/>
      <c r="J2703" s="437"/>
      <c r="K2703" s="428"/>
      <c r="L2703" s="437"/>
      <c r="M2703" s="65">
        <v>1820688</v>
      </c>
      <c r="N2703" s="66" t="s">
        <v>101</v>
      </c>
      <c r="O2703" s="66" t="s">
        <v>26</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x</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1" s="349" customFormat="1" ht="15.75" customHeight="1">
      <c r="A2704" s="334" t="str">
        <f>IF(B2704&lt;&gt;"",IF(AND(B2704='IN-TC'!$S$4,OR(TH!N2704="1111",TH!O2704="1111")),TH!D2704,""),"")</f>
        <v/>
      </c>
      <c r="B2704" s="63">
        <f t="shared" si="263"/>
        <v>9</v>
      </c>
      <c r="C2704" s="64">
        <v>42633</v>
      </c>
      <c r="D2704" s="64" t="s">
        <v>702</v>
      </c>
      <c r="E2704" s="64">
        <f t="shared" si="262"/>
        <v>42633</v>
      </c>
      <c r="F2704" s="72" t="s">
        <v>1185</v>
      </c>
      <c r="G2704" s="67" t="s">
        <v>1558</v>
      </c>
      <c r="H2704" s="72" t="s">
        <v>1795</v>
      </c>
      <c r="I2704" s="437"/>
      <c r="J2704" s="437"/>
      <c r="K2704" s="428"/>
      <c r="L2704" s="437"/>
      <c r="M2704" s="65">
        <v>122870</v>
      </c>
      <c r="N2704" s="66" t="s">
        <v>101</v>
      </c>
      <c r="O2704" s="66" t="s">
        <v>26</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x</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1" s="349" customFormat="1" ht="15.75" customHeight="1">
      <c r="A2705" s="334" t="str">
        <f>IF(B2705&lt;&gt;"",IF(AND(B2705='IN-TC'!$S$4,OR(TH!N2705="1111",TH!O2705="1111")),TH!D2705,""),"")</f>
        <v/>
      </c>
      <c r="B2705" s="63">
        <f t="shared" si="263"/>
        <v>9</v>
      </c>
      <c r="C2705" s="64">
        <v>42633</v>
      </c>
      <c r="D2705" s="64" t="s">
        <v>699</v>
      </c>
      <c r="E2705" s="64">
        <f t="shared" si="262"/>
        <v>42633</v>
      </c>
      <c r="F2705" s="72" t="s">
        <v>1438</v>
      </c>
      <c r="G2705" s="67" t="s">
        <v>1558</v>
      </c>
      <c r="H2705" s="72" t="s">
        <v>1795</v>
      </c>
      <c r="I2705" s="437"/>
      <c r="J2705" s="437"/>
      <c r="K2705" s="428">
        <v>148000</v>
      </c>
      <c r="L2705" s="437">
        <v>22310</v>
      </c>
      <c r="M2705" s="65">
        <f>ROUND(K2705*L2705,0)</f>
        <v>3301880000</v>
      </c>
      <c r="N2705" s="66" t="s">
        <v>26</v>
      </c>
      <c r="O2705" s="66" t="s">
        <v>266</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x</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1" s="349" customFormat="1" ht="15.75" customHeight="1">
      <c r="A2706" s="334" t="str">
        <f>IF(B2706&lt;&gt;"",IF(AND(B2706='IN-TC'!$S$4,OR(TH!N2706="1111",TH!O2706="1111")),TH!D2706,""),"")</f>
        <v/>
      </c>
      <c r="B2706" s="63">
        <f t="shared" si="263"/>
        <v>9</v>
      </c>
      <c r="C2706" s="64">
        <v>42634</v>
      </c>
      <c r="D2706" s="64" t="s">
        <v>702</v>
      </c>
      <c r="E2706" s="64">
        <f t="shared" si="262"/>
        <v>42634</v>
      </c>
      <c r="F2706" s="72" t="s">
        <v>1185</v>
      </c>
      <c r="G2706" s="67" t="s">
        <v>1558</v>
      </c>
      <c r="H2706" s="72" t="s">
        <v>1795</v>
      </c>
      <c r="I2706" s="437"/>
      <c r="J2706" s="437"/>
      <c r="K2706" s="428"/>
      <c r="L2706" s="437"/>
      <c r="M2706" s="65">
        <v>223700</v>
      </c>
      <c r="N2706" s="66" t="s">
        <v>101</v>
      </c>
      <c r="O2706" s="66" t="s">
        <v>26</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x</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1" s="349" customFormat="1" ht="15.75" customHeight="1">
      <c r="A2707" s="334" t="str">
        <f>IF(B2707&lt;&gt;"",IF(AND(B2707='IN-TC'!$S$4,OR(TH!N2707="1111",TH!O2707="1111")),TH!D2707,""),"")</f>
        <v/>
      </c>
      <c r="B2707" s="63">
        <f t="shared" si="263"/>
        <v>9</v>
      </c>
      <c r="C2707" s="64">
        <v>42634</v>
      </c>
      <c r="D2707" s="64" t="s">
        <v>702</v>
      </c>
      <c r="E2707" s="64">
        <f t="shared" si="262"/>
        <v>42634</v>
      </c>
      <c r="F2707" s="72" t="s">
        <v>1782</v>
      </c>
      <c r="G2707" s="67" t="s">
        <v>1558</v>
      </c>
      <c r="H2707" s="963" t="s">
        <v>1875</v>
      </c>
      <c r="I2707" s="437"/>
      <c r="J2707" s="437"/>
      <c r="K2707" s="428"/>
      <c r="L2707" s="437"/>
      <c r="M2707" s="65">
        <v>4038951</v>
      </c>
      <c r="N2707" s="66" t="s">
        <v>99</v>
      </c>
      <c r="O2707" s="66" t="s">
        <v>26</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x</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1" s="349" customFormat="1" ht="15.75" customHeight="1">
      <c r="A2708" s="334" t="str">
        <f>IF(B2708&lt;&gt;"",IF(AND(B2708='IN-TC'!$S$4,OR(TH!N2708="1111",TH!O2708="1111")),TH!D2708,""),"")</f>
        <v/>
      </c>
      <c r="B2708" s="63">
        <f t="shared" si="263"/>
        <v>9</v>
      </c>
      <c r="C2708" s="64">
        <v>42638</v>
      </c>
      <c r="D2708" s="64" t="s">
        <v>699</v>
      </c>
      <c r="E2708" s="64">
        <f t="shared" si="262"/>
        <v>42638</v>
      </c>
      <c r="F2708" s="72" t="s">
        <v>1647</v>
      </c>
      <c r="G2708" s="67" t="s">
        <v>1558</v>
      </c>
      <c r="H2708" s="72" t="s">
        <v>1795</v>
      </c>
      <c r="I2708" s="437"/>
      <c r="J2708" s="437"/>
      <c r="K2708" s="428"/>
      <c r="L2708" s="437"/>
      <c r="M2708" s="65">
        <v>92243</v>
      </c>
      <c r="N2708" s="66" t="s">
        <v>26</v>
      </c>
      <c r="O2708" s="66" t="s">
        <v>43</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x</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1" s="349" customFormat="1" ht="15.75" customHeight="1">
      <c r="A2709" s="334" t="str">
        <f>IF(B2709&lt;&gt;"",IF(AND(B2709='IN-TC'!$S$4,OR(TH!N2709="1111",TH!O2709="1111")),TH!D2709,""),"")</f>
        <v/>
      </c>
      <c r="B2709" s="63">
        <f t="shared" si="263"/>
        <v>9</v>
      </c>
      <c r="C2709" s="64">
        <v>42638</v>
      </c>
      <c r="D2709" s="64" t="s">
        <v>702</v>
      </c>
      <c r="E2709" s="64">
        <f t="shared" si="262"/>
        <v>42638</v>
      </c>
      <c r="F2709" s="72" t="s">
        <v>1782</v>
      </c>
      <c r="G2709" s="67" t="s">
        <v>1558</v>
      </c>
      <c r="H2709" s="963" t="s">
        <v>1875</v>
      </c>
      <c r="I2709" s="437"/>
      <c r="J2709" s="437"/>
      <c r="K2709" s="428"/>
      <c r="L2709" s="437"/>
      <c r="M2709" s="65">
        <v>92243</v>
      </c>
      <c r="N2709" s="66" t="s">
        <v>99</v>
      </c>
      <c r="O2709" s="66" t="s">
        <v>26</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x</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1" s="349" customFormat="1" ht="15.75" customHeight="1">
      <c r="A2710" s="334" t="str">
        <f>IF(B2710&lt;&gt;"",IF(AND(B2710='IN-TC'!$S$4,OR(TH!N2710="1111",TH!O2710="1111")),TH!D2710,""),"")</f>
        <v/>
      </c>
      <c r="B2710" s="63">
        <f t="shared" si="263"/>
        <v>9</v>
      </c>
      <c r="C2710" s="64">
        <v>42641</v>
      </c>
      <c r="D2710" s="64" t="s">
        <v>699</v>
      </c>
      <c r="E2710" s="64">
        <f t="shared" si="262"/>
        <v>42641</v>
      </c>
      <c r="F2710" s="72" t="s">
        <v>1917</v>
      </c>
      <c r="G2710" s="67" t="s">
        <v>1558</v>
      </c>
      <c r="H2710" s="72" t="s">
        <v>1795</v>
      </c>
      <c r="I2710" s="437"/>
      <c r="J2710" s="437"/>
      <c r="K2710" s="428">
        <v>642.85</v>
      </c>
      <c r="L2710" s="437">
        <v>22340</v>
      </c>
      <c r="M2710" s="65">
        <f>ROUND(K2710*L2710,0)</f>
        <v>14361269</v>
      </c>
      <c r="N2710" s="66" t="s">
        <v>266</v>
      </c>
      <c r="O2710" s="66" t="s">
        <v>26</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x</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1" s="349" customFormat="1" ht="15.75" customHeight="1">
      <c r="A2711" s="334" t="str">
        <f>IF(B2711&lt;&gt;"",IF(AND(B2711='IN-TC'!$S$4,OR(TH!N2711="1111",TH!O2711="1111")),TH!D2711,""),"")</f>
        <v/>
      </c>
      <c r="B2711" s="63">
        <f t="shared" si="263"/>
        <v>9</v>
      </c>
      <c r="C2711" s="64">
        <v>42641</v>
      </c>
      <c r="D2711" s="64" t="s">
        <v>702</v>
      </c>
      <c r="E2711" s="64">
        <f t="shared" si="262"/>
        <v>42641</v>
      </c>
      <c r="F2711" s="72" t="s">
        <v>1782</v>
      </c>
      <c r="G2711" s="67" t="s">
        <v>1558</v>
      </c>
      <c r="H2711" s="963" t="s">
        <v>1875</v>
      </c>
      <c r="I2711" s="437"/>
      <c r="J2711" s="437"/>
      <c r="K2711" s="428"/>
      <c r="L2711" s="437"/>
      <c r="M2711" s="65">
        <v>2540151</v>
      </c>
      <c r="N2711" s="66" t="s">
        <v>99</v>
      </c>
      <c r="O2711" s="66" t="s">
        <v>26</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x</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1" s="349" customFormat="1" ht="15.75" customHeight="1">
      <c r="A2712" s="334" t="str">
        <f>IF(B2712&lt;&gt;"",IF(AND(B2712='IN-TC'!$S$4,OR(TH!N2712="1111",TH!O2712="1111")),TH!D2712,""),"")</f>
        <v/>
      </c>
      <c r="B2712" s="63">
        <f t="shared" si="263"/>
        <v>9</v>
      </c>
      <c r="C2712" s="64">
        <v>42641</v>
      </c>
      <c r="D2712" s="64" t="s">
        <v>702</v>
      </c>
      <c r="E2712" s="64">
        <f t="shared" si="262"/>
        <v>42641</v>
      </c>
      <c r="F2712" s="72" t="s">
        <v>1782</v>
      </c>
      <c r="G2712" s="67" t="s">
        <v>1558</v>
      </c>
      <c r="H2712" s="963" t="s">
        <v>1875</v>
      </c>
      <c r="I2712" s="437"/>
      <c r="J2712" s="437"/>
      <c r="K2712" s="428"/>
      <c r="L2712" s="437"/>
      <c r="M2712" s="65">
        <v>6708015</v>
      </c>
      <c r="N2712" s="66" t="s">
        <v>99</v>
      </c>
      <c r="O2712" s="66" t="s">
        <v>26</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x</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1" s="349" customFormat="1" ht="15.75" customHeight="1">
      <c r="A2713" s="334" t="str">
        <f>IF(B2713&lt;&gt;"",IF(AND(B2713='IN-TC'!$S$4,OR(TH!N2713="1111",TH!O2713="1111")),TH!D2713,""),"")</f>
        <v/>
      </c>
      <c r="B2713" s="63">
        <f t="shared" si="263"/>
        <v>9</v>
      </c>
      <c r="C2713" s="64">
        <v>42641</v>
      </c>
      <c r="D2713" s="64" t="s">
        <v>702</v>
      </c>
      <c r="E2713" s="64">
        <f t="shared" si="262"/>
        <v>42641</v>
      </c>
      <c r="F2713" s="72" t="s">
        <v>1782</v>
      </c>
      <c r="G2713" s="67" t="s">
        <v>1558</v>
      </c>
      <c r="H2713" s="963" t="s">
        <v>1875</v>
      </c>
      <c r="I2713" s="437"/>
      <c r="J2713" s="437"/>
      <c r="K2713" s="428"/>
      <c r="L2713" s="437"/>
      <c r="M2713" s="65">
        <v>5670693</v>
      </c>
      <c r="N2713" s="66" t="s">
        <v>99</v>
      </c>
      <c r="O2713" s="66" t="s">
        <v>26</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x</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1" s="349" customFormat="1" ht="15.75" customHeight="1">
      <c r="A2714" s="334" t="str">
        <f>IF(B2714&lt;&gt;"",IF(AND(B2714='IN-TC'!$S$4,OR(TH!N2714="1111",TH!O2714="1111")),TH!D2714,""),"")</f>
        <v/>
      </c>
      <c r="B2714" s="63">
        <f t="shared" si="263"/>
        <v>9</v>
      </c>
      <c r="C2714" s="64">
        <v>42641</v>
      </c>
      <c r="D2714" s="64" t="s">
        <v>702</v>
      </c>
      <c r="E2714" s="64">
        <f t="shared" si="262"/>
        <v>42641</v>
      </c>
      <c r="F2714" s="72" t="s">
        <v>1782</v>
      </c>
      <c r="G2714" s="67" t="s">
        <v>1558</v>
      </c>
      <c r="H2714" s="963" t="s">
        <v>1875</v>
      </c>
      <c r="I2714" s="437"/>
      <c r="J2714" s="437"/>
      <c r="K2714" s="428"/>
      <c r="L2714" s="437"/>
      <c r="M2714" s="65">
        <v>6223932</v>
      </c>
      <c r="N2714" s="66" t="s">
        <v>99</v>
      </c>
      <c r="O2714" s="66" t="s">
        <v>26</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x</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1" s="349" customFormat="1" ht="15.75" customHeight="1">
      <c r="A2715" s="334" t="str">
        <f>IF(B2715&lt;&gt;"",IF(AND(B2715='IN-TC'!$S$4,OR(TH!N2715="1111",TH!O2715="1111")),TH!D2715,""),"")</f>
        <v/>
      </c>
      <c r="B2715" s="63">
        <f t="shared" si="263"/>
        <v>9</v>
      </c>
      <c r="C2715" s="64">
        <v>42642</v>
      </c>
      <c r="D2715" s="64" t="s">
        <v>702</v>
      </c>
      <c r="E2715" s="64">
        <f t="shared" si="262"/>
        <v>42642</v>
      </c>
      <c r="F2715" s="72" t="s">
        <v>1443</v>
      </c>
      <c r="G2715" s="67" t="s">
        <v>1558</v>
      </c>
      <c r="H2715" s="72" t="s">
        <v>1211</v>
      </c>
      <c r="I2715" s="437"/>
      <c r="J2715" s="437"/>
      <c r="K2715" s="428"/>
      <c r="L2715" s="437"/>
      <c r="M2715" s="65">
        <v>60000000</v>
      </c>
      <c r="N2715" s="66" t="s">
        <v>72</v>
      </c>
      <c r="O2715" s="66" t="s">
        <v>26</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x</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1" s="349" customFormat="1" ht="15.75" customHeight="1">
      <c r="A2716" s="334" t="str">
        <f>IF(B2716&lt;&gt;"",IF(AND(B2716='IN-TC'!$S$4,OR(TH!N2716="1111",TH!O2716="1111")),TH!D2716,""),"")</f>
        <v/>
      </c>
      <c r="B2716" s="63">
        <f t="shared" si="263"/>
        <v>9</v>
      </c>
      <c r="C2716" s="64">
        <v>42642</v>
      </c>
      <c r="D2716" s="64" t="s">
        <v>702</v>
      </c>
      <c r="E2716" s="64">
        <f t="shared" si="262"/>
        <v>42642</v>
      </c>
      <c r="F2716" s="72" t="s">
        <v>1169</v>
      </c>
      <c r="G2716" s="67" t="s">
        <v>1558</v>
      </c>
      <c r="H2716" s="72" t="s">
        <v>1795</v>
      </c>
      <c r="I2716" s="437"/>
      <c r="J2716" s="437"/>
      <c r="K2716" s="428"/>
      <c r="L2716" s="437"/>
      <c r="M2716" s="65">
        <v>36000</v>
      </c>
      <c r="N2716" s="66" t="s">
        <v>101</v>
      </c>
      <c r="O2716" s="66" t="s">
        <v>26</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x</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c r="AE2716" s="349">
        <v>1</v>
      </c>
    </row>
    <row r="2717" spans="1:31" s="349" customFormat="1" ht="15.75" customHeight="1">
      <c r="A2717" s="334" t="str">
        <f>IF(B2717&lt;&gt;"",IF(AND(B2717='IN-TC'!$S$4,OR(TH!N2717="1111",TH!O2717="1111")),TH!D2717,""),"")</f>
        <v/>
      </c>
      <c r="B2717" s="63">
        <f t="shared" si="263"/>
        <v>9</v>
      </c>
      <c r="C2717" s="64">
        <v>42642</v>
      </c>
      <c r="D2717" s="64" t="s">
        <v>702</v>
      </c>
      <c r="E2717" s="64">
        <f t="shared" si="262"/>
        <v>42642</v>
      </c>
      <c r="F2717" s="72" t="s">
        <v>1631</v>
      </c>
      <c r="G2717" s="67" t="s">
        <v>1558</v>
      </c>
      <c r="H2717" s="72" t="s">
        <v>1795</v>
      </c>
      <c r="I2717" s="437"/>
      <c r="J2717" s="437"/>
      <c r="K2717" s="428"/>
      <c r="L2717" s="437"/>
      <c r="M2717" s="65">
        <v>3600</v>
      </c>
      <c r="N2717" s="66" t="s">
        <v>9</v>
      </c>
      <c r="O2717" s="66" t="s">
        <v>26</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x</v>
      </c>
      <c r="W2717" s="82" t="str">
        <f>IF(AND('341-CT'!$H$9=H2717,OR(LEFT(N2717,3)=$W$7,LEFT(O2717,3)=$W$7)),"x","")</f>
        <v/>
      </c>
      <c r="X2717" s="82" t="str">
        <f>IF(OR(TH!N2717=TH!$X$7,O2717=TH!$X$7),"x","")</f>
        <v>x</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c r="AE2717" s="349">
        <v>1</v>
      </c>
    </row>
    <row r="2718" spans="1:31" s="349" customFormat="1" ht="15.75" customHeight="1">
      <c r="A2718" s="334" t="str">
        <f>IF(B2718&lt;&gt;"",IF(AND(B2718='IN-TC'!$S$4,OR(TH!N2718="1111",TH!O2718="1111")),TH!D2718,""),"")</f>
        <v/>
      </c>
      <c r="B2718" s="63">
        <f t="shared" si="263"/>
        <v>9</v>
      </c>
      <c r="C2718" s="64">
        <v>42614</v>
      </c>
      <c r="D2718" s="64" t="s">
        <v>702</v>
      </c>
      <c r="E2718" s="64">
        <f t="shared" si="262"/>
        <v>42614</v>
      </c>
      <c r="F2718" s="72" t="s">
        <v>2027</v>
      </c>
      <c r="G2718" s="67" t="s">
        <v>1558</v>
      </c>
      <c r="H2718" s="72" t="s">
        <v>1795</v>
      </c>
      <c r="I2718" s="437"/>
      <c r="J2718" s="437"/>
      <c r="K2718" s="428">
        <v>0.03</v>
      </c>
      <c r="L2718" s="437">
        <v>22330</v>
      </c>
      <c r="M2718" s="65">
        <f>ROUND(K2718*L2718,0)</f>
        <v>670</v>
      </c>
      <c r="N2718" s="66" t="s">
        <v>99</v>
      </c>
      <c r="O2718" s="66" t="s">
        <v>266</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1" s="348" customFormat="1" ht="15.75" customHeight="1">
      <c r="A2719" s="334" t="str">
        <f>IF(B2719&lt;&gt;"",IF(AND(B2719='IN-TC'!$S$4,OR(TH!N2719="1111",TH!O2719="1111")),TH!D2719,""),"")</f>
        <v/>
      </c>
      <c r="B2719" s="1134">
        <f t="shared" si="263"/>
        <v>9</v>
      </c>
      <c r="C2719" s="92">
        <v>42614</v>
      </c>
      <c r="D2719" s="92" t="s">
        <v>702</v>
      </c>
      <c r="E2719" s="92">
        <f t="shared" si="262"/>
        <v>42614</v>
      </c>
      <c r="F2719" s="72" t="s">
        <v>2026</v>
      </c>
      <c r="G2719" s="93" t="s">
        <v>1558</v>
      </c>
      <c r="H2719" s="94" t="s">
        <v>1795</v>
      </c>
      <c r="I2719" s="443"/>
      <c r="J2719" s="443"/>
      <c r="K2719" s="434">
        <v>231.21</v>
      </c>
      <c r="L2719" s="443">
        <v>22330</v>
      </c>
      <c r="M2719" s="95">
        <f>ROUND(K2719*L2719,0)</f>
        <v>5162919</v>
      </c>
      <c r="N2719" s="83" t="s">
        <v>99</v>
      </c>
      <c r="O2719" s="83" t="s">
        <v>266</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1" s="345" customFormat="1" ht="15.75" customHeight="1">
      <c r="A2720" s="334" t="str">
        <f>IF(B2720&lt;&gt;"",IF(AND(B2720='IN-TC'!$S$4,OR(TH!N2720="1111",TH!O2720="1111")),TH!D2720,""),"")</f>
        <v/>
      </c>
      <c r="B2720" s="993">
        <f t="shared" si="263"/>
        <v>9</v>
      </c>
      <c r="C2720" s="78">
        <v>42618</v>
      </c>
      <c r="D2720" s="78" t="s">
        <v>699</v>
      </c>
      <c r="E2720" s="78">
        <f t="shared" si="262"/>
        <v>42618</v>
      </c>
      <c r="F2720" s="72" t="s">
        <v>1450</v>
      </c>
      <c r="G2720" s="79" t="s">
        <v>1558</v>
      </c>
      <c r="H2720" s="80" t="s">
        <v>1877</v>
      </c>
      <c r="I2720" s="435"/>
      <c r="J2720" s="435"/>
      <c r="K2720" s="426">
        <v>3161.23</v>
      </c>
      <c r="L2720" s="435">
        <v>22330</v>
      </c>
      <c r="M2720" s="81">
        <f>ROUND(K2720*L2720,0)</f>
        <v>70590266</v>
      </c>
      <c r="N2720" s="82" t="s">
        <v>266</v>
      </c>
      <c r="O2720" s="82" t="s">
        <v>585</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1" s="345" customFormat="1" ht="15.75" customHeight="1">
      <c r="A2721" s="334" t="str">
        <f>IF(B2721&lt;&gt;"",IF(AND(B2721='IN-TC'!$S$4,OR(TH!N2721="1111",TH!O2721="1111")),TH!D2721,""),"")</f>
        <v/>
      </c>
      <c r="B2721" s="993">
        <f t="shared" si="263"/>
        <v>9</v>
      </c>
      <c r="C2721" s="78">
        <v>42618</v>
      </c>
      <c r="D2721" s="78" t="s">
        <v>579</v>
      </c>
      <c r="E2721" s="78">
        <f t="shared" si="262"/>
        <v>42618</v>
      </c>
      <c r="F2721" s="72" t="s">
        <v>1986</v>
      </c>
      <c r="G2721" s="79" t="s">
        <v>1558</v>
      </c>
      <c r="H2721" s="80" t="s">
        <v>1877</v>
      </c>
      <c r="I2721" s="435"/>
      <c r="J2721" s="435"/>
      <c r="K2721" s="426">
        <v>77.48</v>
      </c>
      <c r="L2721" s="435">
        <v>22330</v>
      </c>
      <c r="M2721" s="81">
        <f>ROUND(K2721*L2721,0)</f>
        <v>1730128</v>
      </c>
      <c r="N2721" s="82" t="s">
        <v>101</v>
      </c>
      <c r="O2721" s="82" t="s">
        <v>585</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1" s="345" customFormat="1" ht="15.75" customHeight="1">
      <c r="A2722" s="334" t="str">
        <f>IF(B2722&lt;&gt;"",IF(AND(B2722='IN-TC'!$S$4,OR(TH!N2722="1111",TH!O2722="1111")),TH!D2722,""),"")</f>
        <v/>
      </c>
      <c r="B2722" s="993">
        <f t="shared" si="263"/>
        <v>9</v>
      </c>
      <c r="C2722" s="78">
        <v>42618</v>
      </c>
      <c r="D2722" s="78" t="s">
        <v>579</v>
      </c>
      <c r="E2722" s="78">
        <f t="shared" si="262"/>
        <v>42618</v>
      </c>
      <c r="F2722" s="72" t="s">
        <v>1062</v>
      </c>
      <c r="G2722" s="79" t="s">
        <v>1558</v>
      </c>
      <c r="H2722" s="80" t="s">
        <v>1877</v>
      </c>
      <c r="I2722" s="435"/>
      <c r="J2722" s="435"/>
      <c r="K2722" s="426"/>
      <c r="L2722" s="435"/>
      <c r="M2722" s="81">
        <v>337161</v>
      </c>
      <c r="N2722" s="82" t="s">
        <v>585</v>
      </c>
      <c r="O2722" s="82" t="s">
        <v>43</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1" s="348" customFormat="1" ht="15.75" customHeight="1">
      <c r="A2723" s="334" t="str">
        <f>IF(B2723&lt;&gt;"",IF(AND(B2723='IN-TC'!$S$4,OR(TH!N2723="1111",TH!O2723="1111")),TH!D2723,""),"")</f>
        <v/>
      </c>
      <c r="B2723" s="1134">
        <f t="shared" si="263"/>
        <v>9</v>
      </c>
      <c r="C2723" s="92">
        <v>42614</v>
      </c>
      <c r="D2723" s="92" t="s">
        <v>702</v>
      </c>
      <c r="E2723" s="92">
        <f t="shared" si="262"/>
        <v>42614</v>
      </c>
      <c r="F2723" s="72" t="s">
        <v>2026</v>
      </c>
      <c r="G2723" s="93" t="s">
        <v>1558</v>
      </c>
      <c r="H2723" s="94" t="s">
        <v>1795</v>
      </c>
      <c r="I2723" s="443"/>
      <c r="J2723" s="443"/>
      <c r="K2723" s="434">
        <v>229.91</v>
      </c>
      <c r="L2723" s="443">
        <v>22330</v>
      </c>
      <c r="M2723" s="95">
        <f>ROUND(K2723*L2723,0)</f>
        <v>5133890</v>
      </c>
      <c r="N2723" s="83" t="s">
        <v>99</v>
      </c>
      <c r="O2723" s="83" t="s">
        <v>266</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1" s="349" customFormat="1" ht="15.75" customHeight="1">
      <c r="A2724" s="334" t="str">
        <f>IF(B2724&lt;&gt;"",IF(AND(B2724='IN-TC'!$S$4,OR(TH!N2724="1111",TH!O2724="1111")),TH!D2724,""),"")</f>
        <v/>
      </c>
      <c r="B2724" s="63">
        <f t="shared" si="263"/>
        <v>9</v>
      </c>
      <c r="C2724" s="64">
        <v>42621</v>
      </c>
      <c r="D2724" s="64" t="s">
        <v>699</v>
      </c>
      <c r="E2724" s="64">
        <f t="shared" si="262"/>
        <v>42621</v>
      </c>
      <c r="F2724" s="72" t="s">
        <v>1450</v>
      </c>
      <c r="G2724" s="67" t="s">
        <v>1558</v>
      </c>
      <c r="H2724" s="72" t="s">
        <v>1890</v>
      </c>
      <c r="I2724" s="437"/>
      <c r="J2724" s="437"/>
      <c r="K2724" s="428">
        <v>80718</v>
      </c>
      <c r="L2724" s="437">
        <v>22290</v>
      </c>
      <c r="M2724" s="65">
        <f>ROUND(K2724*L2724,0)</f>
        <v>1799204220</v>
      </c>
      <c r="N2724" s="66" t="s">
        <v>266</v>
      </c>
      <c r="O2724" s="66" t="s">
        <v>585</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1" s="345" customFormat="1" ht="15.75" customHeight="1">
      <c r="A2725" s="334" t="str">
        <f>IF(B2725&lt;&gt;"",IF(AND(B2725='IN-TC'!$S$4,OR(TH!N2725="1111",TH!O2725="1111")),TH!D2725,""),"")</f>
        <v/>
      </c>
      <c r="B2725" s="993">
        <f t="shared" si="263"/>
        <v>9</v>
      </c>
      <c r="C2725" s="78">
        <v>42626</v>
      </c>
      <c r="D2725" s="78" t="s">
        <v>699</v>
      </c>
      <c r="E2725" s="78">
        <f t="shared" ref="E2725:E2735" si="264">C2725</f>
        <v>42626</v>
      </c>
      <c r="F2725" s="72" t="s">
        <v>1450</v>
      </c>
      <c r="G2725" s="79" t="s">
        <v>1558</v>
      </c>
      <c r="H2725" s="80" t="s">
        <v>1902</v>
      </c>
      <c r="I2725" s="435"/>
      <c r="J2725" s="435"/>
      <c r="K2725" s="426">
        <v>148188</v>
      </c>
      <c r="L2725" s="435">
        <v>22294</v>
      </c>
      <c r="M2725" s="81">
        <f>ROUND(K2725*L2725,0)</f>
        <v>3303703272</v>
      </c>
      <c r="N2725" s="82" t="s">
        <v>266</v>
      </c>
      <c r="O2725" s="82" t="s">
        <v>585</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x</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1" s="345" customFormat="1" ht="15.75" customHeight="1">
      <c r="A2726" s="334" t="str">
        <f>IF(B2726&lt;&gt;"",IF(AND(B2726='IN-TC'!$S$4,OR(TH!N2726="1111",TH!O2726="1111")),TH!D2726,""),"")</f>
        <v/>
      </c>
      <c r="B2726" s="993">
        <f t="shared" si="263"/>
        <v>9</v>
      </c>
      <c r="C2726" s="78">
        <v>42633</v>
      </c>
      <c r="D2726" s="78" t="s">
        <v>699</v>
      </c>
      <c r="E2726" s="78">
        <f t="shared" si="264"/>
        <v>42633</v>
      </c>
      <c r="F2726" s="72" t="s">
        <v>1450</v>
      </c>
      <c r="G2726" s="79" t="s">
        <v>1558</v>
      </c>
      <c r="H2726" s="80" t="s">
        <v>1902</v>
      </c>
      <c r="I2726" s="435"/>
      <c r="J2726" s="435"/>
      <c r="K2726" s="426">
        <v>148188</v>
      </c>
      <c r="L2726" s="435">
        <v>22310</v>
      </c>
      <c r="M2726" s="81">
        <f>ROUND(K2726*L2726,0)</f>
        <v>3306074280</v>
      </c>
      <c r="N2726" s="82" t="s">
        <v>266</v>
      </c>
      <c r="O2726" s="82" t="s">
        <v>585</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x</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1" s="345" customFormat="1" ht="15.75" customHeight="1">
      <c r="A2727" s="334" t="str">
        <f>IF(B2727&lt;&gt;"",IF(AND(B2727='IN-TC'!$S$4,OR(TH!N2727="1111",TH!O2727="1111")),TH!D2727,""),"")</f>
        <v/>
      </c>
      <c r="B2727" s="993">
        <f t="shared" si="263"/>
        <v>9</v>
      </c>
      <c r="C2727" s="78">
        <v>42633</v>
      </c>
      <c r="D2727" s="78" t="s">
        <v>579</v>
      </c>
      <c r="E2727" s="78">
        <f t="shared" si="264"/>
        <v>42633</v>
      </c>
      <c r="F2727" s="72" t="s">
        <v>1986</v>
      </c>
      <c r="G2727" s="79" t="s">
        <v>1558</v>
      </c>
      <c r="H2727" s="80" t="s">
        <v>1902</v>
      </c>
      <c r="I2727" s="435"/>
      <c r="J2727" s="435"/>
      <c r="K2727" s="426">
        <v>24</v>
      </c>
      <c r="L2727" s="435">
        <v>22310</v>
      </c>
      <c r="M2727" s="81">
        <f>ROUND(K2727*L2727,0)</f>
        <v>535440</v>
      </c>
      <c r="N2727" s="82" t="s">
        <v>101</v>
      </c>
      <c r="O2727" s="82" t="s">
        <v>585</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x</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1" s="345" customFormat="1" ht="15.75" customHeight="1">
      <c r="A2728" s="334" t="str">
        <f>IF(B2728&lt;&gt;"",IF(AND(B2728='IN-TC'!$S$4,OR(TH!N2728="1111",TH!O2728="1111")),TH!D2728,""),"")</f>
        <v/>
      </c>
      <c r="B2728" s="993">
        <f t="shared" si="263"/>
        <v>9</v>
      </c>
      <c r="C2728" s="78">
        <v>42633</v>
      </c>
      <c r="D2728" s="78" t="s">
        <v>579</v>
      </c>
      <c r="E2728" s="78">
        <f t="shared" si="264"/>
        <v>42633</v>
      </c>
      <c r="F2728" s="72" t="s">
        <v>1062</v>
      </c>
      <c r="G2728" s="79" t="s">
        <v>1558</v>
      </c>
      <c r="H2728" s="80" t="s">
        <v>1902</v>
      </c>
      <c r="I2728" s="435"/>
      <c r="J2728" s="435"/>
      <c r="K2728" s="426"/>
      <c r="L2728" s="435"/>
      <c r="M2728" s="81">
        <v>12448992</v>
      </c>
      <c r="N2728" s="82" t="s">
        <v>585</v>
      </c>
      <c r="O2728" s="82" t="s">
        <v>43</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x</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1" s="349" customFormat="1" ht="15.75" customHeight="1">
      <c r="A2729" s="334" t="str">
        <f>IF(B2729&lt;&gt;"",IF(AND(B2729='IN-TC'!$S$4,OR(TH!N2729="1111",TH!O2729="1111")),TH!D2729,""),"")</f>
        <v/>
      </c>
      <c r="B2729" s="63">
        <f t="shared" si="263"/>
        <v>9</v>
      </c>
      <c r="C2729" s="64">
        <v>42633</v>
      </c>
      <c r="D2729" s="64" t="s">
        <v>702</v>
      </c>
      <c r="E2729" s="64">
        <f t="shared" si="264"/>
        <v>42633</v>
      </c>
      <c r="F2729" s="72" t="s">
        <v>1185</v>
      </c>
      <c r="G2729" s="67" t="s">
        <v>1558</v>
      </c>
      <c r="H2729" s="72"/>
      <c r="I2729" s="437"/>
      <c r="J2729" s="437"/>
      <c r="K2729" s="428">
        <v>30.33</v>
      </c>
      <c r="L2729" s="437">
        <v>22310</v>
      </c>
      <c r="M2729" s="65">
        <f t="shared" ref="M2729:M2735" si="265">ROUND(K2729*L2729,0)</f>
        <v>676662</v>
      </c>
      <c r="N2729" s="66" t="s">
        <v>101</v>
      </c>
      <c r="O2729" s="66" t="s">
        <v>266</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1" s="348" customFormat="1" ht="15.75" customHeight="1">
      <c r="A2730" s="334" t="str">
        <f>IF(B2730&lt;&gt;"",IF(AND(B2730='IN-TC'!$S$4,OR(TH!N2730="1111",TH!O2730="1111")),TH!D2730,""),"")</f>
        <v/>
      </c>
      <c r="B2730" s="1134">
        <f t="shared" si="263"/>
        <v>9</v>
      </c>
      <c r="C2730" s="92">
        <v>42635</v>
      </c>
      <c r="D2730" s="92" t="s">
        <v>702</v>
      </c>
      <c r="E2730" s="92">
        <f t="shared" si="264"/>
        <v>42635</v>
      </c>
      <c r="F2730" s="72" t="s">
        <v>2026</v>
      </c>
      <c r="G2730" s="93" t="s">
        <v>1558</v>
      </c>
      <c r="H2730" s="94" t="s">
        <v>1795</v>
      </c>
      <c r="I2730" s="443"/>
      <c r="J2730" s="443"/>
      <c r="K2730" s="434">
        <v>239.9</v>
      </c>
      <c r="L2730" s="443">
        <v>22310</v>
      </c>
      <c r="M2730" s="81">
        <f t="shared" si="265"/>
        <v>5352169</v>
      </c>
      <c r="N2730" s="83" t="s">
        <v>99</v>
      </c>
      <c r="O2730" s="83" t="s">
        <v>266</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1" s="348" customFormat="1" ht="15.75" customHeight="1">
      <c r="A2731" s="334" t="str">
        <f>IF(B2731&lt;&gt;"",IF(AND(B2731='IN-TC'!$S$4,OR(TH!N2731="1111",TH!O2731="1111")),TH!D2731,""),"")</f>
        <v/>
      </c>
      <c r="B2731" s="1134">
        <f t="shared" si="263"/>
        <v>9</v>
      </c>
      <c r="C2731" s="92">
        <v>42641</v>
      </c>
      <c r="D2731" s="92" t="s">
        <v>702</v>
      </c>
      <c r="E2731" s="92">
        <f t="shared" si="264"/>
        <v>42641</v>
      </c>
      <c r="F2731" s="72" t="s">
        <v>2026</v>
      </c>
      <c r="G2731" s="93" t="s">
        <v>1558</v>
      </c>
      <c r="H2731" s="94" t="s">
        <v>1795</v>
      </c>
      <c r="I2731" s="443"/>
      <c r="J2731" s="443"/>
      <c r="K2731" s="434">
        <v>122.6</v>
      </c>
      <c r="L2731" s="443">
        <v>22340</v>
      </c>
      <c r="M2731" s="81">
        <f t="shared" si="265"/>
        <v>2738884</v>
      </c>
      <c r="N2731" s="83" t="s">
        <v>99</v>
      </c>
      <c r="O2731" s="83" t="s">
        <v>266</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1" s="348" customFormat="1" ht="15.75" customHeight="1">
      <c r="A2732" s="334" t="str">
        <f>IF(B2732&lt;&gt;"",IF(AND(B2732='IN-TC'!$S$4,OR(TH!N2732="1111",TH!O2732="1111")),TH!D2732,""),"")</f>
        <v/>
      </c>
      <c r="B2732" s="1134">
        <f t="shared" si="263"/>
        <v>9</v>
      </c>
      <c r="C2732" s="92">
        <v>42641</v>
      </c>
      <c r="D2732" s="92" t="s">
        <v>702</v>
      </c>
      <c r="E2732" s="92">
        <f t="shared" si="264"/>
        <v>42641</v>
      </c>
      <c r="F2732" s="72" t="s">
        <v>2026</v>
      </c>
      <c r="G2732" s="93" t="s">
        <v>1558</v>
      </c>
      <c r="H2732" s="94" t="s">
        <v>1795</v>
      </c>
      <c r="I2732" s="443"/>
      <c r="J2732" s="443"/>
      <c r="K2732" s="434">
        <v>156.62</v>
      </c>
      <c r="L2732" s="443">
        <v>22310</v>
      </c>
      <c r="M2732" s="81">
        <f t="shared" si="265"/>
        <v>3494192</v>
      </c>
      <c r="N2732" s="83" t="s">
        <v>99</v>
      </c>
      <c r="O2732" s="83" t="s">
        <v>266</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1" s="348" customFormat="1" ht="15.75" customHeight="1">
      <c r="A2733" s="334" t="str">
        <f>IF(B2733&lt;&gt;"",IF(AND(B2733='IN-TC'!$S$4,OR(TH!N2733="1111",TH!O2733="1111")),TH!D2733,""),"")</f>
        <v/>
      </c>
      <c r="B2733" s="1134">
        <f t="shared" si="263"/>
        <v>9</v>
      </c>
      <c r="C2733" s="92">
        <v>42641</v>
      </c>
      <c r="D2733" s="92" t="s">
        <v>702</v>
      </c>
      <c r="E2733" s="92">
        <f t="shared" si="264"/>
        <v>42641</v>
      </c>
      <c r="F2733" s="72" t="s">
        <v>2026</v>
      </c>
      <c r="G2733" s="93" t="s">
        <v>1558</v>
      </c>
      <c r="H2733" s="94" t="s">
        <v>1795</v>
      </c>
      <c r="I2733" s="443"/>
      <c r="J2733" s="443"/>
      <c r="K2733" s="434">
        <v>126.09</v>
      </c>
      <c r="L2733" s="443">
        <v>22310</v>
      </c>
      <c r="M2733" s="81">
        <f t="shared" si="265"/>
        <v>2813068</v>
      </c>
      <c r="N2733" s="83" t="s">
        <v>99</v>
      </c>
      <c r="O2733" s="83" t="s">
        <v>266</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1" s="348" customFormat="1" ht="15.75" customHeight="1">
      <c r="A2734" s="334" t="str">
        <f>IF(B2734&lt;&gt;"",IF(AND(B2734='IN-TC'!$S$4,OR(TH!N2734="1111",TH!O2734="1111")),TH!D2734,""),"")</f>
        <v/>
      </c>
      <c r="B2734" s="1134">
        <f t="shared" si="263"/>
        <v>9</v>
      </c>
      <c r="C2734" s="92">
        <v>42641</v>
      </c>
      <c r="D2734" s="92" t="s">
        <v>702</v>
      </c>
      <c r="E2734" s="92">
        <f t="shared" si="264"/>
        <v>42641</v>
      </c>
      <c r="F2734" s="72" t="s">
        <v>2026</v>
      </c>
      <c r="G2734" s="93" t="s">
        <v>1558</v>
      </c>
      <c r="H2734" s="94" t="s">
        <v>1795</v>
      </c>
      <c r="I2734" s="443"/>
      <c r="J2734" s="443"/>
      <c r="K2734" s="434">
        <v>171.54</v>
      </c>
      <c r="L2734" s="443">
        <v>22310</v>
      </c>
      <c r="M2734" s="81">
        <f t="shared" si="265"/>
        <v>3827057</v>
      </c>
      <c r="N2734" s="83" t="s">
        <v>99</v>
      </c>
      <c r="O2734" s="83" t="s">
        <v>266</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1" s="348" customFormat="1" ht="15.75" customHeight="1">
      <c r="A2735" s="334" t="str">
        <f>IF(B2735&lt;&gt;"",IF(AND(B2735='IN-TC'!$S$4,OR(TH!N2735="1111",TH!O2735="1111")),TH!D2735,""),"")</f>
        <v/>
      </c>
      <c r="B2735" s="1134">
        <f t="shared" si="263"/>
        <v>9</v>
      </c>
      <c r="C2735" s="92">
        <v>42641</v>
      </c>
      <c r="D2735" s="92" t="s">
        <v>702</v>
      </c>
      <c r="E2735" s="92">
        <f t="shared" si="264"/>
        <v>42641</v>
      </c>
      <c r="F2735" s="72" t="s">
        <v>2026</v>
      </c>
      <c r="G2735" s="93" t="s">
        <v>1558</v>
      </c>
      <c r="H2735" s="94" t="s">
        <v>1795</v>
      </c>
      <c r="I2735" s="443"/>
      <c r="J2735" s="443"/>
      <c r="K2735" s="434">
        <v>66</v>
      </c>
      <c r="L2735" s="443">
        <v>22310</v>
      </c>
      <c r="M2735" s="81">
        <f t="shared" si="265"/>
        <v>1472460</v>
      </c>
      <c r="N2735" s="83" t="s">
        <v>99</v>
      </c>
      <c r="O2735" s="83" t="s">
        <v>266</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1" s="349" customFormat="1" ht="15.75" customHeight="1">
      <c r="A2736" s="334" t="str">
        <f>IF(B2736&lt;&gt;"",IF(AND(B2736='IN-TC'!$S$4,OR(TH!N2738="1111",TH!O2738="1111")),TH!D2738,""),"")</f>
        <v/>
      </c>
      <c r="B2736" s="63">
        <f t="shared" si="263"/>
        <v>9</v>
      </c>
      <c r="C2736" s="64">
        <v>42614</v>
      </c>
      <c r="D2736" s="64" t="s">
        <v>865</v>
      </c>
      <c r="E2736" s="64">
        <v>42590</v>
      </c>
      <c r="F2736" s="72" t="s">
        <v>2035</v>
      </c>
      <c r="G2736" s="972" t="s">
        <v>2037</v>
      </c>
      <c r="H2736" s="72" t="s">
        <v>1423</v>
      </c>
      <c r="I2736" s="437"/>
      <c r="J2736" s="437"/>
      <c r="K2736" s="428"/>
      <c r="L2736" s="437"/>
      <c r="M2736" s="65">
        <v>140000</v>
      </c>
      <c r="N2736" s="66" t="s">
        <v>101</v>
      </c>
      <c r="O2736" s="66" t="s">
        <v>63</v>
      </c>
      <c r="P2736" s="82" t="str">
        <f>IF(AND('331-CT'!$E$7=TH!H2738,OR(N2736="331",O2736="331")),"x","")</f>
        <v/>
      </c>
      <c r="Q2736" s="82" t="str">
        <f>IF(AND(B2736='111'!$L$11,OR($N2736=$Q$7,$O2736=$Q$7)),"x","")</f>
        <v>x</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IF(OR(TH!N2738=TH!$X$7,O2736=TH!$X$7),"x","")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349">
        <v>1</v>
      </c>
    </row>
    <row r="2737" spans="1:32" s="349" customFormat="1" ht="15.75" customHeight="1">
      <c r="A2737" s="334" t="str">
        <f>IF(B2737&lt;&gt;"",IF(AND(B2737='IN-TC'!$S$4,OR(TH!N2739="1111",TH!O2739="1111")),TH!D2739,""),"")</f>
        <v/>
      </c>
      <c r="B2737" s="63">
        <f t="shared" si="263"/>
        <v>9</v>
      </c>
      <c r="C2737" s="64">
        <v>42614</v>
      </c>
      <c r="D2737" s="64" t="s">
        <v>865</v>
      </c>
      <c r="E2737" s="64">
        <v>42590</v>
      </c>
      <c r="F2737" s="72" t="s">
        <v>2036</v>
      </c>
      <c r="G2737" s="972" t="s">
        <v>2037</v>
      </c>
      <c r="H2737" s="72" t="s">
        <v>1423</v>
      </c>
      <c r="I2737" s="437"/>
      <c r="J2737" s="437"/>
      <c r="K2737" s="428"/>
      <c r="L2737" s="437"/>
      <c r="M2737" s="65">
        <v>7000</v>
      </c>
      <c r="N2737" s="66" t="s">
        <v>9</v>
      </c>
      <c r="O2737" s="66" t="s">
        <v>63</v>
      </c>
      <c r="P2737" s="82" t="str">
        <f>IF(AND('331-CT'!$E$7=TH!H2739,OR(N2737="331",O2737="331")),"x","")</f>
        <v/>
      </c>
      <c r="Q2737" s="82" t="str">
        <f>IF(AND(B2737='111'!$L$11,OR($N2737=$Q$7,$O2737=$Q$7)),"x","")</f>
        <v>x</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IF(OR(TH!N2739=TH!$X$7,O2737=TH!$X$7),"x","")</f>
        <v>x</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c r="AE2737" s="349">
        <v>1</v>
      </c>
    </row>
    <row r="2738" spans="1:32" s="349" customFormat="1" ht="15.75" customHeight="1">
      <c r="A2738" s="334" t="str">
        <f>IF(B2738&lt;&gt;"",IF(AND(B2738='IN-TC'!$S$4,OR(TH!N2742="1111",TH!O2742="1111")),TH!D2742,""),"")</f>
        <v/>
      </c>
      <c r="B2738" s="63">
        <f t="shared" si="263"/>
        <v>9</v>
      </c>
      <c r="C2738" s="64">
        <v>42614</v>
      </c>
      <c r="D2738" s="64" t="s">
        <v>866</v>
      </c>
      <c r="E2738" s="64">
        <v>42597</v>
      </c>
      <c r="F2738" s="72" t="s">
        <v>2038</v>
      </c>
      <c r="G2738" s="972" t="s">
        <v>2040</v>
      </c>
      <c r="H2738" s="72" t="s">
        <v>2041</v>
      </c>
      <c r="I2738" s="437"/>
      <c r="J2738" s="437"/>
      <c r="K2738" s="428"/>
      <c r="L2738" s="437"/>
      <c r="M2738" s="65">
        <v>2000000</v>
      </c>
      <c r="N2738" s="66" t="s">
        <v>101</v>
      </c>
      <c r="O2738" s="66" t="s">
        <v>63</v>
      </c>
      <c r="P2738" s="82" t="str">
        <f>IF(AND('331-CT'!$E$7=TH!H2742,OR(N2738="331",O2738="331")),"x","")</f>
        <v/>
      </c>
      <c r="Q2738" s="82" t="str">
        <f>IF(AND(B2738='111'!$L$11,OR($N2738=$Q$7,$O2738=$Q$7)),"x","")</f>
        <v>x</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IF(OR(TH!N2742=TH!$X$7,O2738=TH!$X$7),"x","")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c r="AE2738" s="349">
        <v>1</v>
      </c>
    </row>
    <row r="2739" spans="1:32" s="349" customFormat="1" ht="15.75" customHeight="1">
      <c r="A2739" s="334" t="str">
        <f>IF(B2739&lt;&gt;"",IF(AND(B2739='IN-TC'!$S$4,OR(TH!N2743="1111",TH!O2743="1111")),TH!D2743,""),"")</f>
        <v/>
      </c>
      <c r="B2739" s="63">
        <f t="shared" si="263"/>
        <v>9</v>
      </c>
      <c r="C2739" s="64">
        <v>42614</v>
      </c>
      <c r="D2739" s="64" t="s">
        <v>866</v>
      </c>
      <c r="E2739" s="64">
        <v>42597</v>
      </c>
      <c r="F2739" s="72" t="s">
        <v>2039</v>
      </c>
      <c r="G2739" s="972" t="s">
        <v>2040</v>
      </c>
      <c r="H2739" s="72" t="s">
        <v>2041</v>
      </c>
      <c r="I2739" s="437"/>
      <c r="J2739" s="437"/>
      <c r="K2739" s="428"/>
      <c r="L2739" s="437"/>
      <c r="M2739" s="65">
        <v>100000</v>
      </c>
      <c r="N2739" s="66" t="s">
        <v>9</v>
      </c>
      <c r="O2739" s="66" t="s">
        <v>63</v>
      </c>
      <c r="P2739" s="82" t="str">
        <f>IF(AND('331-CT'!$E$7=TH!H2743,OR(N2739="331",O2739="331")),"x","")</f>
        <v/>
      </c>
      <c r="Q2739" s="82" t="str">
        <f>IF(AND(B2739='111'!$L$11,OR($N2739=$Q$7,$O2739=$Q$7)),"x","")</f>
        <v>x</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IF(OR(TH!N2743=TH!$X$7,O2739=TH!$X$7),"x","")</f>
        <v>x</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c r="AE2739" s="349">
        <v>1</v>
      </c>
    </row>
    <row r="2740" spans="1:32" s="349" customFormat="1" ht="15.75" customHeight="1">
      <c r="A2740" s="334" t="str">
        <f>IF(B2740&lt;&gt;"",IF(AND(B2740='IN-TC'!$S$4,OR(TH!N1804="1111",TH!O1804="1111")),TH!D1804,""),"")</f>
        <v/>
      </c>
      <c r="B2740" s="1148">
        <f t="shared" si="263"/>
        <v>9</v>
      </c>
      <c r="C2740" s="1149">
        <v>42616</v>
      </c>
      <c r="D2740" s="1149" t="s">
        <v>867</v>
      </c>
      <c r="E2740" s="1149">
        <f t="shared" ref="E2740" si="266">C2740</f>
        <v>42616</v>
      </c>
      <c r="F2740" s="512" t="s">
        <v>960</v>
      </c>
      <c r="G2740" s="1151"/>
      <c r="H2740" s="1150" t="s">
        <v>959</v>
      </c>
      <c r="I2740" s="1152"/>
      <c r="J2740" s="1152"/>
      <c r="K2740" s="1153"/>
      <c r="L2740" s="1231"/>
      <c r="M2740" s="1154">
        <v>500000000</v>
      </c>
      <c r="N2740" s="1155" t="s">
        <v>272</v>
      </c>
      <c r="O2740" s="1155" t="s">
        <v>63</v>
      </c>
      <c r="P2740" s="1155" t="str">
        <f>IF(AND('331-CT'!$E$7=TH!H1804,OR(N2740="331",O2740="331")),"x","")</f>
        <v/>
      </c>
      <c r="Q2740" s="1155" t="str">
        <f>IF(AND(B2740='111'!$L$11,OR($N2740=$Q$7,$O2740=$Q$7)),"x","")</f>
        <v>x</v>
      </c>
      <c r="R2740" s="1155" t="str">
        <f>IF(AND($N2740=$Q$7,$B2740&lt;'111'!$L$11),"x","")</f>
        <v/>
      </c>
      <c r="S2740" s="1155" t="str">
        <f>IF(AND($O2740=$Q$7,$B2740&lt;'111'!$L$11),"x","")</f>
        <v/>
      </c>
      <c r="T2740" s="1155" t="str">
        <f>IF(ISERROR(FIND('112'!$M$9,G2740,1)),"",IF((AND(FIND('112'!$M$9,G2740,1)&gt;=1,B2740='112'!$K$9,OR($N2740='112'!$I$6,$O2740='112'!$I$6))),"x",""))</f>
        <v/>
      </c>
      <c r="U2740" s="1155" t="str">
        <f>IF(ISERROR(FIND('112'!$M$9,G2740,1)),"",IF((AND(LEFT(G2740,2)=LEFT('112'!$M$9,2),B2740&lt;'112'!$K$9,$N2740='112'!$I$6)),"x",""))</f>
        <v/>
      </c>
      <c r="V2740" s="1155" t="str">
        <f>IF(ISERROR(FIND('112'!$M$9,G2740,1)),"",IF((AND(RIGHT(G2740,2)=RIGHT('112'!$M$9,2),B2740&lt;'112'!$K$9,$O2740='112'!$I$6)),"x",""))</f>
        <v/>
      </c>
      <c r="W2740" s="1155" t="str">
        <f>IF(AND('341-CT'!$H$9=H2740,OR(LEFT(N2740,3)=$W$7,LEFT(O2740,3)=$W$7)),"x","")</f>
        <v/>
      </c>
      <c r="X2740" s="1155" t="str">
        <f>IF(OR(TH!N1804=TH!$X$7,O2740=TH!$X$7),"x","")</f>
        <v/>
      </c>
      <c r="Y2740" s="1155" t="str">
        <f>IF(AND(OR(N2740="131",O2740="131"),H2740='131-CT'!$H$9),"x","")</f>
        <v/>
      </c>
      <c r="Z2740" s="1155"/>
      <c r="AA2740" s="1155" t="str">
        <f>IF(AND(MONTH(E2740)='IN-NX'!$J$5,'IN-NX'!$D$7=D2740),"x","")</f>
        <v/>
      </c>
      <c r="AB2740" s="1155" t="str">
        <f>IF(AND(OR(LEFT(TH!N1804,2)="15",LEFT(TH!O1804,2)="15"),LEFT(TH!O1804,3)&lt;&gt;"111",'152-CT'!$J$8=TH!F1804),"x","")</f>
        <v/>
      </c>
      <c r="AC2740" s="1155" t="str">
        <f>IF(AND(OR(LEFT(TH!N1804,2)="15",LEFT(TH!O1804,2)="15"),TK!$E$7=TH!F1804),"x","")</f>
        <v/>
      </c>
      <c r="AD2740" s="1155" t="str">
        <f>IF(AND(N2740="1521",MONTH(C2740)='BK-NL'!$M$11),"x","")</f>
        <v/>
      </c>
      <c r="AE2740" s="1156"/>
      <c r="AF2740" s="1156"/>
    </row>
    <row r="2741" spans="1:32" s="349" customFormat="1" ht="15.75" customHeight="1">
      <c r="A2741" s="334" t="str">
        <f>IF(B2741&lt;&gt;"",IF(AND(B2741='IN-TC'!$S$4,OR(TH!N1805="1111",TH!O1805="1111")),TH!D1805,""),"")</f>
        <v/>
      </c>
      <c r="B2741" s="1148">
        <f t="shared" ref="B2741" si="267">IF(C2741&lt;&gt;"",MONTH(C2741),"")</f>
        <v>9</v>
      </c>
      <c r="C2741" s="1149">
        <v>42616</v>
      </c>
      <c r="D2741" s="1149" t="s">
        <v>868</v>
      </c>
      <c r="E2741" s="1149">
        <f t="shared" ref="E2741" si="268">C2741</f>
        <v>42616</v>
      </c>
      <c r="F2741" s="512" t="s">
        <v>960</v>
      </c>
      <c r="G2741" s="1151"/>
      <c r="H2741" s="1150" t="s">
        <v>2239</v>
      </c>
      <c r="I2741" s="1152"/>
      <c r="J2741" s="1152"/>
      <c r="K2741" s="1153"/>
      <c r="L2741" s="1231"/>
      <c r="M2741" s="1154">
        <v>500000000</v>
      </c>
      <c r="N2741" s="1155" t="s">
        <v>272</v>
      </c>
      <c r="O2741" s="1155" t="s">
        <v>63</v>
      </c>
      <c r="P2741" s="1155" t="str">
        <f>IF(AND('331-CT'!$E$7=TH!H1805,OR(N2741="331",O2741="331")),"x","")</f>
        <v/>
      </c>
      <c r="Q2741" s="1155" t="str">
        <f>IF(AND(B2741='111'!$L$11,OR($N2741=$Q$7,$O2741=$Q$7)),"x","")</f>
        <v>x</v>
      </c>
      <c r="R2741" s="1155" t="str">
        <f>IF(AND($N2741=$Q$7,$B2741&lt;'111'!$L$11),"x","")</f>
        <v/>
      </c>
      <c r="S2741" s="1155" t="str">
        <f>IF(AND($O2741=$Q$7,$B2741&lt;'111'!$L$11),"x","")</f>
        <v/>
      </c>
      <c r="T2741" s="1155" t="str">
        <f>IF(ISERROR(FIND('112'!$M$9,G2741,1)),"",IF((AND(FIND('112'!$M$9,G2741,1)&gt;=1,B2741='112'!$K$9,OR($N2741='112'!$I$6,$O2741='112'!$I$6))),"x",""))</f>
        <v/>
      </c>
      <c r="U2741" s="1155" t="str">
        <f>IF(ISERROR(FIND('112'!$M$9,G2741,1)),"",IF((AND(LEFT(G2741,2)=LEFT('112'!$M$9,2),B2741&lt;'112'!$K$9,$N2741='112'!$I$6)),"x",""))</f>
        <v/>
      </c>
      <c r="V2741" s="1155" t="str">
        <f>IF(ISERROR(FIND('112'!$M$9,G2741,1)),"",IF((AND(RIGHT(G2741,2)=RIGHT('112'!$M$9,2),B2741&lt;'112'!$K$9,$O2741='112'!$I$6)),"x",""))</f>
        <v/>
      </c>
      <c r="W2741" s="1155" t="str">
        <f>IF(AND('341-CT'!$H$9=H2741,OR(LEFT(N2741,3)=$W$7,LEFT(O2741,3)=$W$7)),"x","")</f>
        <v/>
      </c>
      <c r="X2741" s="1155" t="str">
        <f>IF(OR(TH!N1805=TH!$X$7,O2741=TH!$X$7),"x","")</f>
        <v>x</v>
      </c>
      <c r="Y2741" s="1155" t="str">
        <f>IF(AND(OR(N2741="131",O2741="131"),H2741='131-CT'!$H$9),"x","")</f>
        <v/>
      </c>
      <c r="Z2741" s="1155"/>
      <c r="AA2741" s="1155" t="str">
        <f>IF(AND(MONTH(E2741)='IN-NX'!$J$5,'IN-NX'!$D$7=D2741),"x","")</f>
        <v/>
      </c>
      <c r="AB2741" s="1155" t="str">
        <f>IF(AND(OR(LEFT(TH!N1805,2)="15",LEFT(TH!O1805,2)="15"),LEFT(TH!O1805,3)&lt;&gt;"111",'152-CT'!$J$8=TH!F1805),"x","")</f>
        <v/>
      </c>
      <c r="AC2741" s="1155" t="str">
        <f>IF(AND(OR(LEFT(TH!N1805,2)="15",LEFT(TH!O1805,2)="15"),TK!$E$7=TH!F1805),"x","")</f>
        <v/>
      </c>
      <c r="AD2741" s="1155" t="str">
        <f>IF(AND(N2741="1521",MONTH(C2741)='BK-NL'!$M$11),"x","")</f>
        <v/>
      </c>
      <c r="AE2741" s="1156"/>
      <c r="AF2741" s="1156"/>
    </row>
    <row r="2742" spans="1:32" s="349" customFormat="1" ht="15.75" customHeight="1">
      <c r="A2742" s="334" t="str">
        <f>IF(B2742&lt;&gt;"",IF(AND(B2742='IN-TC'!$S$4,OR(TH!N2744="1111",TH!O2744="1111")),TH!D2744,""),"")</f>
        <v/>
      </c>
      <c r="B2742" s="63">
        <f t="shared" si="263"/>
        <v>9</v>
      </c>
      <c r="C2742" s="64">
        <v>42617</v>
      </c>
      <c r="D2742" s="64" t="s">
        <v>869</v>
      </c>
      <c r="E2742" s="64">
        <v>42617</v>
      </c>
      <c r="F2742" s="72" t="s">
        <v>1107</v>
      </c>
      <c r="G2742" s="972" t="s">
        <v>2042</v>
      </c>
      <c r="H2742" s="72" t="s">
        <v>805</v>
      </c>
      <c r="I2742" s="437"/>
      <c r="J2742" s="437"/>
      <c r="K2742" s="428"/>
      <c r="L2742" s="437"/>
      <c r="M2742" s="65">
        <v>584364</v>
      </c>
      <c r="N2742" s="66" t="s">
        <v>101</v>
      </c>
      <c r="O2742" s="66" t="s">
        <v>63</v>
      </c>
      <c r="P2742" s="82" t="str">
        <f>IF(AND('331-CT'!$E$7=TH!H2744,OR(N2742="331",O2742="331")),"x","")</f>
        <v/>
      </c>
      <c r="Q2742" s="82" t="str">
        <f>IF(AND(B2742='111'!$L$11,OR($N2742=$Q$7,$O2742=$Q$7)),"x","")</f>
        <v>x</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IF(OR(TH!N2744=TH!$X$7,O2742=TH!$X$7),"x","")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c r="AE2742" s="349">
        <v>1</v>
      </c>
    </row>
    <row r="2743" spans="1:32" s="349" customFormat="1" ht="15.75" customHeight="1">
      <c r="A2743" s="334" t="str">
        <f>IF(B2743&lt;&gt;"",IF(AND(B2743='IN-TC'!$S$4,OR(TH!N2745="1111",TH!O2745="1111")),TH!D2745,""),"")</f>
        <v/>
      </c>
      <c r="B2743" s="63">
        <f t="shared" si="263"/>
        <v>9</v>
      </c>
      <c r="C2743" s="64">
        <v>42617</v>
      </c>
      <c r="D2743" s="64" t="s">
        <v>869</v>
      </c>
      <c r="E2743" s="64">
        <v>42617</v>
      </c>
      <c r="F2743" s="72" t="s">
        <v>1337</v>
      </c>
      <c r="G2743" s="972" t="s">
        <v>2042</v>
      </c>
      <c r="H2743" s="72" t="s">
        <v>805</v>
      </c>
      <c r="I2743" s="437"/>
      <c r="J2743" s="437"/>
      <c r="K2743" s="428"/>
      <c r="L2743" s="437"/>
      <c r="M2743" s="65">
        <v>58436</v>
      </c>
      <c r="N2743" s="66" t="s">
        <v>9</v>
      </c>
      <c r="O2743" s="66" t="s">
        <v>63</v>
      </c>
      <c r="P2743" s="82" t="str">
        <f>IF(AND('331-CT'!$E$7=TH!H2745,OR(N2743="331",O2743="331")),"x","")</f>
        <v/>
      </c>
      <c r="Q2743" s="82" t="str">
        <f>IF(AND(B2743='111'!$L$11,OR($N2743=$Q$7,$O2743=$Q$7)),"x","")</f>
        <v>x</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IF(OR(TH!N2745=TH!$X$7,O2743=TH!$X$7),"x","")</f>
        <v>x</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c r="AE2743" s="349">
        <v>1</v>
      </c>
    </row>
    <row r="2744" spans="1:32" s="349" customFormat="1" ht="15.75" customHeight="1">
      <c r="A2744" s="334" t="str">
        <f>IF(B2744&lt;&gt;"",IF(AND(B2744='IN-TC'!$S$4,OR(TH!N2746="1111",TH!O2746="1111")),TH!D2746,""),"")</f>
        <v/>
      </c>
      <c r="B2744" s="63">
        <f t="shared" si="263"/>
        <v>9</v>
      </c>
      <c r="C2744" s="64">
        <v>42618</v>
      </c>
      <c r="D2744" s="64" t="s">
        <v>871</v>
      </c>
      <c r="E2744" s="64">
        <v>42618</v>
      </c>
      <c r="F2744" s="72" t="s">
        <v>1107</v>
      </c>
      <c r="G2744" s="972" t="s">
        <v>2043</v>
      </c>
      <c r="H2744" s="72" t="s">
        <v>805</v>
      </c>
      <c r="I2744" s="437"/>
      <c r="J2744" s="437"/>
      <c r="K2744" s="428"/>
      <c r="L2744" s="437"/>
      <c r="M2744" s="65">
        <v>613582</v>
      </c>
      <c r="N2744" s="66" t="s">
        <v>101</v>
      </c>
      <c r="O2744" s="66" t="s">
        <v>63</v>
      </c>
      <c r="P2744" s="82" t="str">
        <f>IF(AND('331-CT'!$E$7=TH!H2746,OR(N2744="331",O2744="331")),"x","")</f>
        <v/>
      </c>
      <c r="Q2744" s="82" t="str">
        <f>IF(AND(B2744='111'!$L$11,OR($N2744=$Q$7,$O2744=$Q$7)),"x","")</f>
        <v>x</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IF(OR(TH!N2746=TH!$X$7,O2744=TH!$X$7),"x","")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c r="AE2744" s="349">
        <v>1</v>
      </c>
    </row>
    <row r="2745" spans="1:32" s="349" customFormat="1" ht="15.75" customHeight="1">
      <c r="A2745" s="334" t="str">
        <f>IF(B2745&lt;&gt;"",IF(AND(B2745='IN-TC'!$S$4,OR(TH!N2747="1111",TH!O2747="1111")),TH!D2747,""),"")</f>
        <v/>
      </c>
      <c r="B2745" s="63">
        <f t="shared" si="263"/>
        <v>9</v>
      </c>
      <c r="C2745" s="64">
        <v>42618</v>
      </c>
      <c r="D2745" s="64" t="s">
        <v>871</v>
      </c>
      <c r="E2745" s="64">
        <v>42618</v>
      </c>
      <c r="F2745" s="72" t="s">
        <v>1337</v>
      </c>
      <c r="G2745" s="972" t="s">
        <v>2043</v>
      </c>
      <c r="H2745" s="72" t="s">
        <v>805</v>
      </c>
      <c r="I2745" s="437"/>
      <c r="J2745" s="437"/>
      <c r="K2745" s="428"/>
      <c r="L2745" s="437"/>
      <c r="M2745" s="65">
        <v>61358</v>
      </c>
      <c r="N2745" s="66" t="s">
        <v>9</v>
      </c>
      <c r="O2745" s="66" t="s">
        <v>63</v>
      </c>
      <c r="P2745" s="82" t="str">
        <f>IF(AND('331-CT'!$E$7=TH!H2747,OR(N2745="331",O2745="331")),"x","")</f>
        <v/>
      </c>
      <c r="Q2745" s="82" t="str">
        <f>IF(AND(B2745='111'!$L$11,OR($N2745=$Q$7,$O2745=$Q$7)),"x","")</f>
        <v>x</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IF(OR(TH!N2747=TH!$X$7,O2745=TH!$X$7),"x","")</f>
        <v>x</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c r="AE2745" s="349">
        <v>1</v>
      </c>
    </row>
    <row r="2746" spans="1:32" s="349" customFormat="1" ht="15.75" customHeight="1">
      <c r="A2746" s="334" t="str">
        <f>IF(B2746&lt;&gt;"",IF(AND(B2746='IN-TC'!$S$4,OR(TH!N2750="1111",TH!O2750="1111")),TH!D2750,""),"")</f>
        <v/>
      </c>
      <c r="B2746" s="63">
        <f t="shared" si="263"/>
        <v>9</v>
      </c>
      <c r="C2746" s="64">
        <v>42618</v>
      </c>
      <c r="D2746" s="64" t="s">
        <v>872</v>
      </c>
      <c r="E2746" s="64">
        <v>42618</v>
      </c>
      <c r="F2746" s="72" t="s">
        <v>2044</v>
      </c>
      <c r="G2746" s="972" t="s">
        <v>2045</v>
      </c>
      <c r="H2746" s="72" t="s">
        <v>843</v>
      </c>
      <c r="I2746" s="437"/>
      <c r="J2746" s="437"/>
      <c r="K2746" s="428"/>
      <c r="L2746" s="437"/>
      <c r="M2746" s="65">
        <v>2015864</v>
      </c>
      <c r="N2746" s="66" t="s">
        <v>101</v>
      </c>
      <c r="O2746" s="66" t="s">
        <v>63</v>
      </c>
      <c r="P2746" s="82" t="str">
        <f>IF(AND('331-CT'!$E$7=TH!H2750,OR(N2746="331",O2746="331")),"x","")</f>
        <v/>
      </c>
      <c r="Q2746" s="82" t="str">
        <f>IF(AND(B2746='111'!$L$11,OR($N2746=$Q$7,$O2746=$Q$7)),"x","")</f>
        <v>x</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IF(OR(TH!N2750=TH!$X$7,O2746=TH!$X$7),"x","")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c r="AE2746" s="349">
        <v>1</v>
      </c>
    </row>
    <row r="2747" spans="1:32" s="349" customFormat="1" ht="15.75" customHeight="1">
      <c r="A2747" s="334" t="str">
        <f>IF(B2747&lt;&gt;"",IF(AND(B2747='IN-TC'!$S$4,OR(TH!N2751="1111",TH!O2751="1111")),TH!D2751,""),"")</f>
        <v/>
      </c>
      <c r="B2747" s="63">
        <f t="shared" si="263"/>
        <v>9</v>
      </c>
      <c r="C2747" s="64">
        <v>42618</v>
      </c>
      <c r="D2747" s="64" t="s">
        <v>872</v>
      </c>
      <c r="E2747" s="64">
        <v>42618</v>
      </c>
      <c r="F2747" s="72" t="s">
        <v>2046</v>
      </c>
      <c r="G2747" s="972" t="s">
        <v>2045</v>
      </c>
      <c r="H2747" s="72" t="s">
        <v>843</v>
      </c>
      <c r="I2747" s="437"/>
      <c r="J2747" s="437"/>
      <c r="K2747" s="428"/>
      <c r="L2747" s="437"/>
      <c r="M2747" s="65">
        <v>201586</v>
      </c>
      <c r="N2747" s="66" t="s">
        <v>9</v>
      </c>
      <c r="O2747" s="66" t="s">
        <v>63</v>
      </c>
      <c r="P2747" s="82" t="str">
        <f>IF(AND('331-CT'!$E$7=TH!H2751,OR(N2747="331",O2747="331")),"x","")</f>
        <v/>
      </c>
      <c r="Q2747" s="82" t="str">
        <f>IF(AND(B2747='111'!$L$11,OR($N2747=$Q$7,$O2747=$Q$7)),"x","")</f>
        <v>x</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IF(OR(TH!N2751=TH!$X$7,O2747=TH!$X$7),"x","")</f>
        <v>x</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c r="AE2747" s="349">
        <v>1</v>
      </c>
    </row>
    <row r="2748" spans="1:32" s="349" customFormat="1" ht="15.75" customHeight="1">
      <c r="A2748" s="334" t="str">
        <f>IF(B2748&lt;&gt;"",IF(AND(B2748='IN-TC'!$S$4,OR(TH!N1812="1111",TH!O1812="1111")),TH!D1812,""),"")</f>
        <v/>
      </c>
      <c r="B2748" s="1148">
        <f t="shared" ref="B2748:B2749" si="269">IF(C2748&lt;&gt;"",MONTH(C2748),"")</f>
        <v>9</v>
      </c>
      <c r="C2748" s="1149">
        <v>42619</v>
      </c>
      <c r="D2748" s="1149" t="s">
        <v>873</v>
      </c>
      <c r="E2748" s="1149">
        <f t="shared" ref="E2748:E2749" si="270">C2748</f>
        <v>42619</v>
      </c>
      <c r="F2748" s="512" t="s">
        <v>960</v>
      </c>
      <c r="G2748" s="1151"/>
      <c r="H2748" s="1150" t="s">
        <v>2239</v>
      </c>
      <c r="I2748" s="1152"/>
      <c r="J2748" s="1152"/>
      <c r="K2748" s="1153"/>
      <c r="L2748" s="1231"/>
      <c r="M2748" s="1154">
        <v>450000000</v>
      </c>
      <c r="N2748" s="1155" t="s">
        <v>272</v>
      </c>
      <c r="O2748" s="1155" t="s">
        <v>63</v>
      </c>
      <c r="P2748" s="1155" t="str">
        <f>IF(AND('331-CT'!$E$7=TH!H1812,OR(N2748="331",O2748="331")),"x","")</f>
        <v/>
      </c>
      <c r="Q2748" s="1155" t="str">
        <f>IF(AND(B2748='111'!$L$11,OR($N2748=$Q$7,$O2748=$Q$7)),"x","")</f>
        <v>x</v>
      </c>
      <c r="R2748" s="1155" t="str">
        <f>IF(AND($N2748=$Q$7,$B2748&lt;'111'!$L$11),"x","")</f>
        <v/>
      </c>
      <c r="S2748" s="1155" t="str">
        <f>IF(AND($O2748=$Q$7,$B2748&lt;'111'!$L$11),"x","")</f>
        <v/>
      </c>
      <c r="T2748" s="1155" t="str">
        <f>IF(ISERROR(FIND('112'!$M$9,G2748,1)),"",IF((AND(FIND('112'!$M$9,G2748,1)&gt;=1,B2748='112'!$K$9,OR($N2748='112'!$I$6,$O2748='112'!$I$6))),"x",""))</f>
        <v/>
      </c>
      <c r="U2748" s="1155" t="str">
        <f>IF(ISERROR(FIND('112'!$M$9,G2748,1)),"",IF((AND(LEFT(G2748,2)=LEFT('112'!$M$9,2),B2748&lt;'112'!$K$9,$N2748='112'!$I$6)),"x",""))</f>
        <v/>
      </c>
      <c r="V2748" s="1155" t="str">
        <f>IF(ISERROR(FIND('112'!$M$9,G2748,1)),"",IF((AND(RIGHT(G2748,2)=RIGHT('112'!$M$9,2),B2748&lt;'112'!$K$9,$O2748='112'!$I$6)),"x",""))</f>
        <v/>
      </c>
      <c r="W2748" s="1155" t="str">
        <f>IF(AND('341-CT'!$H$9=H2748,OR(LEFT(N2748,3)=$W$7,LEFT(O2748,3)=$W$7)),"x","")</f>
        <v/>
      </c>
      <c r="X2748" s="1155" t="str">
        <f>IF(OR(TH!N1812=TH!$X$7,O2748=TH!$X$7),"x","")</f>
        <v/>
      </c>
      <c r="Y2748" s="1155" t="str">
        <f>IF(AND(OR(N2748="131",O2748="131"),H2748='131-CT'!$H$9),"x","")</f>
        <v/>
      </c>
      <c r="Z2748" s="1155"/>
      <c r="AA2748" s="1155" t="str">
        <f>IF(AND(MONTH(E2748)='IN-NX'!$J$5,'IN-NX'!$D$7=D2748),"x","")</f>
        <v/>
      </c>
      <c r="AB2748" s="1155" t="str">
        <f>IF(AND(OR(LEFT(TH!N1812,2)="15",LEFT(TH!O1812,2)="15"),LEFT(TH!O1812,3)&lt;&gt;"111",'152-CT'!$J$8=TH!F1812),"x","")</f>
        <v/>
      </c>
      <c r="AC2748" s="1155" t="str">
        <f>IF(AND(OR(LEFT(TH!N1812,2)="15",LEFT(TH!O1812,2)="15"),TK!$E$7=TH!F1812),"x","")</f>
        <v/>
      </c>
      <c r="AD2748" s="1155" t="str">
        <f>IF(AND(N2748="1521",MONTH(C2748)='BK-NL'!$M$11),"x","")</f>
        <v/>
      </c>
      <c r="AE2748" s="1156"/>
      <c r="AF2748" s="1156"/>
    </row>
    <row r="2749" spans="1:32" s="349" customFormat="1" ht="15.75" customHeight="1">
      <c r="A2749" s="334" t="str">
        <f>IF(B2749&lt;&gt;"",IF(AND(B2749='IN-TC'!$S$4,OR(TH!N1813="1111",TH!O1813="1111")),TH!D1813,""),"")</f>
        <v/>
      </c>
      <c r="B2749" s="1148">
        <f t="shared" si="269"/>
        <v>9</v>
      </c>
      <c r="C2749" s="1149">
        <v>42623</v>
      </c>
      <c r="D2749" s="1149" t="s">
        <v>874</v>
      </c>
      <c r="E2749" s="1149">
        <f t="shared" si="270"/>
        <v>42623</v>
      </c>
      <c r="F2749" s="512" t="s">
        <v>960</v>
      </c>
      <c r="G2749" s="1151"/>
      <c r="H2749" s="1150" t="s">
        <v>2239</v>
      </c>
      <c r="I2749" s="1152"/>
      <c r="J2749" s="1152"/>
      <c r="K2749" s="1153"/>
      <c r="L2749" s="1231"/>
      <c r="M2749" s="1154">
        <v>500000000</v>
      </c>
      <c r="N2749" s="1155" t="s">
        <v>272</v>
      </c>
      <c r="O2749" s="1155" t="s">
        <v>63</v>
      </c>
      <c r="P2749" s="1155" t="str">
        <f>IF(AND('331-CT'!$E$7=TH!H1813,OR(N2749="331",O2749="331")),"x","")</f>
        <v/>
      </c>
      <c r="Q2749" s="1155" t="str">
        <f>IF(AND(B2749='111'!$L$11,OR($N2749=$Q$7,$O2749=$Q$7)),"x","")</f>
        <v>x</v>
      </c>
      <c r="R2749" s="1155" t="str">
        <f>IF(AND($N2749=$Q$7,$B2749&lt;'111'!$L$11),"x","")</f>
        <v/>
      </c>
      <c r="S2749" s="1155" t="str">
        <f>IF(AND($O2749=$Q$7,$B2749&lt;'111'!$L$11),"x","")</f>
        <v/>
      </c>
      <c r="T2749" s="1155" t="str">
        <f>IF(ISERROR(FIND('112'!$M$9,G2749,1)),"",IF((AND(FIND('112'!$M$9,G2749,1)&gt;=1,B2749='112'!$K$9,OR($N2749='112'!$I$6,$O2749='112'!$I$6))),"x",""))</f>
        <v/>
      </c>
      <c r="U2749" s="1155" t="str">
        <f>IF(ISERROR(FIND('112'!$M$9,G2749,1)),"",IF((AND(LEFT(G2749,2)=LEFT('112'!$M$9,2),B2749&lt;'112'!$K$9,$N2749='112'!$I$6)),"x",""))</f>
        <v/>
      </c>
      <c r="V2749" s="1155" t="str">
        <f>IF(ISERROR(FIND('112'!$M$9,G2749,1)),"",IF((AND(RIGHT(G2749,2)=RIGHT('112'!$M$9,2),B2749&lt;'112'!$K$9,$O2749='112'!$I$6)),"x",""))</f>
        <v/>
      </c>
      <c r="W2749" s="1155" t="str">
        <f>IF(AND('341-CT'!$H$9=H2749,OR(LEFT(N2749,3)=$W$7,LEFT(O2749,3)=$W$7)),"x","")</f>
        <v/>
      </c>
      <c r="X2749" s="1155" t="str">
        <f>IF(OR(TH!N1813=TH!$X$7,O2749=TH!$X$7),"x","")</f>
        <v/>
      </c>
      <c r="Y2749" s="1155" t="str">
        <f>IF(AND(OR(N2749="131",O2749="131"),H2749='131-CT'!$H$9),"x","")</f>
        <v/>
      </c>
      <c r="Z2749" s="1155"/>
      <c r="AA2749" s="1155" t="str">
        <f>IF(AND(MONTH(E2749)='IN-NX'!$J$5,'IN-NX'!$D$7=D2749),"x","")</f>
        <v/>
      </c>
      <c r="AB2749" s="1155" t="str">
        <f>IF(AND(OR(LEFT(TH!N1813,2)="15",LEFT(TH!O1813,2)="15"),LEFT(TH!O1813,3)&lt;&gt;"111",'152-CT'!$J$8=TH!F1813),"x","")</f>
        <v/>
      </c>
      <c r="AC2749" s="1155" t="str">
        <f>IF(AND(OR(LEFT(TH!N1813,2)="15",LEFT(TH!O1813,2)="15"),TK!$E$7=TH!F1813),"x","")</f>
        <v/>
      </c>
      <c r="AD2749" s="1155" t="str">
        <f>IF(AND(N2749="1521",MONTH(C2749)='BK-NL'!$M$11),"x","")</f>
        <v/>
      </c>
      <c r="AE2749" s="1156"/>
      <c r="AF2749" s="1156"/>
    </row>
    <row r="2750" spans="1:32" s="349" customFormat="1">
      <c r="A2750" s="334" t="str">
        <f>IF(B2750&lt;&gt;"",IF(AND(B2750='IN-TC'!$S$4,OR(TH!N2752="1111",TH!O2752="1111")),TH!D2752,""),"")</f>
        <v/>
      </c>
      <c r="B2750" s="63">
        <f t="shared" si="263"/>
        <v>9</v>
      </c>
      <c r="C2750" s="64">
        <v>42624</v>
      </c>
      <c r="D2750" s="64" t="s">
        <v>875</v>
      </c>
      <c r="E2750" s="64">
        <v>42618</v>
      </c>
      <c r="F2750" s="72" t="s">
        <v>768</v>
      </c>
      <c r="G2750" s="972" t="s">
        <v>2047</v>
      </c>
      <c r="H2750" s="72" t="s">
        <v>805</v>
      </c>
      <c r="I2750" s="437"/>
      <c r="J2750" s="437"/>
      <c r="K2750" s="428"/>
      <c r="L2750" s="437"/>
      <c r="M2750" s="65">
        <v>1271764</v>
      </c>
      <c r="N2750" s="66" t="s">
        <v>101</v>
      </c>
      <c r="O2750" s="66" t="s">
        <v>63</v>
      </c>
      <c r="P2750" s="82" t="str">
        <f>IF(AND('331-CT'!$E$7=TH!H2752,OR(N2750="331",O2750="331")),"x","")</f>
        <v/>
      </c>
      <c r="Q2750" s="82" t="str">
        <f>IF(AND(B2750='111'!$L$11,OR($N2750=$Q$7,$O2750=$Q$7)),"x","")</f>
        <v>x</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IF(OR(TH!N2752=TH!$X$7,O2750=TH!$X$7),"x","")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c r="AE2750" s="349">
        <v>1</v>
      </c>
    </row>
    <row r="2751" spans="1:32" s="349" customFormat="1">
      <c r="A2751" s="334" t="str">
        <f>IF(B2751&lt;&gt;"",IF(AND(B2751='IN-TC'!$S$4,OR(TH!N2753="1111",TH!O2753="1111")),TH!D2753,""),"")</f>
        <v/>
      </c>
      <c r="B2751" s="63">
        <f t="shared" si="263"/>
        <v>9</v>
      </c>
      <c r="C2751" s="64">
        <v>42624</v>
      </c>
      <c r="D2751" s="64" t="s">
        <v>875</v>
      </c>
      <c r="E2751" s="64">
        <v>42618</v>
      </c>
      <c r="F2751" s="72" t="s">
        <v>769</v>
      </c>
      <c r="G2751" s="972" t="s">
        <v>2047</v>
      </c>
      <c r="H2751" s="72" t="s">
        <v>805</v>
      </c>
      <c r="I2751" s="437"/>
      <c r="J2751" s="437"/>
      <c r="K2751" s="428"/>
      <c r="L2751" s="437"/>
      <c r="M2751" s="65">
        <v>127176</v>
      </c>
      <c r="N2751" s="66" t="s">
        <v>9</v>
      </c>
      <c r="O2751" s="66" t="s">
        <v>63</v>
      </c>
      <c r="P2751" s="82" t="str">
        <f>IF(AND('331-CT'!$E$7=TH!H2753,OR(N2751="331",O2751="331")),"x","")</f>
        <v/>
      </c>
      <c r="Q2751" s="82" t="str">
        <f>IF(AND(B2751='111'!$L$11,OR($N2751=$Q$7,$O2751=$Q$7)),"x","")</f>
        <v>x</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IF(OR(TH!N2753=TH!$X$7,O2751=TH!$X$7),"x","")</f>
        <v>x</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c r="AE2751" s="349">
        <v>1</v>
      </c>
    </row>
    <row r="2752" spans="1:32" s="349" customFormat="1" ht="15.75" customHeight="1">
      <c r="A2752" s="334" t="str">
        <f>IF(B2752&lt;&gt;"",IF(AND(B2752='IN-TC'!$S$4,OR(TH!N2756="1111",TH!O2756="1111")),TH!D2756,""),"")</f>
        <v/>
      </c>
      <c r="B2752" s="63">
        <f t="shared" si="263"/>
        <v>9</v>
      </c>
      <c r="C2752" s="64">
        <v>42626</v>
      </c>
      <c r="D2752" s="64" t="s">
        <v>876</v>
      </c>
      <c r="E2752" s="64">
        <v>42626</v>
      </c>
      <c r="F2752" s="72" t="s">
        <v>2048</v>
      </c>
      <c r="G2752" s="972" t="s">
        <v>2050</v>
      </c>
      <c r="H2752" s="72" t="s">
        <v>805</v>
      </c>
      <c r="I2752" s="437"/>
      <c r="J2752" s="437"/>
      <c r="K2752" s="428"/>
      <c r="L2752" s="437"/>
      <c r="M2752" s="65">
        <v>1403782</v>
      </c>
      <c r="N2752" s="66" t="s">
        <v>101</v>
      </c>
      <c r="O2752" s="66" t="s">
        <v>63</v>
      </c>
      <c r="P2752" s="82" t="str">
        <f>IF(AND('331-CT'!$E$7=TH!H2756,OR(N2752="331",O2752="331")),"x","")</f>
        <v/>
      </c>
      <c r="Q2752" s="82" t="str">
        <f>IF(AND(B2752='111'!$L$11,OR($N2752=$Q$7,$O2752=$Q$7)),"x","")</f>
        <v>x</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IF(OR(TH!N2756=TH!$X$7,O2752=TH!$X$7),"x","")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c r="AE2752" s="349">
        <v>1</v>
      </c>
    </row>
    <row r="2753" spans="1:32" s="349" customFormat="1" ht="15.75" customHeight="1">
      <c r="A2753" s="334" t="str">
        <f>IF(B2753&lt;&gt;"",IF(AND(B2753='IN-TC'!$S$4,OR(TH!N2757="1111",TH!O2757="1111")),TH!D2757,""),"")</f>
        <v/>
      </c>
      <c r="B2753" s="63">
        <f t="shared" si="263"/>
        <v>9</v>
      </c>
      <c r="C2753" s="64">
        <v>42626</v>
      </c>
      <c r="D2753" s="64" t="s">
        <v>876</v>
      </c>
      <c r="E2753" s="64">
        <v>42626</v>
      </c>
      <c r="F2753" s="72" t="s">
        <v>2049</v>
      </c>
      <c r="G2753" s="972" t="s">
        <v>2050</v>
      </c>
      <c r="H2753" s="72" t="s">
        <v>805</v>
      </c>
      <c r="I2753" s="437"/>
      <c r="J2753" s="437"/>
      <c r="K2753" s="428"/>
      <c r="L2753" s="437"/>
      <c r="M2753" s="65">
        <v>140378</v>
      </c>
      <c r="N2753" s="66" t="s">
        <v>9</v>
      </c>
      <c r="O2753" s="66" t="s">
        <v>63</v>
      </c>
      <c r="P2753" s="82" t="str">
        <f>IF(AND('331-CT'!$E$7=TH!H2757,OR(N2753="331",O2753="331")),"x","")</f>
        <v/>
      </c>
      <c r="Q2753" s="82" t="str">
        <f>IF(AND(B2753='111'!$L$11,OR($N2753=$Q$7,$O2753=$Q$7)),"x","")</f>
        <v>x</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IF(OR(TH!N2757=TH!$X$7,O2753=TH!$X$7),"x","")</f>
        <v>x</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c r="AE2753" s="349">
        <v>1</v>
      </c>
    </row>
    <row r="2754" spans="1:32" s="349" customFormat="1" ht="15.75" customHeight="1">
      <c r="A2754" s="334" t="str">
        <f>IF(B2754&lt;&gt;"",IF(AND(B2754='IN-TC'!$S$4,OR(TH!N1818="1111",TH!O1818="1111")),TH!D1818,""),"")</f>
        <v/>
      </c>
      <c r="B2754" s="1148">
        <f t="shared" si="263"/>
        <v>9</v>
      </c>
      <c r="C2754" s="1149">
        <v>42627</v>
      </c>
      <c r="D2754" s="1149" t="s">
        <v>877</v>
      </c>
      <c r="E2754" s="1149">
        <f t="shared" ref="E2754:E2755" si="271">C2754</f>
        <v>42627</v>
      </c>
      <c r="F2754" s="512" t="s">
        <v>960</v>
      </c>
      <c r="G2754" s="1151"/>
      <c r="H2754" s="1150" t="s">
        <v>959</v>
      </c>
      <c r="I2754" s="1152"/>
      <c r="J2754" s="1152"/>
      <c r="K2754" s="1153"/>
      <c r="L2754" s="1231"/>
      <c r="M2754" s="1154">
        <v>500000000</v>
      </c>
      <c r="N2754" s="1155" t="s">
        <v>272</v>
      </c>
      <c r="O2754" s="1155" t="s">
        <v>63</v>
      </c>
      <c r="P2754" s="1155" t="str">
        <f>IF(AND('331-CT'!$E$7=TH!H1818,OR(N2754="331",O2754="331")),"x","")</f>
        <v/>
      </c>
      <c r="Q2754" s="1155" t="str">
        <f>IF(AND(B2754='111'!$L$11,OR($N2754=$Q$7,$O2754=$Q$7)),"x","")</f>
        <v>x</v>
      </c>
      <c r="R2754" s="1155" t="str">
        <f>IF(AND($N2754=$Q$7,$B2754&lt;'111'!$L$11),"x","")</f>
        <v/>
      </c>
      <c r="S2754" s="1155" t="str">
        <f>IF(AND($O2754=$Q$7,$B2754&lt;'111'!$L$11),"x","")</f>
        <v/>
      </c>
      <c r="T2754" s="1155" t="str">
        <f>IF(ISERROR(FIND('112'!$M$9,G2754,1)),"",IF((AND(FIND('112'!$M$9,G2754,1)&gt;=1,B2754='112'!$K$9,OR($N2754='112'!$I$6,$O2754='112'!$I$6))),"x",""))</f>
        <v/>
      </c>
      <c r="U2754" s="1155" t="str">
        <f>IF(ISERROR(FIND('112'!$M$9,G2754,1)),"",IF((AND(LEFT(G2754,2)=LEFT('112'!$M$9,2),B2754&lt;'112'!$K$9,$N2754='112'!$I$6)),"x",""))</f>
        <v/>
      </c>
      <c r="V2754" s="1155" t="str">
        <f>IF(ISERROR(FIND('112'!$M$9,G2754,1)),"",IF((AND(RIGHT(G2754,2)=RIGHT('112'!$M$9,2),B2754&lt;'112'!$K$9,$O2754='112'!$I$6)),"x",""))</f>
        <v/>
      </c>
      <c r="W2754" s="1155" t="str">
        <f>IF(AND('341-CT'!$H$9=H2754,OR(LEFT(N2754,3)=$W$7,LEFT(O2754,3)=$W$7)),"x","")</f>
        <v/>
      </c>
      <c r="X2754" s="1155" t="str">
        <f>IF(OR(TH!N1818=TH!$X$7,O2754=TH!$X$7),"x","")</f>
        <v/>
      </c>
      <c r="Y2754" s="1155" t="str">
        <f>IF(AND(OR(N2754="131",O2754="131"),H2754='131-CT'!$H$9),"x","")</f>
        <v/>
      </c>
      <c r="Z2754" s="1155"/>
      <c r="AA2754" s="1155" t="str">
        <f>IF(AND(MONTH(E2754)='IN-NX'!$J$5,'IN-NX'!$D$7=D2754),"x","")</f>
        <v/>
      </c>
      <c r="AB2754" s="1155" t="str">
        <f>IF(AND(OR(LEFT(TH!N1818,2)="15",LEFT(TH!O1818,2)="15"),LEFT(TH!O1818,3)&lt;&gt;"111",'152-CT'!$J$8=TH!F1818),"x","")</f>
        <v/>
      </c>
      <c r="AC2754" s="1155" t="str">
        <f>IF(AND(OR(LEFT(TH!N1818,2)="15",LEFT(TH!O1818,2)="15"),TK!$E$7=TH!F1818),"x","")</f>
        <v/>
      </c>
      <c r="AD2754" s="1155" t="str">
        <f>IF(AND(N2754="1521",MONTH(C2754)='BK-NL'!$M$11),"x","")</f>
        <v/>
      </c>
      <c r="AE2754" s="1156"/>
      <c r="AF2754" s="1156"/>
    </row>
    <row r="2755" spans="1:32" s="349" customFormat="1" ht="15.75" customHeight="1">
      <c r="A2755" s="334" t="str">
        <f>IF(B2755&lt;&gt;"",IF(AND(B2755='IN-TC'!$S$4,OR(TH!N1819="1111",TH!O1819="1111")),TH!D1819,""),"")</f>
        <v/>
      </c>
      <c r="B2755" s="1148">
        <f t="shared" si="263"/>
        <v>9</v>
      </c>
      <c r="C2755" s="1149">
        <v>42627</v>
      </c>
      <c r="D2755" s="1149" t="s">
        <v>878</v>
      </c>
      <c r="E2755" s="1149">
        <f t="shared" si="271"/>
        <v>42627</v>
      </c>
      <c r="F2755" s="512" t="s">
        <v>960</v>
      </c>
      <c r="G2755" s="1151"/>
      <c r="H2755" s="1150" t="s">
        <v>2239</v>
      </c>
      <c r="I2755" s="1152"/>
      <c r="J2755" s="1152"/>
      <c r="K2755" s="1153"/>
      <c r="L2755" s="1231"/>
      <c r="M2755" s="1154">
        <v>400000000</v>
      </c>
      <c r="N2755" s="1155" t="s">
        <v>272</v>
      </c>
      <c r="O2755" s="1155" t="s">
        <v>63</v>
      </c>
      <c r="P2755" s="1155" t="str">
        <f>IF(AND('331-CT'!$E$7=TH!H1819,OR(N2755="331",O2755="331")),"x","")</f>
        <v/>
      </c>
      <c r="Q2755" s="1155" t="str">
        <f>IF(AND(B2755='111'!$L$11,OR($N2755=$Q$7,$O2755=$Q$7)),"x","")</f>
        <v>x</v>
      </c>
      <c r="R2755" s="1155" t="str">
        <f>IF(AND($N2755=$Q$7,$B2755&lt;'111'!$L$11),"x","")</f>
        <v/>
      </c>
      <c r="S2755" s="1155" t="str">
        <f>IF(AND($O2755=$Q$7,$B2755&lt;'111'!$L$11),"x","")</f>
        <v/>
      </c>
      <c r="T2755" s="1155" t="str">
        <f>IF(ISERROR(FIND('112'!$M$9,G2755,1)),"",IF((AND(FIND('112'!$M$9,G2755,1)&gt;=1,B2755='112'!$K$9,OR($N2755='112'!$I$6,$O2755='112'!$I$6))),"x",""))</f>
        <v/>
      </c>
      <c r="U2755" s="1155" t="str">
        <f>IF(ISERROR(FIND('112'!$M$9,G2755,1)),"",IF((AND(LEFT(G2755,2)=LEFT('112'!$M$9,2),B2755&lt;'112'!$K$9,$N2755='112'!$I$6)),"x",""))</f>
        <v/>
      </c>
      <c r="V2755" s="1155" t="str">
        <f>IF(ISERROR(FIND('112'!$M$9,G2755,1)),"",IF((AND(RIGHT(G2755,2)=RIGHT('112'!$M$9,2),B2755&lt;'112'!$K$9,$O2755='112'!$I$6)),"x",""))</f>
        <v/>
      </c>
      <c r="W2755" s="1155" t="str">
        <f>IF(AND('341-CT'!$H$9=H2755,OR(LEFT(N2755,3)=$W$7,LEFT(O2755,3)=$W$7)),"x","")</f>
        <v/>
      </c>
      <c r="X2755" s="1155" t="str">
        <f>IF(OR(TH!N1819=TH!$X$7,O2755=TH!$X$7),"x","")</f>
        <v/>
      </c>
      <c r="Y2755" s="1155" t="str">
        <f>IF(AND(OR(N2755="131",O2755="131"),H2755='131-CT'!$H$9),"x","")</f>
        <v/>
      </c>
      <c r="Z2755" s="1155"/>
      <c r="AA2755" s="1155" t="str">
        <f>IF(AND(MONTH(E2755)='IN-NX'!$J$5,'IN-NX'!$D$7=D2755),"x","")</f>
        <v/>
      </c>
      <c r="AB2755" s="1155" t="str">
        <f>IF(AND(OR(LEFT(TH!N1819,2)="15",LEFT(TH!O1819,2)="15"),LEFT(TH!O1819,3)&lt;&gt;"111",'152-CT'!$J$8=TH!F1819),"x","")</f>
        <v/>
      </c>
      <c r="AC2755" s="1155" t="str">
        <f>IF(AND(OR(LEFT(TH!N1819,2)="15",LEFT(TH!O1819,2)="15"),TK!$E$7=TH!F1819),"x","")</f>
        <v/>
      </c>
      <c r="AD2755" s="1155" t="str">
        <f>IF(AND(N2755="1521",MONTH(C2755)='BK-NL'!$M$11),"x","")</f>
        <v/>
      </c>
      <c r="AE2755" s="1156"/>
      <c r="AF2755" s="1156"/>
    </row>
    <row r="2756" spans="1:32" s="349" customFormat="1" ht="15.75" customHeight="1">
      <c r="A2756" s="334" t="str">
        <f>IF(B2756&lt;&gt;"",IF(AND(B2756='IN-TC'!$S$4,OR(TH!N2758="1111",TH!O2758="1111")),TH!D2758,""),"")</f>
        <v/>
      </c>
      <c r="B2756" s="63">
        <f t="shared" si="263"/>
        <v>9</v>
      </c>
      <c r="C2756" s="64">
        <v>42628</v>
      </c>
      <c r="D2756" s="64" t="s">
        <v>879</v>
      </c>
      <c r="E2756" s="64">
        <v>42628</v>
      </c>
      <c r="F2756" s="72" t="s">
        <v>2051</v>
      </c>
      <c r="G2756" s="972" t="s">
        <v>2053</v>
      </c>
      <c r="H2756" s="72" t="s">
        <v>1431</v>
      </c>
      <c r="I2756" s="437"/>
      <c r="J2756" s="437"/>
      <c r="K2756" s="428"/>
      <c r="L2756" s="437"/>
      <c r="M2756" s="65">
        <v>1673000</v>
      </c>
      <c r="N2756" s="66" t="s">
        <v>101</v>
      </c>
      <c r="O2756" s="66" t="s">
        <v>63</v>
      </c>
      <c r="P2756" s="82" t="str">
        <f>IF(AND('331-CT'!$E$7=TH!H2758,OR(N2756="331",O2756="331")),"x","")</f>
        <v/>
      </c>
      <c r="Q2756" s="82" t="str">
        <f>IF(AND(B2756='111'!$L$11,OR($N2756=$Q$7,$O2756=$Q$7)),"x","")</f>
        <v>x</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IF(OR(TH!N2758=TH!$X$7,O2756=TH!$X$7),"x","")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c r="AE2756" s="349">
        <v>1</v>
      </c>
    </row>
    <row r="2757" spans="1:32" s="349" customFormat="1" ht="15.75" customHeight="1">
      <c r="A2757" s="334" t="str">
        <f>IF(B2757&lt;&gt;"",IF(AND(B2757='IN-TC'!$S$4,OR(TH!N2759="1111",TH!O2759="1111")),TH!D2759,""),"")</f>
        <v/>
      </c>
      <c r="B2757" s="63">
        <f t="shared" si="263"/>
        <v>9</v>
      </c>
      <c r="C2757" s="64">
        <v>42628</v>
      </c>
      <c r="D2757" s="64" t="s">
        <v>879</v>
      </c>
      <c r="E2757" s="64">
        <v>42628</v>
      </c>
      <c r="F2757" s="72" t="s">
        <v>2052</v>
      </c>
      <c r="G2757" s="972" t="s">
        <v>2053</v>
      </c>
      <c r="H2757" s="72" t="s">
        <v>1431</v>
      </c>
      <c r="I2757" s="437"/>
      <c r="J2757" s="437"/>
      <c r="K2757" s="428"/>
      <c r="L2757" s="437"/>
      <c r="M2757" s="65">
        <v>167300</v>
      </c>
      <c r="N2757" s="66" t="s">
        <v>9</v>
      </c>
      <c r="O2757" s="66" t="s">
        <v>63</v>
      </c>
      <c r="P2757" s="82" t="str">
        <f>IF(AND('331-CT'!$E$7=TH!H2759,OR(N2757="331",O2757="331")),"x","")</f>
        <v/>
      </c>
      <c r="Q2757" s="82" t="str">
        <f>IF(AND(B2757='111'!$L$11,OR($N2757=$Q$7,$O2757=$Q$7)),"x","")</f>
        <v>x</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IF(OR(TH!N2759=TH!$X$7,O2757=TH!$X$7),"x","")</f>
        <v>x</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c r="AE2757" s="349">
        <v>1</v>
      </c>
    </row>
    <row r="2758" spans="1:32" s="349" customFormat="1" ht="15.75" customHeight="1">
      <c r="A2758" s="334" t="str">
        <f>IF(B2758&lt;&gt;"",IF(AND(B2758='IN-TC'!$S$4,OR(TH!N2760="1111",TH!O2760="1111")),TH!D2760,""),"")</f>
        <v/>
      </c>
      <c r="B2758" s="63">
        <f t="shared" si="263"/>
        <v>9</v>
      </c>
      <c r="C2758" s="64">
        <v>42632</v>
      </c>
      <c r="D2758" s="64" t="s">
        <v>880</v>
      </c>
      <c r="E2758" s="64">
        <v>42632</v>
      </c>
      <c r="F2758" s="72" t="s">
        <v>1107</v>
      </c>
      <c r="G2758" s="972" t="s">
        <v>2054</v>
      </c>
      <c r="H2758" s="72" t="s">
        <v>805</v>
      </c>
      <c r="I2758" s="437"/>
      <c r="J2758" s="437"/>
      <c r="K2758" s="428"/>
      <c r="L2758" s="437"/>
      <c r="M2758" s="65">
        <v>876545</v>
      </c>
      <c r="N2758" s="66" t="s">
        <v>101</v>
      </c>
      <c r="O2758" s="66" t="s">
        <v>63</v>
      </c>
      <c r="P2758" s="82" t="str">
        <f>IF(AND('331-CT'!$E$7=TH!H2760,OR(N2758="331",O2758="331")),"x","")</f>
        <v/>
      </c>
      <c r="Q2758" s="82" t="str">
        <f>IF(AND(B2758='111'!$L$11,OR($N2758=$Q$7,$O2758=$Q$7)),"x","")</f>
        <v>x</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IF(OR(TH!N2760=TH!$X$7,O2758=TH!$X$7),"x","")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c r="AE2758" s="349">
        <v>1</v>
      </c>
    </row>
    <row r="2759" spans="1:32" s="349" customFormat="1" ht="15.75" customHeight="1">
      <c r="A2759" s="334" t="str">
        <f>IF(B2759&lt;&gt;"",IF(AND(B2759='IN-TC'!$S$4,OR(TH!N2761="1111",TH!O2761="1111")),TH!D2761,""),"")</f>
        <v/>
      </c>
      <c r="B2759" s="63">
        <f t="shared" si="263"/>
        <v>9</v>
      </c>
      <c r="C2759" s="64">
        <v>42632</v>
      </c>
      <c r="D2759" s="64" t="s">
        <v>880</v>
      </c>
      <c r="E2759" s="64">
        <v>42632</v>
      </c>
      <c r="F2759" s="72" t="s">
        <v>1337</v>
      </c>
      <c r="G2759" s="972" t="s">
        <v>2054</v>
      </c>
      <c r="H2759" s="72" t="s">
        <v>805</v>
      </c>
      <c r="I2759" s="437"/>
      <c r="J2759" s="437"/>
      <c r="K2759" s="428"/>
      <c r="L2759" s="437"/>
      <c r="M2759" s="65">
        <v>87655</v>
      </c>
      <c r="N2759" s="66" t="s">
        <v>9</v>
      </c>
      <c r="O2759" s="66" t="s">
        <v>63</v>
      </c>
      <c r="P2759" s="82" t="str">
        <f>IF(AND('331-CT'!$E$7=TH!H2761,OR(N2759="331",O2759="331")),"x","")</f>
        <v/>
      </c>
      <c r="Q2759" s="82" t="str">
        <f>IF(AND(B2759='111'!$L$11,OR($N2759=$Q$7,$O2759=$Q$7)),"x","")</f>
        <v>x</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IF(OR(TH!N2761=TH!$X$7,O2759=TH!$X$7),"x","")</f>
        <v>x</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c r="AE2759" s="349">
        <v>1</v>
      </c>
    </row>
    <row r="2760" spans="1:32" s="349" customFormat="1" ht="15.75" customHeight="1">
      <c r="A2760" s="334" t="str">
        <f>IF(B2760&lt;&gt;"",IF(AND(B2760='IN-TC'!$S$4,OR(TH!N2643="1111",TH!O2643="1111")),TH!D2643,""),"")</f>
        <v/>
      </c>
      <c r="B2760" s="63">
        <f t="shared" si="263"/>
        <v>9</v>
      </c>
      <c r="C2760" s="64">
        <v>42635</v>
      </c>
      <c r="D2760" s="64" t="s">
        <v>881</v>
      </c>
      <c r="E2760" s="64">
        <f>C2760</f>
        <v>42635</v>
      </c>
      <c r="F2760" s="72" t="s">
        <v>224</v>
      </c>
      <c r="G2760" s="972" t="s">
        <v>1988</v>
      </c>
      <c r="H2760" s="72" t="s">
        <v>618</v>
      </c>
      <c r="I2760" s="437">
        <v>450</v>
      </c>
      <c r="J2760" s="437">
        <v>18515.151999999998</v>
      </c>
      <c r="K2760" s="428"/>
      <c r="L2760" s="437"/>
      <c r="M2760" s="65">
        <f>I2760*J2760</f>
        <v>8331818.3999999994</v>
      </c>
      <c r="N2760" s="66" t="s">
        <v>282</v>
      </c>
      <c r="O2760" s="66" t="s">
        <v>63</v>
      </c>
      <c r="P2760" s="82" t="str">
        <f>IF(AND('331-CT'!$E$7=TH!H2643,OR(N2760="331",O2760="331")),"x","")</f>
        <v/>
      </c>
      <c r="Q2760" s="82" t="str">
        <f>IF(AND(B2760='111'!$L$11,OR($N2760=$Q$7,$O2760=$Q$7)),"x","")</f>
        <v>x</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IF(OR(TH!N2643=TH!$X$7,O2760=TH!$X$7),"x","")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c r="AE2760" s="349">
        <v>1</v>
      </c>
    </row>
    <row r="2761" spans="1:32" s="349" customFormat="1" ht="15.75" customHeight="1">
      <c r="A2761" s="334" t="str">
        <f>IF(B2761&lt;&gt;"",IF(AND(B2761='IN-TC'!$S$4,OR(TH!N2644="1111",TH!O2644="1111")),TH!D2644,""),"")</f>
        <v/>
      </c>
      <c r="B2761" s="63">
        <f t="shared" si="263"/>
        <v>9</v>
      </c>
      <c r="C2761" s="64">
        <v>42635</v>
      </c>
      <c r="D2761" s="64" t="s">
        <v>882</v>
      </c>
      <c r="E2761" s="64">
        <f>C2761</f>
        <v>42635</v>
      </c>
      <c r="F2761" s="72" t="s">
        <v>1348</v>
      </c>
      <c r="G2761" s="972" t="s">
        <v>1988</v>
      </c>
      <c r="H2761" s="72" t="s">
        <v>618</v>
      </c>
      <c r="I2761" s="437"/>
      <c r="J2761" s="437"/>
      <c r="K2761" s="428"/>
      <c r="L2761" s="437"/>
      <c r="M2761" s="65">
        <v>833182</v>
      </c>
      <c r="N2761" s="66" t="s">
        <v>9</v>
      </c>
      <c r="O2761" s="66" t="s">
        <v>63</v>
      </c>
      <c r="P2761" s="82" t="str">
        <f>IF(AND('331-CT'!$E$7=TH!H2644,OR(N2761="331",O2761="331")),"x","")</f>
        <v/>
      </c>
      <c r="Q2761" s="82" t="str">
        <f>IF(AND(B2761='111'!$L$11,OR($N2761=$Q$7,$O2761=$Q$7)),"x","")</f>
        <v>x</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IF(OR(TH!N2644=TH!$X$7,O2761=TH!$X$7),"x","")</f>
        <v>x</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c r="AE2761" s="349">
        <v>1</v>
      </c>
    </row>
    <row r="2762" spans="1:32" s="349" customFormat="1" ht="15.75" customHeight="1">
      <c r="A2762" s="334" t="str">
        <f>IF(B2762&lt;&gt;"",IF(AND(B2762='IN-TC'!$S$4,OR(TH!N2762="1111",TH!O2762="1111")),TH!D2762,""),"")</f>
        <v/>
      </c>
      <c r="B2762" s="63">
        <f t="shared" si="263"/>
        <v>9</v>
      </c>
      <c r="C2762" s="64">
        <v>42635</v>
      </c>
      <c r="D2762" s="64" t="s">
        <v>883</v>
      </c>
      <c r="E2762" s="64">
        <v>42635</v>
      </c>
      <c r="F2762" s="72" t="s">
        <v>1210</v>
      </c>
      <c r="G2762" s="67"/>
      <c r="H2762" s="72" t="s">
        <v>2064</v>
      </c>
      <c r="I2762" s="437"/>
      <c r="J2762" s="437"/>
      <c r="K2762" s="428"/>
      <c r="L2762" s="437"/>
      <c r="M2762" s="65">
        <v>50000000</v>
      </c>
      <c r="N2762" s="66" t="s">
        <v>19</v>
      </c>
      <c r="O2762" s="66" t="s">
        <v>63</v>
      </c>
      <c r="P2762" s="82" t="str">
        <f>IF(AND('331-CT'!$E$7=TH!H2762,OR(N2762="331",O2762="331")),"x","")</f>
        <v/>
      </c>
      <c r="Q2762" s="82" t="str">
        <f>IF(AND(B2762='111'!$L$11,OR($N2762=$Q$7,$O2762=$Q$7)),"x","")</f>
        <v>x</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2" s="349" customFormat="1" ht="15.75" customHeight="1">
      <c r="A2763" s="334" t="str">
        <f>IF(B2763&lt;&gt;"",IF(AND(B2763='IN-TC'!$S$4,OR(TH!N1827="1111",TH!O1827="1111")),TH!D1827,""),"")</f>
        <v/>
      </c>
      <c r="B2763" s="1148">
        <f t="shared" ref="B2763" si="272">IF(C2763&lt;&gt;"",MONTH(C2763),"")</f>
        <v>9</v>
      </c>
      <c r="C2763" s="1149">
        <v>42636</v>
      </c>
      <c r="D2763" s="1149" t="s">
        <v>884</v>
      </c>
      <c r="E2763" s="1149">
        <f t="shared" ref="E2763" si="273">C2763</f>
        <v>42636</v>
      </c>
      <c r="F2763" s="512" t="s">
        <v>960</v>
      </c>
      <c r="G2763" s="1151"/>
      <c r="H2763" s="1150" t="s">
        <v>2239</v>
      </c>
      <c r="I2763" s="1152"/>
      <c r="J2763" s="1152"/>
      <c r="K2763" s="1153"/>
      <c r="L2763" s="1231"/>
      <c r="M2763" s="1154">
        <v>500000000</v>
      </c>
      <c r="N2763" s="1155" t="s">
        <v>272</v>
      </c>
      <c r="O2763" s="1155" t="s">
        <v>63</v>
      </c>
      <c r="P2763" s="1155" t="str">
        <f>IF(AND('331-CT'!$E$7=TH!H1827,OR(N2763="331",O2763="331")),"x","")</f>
        <v/>
      </c>
      <c r="Q2763" s="1155" t="str">
        <f>IF(AND(B2763='111'!$L$11,OR($N2763=$Q$7,$O2763=$Q$7)),"x","")</f>
        <v>x</v>
      </c>
      <c r="R2763" s="1155" t="str">
        <f>IF(AND($N2763=$Q$7,$B2763&lt;'111'!$L$11),"x","")</f>
        <v/>
      </c>
      <c r="S2763" s="1155" t="str">
        <f>IF(AND($O2763=$Q$7,$B2763&lt;'111'!$L$11),"x","")</f>
        <v/>
      </c>
      <c r="T2763" s="1155" t="str">
        <f>IF(ISERROR(FIND('112'!$M$9,G2763,1)),"",IF((AND(FIND('112'!$M$9,G2763,1)&gt;=1,B2763='112'!$K$9,OR($N2763='112'!$I$6,$O2763='112'!$I$6))),"x",""))</f>
        <v/>
      </c>
      <c r="U2763" s="1155" t="str">
        <f>IF(ISERROR(FIND('112'!$M$9,G2763,1)),"",IF((AND(LEFT(G2763,2)=LEFT('112'!$M$9,2),B2763&lt;'112'!$K$9,$N2763='112'!$I$6)),"x",""))</f>
        <v/>
      </c>
      <c r="V2763" s="1155" t="str">
        <f>IF(ISERROR(FIND('112'!$M$9,G2763,1)),"",IF((AND(RIGHT(G2763,2)=RIGHT('112'!$M$9,2),B2763&lt;'112'!$K$9,$O2763='112'!$I$6)),"x",""))</f>
        <v/>
      </c>
      <c r="W2763" s="1155" t="str">
        <f>IF(AND('341-CT'!$H$9=H2763,OR(LEFT(N2763,3)=$W$7,LEFT(O2763,3)=$W$7)),"x","")</f>
        <v/>
      </c>
      <c r="X2763" s="1155" t="str">
        <f>IF(OR(TH!N1827=TH!$X$7,O2763=TH!$X$7),"x","")</f>
        <v>x</v>
      </c>
      <c r="Y2763" s="1155" t="str">
        <f>IF(AND(OR(N2763="131",O2763="131"),H2763='131-CT'!$H$9),"x","")</f>
        <v/>
      </c>
      <c r="Z2763" s="1155"/>
      <c r="AA2763" s="1155" t="str">
        <f>IF(AND(MONTH(E2763)='IN-NX'!$J$5,'IN-NX'!$D$7=D2763),"x","")</f>
        <v/>
      </c>
      <c r="AB2763" s="1155" t="str">
        <f>IF(AND(OR(LEFT(TH!N1827,2)="15",LEFT(TH!O1827,2)="15"),LEFT(TH!O1827,3)&lt;&gt;"111",'152-CT'!$J$8=TH!F1827),"x","")</f>
        <v/>
      </c>
      <c r="AC2763" s="1155" t="str">
        <f>IF(AND(OR(LEFT(TH!N1827,2)="15",LEFT(TH!O1827,2)="15"),TK!$E$7=TH!F1827),"x","")</f>
        <v/>
      </c>
      <c r="AD2763" s="1155" t="str">
        <f>IF(AND(N2763="1521",MONTH(C2763)='BK-NL'!$M$11),"x","")</f>
        <v/>
      </c>
      <c r="AE2763" s="1156"/>
      <c r="AF2763" s="1156"/>
    </row>
    <row r="2764" spans="1:32" s="349" customFormat="1" ht="15.75" customHeight="1">
      <c r="A2764" s="334" t="str">
        <f>IF(B2764&lt;&gt;"",IF(AND(B2764='IN-TC'!$S$4,OR(TH!N2764="1111",TH!O2764="1111")),TH!D2764,""),"")</f>
        <v/>
      </c>
      <c r="B2764" s="63">
        <f t="shared" si="263"/>
        <v>9</v>
      </c>
      <c r="C2764" s="64">
        <v>42637</v>
      </c>
      <c r="D2764" s="64" t="s">
        <v>885</v>
      </c>
      <c r="E2764" s="64">
        <f>C2764</f>
        <v>42637</v>
      </c>
      <c r="F2764" s="72" t="s">
        <v>1100</v>
      </c>
      <c r="G2764" s="67" t="s">
        <v>914</v>
      </c>
      <c r="H2764" s="72" t="s">
        <v>760</v>
      </c>
      <c r="I2764" s="437"/>
      <c r="J2764" s="437"/>
      <c r="K2764" s="428"/>
      <c r="L2764" s="437"/>
      <c r="M2764" s="65">
        <v>20000000</v>
      </c>
      <c r="N2764" s="66" t="s">
        <v>26</v>
      </c>
      <c r="O2764" s="66" t="s">
        <v>63</v>
      </c>
      <c r="P2764" s="82" t="str">
        <f>IF(AND('331-CT'!$E$7=TH!H2764,OR(N2764="331",O2764="331")),"x","")</f>
        <v/>
      </c>
      <c r="Q2764" s="82" t="str">
        <f>IF(AND(B2764='111'!$L$11,OR($N2764=$Q$7,$O2764=$Q$7)),"x","")</f>
        <v>x</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2" s="349" customFormat="1" ht="15.75" customHeight="1">
      <c r="A2765" s="334" t="str">
        <f>IF(B2765&lt;&gt;"",IF(AND(B2765='IN-TC'!$S$4,OR(TH!N1828="1111",TH!O1828="1111")),TH!D1828,""),"")</f>
        <v/>
      </c>
      <c r="B2765" s="1148">
        <f>IF(C2765&lt;&gt;"",MONTH(C2765),"")</f>
        <v>9</v>
      </c>
      <c r="C2765" s="1149">
        <v>42638</v>
      </c>
      <c r="D2765" s="1149" t="s">
        <v>886</v>
      </c>
      <c r="E2765" s="1149">
        <f>C2765</f>
        <v>42638</v>
      </c>
      <c r="F2765" s="512" t="s">
        <v>960</v>
      </c>
      <c r="G2765" s="1151"/>
      <c r="H2765" s="1150" t="s">
        <v>2239</v>
      </c>
      <c r="I2765" s="1152"/>
      <c r="J2765" s="1152"/>
      <c r="K2765" s="1153"/>
      <c r="L2765" s="1231"/>
      <c r="M2765" s="1154">
        <v>450000000</v>
      </c>
      <c r="N2765" s="1155" t="s">
        <v>272</v>
      </c>
      <c r="O2765" s="1155" t="s">
        <v>63</v>
      </c>
      <c r="P2765" s="1155" t="str">
        <f>IF(AND('331-CT'!$E$7=TH!H1828,OR(N2765="331",O2765="331")),"x","")</f>
        <v/>
      </c>
      <c r="Q2765" s="1155" t="str">
        <f>IF(AND(B2765='111'!$L$11,OR($N2765=$Q$7,$O2765=$Q$7)),"x","")</f>
        <v>x</v>
      </c>
      <c r="R2765" s="1155" t="str">
        <f>IF(AND($N2765=$Q$7,$B2765&lt;'111'!$L$11),"x","")</f>
        <v/>
      </c>
      <c r="S2765" s="1155" t="str">
        <f>IF(AND($O2765=$Q$7,$B2765&lt;'111'!$L$11),"x","")</f>
        <v/>
      </c>
      <c r="T2765" s="1155" t="str">
        <f>IF(ISERROR(FIND('112'!$M$9,G2765,1)),"",IF((AND(FIND('112'!$M$9,G2765,1)&gt;=1,B2765='112'!$K$9,OR($N2765='112'!$I$6,$O2765='112'!$I$6))),"x",""))</f>
        <v/>
      </c>
      <c r="U2765" s="1155" t="str">
        <f>IF(ISERROR(FIND('112'!$M$9,G2765,1)),"",IF((AND(LEFT(G2765,2)=LEFT('112'!$M$9,2),B2765&lt;'112'!$K$9,$N2765='112'!$I$6)),"x",""))</f>
        <v/>
      </c>
      <c r="V2765" s="1155" t="str">
        <f>IF(ISERROR(FIND('112'!$M$9,G2765,1)),"",IF((AND(RIGHT(G2765,2)=RIGHT('112'!$M$9,2),B2765&lt;'112'!$K$9,$O2765='112'!$I$6)),"x",""))</f>
        <v/>
      </c>
      <c r="W2765" s="1155" t="str">
        <f>IF(AND('341-CT'!$H$9=H2765,OR(LEFT(N2765,3)=$W$7,LEFT(O2765,3)=$W$7)),"x","")</f>
        <v/>
      </c>
      <c r="X2765" s="1155" t="str">
        <f>IF(OR(TH!N1828=TH!$X$7,O2765=TH!$X$7),"x","")</f>
        <v/>
      </c>
      <c r="Y2765" s="1155" t="str">
        <f>IF(AND(OR(N2765="131",O2765="131"),H2765='131-CT'!$H$9),"x","")</f>
        <v/>
      </c>
      <c r="Z2765" s="1155"/>
      <c r="AA2765" s="1155" t="str">
        <f>IF(AND(MONTH(E2765)='IN-NX'!$J$5,'IN-NX'!$D$7=D2765),"x","")</f>
        <v/>
      </c>
      <c r="AB2765" s="1155" t="str">
        <f>IF(AND(OR(LEFT(TH!N1828,2)="15",LEFT(TH!O1828,2)="15"),LEFT(TH!O1828,3)&lt;&gt;"111",'152-CT'!$J$8=TH!F1828),"x","")</f>
        <v/>
      </c>
      <c r="AC2765" s="1155" t="str">
        <f>IF(AND(OR(LEFT(TH!N1828,2)="15",LEFT(TH!O1828,2)="15"),TK!$E$7=TH!F1828),"x","")</f>
        <v/>
      </c>
      <c r="AD2765" s="1155" t="str">
        <f>IF(AND(N2765="1521",MONTH(C2765)='BK-NL'!$M$11),"x","")</f>
        <v/>
      </c>
      <c r="AE2765" s="1156"/>
      <c r="AF2765" s="1156"/>
    </row>
    <row r="2766" spans="1:32" s="349" customFormat="1" ht="15.75" customHeight="1">
      <c r="A2766" s="334" t="str">
        <f>IF(B2766&lt;&gt;"",IF(AND(B2766='IN-TC'!$S$4,OR(TH!N2766="1111",TH!O2766="1111")),TH!D2766,""),"")</f>
        <v/>
      </c>
      <c r="B2766" s="63">
        <f t="shared" si="263"/>
        <v>9</v>
      </c>
      <c r="C2766" s="64">
        <v>42638</v>
      </c>
      <c r="D2766" s="64" t="s">
        <v>887</v>
      </c>
      <c r="E2766" s="64">
        <v>42638</v>
      </c>
      <c r="F2766" s="72" t="s">
        <v>2048</v>
      </c>
      <c r="G2766" s="972" t="s">
        <v>2055</v>
      </c>
      <c r="H2766" s="72" t="s">
        <v>805</v>
      </c>
      <c r="I2766" s="437"/>
      <c r="J2766" s="437"/>
      <c r="K2766" s="428"/>
      <c r="L2766" s="437"/>
      <c r="M2766" s="65">
        <v>1693491</v>
      </c>
      <c r="N2766" s="66" t="s">
        <v>101</v>
      </c>
      <c r="O2766" s="66" t="s">
        <v>63</v>
      </c>
      <c r="P2766" s="82" t="str">
        <f>IF(AND('331-CT'!$E$7=TH!H2766,OR(N2766="331",O2766="331")),"x","")</f>
        <v/>
      </c>
      <c r="Q2766" s="82" t="str">
        <f>IF(AND(B2766='111'!$L$11,OR($N2766=$Q$7,$O2766=$Q$7)),"x","")</f>
        <v>x</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c r="AE2766" s="349">
        <v>1</v>
      </c>
    </row>
    <row r="2767" spans="1:32" s="349" customFormat="1" ht="15.75" customHeight="1">
      <c r="A2767" s="334" t="str">
        <f>IF(B2767&lt;&gt;"",IF(AND(B2767='IN-TC'!$S$4,OR(TH!N2767="1111",TH!O2767="1111")),TH!D2767,""),"")</f>
        <v/>
      </c>
      <c r="B2767" s="63">
        <f t="shared" si="263"/>
        <v>9</v>
      </c>
      <c r="C2767" s="64">
        <v>42638</v>
      </c>
      <c r="D2767" s="64" t="s">
        <v>887</v>
      </c>
      <c r="E2767" s="64">
        <v>42638</v>
      </c>
      <c r="F2767" s="72" t="s">
        <v>2049</v>
      </c>
      <c r="G2767" s="972" t="s">
        <v>2055</v>
      </c>
      <c r="H2767" s="72" t="s">
        <v>805</v>
      </c>
      <c r="I2767" s="437"/>
      <c r="J2767" s="437"/>
      <c r="K2767" s="428"/>
      <c r="L2767" s="437"/>
      <c r="M2767" s="65">
        <v>169349</v>
      </c>
      <c r="N2767" s="66" t="s">
        <v>9</v>
      </c>
      <c r="O2767" s="66" t="s">
        <v>63</v>
      </c>
      <c r="P2767" s="82" t="str">
        <f>IF(AND('331-CT'!$E$7=TH!H2767,OR(N2767="331",O2767="331")),"x","")</f>
        <v/>
      </c>
      <c r="Q2767" s="82" t="str">
        <f>IF(AND(B2767='111'!$L$11,OR($N2767=$Q$7,$O2767=$Q$7)),"x","")</f>
        <v>x</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x</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c r="AE2767" s="349">
        <v>1</v>
      </c>
    </row>
    <row r="2768" spans="1:32" s="349" customFormat="1" ht="15.75" customHeight="1">
      <c r="A2768" s="334" t="str">
        <f>IF(B2768&lt;&gt;"",IF(AND(B2768='IN-TC'!$S$4,OR(TH!N2768="1111",TH!O2768="1111")),TH!D2768,""),"")</f>
        <v/>
      </c>
      <c r="B2768" s="63">
        <f t="shared" si="263"/>
        <v>9</v>
      </c>
      <c r="C2768" s="64">
        <v>42640</v>
      </c>
      <c r="D2768" s="64" t="s">
        <v>888</v>
      </c>
      <c r="E2768" s="64">
        <v>42640</v>
      </c>
      <c r="F2768" s="72" t="s">
        <v>2056</v>
      </c>
      <c r="G2768" s="972" t="s">
        <v>2058</v>
      </c>
      <c r="H2768" s="72" t="s">
        <v>2059</v>
      </c>
      <c r="I2768" s="437"/>
      <c r="J2768" s="437"/>
      <c r="K2768" s="428"/>
      <c r="L2768" s="437"/>
      <c r="M2768" s="65">
        <v>16050000</v>
      </c>
      <c r="N2768" s="66" t="s">
        <v>101</v>
      </c>
      <c r="O2768" s="66" t="s">
        <v>63</v>
      </c>
      <c r="P2768" s="82" t="str">
        <f>IF(AND('331-CT'!$E$7=TH!H2768,OR(N2768="331",O2768="331")),"x","")</f>
        <v/>
      </c>
      <c r="Q2768" s="82" t="str">
        <f>IF(AND(B2768='111'!$L$11,OR($N2768=$Q$7,$O2768=$Q$7)),"x","")</f>
        <v>x</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c r="AE2768" s="349">
        <v>1</v>
      </c>
    </row>
    <row r="2769" spans="1:32" s="349" customFormat="1" ht="15.75" customHeight="1">
      <c r="A2769" s="334" t="str">
        <f>IF(B2769&lt;&gt;"",IF(AND(B2769='IN-TC'!$S$4,OR(TH!N2769="1111",TH!O2769="1111")),TH!D2769,""),"")</f>
        <v/>
      </c>
      <c r="B2769" s="63">
        <f t="shared" si="263"/>
        <v>9</v>
      </c>
      <c r="C2769" s="64">
        <v>42640</v>
      </c>
      <c r="D2769" s="64" t="s">
        <v>888</v>
      </c>
      <c r="E2769" s="64">
        <v>42640</v>
      </c>
      <c r="F2769" s="72" t="s">
        <v>2057</v>
      </c>
      <c r="G2769" s="972" t="s">
        <v>2058</v>
      </c>
      <c r="H2769" s="72" t="s">
        <v>2059</v>
      </c>
      <c r="I2769" s="437"/>
      <c r="J2769" s="437"/>
      <c r="K2769" s="428"/>
      <c r="L2769" s="437"/>
      <c r="M2769" s="65">
        <v>1605000</v>
      </c>
      <c r="N2769" s="66" t="s">
        <v>9</v>
      </c>
      <c r="O2769" s="66" t="s">
        <v>63</v>
      </c>
      <c r="P2769" s="82" t="str">
        <f>IF(AND('331-CT'!$E$7=TH!H2769,OR(N2769="331",O2769="331")),"x","")</f>
        <v/>
      </c>
      <c r="Q2769" s="82" t="str">
        <f>IF(AND(B2769='111'!$L$11,OR($N2769=$Q$7,$O2769=$Q$7)),"x","")</f>
        <v>x</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x</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c r="AE2769" s="349">
        <v>1</v>
      </c>
    </row>
    <row r="2770" spans="1:32" s="349" customFormat="1" ht="15.75" customHeight="1">
      <c r="A2770" s="334" t="str">
        <f>IF(B2770&lt;&gt;"",IF(AND(B2770='IN-TC'!$S$4,OR(TH!N2770="1111",TH!O2770="1111")),TH!D2770,""),"")</f>
        <v/>
      </c>
      <c r="B2770" s="63">
        <f t="shared" si="263"/>
        <v>9</v>
      </c>
      <c r="C2770" s="64">
        <v>42640</v>
      </c>
      <c r="D2770" s="64" t="s">
        <v>889</v>
      </c>
      <c r="E2770" s="64">
        <v>42640</v>
      </c>
      <c r="F2770" s="72" t="s">
        <v>2060</v>
      </c>
      <c r="G2770" s="972" t="s">
        <v>2062</v>
      </c>
      <c r="H2770" s="72" t="s">
        <v>1707</v>
      </c>
      <c r="I2770" s="437"/>
      <c r="J2770" s="437"/>
      <c r="K2770" s="428"/>
      <c r="L2770" s="437"/>
      <c r="M2770" s="65">
        <v>998182</v>
      </c>
      <c r="N2770" s="66" t="s">
        <v>101</v>
      </c>
      <c r="O2770" s="66" t="s">
        <v>63</v>
      </c>
      <c r="P2770" s="82" t="str">
        <f>IF(AND('331-CT'!$E$7=TH!H2770,OR(N2770="331",O2770="331")),"x","")</f>
        <v/>
      </c>
      <c r="Q2770" s="82" t="str">
        <f>IF(AND(B2770='111'!$L$11,OR($N2770=$Q$7,$O2770=$Q$7)),"x","")</f>
        <v>x</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c r="AE2770" s="349">
        <v>1</v>
      </c>
    </row>
    <row r="2771" spans="1:32" s="349" customFormat="1" ht="15.75" customHeight="1">
      <c r="A2771" s="334" t="str">
        <f>IF(B2771&lt;&gt;"",IF(AND(B2771='IN-TC'!$S$4,OR(TH!N2771="1111",TH!O2771="1111")),TH!D2771,""),"")</f>
        <v/>
      </c>
      <c r="B2771" s="63">
        <f t="shared" si="263"/>
        <v>9</v>
      </c>
      <c r="C2771" s="64">
        <v>42640</v>
      </c>
      <c r="D2771" s="64" t="s">
        <v>889</v>
      </c>
      <c r="E2771" s="64">
        <v>42640</v>
      </c>
      <c r="F2771" s="72" t="s">
        <v>2061</v>
      </c>
      <c r="G2771" s="972" t="s">
        <v>2062</v>
      </c>
      <c r="H2771" s="72" t="s">
        <v>1707</v>
      </c>
      <c r="I2771" s="437"/>
      <c r="J2771" s="437"/>
      <c r="K2771" s="428"/>
      <c r="L2771" s="437"/>
      <c r="M2771" s="65">
        <v>99818</v>
      </c>
      <c r="N2771" s="66" t="s">
        <v>9</v>
      </c>
      <c r="O2771" s="66" t="s">
        <v>63</v>
      </c>
      <c r="P2771" s="82" t="str">
        <f>IF(AND('331-CT'!$E$7=TH!H2771,OR(N2771="331",O2771="331")),"x","")</f>
        <v/>
      </c>
      <c r="Q2771" s="82" t="str">
        <f>IF(AND(B2771='111'!$L$11,OR($N2771=$Q$7,$O2771=$Q$7)),"x","")</f>
        <v>x</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x</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c r="AE2771" s="349">
        <v>1</v>
      </c>
    </row>
    <row r="2772" spans="1:32" s="349" customFormat="1" ht="15.75" customHeight="1">
      <c r="A2772" s="334" t="str">
        <f>IF(B2772&lt;&gt;"",IF(AND(B2772='IN-TC'!$S$4,OR(TH!N2772="1111",TH!O2772="1111")),TH!D2772,""),"")</f>
        <v/>
      </c>
      <c r="B2772" s="63">
        <f t="shared" si="263"/>
        <v>9</v>
      </c>
      <c r="C2772" s="64">
        <v>42641</v>
      </c>
      <c r="D2772" s="64" t="s">
        <v>890</v>
      </c>
      <c r="E2772" s="64">
        <f>C2772</f>
        <v>42641</v>
      </c>
      <c r="F2772" s="72" t="s">
        <v>1100</v>
      </c>
      <c r="G2772" s="67" t="s">
        <v>1558</v>
      </c>
      <c r="H2772" s="72" t="s">
        <v>1795</v>
      </c>
      <c r="I2772" s="437"/>
      <c r="J2772" s="437"/>
      <c r="K2772" s="428"/>
      <c r="L2772" s="437"/>
      <c r="M2772" s="65">
        <v>100000000</v>
      </c>
      <c r="N2772" s="66" t="s">
        <v>26</v>
      </c>
      <c r="O2772" s="66" t="s">
        <v>63</v>
      </c>
      <c r="P2772" s="82" t="str">
        <f>IF(AND('331-CT'!$E$7=TH!H2772,OR(N2772="331",O2772="331")),"x","")</f>
        <v/>
      </c>
      <c r="Q2772" s="82" t="str">
        <f>IF(AND(B2772='111'!$L$11,OR($N2772=$Q$7,$O2772=$Q$7)),"x","")</f>
        <v>x</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x</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2" s="349" customFormat="1" ht="15.75" customHeight="1">
      <c r="A2773" s="334" t="str">
        <f>IF(B2773&lt;&gt;"",IF(AND(B2773='IN-TC'!$S$4,OR(TH!N1837="1111",TH!O1837="1111")),TH!D1837,""),"")</f>
        <v/>
      </c>
      <c r="B2773" s="1148">
        <f t="shared" ref="B2773:B2774" si="274">IF(C2773&lt;&gt;"",MONTH(C2773),"")</f>
        <v>9</v>
      </c>
      <c r="C2773" s="1149">
        <v>42643</v>
      </c>
      <c r="D2773" s="1149" t="s">
        <v>891</v>
      </c>
      <c r="E2773" s="1149">
        <f t="shared" ref="E2773:E2774" si="275">C2773</f>
        <v>42643</v>
      </c>
      <c r="F2773" s="512" t="s">
        <v>960</v>
      </c>
      <c r="G2773" s="1151"/>
      <c r="H2773" s="1150" t="s">
        <v>959</v>
      </c>
      <c r="I2773" s="1152"/>
      <c r="J2773" s="1152"/>
      <c r="K2773" s="1153"/>
      <c r="L2773" s="1231"/>
      <c r="M2773" s="1154">
        <v>528522500</v>
      </c>
      <c r="N2773" s="1155" t="s">
        <v>272</v>
      </c>
      <c r="O2773" s="1155" t="s">
        <v>63</v>
      </c>
      <c r="P2773" s="1155" t="str">
        <f>IF(AND('331-CT'!$E$7=TH!H1837,OR(N2773="331",O2773="331")),"x","")</f>
        <v/>
      </c>
      <c r="Q2773" s="1155" t="str">
        <f>IF(AND(B2773='111'!$L$11,OR($N2773=$Q$7,$O2773=$Q$7)),"x","")</f>
        <v>x</v>
      </c>
      <c r="R2773" s="1155" t="str">
        <f>IF(AND($N2773=$Q$7,$B2773&lt;'111'!$L$11),"x","")</f>
        <v/>
      </c>
      <c r="S2773" s="1155" t="str">
        <f>IF(AND($O2773=$Q$7,$B2773&lt;'111'!$L$11),"x","")</f>
        <v/>
      </c>
      <c r="T2773" s="1155" t="str">
        <f>IF(ISERROR(FIND('112'!$M$9,G2773,1)),"",IF((AND(FIND('112'!$M$9,G2773,1)&gt;=1,B2773='112'!$K$9,OR($N2773='112'!$I$6,$O2773='112'!$I$6))),"x",""))</f>
        <v/>
      </c>
      <c r="U2773" s="1155" t="str">
        <f>IF(ISERROR(FIND('112'!$M$9,G2773,1)),"",IF((AND(LEFT(G2773,2)=LEFT('112'!$M$9,2),B2773&lt;'112'!$K$9,$N2773='112'!$I$6)),"x",""))</f>
        <v/>
      </c>
      <c r="V2773" s="1155" t="str">
        <f>IF(ISERROR(FIND('112'!$M$9,G2773,1)),"",IF((AND(RIGHT(G2773,2)=RIGHT('112'!$M$9,2),B2773&lt;'112'!$K$9,$O2773='112'!$I$6)),"x",""))</f>
        <v/>
      </c>
      <c r="W2773" s="1155" t="str">
        <f>IF(AND('341-CT'!$H$9=H2773,OR(LEFT(N2773,3)=$W$7,LEFT(O2773,3)=$W$7)),"x","")</f>
        <v/>
      </c>
      <c r="X2773" s="1155" t="str">
        <f>IF(OR(TH!N1837=TH!$X$7,O2773=TH!$X$7),"x","")</f>
        <v>x</v>
      </c>
      <c r="Y2773" s="1155" t="str">
        <f>IF(AND(OR(N2773="131",O2773="131"),H2773='131-CT'!$H$9),"x","")</f>
        <v/>
      </c>
      <c r="Z2773" s="1155"/>
      <c r="AA2773" s="1155" t="str">
        <f>IF(AND(MONTH(E2773)='IN-NX'!$J$5,'IN-NX'!$D$7=D2773),"x","")</f>
        <v/>
      </c>
      <c r="AB2773" s="1155" t="str">
        <f>IF(AND(OR(LEFT(TH!N1837,2)="15",LEFT(TH!O1837,2)="15"),LEFT(TH!O1837,3)&lt;&gt;"111",'152-CT'!$J$8=TH!F1837),"x","")</f>
        <v/>
      </c>
      <c r="AC2773" s="1155" t="str">
        <f>IF(AND(OR(LEFT(TH!N1837,2)="15",LEFT(TH!O1837,2)="15"),TK!$E$7=TH!F1837),"x","")</f>
        <v/>
      </c>
      <c r="AD2773" s="1155" t="str">
        <f>IF(AND(N2773="1521",MONTH(C2773)='BK-NL'!$M$11),"x","")</f>
        <v/>
      </c>
      <c r="AE2773" s="1156"/>
      <c r="AF2773" s="1156"/>
    </row>
    <row r="2774" spans="1:32" s="349" customFormat="1" ht="15.75" customHeight="1">
      <c r="A2774" s="334" t="str">
        <f>IF(B2774&lt;&gt;"",IF(AND(B2774='IN-TC'!$S$4,OR(TH!N1838="1111",TH!O1838="1111")),TH!D1838,""),"")</f>
        <v/>
      </c>
      <c r="B2774" s="1148">
        <f t="shared" si="274"/>
        <v>9</v>
      </c>
      <c r="C2774" s="1149">
        <v>42643</v>
      </c>
      <c r="D2774" s="1149" t="s">
        <v>892</v>
      </c>
      <c r="E2774" s="1149">
        <f t="shared" si="275"/>
        <v>42643</v>
      </c>
      <c r="F2774" s="512" t="s">
        <v>960</v>
      </c>
      <c r="G2774" s="1151"/>
      <c r="H2774" s="1150" t="s">
        <v>2239</v>
      </c>
      <c r="I2774" s="1152"/>
      <c r="J2774" s="1152"/>
      <c r="K2774" s="1153"/>
      <c r="L2774" s="1231"/>
      <c r="M2774" s="1154">
        <v>347379000</v>
      </c>
      <c r="N2774" s="1155" t="s">
        <v>272</v>
      </c>
      <c r="O2774" s="1155" t="s">
        <v>63</v>
      </c>
      <c r="P2774" s="1155" t="str">
        <f>IF(AND('331-CT'!$E$7=TH!H1838,OR(N2774="331",O2774="331")),"x","")</f>
        <v/>
      </c>
      <c r="Q2774" s="1155" t="str">
        <f>IF(AND(B2774='111'!$L$11,OR($N2774=$Q$7,$O2774=$Q$7)),"x","")</f>
        <v>x</v>
      </c>
      <c r="R2774" s="1155" t="str">
        <f>IF(AND($N2774=$Q$7,$B2774&lt;'111'!$L$11),"x","")</f>
        <v/>
      </c>
      <c r="S2774" s="1155" t="str">
        <f>IF(AND($O2774=$Q$7,$B2774&lt;'111'!$L$11),"x","")</f>
        <v/>
      </c>
      <c r="T2774" s="1155" t="str">
        <f>IF(ISERROR(FIND('112'!$M$9,G2774,1)),"",IF((AND(FIND('112'!$M$9,G2774,1)&gt;=1,B2774='112'!$K$9,OR($N2774='112'!$I$6,$O2774='112'!$I$6))),"x",""))</f>
        <v/>
      </c>
      <c r="U2774" s="1155" t="str">
        <f>IF(ISERROR(FIND('112'!$M$9,G2774,1)),"",IF((AND(LEFT(G2774,2)=LEFT('112'!$M$9,2),B2774&lt;'112'!$K$9,$N2774='112'!$I$6)),"x",""))</f>
        <v/>
      </c>
      <c r="V2774" s="1155" t="str">
        <f>IF(ISERROR(FIND('112'!$M$9,G2774,1)),"",IF((AND(RIGHT(G2774,2)=RIGHT('112'!$M$9,2),B2774&lt;'112'!$K$9,$O2774='112'!$I$6)),"x",""))</f>
        <v/>
      </c>
      <c r="W2774" s="1155" t="str">
        <f>IF(AND('341-CT'!$H$9=H2774,OR(LEFT(N2774,3)=$W$7,LEFT(O2774,3)=$W$7)),"x","")</f>
        <v/>
      </c>
      <c r="X2774" s="1155" t="str">
        <f>IF(OR(TH!N1838=TH!$X$7,O2774=TH!$X$7),"x","")</f>
        <v/>
      </c>
      <c r="Y2774" s="1155" t="str">
        <f>IF(AND(OR(N2774="131",O2774="131"),H2774='131-CT'!$H$9),"x","")</f>
        <v/>
      </c>
      <c r="Z2774" s="1155"/>
      <c r="AA2774" s="1155" t="str">
        <f>IF(AND(MONTH(E2774)='IN-NX'!$J$5,'IN-NX'!$D$7=D2774),"x","")</f>
        <v/>
      </c>
      <c r="AB2774" s="1155" t="str">
        <f>IF(AND(OR(LEFT(TH!N1838,2)="15",LEFT(TH!O1838,2)="15"),LEFT(TH!O1838,3)&lt;&gt;"111",'152-CT'!$J$8=TH!F1838),"x","")</f>
        <v/>
      </c>
      <c r="AC2774" s="1155" t="str">
        <f>IF(AND(OR(LEFT(TH!N1838,2)="15",LEFT(TH!O1838,2)="15"),TK!$E$7=TH!F1838),"x","")</f>
        <v/>
      </c>
      <c r="AD2774" s="1155" t="str">
        <f>IF(AND(N2774="1521",MONTH(C2774)='BK-NL'!$M$11),"x","")</f>
        <v/>
      </c>
      <c r="AE2774" s="1156"/>
      <c r="AF2774" s="1156"/>
    </row>
    <row r="2775" spans="1:32" s="349" customFormat="1" ht="15.75" customHeight="1">
      <c r="A2775" s="334" t="str">
        <f>IF(B2775&lt;&gt;"",IF(AND(B2775='IN-TC'!$S$4,OR(TH!N2775="1111",TH!O2775="1111")),TH!D2775,""),"")</f>
        <v/>
      </c>
      <c r="B2775" s="63">
        <f t="shared" ref="B2775:B2777" si="276">IF(C2775&lt;&gt;"",MONTH(C2775),"")</f>
        <v>9</v>
      </c>
      <c r="C2775" s="64">
        <v>42643</v>
      </c>
      <c r="D2775" s="64" t="s">
        <v>893</v>
      </c>
      <c r="E2775" s="64">
        <v>42643</v>
      </c>
      <c r="F2775" s="72" t="s">
        <v>1354</v>
      </c>
      <c r="G2775" s="67"/>
      <c r="H2775" s="72" t="s">
        <v>1356</v>
      </c>
      <c r="I2775" s="437"/>
      <c r="J2775" s="437"/>
      <c r="K2775" s="428"/>
      <c r="L2775" s="437"/>
      <c r="M2775" s="65">
        <v>2381818</v>
      </c>
      <c r="N2775" s="66" t="s">
        <v>101</v>
      </c>
      <c r="O2775" s="66" t="s">
        <v>63</v>
      </c>
      <c r="P2775" s="82" t="str">
        <f>IF(AND('331-CT'!$E$7=TH!H2775,OR(N2775="331",O2775="331")),"x","")</f>
        <v/>
      </c>
      <c r="Q2775" s="82" t="str">
        <f>IF(AND(B2775='111'!$L$11,OR($N2775=$Q$7,$O2775=$Q$7)),"x","")</f>
        <v>x</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c r="AE2775" s="349">
        <v>1</v>
      </c>
    </row>
    <row r="2776" spans="1:32" s="349" customFormat="1" ht="15.75" customHeight="1">
      <c r="A2776" s="334" t="str">
        <f>IF(B2776&lt;&gt;"",IF(AND(B2776='IN-TC'!$S$4,OR(TH!N2776="1111",TH!O2776="1111")),TH!D2776,""),"")</f>
        <v/>
      </c>
      <c r="B2776" s="63">
        <f t="shared" si="276"/>
        <v>9</v>
      </c>
      <c r="C2776" s="64">
        <v>42643</v>
      </c>
      <c r="D2776" s="64" t="s">
        <v>893</v>
      </c>
      <c r="E2776" s="64">
        <v>42643</v>
      </c>
      <c r="F2776" s="72" t="s">
        <v>1355</v>
      </c>
      <c r="G2776" s="67"/>
      <c r="H2776" s="72" t="s">
        <v>1356</v>
      </c>
      <c r="I2776" s="437"/>
      <c r="J2776" s="437"/>
      <c r="K2776" s="428"/>
      <c r="L2776" s="437"/>
      <c r="M2776" s="65">
        <v>238182</v>
      </c>
      <c r="N2776" s="66" t="s">
        <v>9</v>
      </c>
      <c r="O2776" s="66" t="s">
        <v>63</v>
      </c>
      <c r="P2776" s="82" t="str">
        <f>IF(AND('331-CT'!$E$7=TH!H2776,OR(N2776="331",O2776="331")),"x","")</f>
        <v/>
      </c>
      <c r="Q2776" s="82" t="str">
        <f>IF(AND(B2776='111'!$L$11,OR($N2776=$Q$7,$O2776=$Q$7)),"x","")</f>
        <v>x</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x</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c r="AE2776" s="349">
        <v>1</v>
      </c>
    </row>
    <row r="2777" spans="1:32" s="348" customFormat="1" ht="15.75" customHeight="1">
      <c r="A2777" s="1229" t="str">
        <f>IF(B2777&lt;&gt;"",IF(AND(B2777='IN-TC'!$S$4,OR(TH!N2777="1111",TH!O2777="1111")),TH!D2777,""),"")</f>
        <v/>
      </c>
      <c r="B2777" s="1134">
        <f t="shared" si="276"/>
        <v>9</v>
      </c>
      <c r="C2777" s="92">
        <v>42643</v>
      </c>
      <c r="D2777" s="92" t="s">
        <v>894</v>
      </c>
      <c r="E2777" s="92">
        <v>42643</v>
      </c>
      <c r="F2777" s="94" t="s">
        <v>2369</v>
      </c>
      <c r="G2777" s="93"/>
      <c r="H2777" s="94" t="s">
        <v>845</v>
      </c>
      <c r="I2777" s="443"/>
      <c r="J2777" s="443"/>
      <c r="K2777" s="434"/>
      <c r="L2777" s="443"/>
      <c r="M2777" s="95"/>
      <c r="N2777" s="83" t="s">
        <v>589</v>
      </c>
      <c r="O2777" s="83" t="s">
        <v>63</v>
      </c>
      <c r="P2777" s="82" t="str">
        <f>IF(AND('331-CT'!$E$7=TH!H2777,OR(N2777="331",O2777="331")),"x","")</f>
        <v/>
      </c>
      <c r="Q2777" s="82" t="str">
        <f>IF(AND(B2777='111'!$L$11,OR($N2777=$Q$7,$O2777=$Q$7)),"x","")</f>
        <v>x</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2" s="349" customFormat="1" ht="15.75" customHeight="1">
      <c r="A2778" s="334" t="str">
        <f>IF(B2778&lt;&gt;"",IF(AND(B2778='IN-TC'!$S$4,OR(TH!N2778="1111",TH!O2778="1111")),TH!D2778,""),"")</f>
        <v/>
      </c>
      <c r="B2778" s="63">
        <f t="shared" ref="B2778:B2779" si="277">IF(C2778&lt;&gt;"",MONTH(C2778),"")</f>
        <v>9</v>
      </c>
      <c r="C2778" s="64">
        <v>42635</v>
      </c>
      <c r="D2778" s="64" t="s">
        <v>699</v>
      </c>
      <c r="E2778" s="64">
        <v>42635</v>
      </c>
      <c r="F2778" s="72" t="s">
        <v>2063</v>
      </c>
      <c r="G2778" s="67" t="s">
        <v>915</v>
      </c>
      <c r="H2778" s="72" t="s">
        <v>2064</v>
      </c>
      <c r="I2778" s="437"/>
      <c r="J2778" s="437"/>
      <c r="K2778" s="428"/>
      <c r="L2778" s="437"/>
      <c r="M2778" s="65">
        <v>50000000</v>
      </c>
      <c r="N2778" s="66" t="s">
        <v>26</v>
      </c>
      <c r="O2778" s="66" t="s">
        <v>19</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2" s="349" customFormat="1" ht="15.75" customHeight="1">
      <c r="A2779" s="334" t="str">
        <f>IF(B2779&lt;&gt;"",IF(AND(B2779='IN-TC'!$S$4,OR(TH!N2779="1111",TH!O2779="1111")),TH!D2779,""),"")</f>
        <v/>
      </c>
      <c r="B2779" s="63">
        <f t="shared" si="277"/>
        <v>9</v>
      </c>
      <c r="C2779" s="64">
        <v>42635</v>
      </c>
      <c r="D2779" s="64" t="s">
        <v>702</v>
      </c>
      <c r="E2779" s="64">
        <v>42635</v>
      </c>
      <c r="F2779" s="72" t="s">
        <v>1918</v>
      </c>
      <c r="G2779" s="67" t="s">
        <v>915</v>
      </c>
      <c r="H2779" s="72" t="s">
        <v>626</v>
      </c>
      <c r="I2779" s="437"/>
      <c r="J2779" s="437"/>
      <c r="K2779" s="428"/>
      <c r="L2779" s="437"/>
      <c r="M2779" s="65">
        <v>1663000</v>
      </c>
      <c r="N2779" s="66" t="s">
        <v>8</v>
      </c>
      <c r="O2779" s="66" t="s">
        <v>26</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2" s="349" customFormat="1" ht="15.75" customHeight="1">
      <c r="A2780" s="334" t="str">
        <f>IF(B2780&lt;&gt;"",IF(AND(B2780='IN-TC'!$S$4,OR(TH!N2780="1111",TH!O2780="1111")),TH!D2780,""),"")</f>
        <v/>
      </c>
      <c r="B2780" s="63">
        <f t="shared" ref="B2780:B2944" si="278">IF(C2780&lt;&gt;"",MONTH(C2780),"")</f>
        <v>9</v>
      </c>
      <c r="C2780" s="64">
        <v>42635</v>
      </c>
      <c r="D2780" s="64" t="s">
        <v>702</v>
      </c>
      <c r="E2780" s="64">
        <v>42635</v>
      </c>
      <c r="F2780" s="72" t="s">
        <v>1192</v>
      </c>
      <c r="G2780" s="67" t="s">
        <v>915</v>
      </c>
      <c r="H2780" s="72" t="s">
        <v>1794</v>
      </c>
      <c r="I2780" s="437"/>
      <c r="J2780" s="437"/>
      <c r="K2780" s="428"/>
      <c r="L2780" s="437"/>
      <c r="M2780" s="65">
        <v>20000</v>
      </c>
      <c r="N2780" s="66" t="s">
        <v>101</v>
      </c>
      <c r="O2780" s="66" t="s">
        <v>26</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c r="AE2780" s="349">
        <v>1</v>
      </c>
    </row>
    <row r="2781" spans="1:32" s="349" customFormat="1" ht="15.75" customHeight="1">
      <c r="A2781" s="334" t="str">
        <f>IF(B2781&lt;&gt;"",IF(AND(B2781='IN-TC'!$S$4,OR(TH!N2781="1111",TH!O2781="1111")),TH!D2781,""),"")</f>
        <v/>
      </c>
      <c r="B2781" s="63">
        <f t="shared" si="278"/>
        <v>9</v>
      </c>
      <c r="C2781" s="64">
        <v>42635</v>
      </c>
      <c r="D2781" s="64" t="s">
        <v>702</v>
      </c>
      <c r="E2781" s="64">
        <v>42635</v>
      </c>
      <c r="F2781" s="72" t="s">
        <v>1193</v>
      </c>
      <c r="G2781" s="67" t="s">
        <v>915</v>
      </c>
      <c r="H2781" s="72" t="s">
        <v>1794</v>
      </c>
      <c r="I2781" s="437"/>
      <c r="J2781" s="437"/>
      <c r="K2781" s="428"/>
      <c r="L2781" s="437"/>
      <c r="M2781" s="65">
        <v>2000</v>
      </c>
      <c r="N2781" s="66" t="s">
        <v>9</v>
      </c>
      <c r="O2781" s="66" t="s">
        <v>26</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x</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c r="AE2781" s="349">
        <v>1</v>
      </c>
    </row>
    <row r="2782" spans="1:32" s="349" customFormat="1" ht="15.75" customHeight="1">
      <c r="A2782" s="334" t="str">
        <f>IF(B2782&lt;&gt;"",IF(AND(B2782='IN-TC'!$S$4,OR(TH!N2782="1111",TH!O2782="1111")),TH!D2782,""),"")</f>
        <v/>
      </c>
      <c r="B2782" s="63">
        <f t="shared" si="278"/>
        <v>9</v>
      </c>
      <c r="C2782" s="64">
        <v>42635</v>
      </c>
      <c r="D2782" s="64" t="s">
        <v>702</v>
      </c>
      <c r="E2782" s="64">
        <v>42635</v>
      </c>
      <c r="F2782" s="72" t="s">
        <v>2065</v>
      </c>
      <c r="G2782" s="67" t="s">
        <v>915</v>
      </c>
      <c r="H2782" s="342" t="s">
        <v>629</v>
      </c>
      <c r="I2782" s="437"/>
      <c r="J2782" s="437"/>
      <c r="K2782" s="428"/>
      <c r="L2782" s="437"/>
      <c r="M2782" s="65">
        <v>21641290</v>
      </c>
      <c r="N2782" s="66" t="s">
        <v>8</v>
      </c>
      <c r="O2782" s="66" t="s">
        <v>26</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c r="AE2782" s="1136" t="str">
        <f>IF(H2782&lt;&gt;VLOOKUP(H2782,DSKH,1,0),"","x")</f>
        <v>x</v>
      </c>
    </row>
    <row r="2783" spans="1:32" s="349" customFormat="1" ht="15.75" customHeight="1">
      <c r="A2783" s="334" t="str">
        <f>IF(B2783&lt;&gt;"",IF(AND(B2783='IN-TC'!$S$4,OR(TH!N2783="1111",TH!O2783="1111")),TH!D2783,""),"")</f>
        <v/>
      </c>
      <c r="B2783" s="63">
        <f t="shared" si="278"/>
        <v>9</v>
      </c>
      <c r="C2783" s="64">
        <v>42635</v>
      </c>
      <c r="D2783" s="64" t="s">
        <v>702</v>
      </c>
      <c r="E2783" s="64">
        <f t="shared" ref="E2783:E2784" si="279">C2783</f>
        <v>42635</v>
      </c>
      <c r="F2783" s="72" t="s">
        <v>1192</v>
      </c>
      <c r="G2783" s="67" t="s">
        <v>915</v>
      </c>
      <c r="H2783" s="72" t="s">
        <v>1794</v>
      </c>
      <c r="I2783" s="437"/>
      <c r="J2783" s="437"/>
      <c r="K2783" s="428"/>
      <c r="L2783" s="437"/>
      <c r="M2783" s="65">
        <v>25000</v>
      </c>
      <c r="N2783" s="66" t="s">
        <v>101</v>
      </c>
      <c r="O2783" s="66" t="s">
        <v>26</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c r="AE2783" s="349">
        <v>1</v>
      </c>
      <c r="AF2783" s="349">
        <v>8</v>
      </c>
    </row>
    <row r="2784" spans="1:32" s="349" customFormat="1" ht="15.75" customHeight="1">
      <c r="A2784" s="334" t="str">
        <f>IF(B2784&lt;&gt;"",IF(AND(B2784='IN-TC'!$S$4,OR(TH!N2784="1111",TH!O2784="1111")),TH!D2784,""),"")</f>
        <v/>
      </c>
      <c r="B2784" s="63">
        <f t="shared" si="278"/>
        <v>9</v>
      </c>
      <c r="C2784" s="64">
        <v>42635</v>
      </c>
      <c r="D2784" s="64" t="s">
        <v>702</v>
      </c>
      <c r="E2784" s="64">
        <f t="shared" si="279"/>
        <v>42635</v>
      </c>
      <c r="F2784" s="72" t="s">
        <v>1193</v>
      </c>
      <c r="G2784" s="67" t="s">
        <v>915</v>
      </c>
      <c r="H2784" s="72" t="s">
        <v>1794</v>
      </c>
      <c r="I2784" s="437"/>
      <c r="J2784" s="437"/>
      <c r="K2784" s="428"/>
      <c r="L2784" s="437"/>
      <c r="M2784" s="65">
        <v>2500</v>
      </c>
      <c r="N2784" s="66" t="s">
        <v>9</v>
      </c>
      <c r="O2784" s="66" t="s">
        <v>26</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x</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c r="AE2784" s="349">
        <v>1</v>
      </c>
      <c r="AF2784" s="349">
        <v>8</v>
      </c>
    </row>
    <row r="2785" spans="1:32" s="349" customFormat="1" ht="15.75" customHeight="1">
      <c r="A2785" s="334" t="str">
        <f>IF(B2785&lt;&gt;"",IF(AND(B2785='IN-TC'!$S$4,OR(TH!N2785="1111",TH!O2785="1111")),TH!D2785,""),"")</f>
        <v/>
      </c>
      <c r="B2785" s="63">
        <f t="shared" si="278"/>
        <v>9</v>
      </c>
      <c r="C2785" s="64">
        <v>42635</v>
      </c>
      <c r="D2785" s="64" t="s">
        <v>702</v>
      </c>
      <c r="E2785" s="64">
        <v>42635</v>
      </c>
      <c r="F2785" s="72" t="s">
        <v>1918</v>
      </c>
      <c r="G2785" s="67" t="s">
        <v>915</v>
      </c>
      <c r="H2785" s="72" t="s">
        <v>626</v>
      </c>
      <c r="I2785" s="437"/>
      <c r="J2785" s="437"/>
      <c r="K2785" s="428"/>
      <c r="L2785" s="437"/>
      <c r="M2785" s="65">
        <v>27700000</v>
      </c>
      <c r="N2785" s="66" t="s">
        <v>8</v>
      </c>
      <c r="O2785" s="66" t="s">
        <v>26</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2" s="349" customFormat="1" ht="15.75" customHeight="1">
      <c r="A2786" s="334" t="str">
        <f>IF(B2786&lt;&gt;"",IF(AND(B2786='IN-TC'!$S$4,OR(TH!N2786="1111",TH!O2786="1111")),TH!D2786,""),"")</f>
        <v/>
      </c>
      <c r="B2786" s="63">
        <f t="shared" ref="B2786:B2787" si="280">IF(C2786&lt;&gt;"",MONTH(C2786),"")</f>
        <v>9</v>
      </c>
      <c r="C2786" s="64">
        <v>42635</v>
      </c>
      <c r="D2786" s="64" t="s">
        <v>702</v>
      </c>
      <c r="E2786" s="64">
        <v>42635</v>
      </c>
      <c r="F2786" s="72" t="s">
        <v>1192</v>
      </c>
      <c r="G2786" s="67" t="s">
        <v>915</v>
      </c>
      <c r="H2786" s="72" t="s">
        <v>1794</v>
      </c>
      <c r="I2786" s="437"/>
      <c r="J2786" s="437"/>
      <c r="K2786" s="428"/>
      <c r="L2786" s="437"/>
      <c r="M2786" s="65">
        <v>20000</v>
      </c>
      <c r="N2786" s="66" t="s">
        <v>101</v>
      </c>
      <c r="O2786" s="66" t="s">
        <v>26</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c r="AE2786" s="349">
        <v>1</v>
      </c>
    </row>
    <row r="2787" spans="1:32" s="349" customFormat="1" ht="15.75" customHeight="1">
      <c r="A2787" s="334" t="str">
        <f>IF(B2787&lt;&gt;"",IF(AND(B2787='IN-TC'!$S$4,OR(TH!N2787="1111",TH!O2787="1111")),TH!D2787,""),"")</f>
        <v/>
      </c>
      <c r="B2787" s="63">
        <f t="shared" si="280"/>
        <v>9</v>
      </c>
      <c r="C2787" s="64">
        <v>42635</v>
      </c>
      <c r="D2787" s="64" t="s">
        <v>702</v>
      </c>
      <c r="E2787" s="64">
        <v>42635</v>
      </c>
      <c r="F2787" s="72" t="s">
        <v>1193</v>
      </c>
      <c r="G2787" s="67" t="s">
        <v>915</v>
      </c>
      <c r="H2787" s="72" t="s">
        <v>1794</v>
      </c>
      <c r="I2787" s="437"/>
      <c r="J2787" s="437"/>
      <c r="K2787" s="428"/>
      <c r="L2787" s="437"/>
      <c r="M2787" s="65">
        <v>2000</v>
      </c>
      <c r="N2787" s="66" t="s">
        <v>9</v>
      </c>
      <c r="O2787" s="66" t="s">
        <v>26</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x</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c r="AE2787" s="349">
        <v>1</v>
      </c>
    </row>
    <row r="2788" spans="1:32" s="349" customFormat="1" ht="15.75" customHeight="1">
      <c r="A2788" s="334" t="str">
        <f>IF(B2788&lt;&gt;"",IF(AND(B2788='IN-TC'!$S$4,OR(TH!N2788="1111",TH!O2788="1111")),TH!D2788,""),"")</f>
        <v/>
      </c>
      <c r="B2788" s="63">
        <f t="shared" si="278"/>
        <v>9</v>
      </c>
      <c r="C2788" s="64">
        <v>42637</v>
      </c>
      <c r="D2788" s="64" t="s">
        <v>699</v>
      </c>
      <c r="E2788" s="64">
        <v>42635</v>
      </c>
      <c r="F2788" s="72" t="s">
        <v>1647</v>
      </c>
      <c r="G2788" s="67" t="s">
        <v>915</v>
      </c>
      <c r="H2788" s="72" t="s">
        <v>1794</v>
      </c>
      <c r="I2788" s="437"/>
      <c r="J2788" s="437"/>
      <c r="K2788" s="428"/>
      <c r="L2788" s="437"/>
      <c r="M2788" s="65">
        <v>9429</v>
      </c>
      <c r="N2788" s="66" t="s">
        <v>26</v>
      </c>
      <c r="O2788" s="66" t="s">
        <v>43</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2" s="349" customFormat="1" ht="15.75" customHeight="1">
      <c r="A2789" s="334" t="str">
        <f>IF(B2789&lt;&gt;"",IF(AND(B2789='IN-TC'!$S$4,OR(TH!N2789="1111",TH!O2789="1111")),TH!D2789,""),"")</f>
        <v/>
      </c>
      <c r="B2789" s="63">
        <f t="shared" si="278"/>
        <v>9</v>
      </c>
      <c r="C2789" s="64">
        <v>42639</v>
      </c>
      <c r="D2789" s="64" t="s">
        <v>702</v>
      </c>
      <c r="E2789" s="64">
        <f t="shared" ref="E2789:E2790" si="281">C2789</f>
        <v>42639</v>
      </c>
      <c r="F2789" s="72" t="s">
        <v>1648</v>
      </c>
      <c r="G2789" s="67" t="s">
        <v>915</v>
      </c>
      <c r="H2789" s="72" t="s">
        <v>1794</v>
      </c>
      <c r="I2789" s="437"/>
      <c r="J2789" s="437"/>
      <c r="K2789" s="428"/>
      <c r="L2789" s="437"/>
      <c r="M2789" s="65">
        <v>50000</v>
      </c>
      <c r="N2789" s="66" t="s">
        <v>101</v>
      </c>
      <c r="O2789" s="66" t="s">
        <v>26</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c r="AE2789" s="349">
        <v>1</v>
      </c>
      <c r="AF2789" s="349">
        <v>8</v>
      </c>
    </row>
    <row r="2790" spans="1:32" s="349" customFormat="1" ht="15.75" customHeight="1">
      <c r="A2790" s="334" t="str">
        <f>IF(B2790&lt;&gt;"",IF(AND(B2790='IN-TC'!$S$4,OR(TH!N2790="1111",TH!O2790="1111")),TH!D2790,""),"")</f>
        <v/>
      </c>
      <c r="B2790" s="63">
        <f t="shared" si="278"/>
        <v>9</v>
      </c>
      <c r="C2790" s="64">
        <v>42639</v>
      </c>
      <c r="D2790" s="64" t="s">
        <v>702</v>
      </c>
      <c r="E2790" s="64">
        <f t="shared" si="281"/>
        <v>42639</v>
      </c>
      <c r="F2790" s="72" t="s">
        <v>1649</v>
      </c>
      <c r="G2790" s="67" t="s">
        <v>915</v>
      </c>
      <c r="H2790" s="72" t="s">
        <v>1794</v>
      </c>
      <c r="I2790" s="437"/>
      <c r="J2790" s="437"/>
      <c r="K2790" s="428"/>
      <c r="L2790" s="437"/>
      <c r="M2790" s="65">
        <v>5000</v>
      </c>
      <c r="N2790" s="66" t="s">
        <v>9</v>
      </c>
      <c r="O2790" s="66" t="s">
        <v>26</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x</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c r="AE2790" s="349">
        <v>1</v>
      </c>
      <c r="AF2790" s="349">
        <v>8</v>
      </c>
    </row>
    <row r="2791" spans="1:32" s="349" customFormat="1" ht="15.75" customHeight="1">
      <c r="A2791" s="334" t="str">
        <f>IF(B2791&lt;&gt;"",IF(AND(B2791='IN-TC'!$S$4,OR(TH!N2791="1111",TH!O2791="1111")),TH!D2791,""),"")</f>
        <v/>
      </c>
      <c r="B2791" s="63">
        <f t="shared" ref="B2791:B2796" si="282">IF(C2791&lt;&gt;"",MONTH(C2791),"")</f>
        <v>9</v>
      </c>
      <c r="C2791" s="64">
        <v>42639</v>
      </c>
      <c r="D2791" s="64" t="s">
        <v>702</v>
      </c>
      <c r="E2791" s="64">
        <f t="shared" ref="E2791:E2796" si="283">C2791</f>
        <v>42639</v>
      </c>
      <c r="F2791" s="72" t="s">
        <v>1648</v>
      </c>
      <c r="G2791" s="67" t="s">
        <v>915</v>
      </c>
      <c r="H2791" s="72" t="s">
        <v>1794</v>
      </c>
      <c r="I2791" s="437"/>
      <c r="J2791" s="437"/>
      <c r="K2791" s="428"/>
      <c r="L2791" s="437"/>
      <c r="M2791" s="65">
        <v>50000</v>
      </c>
      <c r="N2791" s="66" t="s">
        <v>101</v>
      </c>
      <c r="O2791" s="66" t="s">
        <v>26</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c r="AE2791" s="349">
        <v>1</v>
      </c>
      <c r="AF2791" s="349">
        <v>8</v>
      </c>
    </row>
    <row r="2792" spans="1:32" s="349" customFormat="1" ht="15.75" customHeight="1">
      <c r="A2792" s="334" t="str">
        <f>IF(B2792&lt;&gt;"",IF(AND(B2792='IN-TC'!$S$4,OR(TH!N2792="1111",TH!O2792="1111")),TH!D2792,""),"")</f>
        <v/>
      </c>
      <c r="B2792" s="63">
        <f t="shared" si="282"/>
        <v>9</v>
      </c>
      <c r="C2792" s="64">
        <v>42639</v>
      </c>
      <c r="D2792" s="64" t="s">
        <v>702</v>
      </c>
      <c r="E2792" s="64">
        <f t="shared" si="283"/>
        <v>42639</v>
      </c>
      <c r="F2792" s="72" t="s">
        <v>1649</v>
      </c>
      <c r="G2792" s="67" t="s">
        <v>915</v>
      </c>
      <c r="H2792" s="72" t="s">
        <v>1794</v>
      </c>
      <c r="I2792" s="437"/>
      <c r="J2792" s="437"/>
      <c r="K2792" s="428"/>
      <c r="L2792" s="437"/>
      <c r="M2792" s="65">
        <v>5000</v>
      </c>
      <c r="N2792" s="66" t="s">
        <v>9</v>
      </c>
      <c r="O2792" s="66" t="s">
        <v>26</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x</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c r="AE2792" s="349">
        <v>1</v>
      </c>
      <c r="AF2792" s="349">
        <v>8</v>
      </c>
    </row>
    <row r="2793" spans="1:32" s="349" customFormat="1" ht="15.75" customHeight="1">
      <c r="A2793" s="334" t="str">
        <f>IF(B2793&lt;&gt;"",IF(AND(B2793='IN-TC'!$S$4,OR(TH!N2793="1111",TH!O2793="1111")),TH!D2793,""),"")</f>
        <v/>
      </c>
      <c r="B2793" s="63">
        <f t="shared" si="282"/>
        <v>9</v>
      </c>
      <c r="C2793" s="64">
        <v>42639</v>
      </c>
      <c r="D2793" s="64" t="s">
        <v>702</v>
      </c>
      <c r="E2793" s="64">
        <f t="shared" si="283"/>
        <v>42639</v>
      </c>
      <c r="F2793" s="72" t="s">
        <v>1648</v>
      </c>
      <c r="G2793" s="67" t="s">
        <v>915</v>
      </c>
      <c r="H2793" s="72" t="s">
        <v>1794</v>
      </c>
      <c r="I2793" s="437"/>
      <c r="J2793" s="437"/>
      <c r="K2793" s="428"/>
      <c r="L2793" s="437"/>
      <c r="M2793" s="65">
        <v>50000</v>
      </c>
      <c r="N2793" s="66" t="s">
        <v>101</v>
      </c>
      <c r="O2793" s="66" t="s">
        <v>26</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c r="AE2793" s="349">
        <v>1</v>
      </c>
      <c r="AF2793" s="349">
        <v>8</v>
      </c>
    </row>
    <row r="2794" spans="1:32" s="349" customFormat="1" ht="15.75" customHeight="1">
      <c r="A2794" s="334" t="str">
        <f>IF(B2794&lt;&gt;"",IF(AND(B2794='IN-TC'!$S$4,OR(TH!N2794="1111",TH!O2794="1111")),TH!D2794,""),"")</f>
        <v/>
      </c>
      <c r="B2794" s="63">
        <f t="shared" si="282"/>
        <v>9</v>
      </c>
      <c r="C2794" s="64">
        <v>42639</v>
      </c>
      <c r="D2794" s="64" t="s">
        <v>702</v>
      </c>
      <c r="E2794" s="64">
        <f t="shared" si="283"/>
        <v>42639</v>
      </c>
      <c r="F2794" s="72" t="s">
        <v>1649</v>
      </c>
      <c r="G2794" s="67" t="s">
        <v>915</v>
      </c>
      <c r="H2794" s="72" t="s">
        <v>1794</v>
      </c>
      <c r="I2794" s="437"/>
      <c r="J2794" s="437"/>
      <c r="K2794" s="428"/>
      <c r="L2794" s="437"/>
      <c r="M2794" s="65">
        <v>5000</v>
      </c>
      <c r="N2794" s="66" t="s">
        <v>9</v>
      </c>
      <c r="O2794" s="66" t="s">
        <v>26</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x</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c r="AE2794" s="349">
        <v>1</v>
      </c>
      <c r="AF2794" s="349">
        <v>8</v>
      </c>
    </row>
    <row r="2795" spans="1:32" s="349" customFormat="1" ht="15.75" customHeight="1">
      <c r="A2795" s="334" t="str">
        <f>IF(B2795&lt;&gt;"",IF(AND(B2795='IN-TC'!$S$4,OR(TH!N2795="1111",TH!O2795="1111")),TH!D2795,""),"")</f>
        <v/>
      </c>
      <c r="B2795" s="63">
        <f t="shared" si="282"/>
        <v>9</v>
      </c>
      <c r="C2795" s="64">
        <v>42639</v>
      </c>
      <c r="D2795" s="64" t="s">
        <v>702</v>
      </c>
      <c r="E2795" s="64">
        <f t="shared" si="283"/>
        <v>42639</v>
      </c>
      <c r="F2795" s="72" t="s">
        <v>1648</v>
      </c>
      <c r="G2795" s="67" t="s">
        <v>915</v>
      </c>
      <c r="H2795" s="72" t="s">
        <v>1794</v>
      </c>
      <c r="I2795" s="437"/>
      <c r="J2795" s="437"/>
      <c r="K2795" s="428"/>
      <c r="L2795" s="437"/>
      <c r="M2795" s="65">
        <v>50000</v>
      </c>
      <c r="N2795" s="66" t="s">
        <v>101</v>
      </c>
      <c r="O2795" s="66" t="s">
        <v>26</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c r="AE2795" s="349">
        <v>1</v>
      </c>
      <c r="AF2795" s="349">
        <v>8</v>
      </c>
    </row>
    <row r="2796" spans="1:32" s="349" customFormat="1" ht="15.75" customHeight="1">
      <c r="A2796" s="334" t="str">
        <f>IF(B2796&lt;&gt;"",IF(AND(B2796='IN-TC'!$S$4,OR(TH!N2796="1111",TH!O2796="1111")),TH!D2796,""),"")</f>
        <v/>
      </c>
      <c r="B2796" s="63">
        <f t="shared" si="282"/>
        <v>9</v>
      </c>
      <c r="C2796" s="64">
        <v>42639</v>
      </c>
      <c r="D2796" s="64" t="s">
        <v>702</v>
      </c>
      <c r="E2796" s="64">
        <f t="shared" si="283"/>
        <v>42639</v>
      </c>
      <c r="F2796" s="72" t="s">
        <v>1649</v>
      </c>
      <c r="G2796" s="67" t="s">
        <v>915</v>
      </c>
      <c r="H2796" s="72" t="s">
        <v>1794</v>
      </c>
      <c r="I2796" s="437"/>
      <c r="J2796" s="437"/>
      <c r="K2796" s="428"/>
      <c r="L2796" s="437"/>
      <c r="M2796" s="65">
        <v>5000</v>
      </c>
      <c r="N2796" s="66" t="s">
        <v>9</v>
      </c>
      <c r="O2796" s="66" t="s">
        <v>26</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x</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c r="AE2796" s="349">
        <v>1</v>
      </c>
      <c r="AF2796" s="349">
        <v>8</v>
      </c>
    </row>
    <row r="2797" spans="1:32" s="349" customFormat="1" ht="15.75" customHeight="1">
      <c r="A2797" s="334" t="str">
        <f>IF(B2797&lt;&gt;"",IF(AND(B2797='IN-TC'!$S$4,OR(TH!N2797="1111",TH!O2797="1111")),TH!D2797,""),"")</f>
        <v/>
      </c>
      <c r="B2797" s="63">
        <f t="shared" ref="B2797:B2798" si="284">IF(C2797&lt;&gt;"",MONTH(C2797),"")</f>
        <v>9</v>
      </c>
      <c r="C2797" s="64">
        <v>42630</v>
      </c>
      <c r="D2797" s="64" t="s">
        <v>702</v>
      </c>
      <c r="E2797" s="64">
        <f t="shared" ref="E2797:E2798" si="285">C2797</f>
        <v>42630</v>
      </c>
      <c r="F2797" s="72" t="s">
        <v>1648</v>
      </c>
      <c r="G2797" s="67" t="s">
        <v>914</v>
      </c>
      <c r="H2797" s="72" t="s">
        <v>2066</v>
      </c>
      <c r="I2797" s="437"/>
      <c r="J2797" s="437"/>
      <c r="K2797" s="428"/>
      <c r="L2797" s="437"/>
      <c r="M2797" s="65">
        <v>50000</v>
      </c>
      <c r="N2797" s="66" t="s">
        <v>101</v>
      </c>
      <c r="O2797" s="66" t="s">
        <v>26</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c r="AE2797" s="349">
        <v>1</v>
      </c>
      <c r="AF2797" s="349">
        <v>8</v>
      </c>
    </row>
    <row r="2798" spans="1:32" s="349" customFormat="1" ht="15.75" customHeight="1">
      <c r="A2798" s="334" t="str">
        <f>IF(B2798&lt;&gt;"",IF(AND(B2798='IN-TC'!$S$4,OR(TH!N2798="1111",TH!O2798="1111")),TH!D2798,""),"")</f>
        <v/>
      </c>
      <c r="B2798" s="63">
        <f t="shared" si="284"/>
        <v>9</v>
      </c>
      <c r="C2798" s="64">
        <v>42630</v>
      </c>
      <c r="D2798" s="64" t="s">
        <v>702</v>
      </c>
      <c r="E2798" s="64">
        <f t="shared" si="285"/>
        <v>42630</v>
      </c>
      <c r="F2798" s="72" t="s">
        <v>1649</v>
      </c>
      <c r="G2798" s="67" t="s">
        <v>914</v>
      </c>
      <c r="H2798" s="72" t="s">
        <v>2066</v>
      </c>
      <c r="I2798" s="437"/>
      <c r="J2798" s="437"/>
      <c r="K2798" s="428"/>
      <c r="L2798" s="437"/>
      <c r="M2798" s="65">
        <v>5000</v>
      </c>
      <c r="N2798" s="66" t="s">
        <v>9</v>
      </c>
      <c r="O2798" s="66" t="s">
        <v>26</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x</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c r="AE2798" s="349">
        <v>1</v>
      </c>
      <c r="AF2798" s="349">
        <v>8</v>
      </c>
    </row>
    <row r="2799" spans="1:32" s="349" customFormat="1" ht="15.75" customHeight="1">
      <c r="A2799" s="334" t="str">
        <f>IF(B2799&lt;&gt;"",IF(AND(B2799='IN-TC'!$S$4,OR(TH!N2799="1111",TH!O2799="1111")),TH!D2799,""),"")</f>
        <v/>
      </c>
      <c r="B2799" s="63">
        <f t="shared" ref="B2799:B2800" si="286">IF(C2799&lt;&gt;"",MONTH(C2799),"")</f>
        <v>9</v>
      </c>
      <c r="C2799" s="64">
        <v>42630</v>
      </c>
      <c r="D2799" s="64" t="s">
        <v>702</v>
      </c>
      <c r="E2799" s="64">
        <f t="shared" ref="E2799:E2814" si="287">C2799</f>
        <v>42630</v>
      </c>
      <c r="F2799" s="72" t="s">
        <v>1648</v>
      </c>
      <c r="G2799" s="67" t="s">
        <v>914</v>
      </c>
      <c r="H2799" s="72" t="s">
        <v>2066</v>
      </c>
      <c r="I2799" s="437"/>
      <c r="J2799" s="437"/>
      <c r="K2799" s="428"/>
      <c r="L2799" s="437"/>
      <c r="M2799" s="65">
        <v>50000</v>
      </c>
      <c r="N2799" s="66" t="s">
        <v>101</v>
      </c>
      <c r="O2799" s="66" t="s">
        <v>26</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c r="AE2799" s="349">
        <v>1</v>
      </c>
      <c r="AF2799" s="349">
        <v>8</v>
      </c>
    </row>
    <row r="2800" spans="1:32" s="349" customFormat="1" ht="15.75" customHeight="1">
      <c r="A2800" s="334" t="str">
        <f>IF(B2800&lt;&gt;"",IF(AND(B2800='IN-TC'!$S$4,OR(TH!N2800="1111",TH!O2800="1111")),TH!D2800,""),"")</f>
        <v/>
      </c>
      <c r="B2800" s="63">
        <f t="shared" si="286"/>
        <v>9</v>
      </c>
      <c r="C2800" s="64">
        <v>42630</v>
      </c>
      <c r="D2800" s="64" t="s">
        <v>702</v>
      </c>
      <c r="E2800" s="64">
        <f t="shared" si="287"/>
        <v>42630</v>
      </c>
      <c r="F2800" s="72" t="s">
        <v>1649</v>
      </c>
      <c r="G2800" s="67" t="s">
        <v>914</v>
      </c>
      <c r="H2800" s="72" t="s">
        <v>2066</v>
      </c>
      <c r="I2800" s="437"/>
      <c r="J2800" s="437"/>
      <c r="K2800" s="428"/>
      <c r="L2800" s="437"/>
      <c r="M2800" s="65">
        <v>5000</v>
      </c>
      <c r="N2800" s="66" t="s">
        <v>9</v>
      </c>
      <c r="O2800" s="66" t="s">
        <v>26</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x</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E2800" s="349">
        <v>1</v>
      </c>
      <c r="AF2800" s="349">
        <v>8</v>
      </c>
    </row>
    <row r="2801" spans="1:31" s="349" customFormat="1" ht="15.75" customHeight="1">
      <c r="A2801" s="334" t="str">
        <f>IF(B2801&lt;&gt;"",IF(AND(B2801='IN-TC'!$S$4,OR(TH!N2801="1111",TH!O2801="1111")),TH!D2801,""),"")</f>
        <v/>
      </c>
      <c r="B2801" s="63">
        <f t="shared" si="278"/>
        <v>9</v>
      </c>
      <c r="C2801" s="64">
        <v>42637</v>
      </c>
      <c r="D2801" s="64" t="s">
        <v>702</v>
      </c>
      <c r="E2801" s="64">
        <f t="shared" si="287"/>
        <v>42637</v>
      </c>
      <c r="F2801" s="72" t="s">
        <v>1782</v>
      </c>
      <c r="G2801" s="67" t="s">
        <v>914</v>
      </c>
      <c r="H2801" s="72" t="s">
        <v>1665</v>
      </c>
      <c r="I2801" s="437"/>
      <c r="J2801" s="437"/>
      <c r="K2801" s="428">
        <v>213.96</v>
      </c>
      <c r="L2801" s="437">
        <v>22340</v>
      </c>
      <c r="M2801" s="65">
        <f t="shared" ref="M2801:M2804" si="288">ROUND(K2801*L2801,0)</f>
        <v>4779866</v>
      </c>
      <c r="N2801" s="66" t="s">
        <v>99</v>
      </c>
      <c r="O2801" s="66" t="s">
        <v>26</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1" s="349" customFormat="1" ht="15.75" customHeight="1">
      <c r="A2802" s="334" t="str">
        <f>IF(B2802&lt;&gt;"",IF(AND(B2802='IN-TC'!$S$4,OR(TH!N2802="1111",TH!O2802="1111")),TH!D2802,""),"")</f>
        <v/>
      </c>
      <c r="B2802" s="63">
        <f t="shared" si="278"/>
        <v>9</v>
      </c>
      <c r="C2802" s="64">
        <v>42637</v>
      </c>
      <c r="D2802" s="64" t="s">
        <v>702</v>
      </c>
      <c r="E2802" s="64">
        <f t="shared" si="287"/>
        <v>42637</v>
      </c>
      <c r="F2802" s="72" t="s">
        <v>1782</v>
      </c>
      <c r="G2802" s="67" t="s">
        <v>914</v>
      </c>
      <c r="H2802" s="72" t="s">
        <v>1667</v>
      </c>
      <c r="I2802" s="437"/>
      <c r="J2802" s="437"/>
      <c r="K2802" s="428">
        <v>286.7</v>
      </c>
      <c r="L2802" s="437">
        <v>22340</v>
      </c>
      <c r="M2802" s="65">
        <f t="shared" si="288"/>
        <v>6404878</v>
      </c>
      <c r="N2802" s="66" t="s">
        <v>99</v>
      </c>
      <c r="O2802" s="66" t="s">
        <v>26</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1" s="349" customFormat="1" ht="15.75" customHeight="1">
      <c r="A2803" s="334" t="str">
        <f>IF(B2803&lt;&gt;"",IF(AND(B2803='IN-TC'!$S$4,OR(TH!N2803="1111",TH!O2803="1111")),TH!D2803,""),"")</f>
        <v/>
      </c>
      <c r="B2803" s="63">
        <f t="shared" si="278"/>
        <v>9</v>
      </c>
      <c r="C2803" s="64">
        <v>42637</v>
      </c>
      <c r="D2803" s="64" t="s">
        <v>702</v>
      </c>
      <c r="E2803" s="64">
        <f t="shared" si="287"/>
        <v>42637</v>
      </c>
      <c r="F2803" s="72" t="s">
        <v>1782</v>
      </c>
      <c r="G2803" s="67" t="s">
        <v>914</v>
      </c>
      <c r="H2803" s="72" t="s">
        <v>1892</v>
      </c>
      <c r="I2803" s="437"/>
      <c r="J2803" s="437"/>
      <c r="K2803" s="428">
        <v>111.21</v>
      </c>
      <c r="L2803" s="437">
        <v>22340</v>
      </c>
      <c r="M2803" s="65">
        <f t="shared" si="288"/>
        <v>2484431</v>
      </c>
      <c r="N2803" s="66" t="s">
        <v>99</v>
      </c>
      <c r="O2803" s="66" t="s">
        <v>26</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1" s="349" customFormat="1" ht="15.75" customHeight="1">
      <c r="A2804" s="334" t="str">
        <f>IF(B2804&lt;&gt;"",IF(AND(B2804='IN-TC'!$S$4,OR(TH!N2804="1111",TH!O2804="1111")),TH!D2804,""),"")</f>
        <v/>
      </c>
      <c r="B2804" s="63">
        <f t="shared" si="278"/>
        <v>9</v>
      </c>
      <c r="C2804" s="64">
        <v>42637</v>
      </c>
      <c r="D2804" s="64" t="s">
        <v>702</v>
      </c>
      <c r="E2804" s="64">
        <f t="shared" si="287"/>
        <v>42637</v>
      </c>
      <c r="F2804" s="72" t="s">
        <v>1782</v>
      </c>
      <c r="G2804" s="67" t="s">
        <v>914</v>
      </c>
      <c r="H2804" s="72" t="s">
        <v>1895</v>
      </c>
      <c r="I2804" s="437"/>
      <c r="J2804" s="437"/>
      <c r="K2804" s="428">
        <v>183.26</v>
      </c>
      <c r="L2804" s="437">
        <v>22340</v>
      </c>
      <c r="M2804" s="65">
        <f t="shared" si="288"/>
        <v>4094028</v>
      </c>
      <c r="N2804" s="66" t="s">
        <v>99</v>
      </c>
      <c r="O2804" s="66" t="s">
        <v>26</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1" s="345" customFormat="1" ht="15.75" customHeight="1">
      <c r="A2805" s="334" t="str">
        <f>IF(B2805&lt;&gt;"",IF(AND(B2805='IN-TC'!$S$4,OR(TH!N2805="1111",TH!O2805="1111")),TH!D2805,""),"")</f>
        <v/>
      </c>
      <c r="B2805" s="993">
        <f t="shared" si="278"/>
        <v>9</v>
      </c>
      <c r="C2805" s="78">
        <v>42643</v>
      </c>
      <c r="D2805" s="78" t="s">
        <v>699</v>
      </c>
      <c r="E2805" s="78">
        <f t="shared" si="287"/>
        <v>42643</v>
      </c>
      <c r="F2805" s="72" t="s">
        <v>1450</v>
      </c>
      <c r="G2805" s="79" t="s">
        <v>914</v>
      </c>
      <c r="H2805" s="80" t="s">
        <v>598</v>
      </c>
      <c r="I2805" s="435"/>
      <c r="J2805" s="435"/>
      <c r="K2805" s="426">
        <v>46800</v>
      </c>
      <c r="L2805" s="435">
        <v>22290</v>
      </c>
      <c r="M2805" s="81">
        <f t="shared" ref="M2805:M2807" si="289">ROUND(K2805*L2805,0)</f>
        <v>1043172000</v>
      </c>
      <c r="N2805" s="82" t="s">
        <v>26</v>
      </c>
      <c r="O2805" s="82" t="s">
        <v>585</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1" s="349" customFormat="1" ht="15.75" customHeight="1">
      <c r="A2806" s="334" t="str">
        <f>IF(B2806&lt;&gt;"",IF(AND(B2806='IN-TC'!$S$4,OR(TH!N2806="1111",TH!O2806="1111")),TH!D2806,""),"")</f>
        <v/>
      </c>
      <c r="B2806" s="63">
        <f t="shared" si="278"/>
        <v>9</v>
      </c>
      <c r="C2806" s="64">
        <v>42634</v>
      </c>
      <c r="D2806" s="64" t="s">
        <v>702</v>
      </c>
      <c r="E2806" s="64">
        <f t="shared" si="287"/>
        <v>42634</v>
      </c>
      <c r="F2806" s="72" t="s">
        <v>1185</v>
      </c>
      <c r="G2806" s="67" t="s">
        <v>914</v>
      </c>
      <c r="H2806" s="72" t="s">
        <v>2066</v>
      </c>
      <c r="I2806" s="437"/>
      <c r="J2806" s="437"/>
      <c r="K2806" s="428">
        <v>15</v>
      </c>
      <c r="L2806" s="437">
        <v>22300</v>
      </c>
      <c r="M2806" s="65">
        <f t="shared" si="289"/>
        <v>334500</v>
      </c>
      <c r="N2806" s="66" t="s">
        <v>101</v>
      </c>
      <c r="O2806" s="66" t="s">
        <v>266</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c r="AE2806" s="349">
        <v>1</v>
      </c>
    </row>
    <row r="2807" spans="1:31" s="349" customFormat="1" ht="15.75" customHeight="1">
      <c r="A2807" s="334" t="str">
        <f>IF(B2807&lt;&gt;"",IF(AND(B2807='IN-TC'!$S$4,OR(TH!N2807="1111",TH!O2807="1111")),TH!D2807,""),"")</f>
        <v/>
      </c>
      <c r="B2807" s="63">
        <f t="shared" si="278"/>
        <v>9</v>
      </c>
      <c r="C2807" s="64">
        <v>42634</v>
      </c>
      <c r="D2807" s="64" t="s">
        <v>702</v>
      </c>
      <c r="E2807" s="64">
        <f t="shared" si="287"/>
        <v>42634</v>
      </c>
      <c r="F2807" s="72" t="s">
        <v>1186</v>
      </c>
      <c r="G2807" s="67" t="s">
        <v>914</v>
      </c>
      <c r="H2807" s="72" t="s">
        <v>2066</v>
      </c>
      <c r="I2807" s="437"/>
      <c r="J2807" s="437"/>
      <c r="K2807" s="428">
        <v>1.5</v>
      </c>
      <c r="L2807" s="437">
        <v>22300</v>
      </c>
      <c r="M2807" s="65">
        <f t="shared" si="289"/>
        <v>33450</v>
      </c>
      <c r="N2807" s="66" t="s">
        <v>9</v>
      </c>
      <c r="O2807" s="66" t="s">
        <v>266</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x</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c r="AE2807" s="349">
        <v>1</v>
      </c>
    </row>
    <row r="2808" spans="1:31" s="349" customFormat="1" ht="15.75" customHeight="1">
      <c r="A2808" s="334" t="str">
        <f>IF(B2808&lt;&gt;"",IF(AND(B2808='IN-TC'!$S$4,OR(TH!N2808="1111",TH!O2808="1111")),TH!D2808,""),"")</f>
        <v/>
      </c>
      <c r="B2808" s="63">
        <f t="shared" si="278"/>
        <v>10</v>
      </c>
      <c r="C2808" s="64">
        <v>42644</v>
      </c>
      <c r="D2808" s="64" t="s">
        <v>870</v>
      </c>
      <c r="E2808" s="64">
        <f t="shared" si="287"/>
        <v>42644</v>
      </c>
      <c r="F2808" s="72" t="s">
        <v>1139</v>
      </c>
      <c r="G2808" s="67" t="s">
        <v>914</v>
      </c>
      <c r="H2808" s="72" t="s">
        <v>760</v>
      </c>
      <c r="I2808" s="437"/>
      <c r="J2808" s="437"/>
      <c r="K2808" s="428"/>
      <c r="L2808" s="437"/>
      <c r="M2808" s="65">
        <v>940000000</v>
      </c>
      <c r="N2808" s="66" t="s">
        <v>63</v>
      </c>
      <c r="O2808" s="66" t="s">
        <v>26</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1" s="349" customFormat="1" ht="15.75" customHeight="1">
      <c r="A2809" s="334" t="str">
        <f>IF(B2809&lt;&gt;"",IF(AND(B2809='IN-TC'!$S$4,OR(TH!N2809="1111",TH!O2809="1111")),TH!D2809,""),"")</f>
        <v/>
      </c>
      <c r="B2809" s="63">
        <f t="shared" si="278"/>
        <v>10</v>
      </c>
      <c r="C2809" s="64">
        <v>42650</v>
      </c>
      <c r="D2809" s="64" t="s">
        <v>899</v>
      </c>
      <c r="E2809" s="64">
        <f t="shared" si="287"/>
        <v>42650</v>
      </c>
      <c r="F2809" s="72" t="s">
        <v>1139</v>
      </c>
      <c r="G2809" s="67" t="s">
        <v>1558</v>
      </c>
      <c r="H2809" s="72" t="s">
        <v>760</v>
      </c>
      <c r="I2809" s="437"/>
      <c r="J2809" s="437"/>
      <c r="K2809" s="428"/>
      <c r="L2809" s="437"/>
      <c r="M2809" s="65">
        <v>1900000000</v>
      </c>
      <c r="N2809" s="66" t="s">
        <v>63</v>
      </c>
      <c r="O2809" s="66" t="s">
        <v>26</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x</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1" s="349" customFormat="1" ht="15.75" customHeight="1">
      <c r="A2810" s="334" t="str">
        <f>IF(B2810&lt;&gt;"",IF(AND(B2810='IN-TC'!$S$4,OR(TH!N2810="1111",TH!O2810="1111")),TH!D2810,""),"")</f>
        <v/>
      </c>
      <c r="B2810" s="63">
        <f t="shared" si="278"/>
        <v>10</v>
      </c>
      <c r="C2810" s="64">
        <v>42650</v>
      </c>
      <c r="D2810" s="64" t="s">
        <v>902</v>
      </c>
      <c r="E2810" s="64">
        <f t="shared" si="287"/>
        <v>42650</v>
      </c>
      <c r="F2810" s="72" t="s">
        <v>1139</v>
      </c>
      <c r="G2810" s="67" t="s">
        <v>1558</v>
      </c>
      <c r="H2810" s="72" t="s">
        <v>760</v>
      </c>
      <c r="I2810" s="437"/>
      <c r="J2810" s="437"/>
      <c r="K2810" s="428"/>
      <c r="L2810" s="437"/>
      <c r="M2810" s="65">
        <v>2150000000</v>
      </c>
      <c r="N2810" s="66" t="s">
        <v>63</v>
      </c>
      <c r="O2810" s="66" t="s">
        <v>26</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x</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1" s="349" customFormat="1" ht="15.75" customHeight="1">
      <c r="A2811" s="334" t="str">
        <f>IF(B2811&lt;&gt;"",IF(AND(B2811='IN-TC'!$S$4,OR(TH!N2811="1111",TH!O2811="1111")),TH!D2811,""),"")</f>
        <v/>
      </c>
      <c r="B2811" s="63">
        <f t="shared" si="278"/>
        <v>10</v>
      </c>
      <c r="C2811" s="64">
        <v>42651</v>
      </c>
      <c r="D2811" s="64" t="s">
        <v>905</v>
      </c>
      <c r="E2811" s="64">
        <f t="shared" si="287"/>
        <v>42651</v>
      </c>
      <c r="F2811" s="72" t="s">
        <v>1139</v>
      </c>
      <c r="G2811" s="67" t="s">
        <v>914</v>
      </c>
      <c r="H2811" s="72" t="s">
        <v>760</v>
      </c>
      <c r="I2811" s="437"/>
      <c r="J2811" s="437"/>
      <c r="K2811" s="428"/>
      <c r="L2811" s="437"/>
      <c r="M2811" s="65">
        <v>2100000000</v>
      </c>
      <c r="N2811" s="66" t="s">
        <v>63</v>
      </c>
      <c r="O2811" s="66" t="s">
        <v>26</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1" s="349" customFormat="1" ht="15.75" customHeight="1">
      <c r="A2812" s="334" t="str">
        <f>IF(B2812&lt;&gt;"",IF(AND(B2812='IN-TC'!$S$4,OR(TH!N2812="1111",TH!O2812="1111")),TH!D2812,""),"")</f>
        <v/>
      </c>
      <c r="B2812" s="63">
        <f t="shared" si="278"/>
        <v>10</v>
      </c>
      <c r="C2812" s="64">
        <v>42661</v>
      </c>
      <c r="D2812" s="64" t="s">
        <v>906</v>
      </c>
      <c r="E2812" s="64">
        <f t="shared" si="287"/>
        <v>42661</v>
      </c>
      <c r="F2812" s="72" t="s">
        <v>1139</v>
      </c>
      <c r="G2812" s="67" t="s">
        <v>1558</v>
      </c>
      <c r="H2812" s="72" t="s">
        <v>760</v>
      </c>
      <c r="I2812" s="437"/>
      <c r="J2812" s="437"/>
      <c r="K2812" s="428"/>
      <c r="L2812" s="437"/>
      <c r="M2812" s="65">
        <v>1000000000</v>
      </c>
      <c r="N2812" s="66" t="s">
        <v>63</v>
      </c>
      <c r="O2812" s="66" t="s">
        <v>26</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x</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1" s="349" customFormat="1" ht="15.75" customHeight="1">
      <c r="A2813" s="334" t="str">
        <f>IF(B2813&lt;&gt;"",IF(AND(B2813='IN-TC'!$S$4,OR(TH!N2813="1111",TH!O2813="1111")),TH!D2813,""),"")</f>
        <v/>
      </c>
      <c r="B2813" s="63">
        <f t="shared" si="278"/>
        <v>10</v>
      </c>
      <c r="C2813" s="64">
        <v>42661</v>
      </c>
      <c r="D2813" s="64" t="s">
        <v>913</v>
      </c>
      <c r="E2813" s="64">
        <f t="shared" si="287"/>
        <v>42661</v>
      </c>
      <c r="F2813" s="72" t="s">
        <v>1139</v>
      </c>
      <c r="G2813" s="67" t="s">
        <v>1558</v>
      </c>
      <c r="H2813" s="72" t="s">
        <v>760</v>
      </c>
      <c r="I2813" s="437"/>
      <c r="J2813" s="437"/>
      <c r="K2813" s="428"/>
      <c r="L2813" s="437"/>
      <c r="M2813" s="65">
        <v>1190000000</v>
      </c>
      <c r="N2813" s="66" t="s">
        <v>63</v>
      </c>
      <c r="O2813" s="66" t="s">
        <v>26</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x</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1" s="349" customFormat="1" ht="15.75" customHeight="1">
      <c r="A2814" s="334" t="str">
        <f>IF(B2814&lt;&gt;"",IF(AND(B2814='IN-TC'!$S$4,OR(TH!N2814="1111",TH!O2814="1111")),TH!D2814,""),"")</f>
        <v/>
      </c>
      <c r="B2814" s="63">
        <f t="shared" si="278"/>
        <v>10</v>
      </c>
      <c r="C2814" s="64">
        <v>42667</v>
      </c>
      <c r="D2814" s="64" t="s">
        <v>1556</v>
      </c>
      <c r="E2814" s="64">
        <f t="shared" si="287"/>
        <v>42667</v>
      </c>
      <c r="F2814" s="72" t="s">
        <v>1139</v>
      </c>
      <c r="G2814" s="67" t="s">
        <v>1558</v>
      </c>
      <c r="H2814" s="72" t="s">
        <v>760</v>
      </c>
      <c r="I2814" s="437"/>
      <c r="J2814" s="437"/>
      <c r="K2814" s="428"/>
      <c r="L2814" s="437"/>
      <c r="M2814" s="65">
        <v>820000000</v>
      </c>
      <c r="N2814" s="66" t="s">
        <v>63</v>
      </c>
      <c r="O2814" s="66" t="s">
        <v>26</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x</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1" s="349" customFormat="1" ht="15.75" customHeight="1">
      <c r="A2815" s="334" t="str">
        <f>IF(B2815&lt;&gt;"",IF(AND(B2815='IN-TC'!$S$4,OR(TH!N2815="1111",TH!O2815="1111")),TH!D2815,""),"")</f>
        <v/>
      </c>
      <c r="B2815" s="63">
        <f t="shared" ref="B2815" si="290">IF(C2815&lt;&gt;"",MONTH(C2815),"")</f>
        <v>10</v>
      </c>
      <c r="C2815" s="64">
        <v>42674</v>
      </c>
      <c r="D2815" s="64" t="s">
        <v>2079</v>
      </c>
      <c r="E2815" s="64">
        <f t="shared" ref="E2815" si="291">C2815</f>
        <v>42674</v>
      </c>
      <c r="F2815" s="72" t="s">
        <v>1139</v>
      </c>
      <c r="G2815" s="67" t="s">
        <v>1558</v>
      </c>
      <c r="H2815" s="72" t="s">
        <v>760</v>
      </c>
      <c r="I2815" s="437"/>
      <c r="J2815" s="437"/>
      <c r="K2815" s="428"/>
      <c r="L2815" s="437"/>
      <c r="M2815" s="65">
        <v>800000000</v>
      </c>
      <c r="N2815" s="66" t="s">
        <v>63</v>
      </c>
      <c r="O2815" s="66" t="s">
        <v>26</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x</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1" s="348" customFormat="1" ht="15.75" customHeight="1">
      <c r="A2816" s="1229" t="str">
        <f>IF(B2816&lt;&gt;"",IF(AND(B2816='IN-TC'!$S$4,OR(TH!N2816="1111",TH!O2816="1111")),TH!D2816,""),"")</f>
        <v/>
      </c>
      <c r="B2816" s="1134">
        <f t="shared" ref="B2816" si="292">IF(C2816&lt;&gt;"",MONTH(C2816),"")</f>
        <v>10</v>
      </c>
      <c r="C2816" s="92">
        <v>42674</v>
      </c>
      <c r="D2816" s="92" t="s">
        <v>1557</v>
      </c>
      <c r="E2816" s="92">
        <f t="shared" ref="E2816" si="293">C2816</f>
        <v>42674</v>
      </c>
      <c r="F2816" s="72" t="s">
        <v>1891</v>
      </c>
      <c r="G2816" s="93"/>
      <c r="H2816" s="94" t="s">
        <v>1211</v>
      </c>
      <c r="I2816" s="443"/>
      <c r="J2816" s="443"/>
      <c r="K2816" s="434"/>
      <c r="L2816" s="443"/>
      <c r="M2816" s="95">
        <v>67930000</v>
      </c>
      <c r="N2816" s="83" t="s">
        <v>63</v>
      </c>
      <c r="O2816" s="83" t="s">
        <v>72</v>
      </c>
      <c r="P2816" s="83" t="str">
        <f>IF(AND('331-CT'!$E$7=TH!H2816,OR(N2816="331",O2816="331")),"x","")</f>
        <v/>
      </c>
      <c r="Q2816" s="83" t="str">
        <f>IF(AND(B2816='111'!$L$11,OR($N2816=$Q$7,$O2816=$Q$7)),"x","")</f>
        <v/>
      </c>
      <c r="R2816" s="83" t="str">
        <f>IF(AND($N2816=$Q$7,$B2816&lt;'111'!$L$11),"x","")</f>
        <v/>
      </c>
      <c r="S2816" s="83" t="str">
        <f>IF(AND($O2816=$Q$7,$B2816&lt;'111'!$L$11),"x","")</f>
        <v/>
      </c>
      <c r="T2816" s="83" t="str">
        <f>IF(ISERROR(FIND('112'!$M$9,G2816,1)),"",IF((AND(FIND('112'!$M$9,G2816,1)&gt;=1,B2816='112'!$K$9,OR($N2816='112'!$I$6,$O2816='112'!$I$6))),"x",""))</f>
        <v/>
      </c>
      <c r="U2816" s="83" t="str">
        <f>IF(ISERROR(FIND('112'!$M$9,G2816,1)),"",IF((AND(LEFT(G2816,2)=LEFT('112'!$M$9,2),B2816&lt;'112'!$K$9,$N2816='112'!$I$6)),"x",""))</f>
        <v/>
      </c>
      <c r="V2816" s="83" t="str">
        <f>IF(ISERROR(FIND('112'!$M$9,G2816,1)),"",IF((AND(RIGHT(G2816,2)=RIGHT('112'!$M$9,2),B2816&lt;'112'!$K$9,$O2816='112'!$I$6)),"x",""))</f>
        <v/>
      </c>
      <c r="W2816" s="83" t="str">
        <f>IF(AND('341-CT'!$H$9=H2816,OR(LEFT(N2816,3)=$W$7,LEFT(O2816,3)=$W$7)),"x","")</f>
        <v/>
      </c>
      <c r="X2816" s="83" t="str">
        <f>IF(OR(TH!N2816=TH!$X$7,O2816=TH!$X$7),"x","")</f>
        <v/>
      </c>
      <c r="Y2816" s="83" t="str">
        <f>IF(AND(OR(N2816="131",O2816="131"),H2816='131-CT'!$H$9),"x","")</f>
        <v/>
      </c>
      <c r="Z2816" s="83"/>
      <c r="AA2816" s="83" t="str">
        <f>IF(AND(MONTH(E2816)='IN-NX'!$J$5,'IN-NX'!$D$7=D2816),"x","")</f>
        <v/>
      </c>
      <c r="AB2816" s="83" t="str">
        <f>IF(AND(OR(LEFT(TH!N2816,2)="15",LEFT(TH!O2816,2)="15"),LEFT(TH!O2816,3)&lt;&gt;"111",'152-CT'!$J$8=TH!F2816),"x","")</f>
        <v/>
      </c>
      <c r="AC2816" s="83" t="str">
        <f>IF(AND(OR(LEFT(TH!N2816,2)="15",LEFT(TH!O2816,2)="15"),TK!$E$7=TH!F2816),"x","")</f>
        <v/>
      </c>
      <c r="AD2816" s="83" t="str">
        <f>IF(AND(N2816="1521",MONTH(C2816)='BK-NL'!$M$11),"x","")</f>
        <v/>
      </c>
    </row>
    <row r="2817" spans="1:32" s="349" customFormat="1" ht="15.75" customHeight="1">
      <c r="A2817" s="334" t="str">
        <f>IF(B2817&lt;&gt;"",IF(AND(B2817='IN-TC'!$S$4,OR(TH!N2817="1111",TH!O2817="1111")),TH!D2817,""),"")</f>
        <v/>
      </c>
      <c r="B2817" s="63">
        <f t="shared" ref="B2817:B2876" si="294">IF(C2817&lt;&gt;"",MONTH(C2817),"")</f>
        <v>10</v>
      </c>
      <c r="C2817" s="64">
        <v>42644</v>
      </c>
      <c r="D2817" s="64" t="s">
        <v>864</v>
      </c>
      <c r="E2817" s="64">
        <f t="shared" ref="E2817:E2870" si="295">C2817</f>
        <v>42644</v>
      </c>
      <c r="F2817" s="72" t="s">
        <v>1100</v>
      </c>
      <c r="G2817" s="67" t="s">
        <v>915</v>
      </c>
      <c r="H2817" s="72" t="s">
        <v>760</v>
      </c>
      <c r="I2817" s="437"/>
      <c r="J2817" s="437"/>
      <c r="K2817" s="428"/>
      <c r="L2817" s="437"/>
      <c r="M2817" s="65">
        <v>10000000</v>
      </c>
      <c r="N2817" s="66" t="s">
        <v>26</v>
      </c>
      <c r="O2817" s="66" t="s">
        <v>63</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2" s="349" customFormat="1" ht="15.75" customHeight="1">
      <c r="A2818" s="334" t="str">
        <f>IF(B2818&lt;&gt;"",IF(AND(B2818='IN-TC'!$S$4,OR(TH!N2818="1111",TH!O2818="1111")),TH!D2818,""),"")</f>
        <v/>
      </c>
      <c r="B2818" s="63">
        <f t="shared" si="294"/>
        <v>10</v>
      </c>
      <c r="C2818" s="64">
        <v>42646</v>
      </c>
      <c r="D2818" s="64" t="s">
        <v>865</v>
      </c>
      <c r="E2818" s="64">
        <f t="shared" si="295"/>
        <v>42646</v>
      </c>
      <c r="F2818" s="72" t="s">
        <v>2073</v>
      </c>
      <c r="G2818" s="972" t="s">
        <v>2076</v>
      </c>
      <c r="H2818" s="72" t="s">
        <v>2074</v>
      </c>
      <c r="I2818" s="437"/>
      <c r="J2818" s="437"/>
      <c r="K2818" s="428"/>
      <c r="L2818" s="437"/>
      <c r="M2818" s="65">
        <v>90909</v>
      </c>
      <c r="N2818" s="66" t="s">
        <v>101</v>
      </c>
      <c r="O2818" s="66" t="s">
        <v>63</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c r="AE2818" s="349">
        <v>1</v>
      </c>
    </row>
    <row r="2819" spans="1:32" s="349" customFormat="1" ht="15.75" customHeight="1">
      <c r="A2819" s="334" t="str">
        <f>IF(B2819&lt;&gt;"",IF(AND(B2819='IN-TC'!$S$4,OR(TH!N2819="1111",TH!O2819="1111")),TH!D2819,""),"")</f>
        <v/>
      </c>
      <c r="B2819" s="63">
        <f t="shared" si="294"/>
        <v>10</v>
      </c>
      <c r="C2819" s="64">
        <v>42646</v>
      </c>
      <c r="D2819" s="64" t="s">
        <v>865</v>
      </c>
      <c r="E2819" s="64">
        <f t="shared" si="295"/>
        <v>42646</v>
      </c>
      <c r="F2819" s="72" t="s">
        <v>2075</v>
      </c>
      <c r="G2819" s="972" t="s">
        <v>2076</v>
      </c>
      <c r="H2819" s="72" t="s">
        <v>2074</v>
      </c>
      <c r="I2819" s="437"/>
      <c r="J2819" s="437"/>
      <c r="K2819" s="428"/>
      <c r="L2819" s="437"/>
      <c r="M2819" s="65">
        <v>9091</v>
      </c>
      <c r="N2819" s="66" t="s">
        <v>9</v>
      </c>
      <c r="O2819" s="66" t="s">
        <v>63</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x</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c r="AE2819" s="349">
        <v>1</v>
      </c>
    </row>
    <row r="2820" spans="1:32" s="349" customFormat="1" ht="15.75" customHeight="1">
      <c r="A2820" s="334" t="str">
        <f>IF(B2820&lt;&gt;"",IF(AND(B2820='IN-TC'!$S$4,OR(TH!N2820="1111",TH!O2820="1111")),TH!D2820,""),"")</f>
        <v/>
      </c>
      <c r="B2820" s="63">
        <f t="shared" si="294"/>
        <v>10</v>
      </c>
      <c r="C2820" s="64">
        <v>42646</v>
      </c>
      <c r="D2820" s="64" t="s">
        <v>866</v>
      </c>
      <c r="E2820" s="64">
        <f t="shared" si="295"/>
        <v>42646</v>
      </c>
      <c r="F2820" s="72" t="s">
        <v>768</v>
      </c>
      <c r="G2820" s="972" t="s">
        <v>2077</v>
      </c>
      <c r="H2820" s="72" t="s">
        <v>805</v>
      </c>
      <c r="I2820" s="437"/>
      <c r="J2820" s="437"/>
      <c r="K2820" s="428"/>
      <c r="L2820" s="437"/>
      <c r="M2820" s="65">
        <v>556818</v>
      </c>
      <c r="N2820" s="66" t="s">
        <v>101</v>
      </c>
      <c r="O2820" s="66" t="s">
        <v>63</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c r="AE2820" s="349">
        <v>1</v>
      </c>
    </row>
    <row r="2821" spans="1:32" s="349" customFormat="1" ht="15.75" customHeight="1">
      <c r="A2821" s="334" t="str">
        <f>IF(B2821&lt;&gt;"",IF(AND(B2821='IN-TC'!$S$4,OR(TH!N2821="1111",TH!O2821="1111")),TH!D2821,""),"")</f>
        <v/>
      </c>
      <c r="B2821" s="63">
        <f t="shared" si="294"/>
        <v>10</v>
      </c>
      <c r="C2821" s="64">
        <v>42646</v>
      </c>
      <c r="D2821" s="64" t="s">
        <v>866</v>
      </c>
      <c r="E2821" s="64">
        <f t="shared" si="295"/>
        <v>42646</v>
      </c>
      <c r="F2821" s="72" t="s">
        <v>769</v>
      </c>
      <c r="G2821" s="972" t="s">
        <v>2077</v>
      </c>
      <c r="H2821" s="72" t="s">
        <v>805</v>
      </c>
      <c r="I2821" s="437"/>
      <c r="J2821" s="437"/>
      <c r="K2821" s="428"/>
      <c r="L2821" s="437"/>
      <c r="M2821" s="65">
        <v>55682</v>
      </c>
      <c r="N2821" s="66" t="s">
        <v>9</v>
      </c>
      <c r="O2821" s="66" t="s">
        <v>63</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x</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c r="AE2821" s="349">
        <v>1</v>
      </c>
    </row>
    <row r="2822" spans="1:32" s="349" customFormat="1" ht="15.75" customHeight="1">
      <c r="A2822" s="334" t="str">
        <f>IF(B2822&lt;&gt;"",IF(AND(B2822='IN-TC'!$S$4,OR(TH!N2822="1111",TH!O2822="1111")),TH!D2822,""),"")</f>
        <v/>
      </c>
      <c r="B2822" s="63">
        <f t="shared" si="294"/>
        <v>10</v>
      </c>
      <c r="C2822" s="64">
        <v>42647</v>
      </c>
      <c r="D2822" s="64" t="s">
        <v>867</v>
      </c>
      <c r="E2822" s="64">
        <f t="shared" si="295"/>
        <v>42647</v>
      </c>
      <c r="F2822" s="72" t="s">
        <v>2073</v>
      </c>
      <c r="G2822" s="972" t="s">
        <v>2078</v>
      </c>
      <c r="H2822" s="72" t="s">
        <v>2074</v>
      </c>
      <c r="I2822" s="437"/>
      <c r="J2822" s="437"/>
      <c r="K2822" s="428"/>
      <c r="L2822" s="437"/>
      <c r="M2822" s="65">
        <v>181818</v>
      </c>
      <c r="N2822" s="66" t="s">
        <v>101</v>
      </c>
      <c r="O2822" s="66" t="s">
        <v>63</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c r="AE2822" s="349">
        <v>1</v>
      </c>
    </row>
    <row r="2823" spans="1:32" s="349" customFormat="1" ht="15.75" customHeight="1">
      <c r="A2823" s="334" t="str">
        <f>IF(B2823&lt;&gt;"",IF(AND(B2823='IN-TC'!$S$4,OR(TH!N2823="1111",TH!O2823="1111")),TH!D2823,""),"")</f>
        <v/>
      </c>
      <c r="B2823" s="63">
        <f t="shared" si="294"/>
        <v>10</v>
      </c>
      <c r="C2823" s="64">
        <v>42647</v>
      </c>
      <c r="D2823" s="64" t="s">
        <v>867</v>
      </c>
      <c r="E2823" s="64">
        <f t="shared" si="295"/>
        <v>42647</v>
      </c>
      <c r="F2823" s="72" t="s">
        <v>2075</v>
      </c>
      <c r="G2823" s="972" t="s">
        <v>2078</v>
      </c>
      <c r="H2823" s="72" t="s">
        <v>2074</v>
      </c>
      <c r="I2823" s="437"/>
      <c r="J2823" s="437"/>
      <c r="K2823" s="428"/>
      <c r="L2823" s="437"/>
      <c r="M2823" s="65">
        <v>18182</v>
      </c>
      <c r="N2823" s="66" t="s">
        <v>9</v>
      </c>
      <c r="O2823" s="66" t="s">
        <v>63</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x</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c r="AE2823" s="349">
        <v>1</v>
      </c>
    </row>
    <row r="2824" spans="1:32" s="349" customFormat="1" ht="15.75" customHeight="1">
      <c r="A2824" s="334" t="str">
        <f>IF(B2824&lt;&gt;"",IF(AND(B2824='IN-TC'!$S$4,OR(TH!N2824="1111",TH!O2824="1111")),TH!D2824,""),"")</f>
        <v/>
      </c>
      <c r="B2824" s="63">
        <f t="shared" si="294"/>
        <v>10</v>
      </c>
      <c r="C2824" s="64">
        <v>42647</v>
      </c>
      <c r="D2824" s="64" t="s">
        <v>868</v>
      </c>
      <c r="E2824" s="64">
        <f t="shared" si="295"/>
        <v>42647</v>
      </c>
      <c r="F2824" s="72" t="s">
        <v>1100</v>
      </c>
      <c r="G2824" s="67" t="s">
        <v>915</v>
      </c>
      <c r="H2824" s="72" t="s">
        <v>761</v>
      </c>
      <c r="I2824" s="437"/>
      <c r="J2824" s="437"/>
      <c r="K2824" s="428"/>
      <c r="L2824" s="437"/>
      <c r="M2824" s="65">
        <v>24000000</v>
      </c>
      <c r="N2824" s="66" t="s">
        <v>26</v>
      </c>
      <c r="O2824" s="66" t="s">
        <v>63</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2" s="349" customFormat="1" ht="15.75" customHeight="1">
      <c r="A2825" s="334" t="str">
        <f>IF(B2825&lt;&gt;"",IF(AND(B2825='IN-TC'!$S$4,OR(TH!N2825="1111",TH!O2825="1111")),TH!D2825,""),"")</f>
        <v/>
      </c>
      <c r="B2825" s="63">
        <f t="shared" si="294"/>
        <v>10</v>
      </c>
      <c r="C2825" s="64">
        <v>42647</v>
      </c>
      <c r="D2825" s="64" t="s">
        <v>869</v>
      </c>
      <c r="E2825" s="64">
        <f t="shared" si="295"/>
        <v>42647</v>
      </c>
      <c r="F2825" s="72" t="s">
        <v>2080</v>
      </c>
      <c r="G2825" s="972" t="s">
        <v>2081</v>
      </c>
      <c r="H2825" s="72" t="s">
        <v>2082</v>
      </c>
      <c r="I2825" s="437"/>
      <c r="J2825" s="437"/>
      <c r="K2825" s="428"/>
      <c r="L2825" s="437"/>
      <c r="M2825" s="65">
        <v>1135000</v>
      </c>
      <c r="N2825" s="66" t="s">
        <v>101</v>
      </c>
      <c r="O2825" s="66" t="s">
        <v>63</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2" s="349" customFormat="1" ht="15.75" customHeight="1">
      <c r="A2826" s="334" t="str">
        <f>IF(B2826&lt;&gt;"",IF(AND(B2826='IN-TC'!$S$4,OR(TH!N1890="1111",TH!O1890="1111")),TH!D1890,""),"")</f>
        <v/>
      </c>
      <c r="B2826" s="1148">
        <f t="shared" si="294"/>
        <v>10</v>
      </c>
      <c r="C2826" s="1149">
        <v>42648</v>
      </c>
      <c r="D2826" s="1149" t="s">
        <v>871</v>
      </c>
      <c r="E2826" s="1149">
        <f t="shared" si="295"/>
        <v>42648</v>
      </c>
      <c r="F2826" s="512" t="s">
        <v>960</v>
      </c>
      <c r="G2826" s="1151"/>
      <c r="H2826" s="1150" t="s">
        <v>959</v>
      </c>
      <c r="I2826" s="1152"/>
      <c r="J2826" s="1152"/>
      <c r="K2826" s="1153"/>
      <c r="L2826" s="1231"/>
      <c r="M2826" s="1154">
        <v>500000000</v>
      </c>
      <c r="N2826" s="1155" t="s">
        <v>272</v>
      </c>
      <c r="O2826" s="1155" t="s">
        <v>63</v>
      </c>
      <c r="P2826" s="1155" t="str">
        <f>IF(AND('331-CT'!$E$7=TH!H1890,OR(N2826="331",O2826="331")),"x","")</f>
        <v/>
      </c>
      <c r="Q2826" s="1155" t="str">
        <f>IF(AND(B2826='111'!$L$11,OR($N2826=$Q$7,$O2826=$Q$7)),"x","")</f>
        <v/>
      </c>
      <c r="R2826" s="1155" t="str">
        <f>IF(AND($N2826=$Q$7,$B2826&lt;'111'!$L$11),"x","")</f>
        <v/>
      </c>
      <c r="S2826" s="1155" t="str">
        <f>IF(AND($O2826=$Q$7,$B2826&lt;'111'!$L$11),"x","")</f>
        <v/>
      </c>
      <c r="T2826" s="1155" t="str">
        <f>IF(ISERROR(FIND('112'!$M$9,G2826,1)),"",IF((AND(FIND('112'!$M$9,G2826,1)&gt;=1,B2826='112'!$K$9,OR($N2826='112'!$I$6,$O2826='112'!$I$6))),"x",""))</f>
        <v/>
      </c>
      <c r="U2826" s="1155" t="str">
        <f>IF(ISERROR(FIND('112'!$M$9,G2826,1)),"",IF((AND(LEFT(G2826,2)=LEFT('112'!$M$9,2),B2826&lt;'112'!$K$9,$N2826='112'!$I$6)),"x",""))</f>
        <v/>
      </c>
      <c r="V2826" s="1155" t="str">
        <f>IF(ISERROR(FIND('112'!$M$9,G2826,1)),"",IF((AND(RIGHT(G2826,2)=RIGHT('112'!$M$9,2),B2826&lt;'112'!$K$9,$O2826='112'!$I$6)),"x",""))</f>
        <v/>
      </c>
      <c r="W2826" s="1155" t="str">
        <f>IF(AND('341-CT'!$H$9=H2826,OR(LEFT(N2826,3)=$W$7,LEFT(O2826,3)=$W$7)),"x","")</f>
        <v/>
      </c>
      <c r="X2826" s="1155" t="str">
        <f>IF(OR(TH!N1890=TH!$X$7,O2826=TH!$X$7),"x","")</f>
        <v/>
      </c>
      <c r="Y2826" s="1155" t="str">
        <f>IF(AND(OR(N2826="131",O2826="131"),H2826='131-CT'!$H$9),"x","")</f>
        <v/>
      </c>
      <c r="Z2826" s="1155"/>
      <c r="AA2826" s="1155" t="str">
        <f>IF(AND(MONTH(E2826)='IN-NX'!$J$5,'IN-NX'!$D$7=D2826),"x","")</f>
        <v/>
      </c>
      <c r="AB2826" s="1155" t="str">
        <f>IF(AND(OR(LEFT(TH!N1890,2)="15",LEFT(TH!O1890,2)="15"),LEFT(TH!O1890,3)&lt;&gt;"111",'152-CT'!$J$8=TH!F1890),"x","")</f>
        <v/>
      </c>
      <c r="AC2826" s="1155" t="str">
        <f>IF(AND(OR(LEFT(TH!N1890,2)="15",LEFT(TH!O1890,2)="15"),TK!$E$7=TH!F1890),"x","")</f>
        <v/>
      </c>
      <c r="AD2826" s="1155" t="str">
        <f>IF(AND(N2826="1521",MONTH(C2826)='BK-NL'!$M$11),"x","")</f>
        <v/>
      </c>
      <c r="AE2826" s="1156"/>
      <c r="AF2826" s="1156"/>
    </row>
    <row r="2827" spans="1:32" s="349" customFormat="1" ht="15.75" customHeight="1">
      <c r="A2827" s="334" t="str">
        <f>IF(B2827&lt;&gt;"",IF(AND(B2827='IN-TC'!$S$4,OR(TH!N1891="1111",TH!O1891="1111")),TH!D1891,""),"")</f>
        <v/>
      </c>
      <c r="B2827" s="1148">
        <f t="shared" ref="B2827" si="296">IF(C2827&lt;&gt;"",MONTH(C2827),"")</f>
        <v>10</v>
      </c>
      <c r="C2827" s="1149">
        <v>42648</v>
      </c>
      <c r="D2827" s="1149" t="s">
        <v>872</v>
      </c>
      <c r="E2827" s="1149">
        <f t="shared" ref="E2827" si="297">C2827</f>
        <v>42648</v>
      </c>
      <c r="F2827" s="512" t="s">
        <v>960</v>
      </c>
      <c r="G2827" s="1151"/>
      <c r="H2827" s="1150" t="s">
        <v>2239</v>
      </c>
      <c r="I2827" s="1152"/>
      <c r="J2827" s="1152"/>
      <c r="K2827" s="1153"/>
      <c r="L2827" s="1231"/>
      <c r="M2827" s="1154">
        <v>1000000000</v>
      </c>
      <c r="N2827" s="1155" t="s">
        <v>272</v>
      </c>
      <c r="O2827" s="1155" t="s">
        <v>63</v>
      </c>
      <c r="P2827" s="1155" t="str">
        <f>IF(AND('331-CT'!$E$7=TH!H1891,OR(N2827="331",O2827="331")),"x","")</f>
        <v/>
      </c>
      <c r="Q2827" s="1155" t="str">
        <f>IF(AND(B2827='111'!$L$11,OR($N2827=$Q$7,$O2827=$Q$7)),"x","")</f>
        <v/>
      </c>
      <c r="R2827" s="1155" t="str">
        <f>IF(AND($N2827=$Q$7,$B2827&lt;'111'!$L$11),"x","")</f>
        <v/>
      </c>
      <c r="S2827" s="1155" t="str">
        <f>IF(AND($O2827=$Q$7,$B2827&lt;'111'!$L$11),"x","")</f>
        <v/>
      </c>
      <c r="T2827" s="1155" t="str">
        <f>IF(ISERROR(FIND('112'!$M$9,G2827,1)),"",IF((AND(FIND('112'!$M$9,G2827,1)&gt;=1,B2827='112'!$K$9,OR($N2827='112'!$I$6,$O2827='112'!$I$6))),"x",""))</f>
        <v/>
      </c>
      <c r="U2827" s="1155" t="str">
        <f>IF(ISERROR(FIND('112'!$M$9,G2827,1)),"",IF((AND(LEFT(G2827,2)=LEFT('112'!$M$9,2),B2827&lt;'112'!$K$9,$N2827='112'!$I$6)),"x",""))</f>
        <v/>
      </c>
      <c r="V2827" s="1155" t="str">
        <f>IF(ISERROR(FIND('112'!$M$9,G2827,1)),"",IF((AND(RIGHT(G2827,2)=RIGHT('112'!$M$9,2),B2827&lt;'112'!$K$9,$O2827='112'!$I$6)),"x",""))</f>
        <v/>
      </c>
      <c r="W2827" s="1155" t="str">
        <f>IF(AND('341-CT'!$H$9=H2827,OR(LEFT(N2827,3)=$W$7,LEFT(O2827,3)=$W$7)),"x","")</f>
        <v/>
      </c>
      <c r="X2827" s="1155" t="str">
        <f>IF(OR(TH!N1891=TH!$X$7,O2827=TH!$X$7),"x","")</f>
        <v/>
      </c>
      <c r="Y2827" s="1155" t="str">
        <f>IF(AND(OR(N2827="131",O2827="131"),H2827='131-CT'!$H$9),"x","")</f>
        <v/>
      </c>
      <c r="Z2827" s="1155"/>
      <c r="AA2827" s="1155" t="str">
        <f>IF(AND(MONTH(E2827)='IN-NX'!$J$5,'IN-NX'!$D$7=D2827),"x","")</f>
        <v/>
      </c>
      <c r="AB2827" s="1155" t="str">
        <f>IF(AND(OR(LEFT(TH!N1891,2)="15",LEFT(TH!O1891,2)="15"),LEFT(TH!O1891,3)&lt;&gt;"111",'152-CT'!$J$8=TH!F1891),"x","")</f>
        <v/>
      </c>
      <c r="AC2827" s="1155" t="str">
        <f>IF(AND(OR(LEFT(TH!N1891,2)="15",LEFT(TH!O1891,2)="15"),TK!$E$7=TH!F1891),"x","")</f>
        <v/>
      </c>
      <c r="AD2827" s="1155" t="str">
        <f>IF(AND(N2827="1521",MONTH(C2827)='BK-NL'!$M$11),"x","")</f>
        <v/>
      </c>
      <c r="AE2827" s="1156"/>
      <c r="AF2827" s="1156"/>
    </row>
    <row r="2828" spans="1:32" s="349" customFormat="1" ht="15.75" customHeight="1">
      <c r="A2828" s="334" t="str">
        <f>IF(B2828&lt;&gt;"",IF(AND(B2828='IN-TC'!$S$4,OR(TH!N2828="1111",TH!O2828="1111")),TH!D2828,""),"")</f>
        <v/>
      </c>
      <c r="B2828" s="63">
        <f t="shared" si="294"/>
        <v>10</v>
      </c>
      <c r="C2828" s="64">
        <v>42648</v>
      </c>
      <c r="D2828" s="64" t="s">
        <v>873</v>
      </c>
      <c r="E2828" s="64">
        <f t="shared" si="295"/>
        <v>42648</v>
      </c>
      <c r="F2828" s="72" t="s">
        <v>2083</v>
      </c>
      <c r="G2828" s="972" t="s">
        <v>2084</v>
      </c>
      <c r="H2828" s="72" t="s">
        <v>843</v>
      </c>
      <c r="I2828" s="437"/>
      <c r="J2828" s="437"/>
      <c r="K2828" s="428"/>
      <c r="L2828" s="437"/>
      <c r="M2828" s="65">
        <v>1945365</v>
      </c>
      <c r="N2828" s="66" t="s">
        <v>101</v>
      </c>
      <c r="O2828" s="66" t="s">
        <v>63</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c r="AE2828" s="349">
        <v>1</v>
      </c>
    </row>
    <row r="2829" spans="1:32" s="349" customFormat="1" ht="15.75" customHeight="1">
      <c r="A2829" s="334" t="str">
        <f>IF(B2829&lt;&gt;"",IF(AND(B2829='IN-TC'!$S$4,OR(TH!N2829="1111",TH!O2829="1111")),TH!D2829,""),"")</f>
        <v/>
      </c>
      <c r="B2829" s="63">
        <f t="shared" si="294"/>
        <v>10</v>
      </c>
      <c r="C2829" s="64">
        <v>42648</v>
      </c>
      <c r="D2829" s="64" t="s">
        <v>873</v>
      </c>
      <c r="E2829" s="64">
        <f t="shared" si="295"/>
        <v>42648</v>
      </c>
      <c r="F2829" s="72" t="s">
        <v>2088</v>
      </c>
      <c r="G2829" s="972" t="s">
        <v>2084</v>
      </c>
      <c r="H2829" s="72" t="s">
        <v>843</v>
      </c>
      <c r="I2829" s="437"/>
      <c r="J2829" s="437"/>
      <c r="K2829" s="428"/>
      <c r="L2829" s="437"/>
      <c r="M2829" s="65">
        <v>194537</v>
      </c>
      <c r="N2829" s="66" t="s">
        <v>9</v>
      </c>
      <c r="O2829" s="66" t="s">
        <v>63</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x</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c r="AE2829" s="349">
        <v>1</v>
      </c>
    </row>
    <row r="2830" spans="1:32" s="349" customFormat="1" ht="15.75" customHeight="1">
      <c r="A2830" s="334" t="str">
        <f>IF(B2830&lt;&gt;"",IF(AND(B2830='IN-TC'!$S$4,OR(TH!N2830="1111",TH!O2830="1111")),TH!D2830,""),"")</f>
        <v/>
      </c>
      <c r="B2830" s="63">
        <f t="shared" si="294"/>
        <v>10</v>
      </c>
      <c r="C2830" s="64">
        <v>42649</v>
      </c>
      <c r="D2830" s="64" t="s">
        <v>874</v>
      </c>
      <c r="E2830" s="64">
        <f t="shared" si="295"/>
        <v>42649</v>
      </c>
      <c r="F2830" s="72" t="s">
        <v>1100</v>
      </c>
      <c r="G2830" s="67" t="s">
        <v>1558</v>
      </c>
      <c r="H2830" s="72" t="s">
        <v>125</v>
      </c>
      <c r="I2830" s="437"/>
      <c r="J2830" s="437"/>
      <c r="K2830" s="428"/>
      <c r="L2830" s="437"/>
      <c r="M2830" s="65">
        <v>2200000000</v>
      </c>
      <c r="N2830" s="66" t="s">
        <v>26</v>
      </c>
      <c r="O2830" s="66" t="s">
        <v>63</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x</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2" s="349" customFormat="1" ht="15.75" customHeight="1">
      <c r="A2831" s="334" t="str">
        <f>IF(B2831&lt;&gt;"",IF(AND(B2831='IN-TC'!$S$4,OR(TH!N2831="1111",TH!O2831="1111")),TH!D2831,""),"")</f>
        <v/>
      </c>
      <c r="B2831" s="63">
        <f t="shared" si="294"/>
        <v>10</v>
      </c>
      <c r="C2831" s="64">
        <v>42649</v>
      </c>
      <c r="D2831" s="64" t="s">
        <v>875</v>
      </c>
      <c r="E2831" s="64">
        <f t="shared" si="295"/>
        <v>42649</v>
      </c>
      <c r="F2831" s="72" t="s">
        <v>2085</v>
      </c>
      <c r="G2831" s="972" t="s">
        <v>2120</v>
      </c>
      <c r="H2831" s="72" t="s">
        <v>1470</v>
      </c>
      <c r="I2831" s="437"/>
      <c r="J2831" s="437"/>
      <c r="K2831" s="428"/>
      <c r="L2831" s="437"/>
      <c r="M2831" s="65">
        <v>354533</v>
      </c>
      <c r="N2831" s="66" t="s">
        <v>101</v>
      </c>
      <c r="O2831" s="66" t="s">
        <v>63</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c r="AE2831" s="349">
        <v>1</v>
      </c>
    </row>
    <row r="2832" spans="1:32" s="349" customFormat="1" ht="15.75" customHeight="1">
      <c r="A2832" s="334" t="str">
        <f>IF(B2832&lt;&gt;"",IF(AND(B2832='IN-TC'!$S$4,OR(TH!N2832="1111",TH!O2832="1111")),TH!D2832,""),"")</f>
        <v/>
      </c>
      <c r="B2832" s="63">
        <f t="shared" si="294"/>
        <v>10</v>
      </c>
      <c r="C2832" s="64">
        <v>42649</v>
      </c>
      <c r="D2832" s="64" t="s">
        <v>875</v>
      </c>
      <c r="E2832" s="64">
        <f t="shared" si="295"/>
        <v>42649</v>
      </c>
      <c r="F2832" s="72" t="s">
        <v>2087</v>
      </c>
      <c r="G2832" s="972" t="s">
        <v>2120</v>
      </c>
      <c r="H2832" s="72" t="s">
        <v>1470</v>
      </c>
      <c r="I2832" s="437"/>
      <c r="J2832" s="437"/>
      <c r="K2832" s="428"/>
      <c r="L2832" s="437"/>
      <c r="M2832" s="65">
        <v>35453</v>
      </c>
      <c r="N2832" s="66" t="s">
        <v>9</v>
      </c>
      <c r="O2832" s="66" t="s">
        <v>63</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x</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c r="AE2832" s="349">
        <v>1</v>
      </c>
    </row>
    <row r="2833" spans="1:32" s="349" customFormat="1" ht="15.75" customHeight="1">
      <c r="A2833" s="334" t="str">
        <f>IF(B2833&lt;&gt;"",IF(AND(B2833='IN-TC'!$S$4,OR(TH!N2833="1111",TH!O2833="1111")),TH!D2833,""),"")</f>
        <v/>
      </c>
      <c r="B2833" s="63">
        <f t="shared" si="294"/>
        <v>10</v>
      </c>
      <c r="C2833" s="64">
        <v>42650</v>
      </c>
      <c r="D2833" s="64" t="s">
        <v>876</v>
      </c>
      <c r="E2833" s="64">
        <f t="shared" si="295"/>
        <v>42650</v>
      </c>
      <c r="F2833" s="72" t="s">
        <v>2085</v>
      </c>
      <c r="G2833" s="972" t="s">
        <v>2086</v>
      </c>
      <c r="H2833" s="72" t="s">
        <v>1313</v>
      </c>
      <c r="I2833" s="437"/>
      <c r="J2833" s="437"/>
      <c r="K2833" s="428"/>
      <c r="L2833" s="437"/>
      <c r="M2833" s="65">
        <v>1150000</v>
      </c>
      <c r="N2833" s="66" t="s">
        <v>101</v>
      </c>
      <c r="O2833" s="66" t="s">
        <v>63</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c r="AE2833" s="349">
        <v>1</v>
      </c>
    </row>
    <row r="2834" spans="1:32" s="349" customFormat="1" ht="15.75" customHeight="1">
      <c r="A2834" s="334" t="str">
        <f>IF(B2834&lt;&gt;"",IF(AND(B2834='IN-TC'!$S$4,OR(TH!N2834="1111",TH!O2834="1111")),TH!D2834,""),"")</f>
        <v/>
      </c>
      <c r="B2834" s="63">
        <f t="shared" si="294"/>
        <v>10</v>
      </c>
      <c r="C2834" s="64">
        <v>42650</v>
      </c>
      <c r="D2834" s="64" t="s">
        <v>876</v>
      </c>
      <c r="E2834" s="64">
        <f t="shared" si="295"/>
        <v>42650</v>
      </c>
      <c r="F2834" s="72" t="s">
        <v>2087</v>
      </c>
      <c r="G2834" s="972" t="s">
        <v>2086</v>
      </c>
      <c r="H2834" s="72" t="s">
        <v>1313</v>
      </c>
      <c r="I2834" s="437"/>
      <c r="J2834" s="437"/>
      <c r="K2834" s="428"/>
      <c r="L2834" s="437"/>
      <c r="M2834" s="65">
        <v>115000</v>
      </c>
      <c r="N2834" s="66" t="s">
        <v>9</v>
      </c>
      <c r="O2834" s="66" t="s">
        <v>63</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x</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c r="AE2834" s="349">
        <v>1</v>
      </c>
    </row>
    <row r="2835" spans="1:32" s="349" customFormat="1" ht="15.75" customHeight="1">
      <c r="A2835" s="334" t="str">
        <f>IF(B2835&lt;&gt;"",IF(AND(B2835='IN-TC'!$S$4,OR(TH!N2835="1111",TH!O2835="1111")),TH!D2835,""),"")</f>
        <v/>
      </c>
      <c r="B2835" s="63">
        <f t="shared" si="294"/>
        <v>10</v>
      </c>
      <c r="C2835" s="64">
        <v>42650</v>
      </c>
      <c r="D2835" s="64" t="s">
        <v>877</v>
      </c>
      <c r="E2835" s="64">
        <f t="shared" si="295"/>
        <v>42650</v>
      </c>
      <c r="F2835" s="72" t="s">
        <v>2089</v>
      </c>
      <c r="G2835" s="972" t="s">
        <v>2091</v>
      </c>
      <c r="H2835" s="72" t="s">
        <v>2095</v>
      </c>
      <c r="I2835" s="437"/>
      <c r="J2835" s="437"/>
      <c r="K2835" s="428"/>
      <c r="L2835" s="437"/>
      <c r="M2835" s="65">
        <v>5965470</v>
      </c>
      <c r="N2835" s="66" t="s">
        <v>101</v>
      </c>
      <c r="O2835" s="66" t="s">
        <v>63</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c r="AE2835" s="349">
        <v>1</v>
      </c>
    </row>
    <row r="2836" spans="1:32" s="349" customFormat="1" ht="15.75" customHeight="1">
      <c r="A2836" s="334" t="str">
        <f>IF(B2836&lt;&gt;"",IF(AND(B2836='IN-TC'!$S$4,OR(TH!N2836="1111",TH!O2836="1111")),TH!D2836,""),"")</f>
        <v/>
      </c>
      <c r="B2836" s="63">
        <f t="shared" si="294"/>
        <v>10</v>
      </c>
      <c r="C2836" s="64">
        <v>42650</v>
      </c>
      <c r="D2836" s="64" t="s">
        <v>877</v>
      </c>
      <c r="E2836" s="64">
        <f t="shared" si="295"/>
        <v>42650</v>
      </c>
      <c r="F2836" s="72" t="s">
        <v>2090</v>
      </c>
      <c r="G2836" s="972" t="s">
        <v>2091</v>
      </c>
      <c r="H2836" s="72" t="s">
        <v>2095</v>
      </c>
      <c r="I2836" s="437"/>
      <c r="J2836" s="437"/>
      <c r="K2836" s="428"/>
      <c r="L2836" s="437"/>
      <c r="M2836" s="65">
        <v>252730</v>
      </c>
      <c r="N2836" s="66" t="s">
        <v>9</v>
      </c>
      <c r="O2836" s="66" t="s">
        <v>63</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x</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c r="AE2836" s="349">
        <v>1</v>
      </c>
    </row>
    <row r="2837" spans="1:32" s="349" customFormat="1" ht="15.75" customHeight="1">
      <c r="A2837" s="334" t="str">
        <f>IF(B2837&lt;&gt;"",IF(AND(B2837='IN-TC'!$S$4,OR(TH!N2837="1111",TH!O2837="1111")),TH!D2837,""),"")</f>
        <v/>
      </c>
      <c r="B2837" s="63">
        <f t="shared" si="294"/>
        <v>10</v>
      </c>
      <c r="C2837" s="64">
        <v>42650</v>
      </c>
      <c r="D2837" s="64" t="s">
        <v>878</v>
      </c>
      <c r="E2837" s="64">
        <f t="shared" si="295"/>
        <v>42650</v>
      </c>
      <c r="F2837" s="72" t="s">
        <v>2093</v>
      </c>
      <c r="G2837" s="972" t="s">
        <v>2092</v>
      </c>
      <c r="H2837" s="72" t="s">
        <v>2095</v>
      </c>
      <c r="I2837" s="437"/>
      <c r="J2837" s="437"/>
      <c r="K2837" s="428"/>
      <c r="L2837" s="437"/>
      <c r="M2837" s="65">
        <v>4801870</v>
      </c>
      <c r="N2837" s="66" t="s">
        <v>101</v>
      </c>
      <c r="O2837" s="66" t="s">
        <v>63</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c r="AE2837" s="349">
        <v>1</v>
      </c>
    </row>
    <row r="2838" spans="1:32" s="349" customFormat="1" ht="15.75" customHeight="1">
      <c r="A2838" s="334" t="str">
        <f>IF(B2838&lt;&gt;"",IF(AND(B2838='IN-TC'!$S$4,OR(TH!N2838="1111",TH!O2838="1111")),TH!D2838,""),"")</f>
        <v/>
      </c>
      <c r="B2838" s="63">
        <f t="shared" si="294"/>
        <v>10</v>
      </c>
      <c r="C2838" s="64">
        <v>42650</v>
      </c>
      <c r="D2838" s="64" t="s">
        <v>878</v>
      </c>
      <c r="E2838" s="64">
        <f t="shared" si="295"/>
        <v>42650</v>
      </c>
      <c r="F2838" s="72" t="s">
        <v>2094</v>
      </c>
      <c r="G2838" s="972" t="s">
        <v>2092</v>
      </c>
      <c r="H2838" s="72" t="s">
        <v>2095</v>
      </c>
      <c r="I2838" s="437"/>
      <c r="J2838" s="437"/>
      <c r="K2838" s="428"/>
      <c r="L2838" s="437"/>
      <c r="M2838" s="65">
        <v>252730</v>
      </c>
      <c r="N2838" s="66" t="s">
        <v>9</v>
      </c>
      <c r="O2838" s="66" t="s">
        <v>63</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x</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c r="AE2838" s="349">
        <v>1</v>
      </c>
    </row>
    <row r="2839" spans="1:32" s="349" customFormat="1" ht="15.75" customHeight="1">
      <c r="A2839" s="334" t="str">
        <f>IF(B2839&lt;&gt;"",IF(AND(B2839='IN-TC'!$S$4,OR(TH!N1903="1111",TH!O1903="1111")),TH!D1903,""),"")</f>
        <v/>
      </c>
      <c r="B2839" s="1148">
        <f t="shared" ref="B2839:B2840" si="298">IF(C2839&lt;&gt;"",MONTH(C2839),"")</f>
        <v>10</v>
      </c>
      <c r="C2839" s="1149">
        <v>42651</v>
      </c>
      <c r="D2839" s="1149" t="s">
        <v>879</v>
      </c>
      <c r="E2839" s="1149">
        <f t="shared" ref="E2839:E2840" si="299">C2839</f>
        <v>42651</v>
      </c>
      <c r="F2839" s="512" t="s">
        <v>960</v>
      </c>
      <c r="G2839" s="1151"/>
      <c r="H2839" s="1150" t="s">
        <v>959</v>
      </c>
      <c r="I2839" s="1152"/>
      <c r="J2839" s="1152"/>
      <c r="K2839" s="1153"/>
      <c r="L2839" s="1231"/>
      <c r="M2839" s="1154">
        <v>500000000</v>
      </c>
      <c r="N2839" s="1155" t="s">
        <v>272</v>
      </c>
      <c r="O2839" s="1155" t="s">
        <v>63</v>
      </c>
      <c r="P2839" s="1155" t="str">
        <f>IF(AND('331-CT'!$E$7=TH!H1903,OR(N2839="331",O2839="331")),"x","")</f>
        <v/>
      </c>
      <c r="Q2839" s="1155" t="str">
        <f>IF(AND(B2839='111'!$L$11,OR($N2839=$Q$7,$O2839=$Q$7)),"x","")</f>
        <v/>
      </c>
      <c r="R2839" s="1155" t="str">
        <f>IF(AND($N2839=$Q$7,$B2839&lt;'111'!$L$11),"x","")</f>
        <v/>
      </c>
      <c r="S2839" s="1155" t="str">
        <f>IF(AND($O2839=$Q$7,$B2839&lt;'111'!$L$11),"x","")</f>
        <v/>
      </c>
      <c r="T2839" s="1155" t="str">
        <f>IF(ISERROR(FIND('112'!$M$9,G2839,1)),"",IF((AND(FIND('112'!$M$9,G2839,1)&gt;=1,B2839='112'!$K$9,OR($N2839='112'!$I$6,$O2839='112'!$I$6))),"x",""))</f>
        <v/>
      </c>
      <c r="U2839" s="1155" t="str">
        <f>IF(ISERROR(FIND('112'!$M$9,G2839,1)),"",IF((AND(LEFT(G2839,2)=LEFT('112'!$M$9,2),B2839&lt;'112'!$K$9,$N2839='112'!$I$6)),"x",""))</f>
        <v/>
      </c>
      <c r="V2839" s="1155" t="str">
        <f>IF(ISERROR(FIND('112'!$M$9,G2839,1)),"",IF((AND(RIGHT(G2839,2)=RIGHT('112'!$M$9,2),B2839&lt;'112'!$K$9,$O2839='112'!$I$6)),"x",""))</f>
        <v/>
      </c>
      <c r="W2839" s="1155" t="str">
        <f>IF(AND('341-CT'!$H$9=H2839,OR(LEFT(N2839,3)=$W$7,LEFT(O2839,3)=$W$7)),"x","")</f>
        <v/>
      </c>
      <c r="X2839" s="1155" t="str">
        <f>IF(OR(TH!N1903=TH!$X$7,O2839=TH!$X$7),"x","")</f>
        <v>x</v>
      </c>
      <c r="Y2839" s="1155" t="str">
        <f>IF(AND(OR(N2839="131",O2839="131"),H2839='131-CT'!$H$9),"x","")</f>
        <v/>
      </c>
      <c r="Z2839" s="1155"/>
      <c r="AA2839" s="1155" t="str">
        <f>IF(AND(MONTH(E2839)='IN-NX'!$J$5,'IN-NX'!$D$7=D2839),"x","")</f>
        <v/>
      </c>
      <c r="AB2839" s="1155" t="str">
        <f>IF(AND(OR(LEFT(TH!N1903,2)="15",LEFT(TH!O1903,2)="15"),LEFT(TH!O1903,3)&lt;&gt;"111",'152-CT'!$J$8=TH!F1903),"x","")</f>
        <v/>
      </c>
      <c r="AC2839" s="1155" t="str">
        <f>IF(AND(OR(LEFT(TH!N1903,2)="15",LEFT(TH!O1903,2)="15"),TK!$E$7=TH!F1903),"x","")</f>
        <v/>
      </c>
      <c r="AD2839" s="1155" t="str">
        <f>IF(AND(N2839="1521",MONTH(C2839)='BK-NL'!$M$11),"x","")</f>
        <v/>
      </c>
      <c r="AE2839" s="1156"/>
      <c r="AF2839" s="1156"/>
    </row>
    <row r="2840" spans="1:32" s="349" customFormat="1" ht="15.75" customHeight="1">
      <c r="A2840" s="334" t="str">
        <f>IF(B2840&lt;&gt;"",IF(AND(B2840='IN-TC'!$S$4,OR(TH!N1904="1111",TH!O1904="1111")),TH!D1904,""),"")</f>
        <v/>
      </c>
      <c r="B2840" s="1148">
        <f t="shared" si="298"/>
        <v>10</v>
      </c>
      <c r="C2840" s="1149">
        <v>42651</v>
      </c>
      <c r="D2840" s="1149" t="s">
        <v>880</v>
      </c>
      <c r="E2840" s="1149">
        <f t="shared" si="299"/>
        <v>42651</v>
      </c>
      <c r="F2840" s="512" t="s">
        <v>960</v>
      </c>
      <c r="G2840" s="1151"/>
      <c r="H2840" s="1150" t="s">
        <v>2239</v>
      </c>
      <c r="I2840" s="1152"/>
      <c r="J2840" s="1152"/>
      <c r="K2840" s="1153"/>
      <c r="L2840" s="1231"/>
      <c r="M2840" s="1154">
        <v>1500000000</v>
      </c>
      <c r="N2840" s="1155" t="s">
        <v>272</v>
      </c>
      <c r="O2840" s="1155" t="s">
        <v>63</v>
      </c>
      <c r="P2840" s="1155" t="str">
        <f>IF(AND('331-CT'!$E$7=TH!H1904,OR(N2840="331",O2840="331")),"x","")</f>
        <v/>
      </c>
      <c r="Q2840" s="1155" t="str">
        <f>IF(AND(B2840='111'!$L$11,OR($N2840=$Q$7,$O2840=$Q$7)),"x","")</f>
        <v/>
      </c>
      <c r="R2840" s="1155" t="str">
        <f>IF(AND($N2840=$Q$7,$B2840&lt;'111'!$L$11),"x","")</f>
        <v/>
      </c>
      <c r="S2840" s="1155" t="str">
        <f>IF(AND($O2840=$Q$7,$B2840&lt;'111'!$L$11),"x","")</f>
        <v/>
      </c>
      <c r="T2840" s="1155" t="str">
        <f>IF(ISERROR(FIND('112'!$M$9,G2840,1)),"",IF((AND(FIND('112'!$M$9,G2840,1)&gt;=1,B2840='112'!$K$9,OR($N2840='112'!$I$6,$O2840='112'!$I$6))),"x",""))</f>
        <v/>
      </c>
      <c r="U2840" s="1155" t="str">
        <f>IF(ISERROR(FIND('112'!$M$9,G2840,1)),"",IF((AND(LEFT(G2840,2)=LEFT('112'!$M$9,2),B2840&lt;'112'!$K$9,$N2840='112'!$I$6)),"x",""))</f>
        <v/>
      </c>
      <c r="V2840" s="1155" t="str">
        <f>IF(ISERROR(FIND('112'!$M$9,G2840,1)),"",IF((AND(RIGHT(G2840,2)=RIGHT('112'!$M$9,2),B2840&lt;'112'!$K$9,$O2840='112'!$I$6)),"x",""))</f>
        <v/>
      </c>
      <c r="W2840" s="1155" t="str">
        <f>IF(AND('341-CT'!$H$9=H2840,OR(LEFT(N2840,3)=$W$7,LEFT(O2840,3)=$W$7)),"x","")</f>
        <v/>
      </c>
      <c r="X2840" s="1155" t="str">
        <f>IF(OR(TH!N1904=TH!$X$7,O2840=TH!$X$7),"x","")</f>
        <v/>
      </c>
      <c r="Y2840" s="1155" t="str">
        <f>IF(AND(OR(N2840="131",O2840="131"),H2840='131-CT'!$H$9),"x","")</f>
        <v/>
      </c>
      <c r="Z2840" s="1155"/>
      <c r="AA2840" s="1155" t="str">
        <f>IF(AND(MONTH(E2840)='IN-NX'!$J$5,'IN-NX'!$D$7=D2840),"x","")</f>
        <v/>
      </c>
      <c r="AB2840" s="1155" t="str">
        <f>IF(AND(OR(LEFT(TH!N1904,2)="15",LEFT(TH!O1904,2)="15"),LEFT(TH!O1904,3)&lt;&gt;"111",'152-CT'!$J$8=TH!F1904),"x","")</f>
        <v/>
      </c>
      <c r="AC2840" s="1155" t="str">
        <f>IF(AND(OR(LEFT(TH!N1904,2)="15",LEFT(TH!O1904,2)="15"),TK!$E$7=TH!F1904),"x","")</f>
        <v/>
      </c>
      <c r="AD2840" s="1155" t="str">
        <f>IF(AND(N2840="1521",MONTH(C2840)='BK-NL'!$M$11),"x","")</f>
        <v/>
      </c>
      <c r="AE2840" s="1156"/>
      <c r="AF2840" s="1156"/>
    </row>
    <row r="2841" spans="1:32" s="349" customFormat="1" ht="15.75" customHeight="1">
      <c r="A2841" s="334" t="str">
        <f>IF(B2841&lt;&gt;"",IF(AND(B2841='IN-TC'!$S$4,OR(TH!N1909="1111",TH!O1909="1111")),TH!D1909,""),"")</f>
        <v/>
      </c>
      <c r="B2841" s="1148">
        <f>IF(C2841&lt;&gt;"",MONTH(C2841),"")</f>
        <v>10</v>
      </c>
      <c r="C2841" s="1149">
        <v>42654</v>
      </c>
      <c r="D2841" s="1149" t="s">
        <v>881</v>
      </c>
      <c r="E2841" s="1149">
        <f>C2841</f>
        <v>42654</v>
      </c>
      <c r="F2841" s="512" t="s">
        <v>960</v>
      </c>
      <c r="G2841" s="1151"/>
      <c r="H2841" s="1150" t="s">
        <v>959</v>
      </c>
      <c r="I2841" s="1152"/>
      <c r="J2841" s="1152"/>
      <c r="K2841" s="1153"/>
      <c r="L2841" s="1231"/>
      <c r="M2841" s="1154">
        <v>500000000</v>
      </c>
      <c r="N2841" s="1155" t="s">
        <v>272</v>
      </c>
      <c r="O2841" s="1155" t="s">
        <v>63</v>
      </c>
      <c r="P2841" s="1155" t="str">
        <f>IF(AND('331-CT'!$E$7=TH!H1909,OR(N2841="331",O2841="331")),"x","")</f>
        <v/>
      </c>
      <c r="Q2841" s="1155" t="str">
        <f>IF(AND(B2841='111'!$L$11,OR($N2841=$Q$7,$O2841=$Q$7)),"x","")</f>
        <v/>
      </c>
      <c r="R2841" s="1155" t="str">
        <f>IF(AND($N2841=$Q$7,$B2841&lt;'111'!$L$11),"x","")</f>
        <v/>
      </c>
      <c r="S2841" s="1155" t="str">
        <f>IF(AND($O2841=$Q$7,$B2841&lt;'111'!$L$11),"x","")</f>
        <v/>
      </c>
      <c r="T2841" s="1155" t="str">
        <f>IF(ISERROR(FIND('112'!$M$9,G2841,1)),"",IF((AND(FIND('112'!$M$9,G2841,1)&gt;=1,B2841='112'!$K$9,OR($N2841='112'!$I$6,$O2841='112'!$I$6))),"x",""))</f>
        <v/>
      </c>
      <c r="U2841" s="1155" t="str">
        <f>IF(ISERROR(FIND('112'!$M$9,G2841,1)),"",IF((AND(LEFT(G2841,2)=LEFT('112'!$M$9,2),B2841&lt;'112'!$K$9,$N2841='112'!$I$6)),"x",""))</f>
        <v/>
      </c>
      <c r="V2841" s="1155" t="str">
        <f>IF(ISERROR(FIND('112'!$M$9,G2841,1)),"",IF((AND(RIGHT(G2841,2)=RIGHT('112'!$M$9,2),B2841&lt;'112'!$K$9,$O2841='112'!$I$6)),"x",""))</f>
        <v/>
      </c>
      <c r="W2841" s="1155" t="str">
        <f>IF(AND('341-CT'!$H$9=H2841,OR(LEFT(N2841,3)=$W$7,LEFT(O2841,3)=$W$7)),"x","")</f>
        <v/>
      </c>
      <c r="X2841" s="1155" t="str">
        <f>IF(OR(TH!N1909=TH!$X$7,O2841=TH!$X$7),"x","")</f>
        <v/>
      </c>
      <c r="Y2841" s="1155" t="str">
        <f>IF(AND(OR(N2841="131",O2841="131"),H2841='131-CT'!$H$9),"x","")</f>
        <v/>
      </c>
      <c r="Z2841" s="1155"/>
      <c r="AA2841" s="1155" t="str">
        <f>IF(AND(MONTH(E2841)='IN-NX'!$J$5,'IN-NX'!$D$7=D2841),"x","")</f>
        <v/>
      </c>
      <c r="AB2841" s="1155" t="str">
        <f>IF(AND(OR(LEFT(TH!N1909,2)="15",LEFT(TH!O1909,2)="15"),LEFT(TH!O1909,3)&lt;&gt;"111",'152-CT'!$J$8=TH!F1909),"x","")</f>
        <v/>
      </c>
      <c r="AC2841" s="1155" t="str">
        <f>IF(AND(OR(LEFT(TH!N1909,2)="15",LEFT(TH!O1909,2)="15"),TK!$E$7=TH!F1909),"x","")</f>
        <v/>
      </c>
      <c r="AD2841" s="1155" t="str">
        <f>IF(AND(N2841="1521",MONTH(C2841)='BK-NL'!$M$11),"x","")</f>
        <v/>
      </c>
      <c r="AE2841" s="1156"/>
      <c r="AF2841" s="1156"/>
    </row>
    <row r="2842" spans="1:32" s="349" customFormat="1" ht="15.75" customHeight="1">
      <c r="A2842" s="334" t="str">
        <f>IF(B2842&lt;&gt;"",IF(AND(B2842='IN-TC'!$S$4,OR(TH!N1910="1111",TH!O1910="1111")),TH!D1910,""),"")</f>
        <v/>
      </c>
      <c r="B2842" s="1148">
        <f>IF(C2842&lt;&gt;"",MONTH(C2842),"")</f>
        <v>10</v>
      </c>
      <c r="C2842" s="1149">
        <v>42654</v>
      </c>
      <c r="D2842" s="1149" t="s">
        <v>882</v>
      </c>
      <c r="E2842" s="1149">
        <f>C2842</f>
        <v>42654</v>
      </c>
      <c r="F2842" s="512" t="s">
        <v>960</v>
      </c>
      <c r="G2842" s="1151"/>
      <c r="H2842" s="1150" t="s">
        <v>2239</v>
      </c>
      <c r="I2842" s="1152"/>
      <c r="J2842" s="1152"/>
      <c r="K2842" s="1153"/>
      <c r="L2842" s="1231"/>
      <c r="M2842" s="1154">
        <v>1700000000</v>
      </c>
      <c r="N2842" s="1155" t="s">
        <v>272</v>
      </c>
      <c r="O2842" s="1155" t="s">
        <v>63</v>
      </c>
      <c r="P2842" s="1155" t="str">
        <f>IF(AND('331-CT'!$E$7=TH!H1910,OR(N2842="331",O2842="331")),"x","")</f>
        <v/>
      </c>
      <c r="Q2842" s="1155" t="str">
        <f>IF(AND(B2842='111'!$L$11,OR($N2842=$Q$7,$O2842=$Q$7)),"x","")</f>
        <v/>
      </c>
      <c r="R2842" s="1155" t="str">
        <f>IF(AND($N2842=$Q$7,$B2842&lt;'111'!$L$11),"x","")</f>
        <v/>
      </c>
      <c r="S2842" s="1155" t="str">
        <f>IF(AND($O2842=$Q$7,$B2842&lt;'111'!$L$11),"x","")</f>
        <v/>
      </c>
      <c r="T2842" s="1155" t="str">
        <f>IF(ISERROR(FIND('112'!$M$9,G2842,1)),"",IF((AND(FIND('112'!$M$9,G2842,1)&gt;=1,B2842='112'!$K$9,OR($N2842='112'!$I$6,$O2842='112'!$I$6))),"x",""))</f>
        <v/>
      </c>
      <c r="U2842" s="1155" t="str">
        <f>IF(ISERROR(FIND('112'!$M$9,G2842,1)),"",IF((AND(LEFT(G2842,2)=LEFT('112'!$M$9,2),B2842&lt;'112'!$K$9,$N2842='112'!$I$6)),"x",""))</f>
        <v/>
      </c>
      <c r="V2842" s="1155" t="str">
        <f>IF(ISERROR(FIND('112'!$M$9,G2842,1)),"",IF((AND(RIGHT(G2842,2)=RIGHT('112'!$M$9,2),B2842&lt;'112'!$K$9,$O2842='112'!$I$6)),"x",""))</f>
        <v/>
      </c>
      <c r="W2842" s="1155" t="str">
        <f>IF(AND('341-CT'!$H$9=H2842,OR(LEFT(N2842,3)=$W$7,LEFT(O2842,3)=$W$7)),"x","")</f>
        <v/>
      </c>
      <c r="X2842" s="1155" t="str">
        <f>IF(OR(TH!N1910=TH!$X$7,O2842=TH!$X$7),"x","")</f>
        <v>x</v>
      </c>
      <c r="Y2842" s="1155" t="str">
        <f>IF(AND(OR(N2842="131",O2842="131"),H2842='131-CT'!$H$9),"x","")</f>
        <v/>
      </c>
      <c r="Z2842" s="1155"/>
      <c r="AA2842" s="1155" t="str">
        <f>IF(AND(MONTH(E2842)='IN-NX'!$J$5,'IN-NX'!$D$7=D2842),"x","")</f>
        <v/>
      </c>
      <c r="AB2842" s="1155" t="str">
        <f>IF(AND(OR(LEFT(TH!N1910,2)="15",LEFT(TH!O1910,2)="15"),LEFT(TH!O1910,3)&lt;&gt;"111",'152-CT'!$J$8=TH!F1910),"x","")</f>
        <v/>
      </c>
      <c r="AC2842" s="1155" t="str">
        <f>IF(AND(OR(LEFT(TH!N1910,2)="15",LEFT(TH!O1910,2)="15"),TK!$E$7=TH!F1910),"x","")</f>
        <v/>
      </c>
      <c r="AD2842" s="1155" t="str">
        <f>IF(AND(N2842="1521",MONTH(C2842)='BK-NL'!$M$11),"x","")</f>
        <v/>
      </c>
      <c r="AE2842" s="1156"/>
      <c r="AF2842" s="1156"/>
    </row>
    <row r="2843" spans="1:32" s="349" customFormat="1" ht="15.75" customHeight="1">
      <c r="A2843" s="334" t="str">
        <f>IF(B2843&lt;&gt;"",IF(AND(B2843='IN-TC'!$S$4,OR(TH!N2843="1111",TH!O2843="1111")),TH!D2843,""),"")</f>
        <v/>
      </c>
      <c r="B2843" s="63">
        <f t="shared" si="294"/>
        <v>10</v>
      </c>
      <c r="C2843" s="64">
        <v>42656</v>
      </c>
      <c r="D2843" s="64" t="s">
        <v>883</v>
      </c>
      <c r="E2843" s="64">
        <f t="shared" si="295"/>
        <v>42656</v>
      </c>
      <c r="F2843" s="72" t="s">
        <v>998</v>
      </c>
      <c r="G2843" s="972" t="s">
        <v>2096</v>
      </c>
      <c r="H2843" s="72" t="s">
        <v>805</v>
      </c>
      <c r="I2843" s="437"/>
      <c r="J2843" s="437"/>
      <c r="K2843" s="428"/>
      <c r="L2843" s="437"/>
      <c r="M2843" s="65">
        <v>1192727</v>
      </c>
      <c r="N2843" s="66" t="s">
        <v>101</v>
      </c>
      <c r="O2843" s="66" t="s">
        <v>63</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c r="AE2843" s="349">
        <v>1</v>
      </c>
    </row>
    <row r="2844" spans="1:32" s="349" customFormat="1" ht="15.75" customHeight="1">
      <c r="A2844" s="334" t="str">
        <f>IF(B2844&lt;&gt;"",IF(AND(B2844='IN-TC'!$S$4,OR(TH!N2844="1111",TH!O2844="1111")),TH!D2844,""),"")</f>
        <v/>
      </c>
      <c r="B2844" s="63">
        <f t="shared" si="294"/>
        <v>10</v>
      </c>
      <c r="C2844" s="64">
        <v>42656</v>
      </c>
      <c r="D2844" s="64" t="s">
        <v>883</v>
      </c>
      <c r="E2844" s="64">
        <f t="shared" si="295"/>
        <v>42656</v>
      </c>
      <c r="F2844" s="72" t="s">
        <v>999</v>
      </c>
      <c r="G2844" s="972" t="s">
        <v>2096</v>
      </c>
      <c r="H2844" s="72" t="s">
        <v>805</v>
      </c>
      <c r="I2844" s="437"/>
      <c r="J2844" s="437"/>
      <c r="K2844" s="428"/>
      <c r="L2844" s="437"/>
      <c r="M2844" s="65">
        <v>119273</v>
      </c>
      <c r="N2844" s="66" t="s">
        <v>9</v>
      </c>
      <c r="O2844" s="66" t="s">
        <v>63</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x</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c r="AE2844" s="349">
        <v>1</v>
      </c>
    </row>
    <row r="2845" spans="1:32" s="349" customFormat="1" ht="15.75" customHeight="1">
      <c r="A2845" s="334" t="str">
        <f>IF(B2845&lt;&gt;"",IF(AND(B2845='IN-TC'!$S$4,OR(TH!N2875="1111",TH!O2875="1111")),TH!D2875,""),"")</f>
        <v/>
      </c>
      <c r="B2845" s="63">
        <f t="shared" si="294"/>
        <v>10</v>
      </c>
      <c r="C2845" s="64">
        <v>42656</v>
      </c>
      <c r="D2845" s="64" t="s">
        <v>884</v>
      </c>
      <c r="E2845" s="64">
        <f t="shared" si="295"/>
        <v>42656</v>
      </c>
      <c r="F2845" s="72" t="s">
        <v>224</v>
      </c>
      <c r="G2845" s="972" t="s">
        <v>2097</v>
      </c>
      <c r="H2845" s="72" t="s">
        <v>618</v>
      </c>
      <c r="I2845" s="437">
        <v>450</v>
      </c>
      <c r="J2845" s="437">
        <v>19646.465</v>
      </c>
      <c r="K2845" s="428"/>
      <c r="L2845" s="437"/>
      <c r="M2845" s="65">
        <f>ROUND(I2845*J2845,0)</f>
        <v>8840909</v>
      </c>
      <c r="N2845" s="66" t="s">
        <v>282</v>
      </c>
      <c r="O2845" s="66" t="s">
        <v>63</v>
      </c>
      <c r="P2845" s="82" t="str">
        <f>IF(AND('331-CT'!$E$7=TH!H2875,OR(N2845="331",O2845="331")),"x","")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IF(OR(TH!N2875=TH!$X$7,O2845=TH!$X$7),"x","")</f>
        <v>x</v>
      </c>
      <c r="Y2845" s="82" t="str">
        <f>IF(AND(OR(N2845="131",O2845="131"),H2845='131-CT'!$H$9),"x","")</f>
        <v/>
      </c>
      <c r="Z2845" s="82"/>
      <c r="AA2845" s="82" t="str">
        <f>IF(AND(MONTH(E2845)='IN-NX'!$J$5,'IN-NX'!$D$7=D2845),"x","")</f>
        <v/>
      </c>
      <c r="AB2845" s="82" t="str">
        <f>IF(AND(OR(LEFT(TH!N2875,2)="15",LEFT(TH!O2875,2)="15"),LEFT(TH!O2875,3)&lt;&gt;"111",'152-CT'!$J$8=TH!F2875),"x","")</f>
        <v/>
      </c>
      <c r="AC2845" s="82" t="str">
        <f>IF(AND(OR(LEFT(TH!N2875,2)="15",LEFT(TH!O2875,2)="15"),TK!$E$7=TH!F2875),"x","")</f>
        <v/>
      </c>
      <c r="AD2845" s="82" t="str">
        <f>IF(AND(N2845="1521",MONTH(C2845)='BK-NL'!$M$11),"x","")</f>
        <v/>
      </c>
    </row>
    <row r="2846" spans="1:32" s="349" customFormat="1" ht="15.75" customHeight="1">
      <c r="A2846" s="334" t="str">
        <f>IF(B2846&lt;&gt;"",IF(AND(B2846='IN-TC'!$S$4,OR(TH!N2876="1111",TH!O2876="1111")),TH!D2876,""),"")</f>
        <v/>
      </c>
      <c r="B2846" s="63">
        <f t="shared" si="294"/>
        <v>10</v>
      </c>
      <c r="C2846" s="64">
        <v>42656</v>
      </c>
      <c r="D2846" s="64" t="s">
        <v>884</v>
      </c>
      <c r="E2846" s="64">
        <f t="shared" si="295"/>
        <v>42656</v>
      </c>
      <c r="F2846" s="72" t="s">
        <v>1348</v>
      </c>
      <c r="G2846" s="972" t="s">
        <v>2097</v>
      </c>
      <c r="H2846" s="72" t="s">
        <v>618</v>
      </c>
      <c r="I2846" s="437"/>
      <c r="J2846" s="437"/>
      <c r="K2846" s="428"/>
      <c r="L2846" s="437"/>
      <c r="M2846" s="65">
        <v>884091</v>
      </c>
      <c r="N2846" s="66" t="s">
        <v>9</v>
      </c>
      <c r="O2846" s="66" t="s">
        <v>63</v>
      </c>
      <c r="P2846" s="82" t="str">
        <f>IF(AND('331-CT'!$E$7=TH!H2876,OR(N2846="331",O2846="331")),"x","")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IF(OR(TH!N2876=TH!$X$7,O2846=TH!$X$7),"x","")</f>
        <v/>
      </c>
      <c r="Y2846" s="82" t="str">
        <f>IF(AND(OR(N2846="131",O2846="131"),H2846='131-CT'!$H$9),"x","")</f>
        <v/>
      </c>
      <c r="Z2846" s="82"/>
      <c r="AA2846" s="82" t="str">
        <f>IF(AND(MONTH(E2846)='IN-NX'!$J$5,'IN-NX'!$D$7=D2846),"x","")</f>
        <v/>
      </c>
      <c r="AB2846" s="82" t="str">
        <f>IF(AND(OR(LEFT(TH!N2876,2)="15",LEFT(TH!O2876,2)="15"),LEFT(TH!O2876,3)&lt;&gt;"111",'152-CT'!$J$8=TH!F2876),"x","")</f>
        <v/>
      </c>
      <c r="AC2846" s="82" t="str">
        <f>IF(AND(OR(LEFT(TH!N2876,2)="15",LEFT(TH!O2876,2)="15"),TK!$E$7=TH!F2876),"x","")</f>
        <v/>
      </c>
      <c r="AD2846" s="82" t="str">
        <f>IF(AND(N2846="1521",MONTH(C2846)='BK-NL'!$M$11),"x","")</f>
        <v/>
      </c>
      <c r="AE2846" s="349">
        <v>1</v>
      </c>
    </row>
    <row r="2847" spans="1:32" s="349" customFormat="1" ht="15.75" customHeight="1">
      <c r="A2847" s="334" t="str">
        <f>IF(B2847&lt;&gt;"",IF(AND(B2847='IN-TC'!$S$4,OR(TH!N1916="1111",TH!O1916="1111")),TH!D1916,""),"")</f>
        <v/>
      </c>
      <c r="B2847" s="1148">
        <f t="shared" ref="B2847:B2848" si="300">IF(C2847&lt;&gt;"",MONTH(C2847),"")</f>
        <v>10</v>
      </c>
      <c r="C2847" s="1149">
        <v>42656</v>
      </c>
      <c r="D2847" s="1149" t="s">
        <v>885</v>
      </c>
      <c r="E2847" s="1149">
        <f t="shared" ref="E2847:E2848" si="301">C2847</f>
        <v>42656</v>
      </c>
      <c r="F2847" s="512" t="s">
        <v>960</v>
      </c>
      <c r="G2847" s="1151"/>
      <c r="H2847" s="1150" t="s">
        <v>2239</v>
      </c>
      <c r="I2847" s="1152"/>
      <c r="J2847" s="1152"/>
      <c r="K2847" s="1153"/>
      <c r="L2847" s="1231"/>
      <c r="M2847" s="1154">
        <v>1500000000</v>
      </c>
      <c r="N2847" s="1155" t="s">
        <v>272</v>
      </c>
      <c r="O2847" s="1155" t="s">
        <v>63</v>
      </c>
      <c r="P2847" s="1155" t="str">
        <f>IF(AND('331-CT'!$E$7=TH!H1916,OR(N2847="331",O2847="331")),"x","")</f>
        <v/>
      </c>
      <c r="Q2847" s="1155" t="str">
        <f>IF(AND(B2847='111'!$L$11,OR($N2847=$Q$7,$O2847=$Q$7)),"x","")</f>
        <v/>
      </c>
      <c r="R2847" s="1155" t="str">
        <f>IF(AND($N2847=$Q$7,$B2847&lt;'111'!$L$11),"x","")</f>
        <v/>
      </c>
      <c r="S2847" s="1155" t="str">
        <f>IF(AND($O2847=$Q$7,$B2847&lt;'111'!$L$11),"x","")</f>
        <v/>
      </c>
      <c r="T2847" s="1155" t="str">
        <f>IF(ISERROR(FIND('112'!$M$9,G2847,1)),"",IF((AND(FIND('112'!$M$9,G2847,1)&gt;=1,B2847='112'!$K$9,OR($N2847='112'!$I$6,$O2847='112'!$I$6))),"x",""))</f>
        <v/>
      </c>
      <c r="U2847" s="1155" t="str">
        <f>IF(ISERROR(FIND('112'!$M$9,G2847,1)),"",IF((AND(LEFT(G2847,2)=LEFT('112'!$M$9,2),B2847&lt;'112'!$K$9,$N2847='112'!$I$6)),"x",""))</f>
        <v/>
      </c>
      <c r="V2847" s="1155" t="str">
        <f>IF(ISERROR(FIND('112'!$M$9,G2847,1)),"",IF((AND(RIGHT(G2847,2)=RIGHT('112'!$M$9,2),B2847&lt;'112'!$K$9,$O2847='112'!$I$6)),"x",""))</f>
        <v/>
      </c>
      <c r="W2847" s="1155" t="str">
        <f>IF(AND('341-CT'!$H$9=H2847,OR(LEFT(N2847,3)=$W$7,LEFT(O2847,3)=$W$7)),"x","")</f>
        <v/>
      </c>
      <c r="X2847" s="1155" t="str">
        <f>IF(OR(TH!N1916=TH!$X$7,O2847=TH!$X$7),"x","")</f>
        <v>x</v>
      </c>
      <c r="Y2847" s="1155" t="str">
        <f>IF(AND(OR(N2847="131",O2847="131"),H2847='131-CT'!$H$9),"x","")</f>
        <v/>
      </c>
      <c r="Z2847" s="1155"/>
      <c r="AA2847" s="1155" t="str">
        <f>IF(AND(MONTH(E2847)='IN-NX'!$J$5,'IN-NX'!$D$7=D2847),"x","")</f>
        <v/>
      </c>
      <c r="AB2847" s="1155" t="str">
        <f>IF(AND(OR(LEFT(TH!N1916,2)="15",LEFT(TH!O1916,2)="15"),LEFT(TH!O1916,3)&lt;&gt;"111",'152-CT'!$J$8=TH!F1916),"x","")</f>
        <v/>
      </c>
      <c r="AC2847" s="1155" t="str">
        <f>IF(AND(OR(LEFT(TH!N1916,2)="15",LEFT(TH!O1916,2)="15"),TK!$E$7=TH!F1916),"x","")</f>
        <v/>
      </c>
      <c r="AD2847" s="1155" t="str">
        <f>IF(AND(N2847="1521",MONTH(C2847)='BK-NL'!$M$11),"x","")</f>
        <v/>
      </c>
      <c r="AE2847" s="1156"/>
      <c r="AF2847" s="1156"/>
    </row>
    <row r="2848" spans="1:32" s="349" customFormat="1" ht="15.75" customHeight="1">
      <c r="A2848" s="334" t="str">
        <f>IF(B2848&lt;&gt;"",IF(AND(B2848='IN-TC'!$S$4,OR(TH!N1917="1111",TH!O1917="1111")),TH!D1917,""),"")</f>
        <v/>
      </c>
      <c r="B2848" s="1148">
        <f t="shared" si="300"/>
        <v>10</v>
      </c>
      <c r="C2848" s="1149">
        <v>42656</v>
      </c>
      <c r="D2848" s="1149" t="s">
        <v>886</v>
      </c>
      <c r="E2848" s="1149">
        <f t="shared" si="301"/>
        <v>42656</v>
      </c>
      <c r="F2848" s="512" t="s">
        <v>960</v>
      </c>
      <c r="G2848" s="1151"/>
      <c r="H2848" s="1150" t="s">
        <v>2239</v>
      </c>
      <c r="I2848" s="1152"/>
      <c r="J2848" s="1152"/>
      <c r="K2848" s="1153"/>
      <c r="L2848" s="1231"/>
      <c r="M2848" s="1154">
        <v>1500000000</v>
      </c>
      <c r="N2848" s="1155" t="s">
        <v>272</v>
      </c>
      <c r="O2848" s="1155" t="s">
        <v>63</v>
      </c>
      <c r="P2848" s="1155" t="str">
        <f>IF(AND('331-CT'!$E$7=TH!H1917,OR(N2848="331",O2848="331")),"x","")</f>
        <v/>
      </c>
      <c r="Q2848" s="1155" t="str">
        <f>IF(AND(B2848='111'!$L$11,OR($N2848=$Q$7,$O2848=$Q$7)),"x","")</f>
        <v/>
      </c>
      <c r="R2848" s="1155" t="str">
        <f>IF(AND($N2848=$Q$7,$B2848&lt;'111'!$L$11),"x","")</f>
        <v/>
      </c>
      <c r="S2848" s="1155" t="str">
        <f>IF(AND($O2848=$Q$7,$B2848&lt;'111'!$L$11),"x","")</f>
        <v/>
      </c>
      <c r="T2848" s="1155" t="str">
        <f>IF(ISERROR(FIND('112'!$M$9,G2848,1)),"",IF((AND(FIND('112'!$M$9,G2848,1)&gt;=1,B2848='112'!$K$9,OR($N2848='112'!$I$6,$O2848='112'!$I$6))),"x",""))</f>
        <v/>
      </c>
      <c r="U2848" s="1155" t="str">
        <f>IF(ISERROR(FIND('112'!$M$9,G2848,1)),"",IF((AND(LEFT(G2848,2)=LEFT('112'!$M$9,2),B2848&lt;'112'!$K$9,$N2848='112'!$I$6)),"x",""))</f>
        <v/>
      </c>
      <c r="V2848" s="1155" t="str">
        <f>IF(ISERROR(FIND('112'!$M$9,G2848,1)),"",IF((AND(RIGHT(G2848,2)=RIGHT('112'!$M$9,2),B2848&lt;'112'!$K$9,$O2848='112'!$I$6)),"x",""))</f>
        <v/>
      </c>
      <c r="W2848" s="1155" t="str">
        <f>IF(AND('341-CT'!$H$9=H2848,OR(LEFT(N2848,3)=$W$7,LEFT(O2848,3)=$W$7)),"x","")</f>
        <v/>
      </c>
      <c r="X2848" s="1155" t="str">
        <f>IF(OR(TH!N1917=TH!$X$7,O2848=TH!$X$7),"x","")</f>
        <v/>
      </c>
      <c r="Y2848" s="1155" t="str">
        <f>IF(AND(OR(N2848="131",O2848="131"),H2848='131-CT'!$H$9),"x","")</f>
        <v/>
      </c>
      <c r="Z2848" s="1155"/>
      <c r="AA2848" s="1155" t="str">
        <f>IF(AND(MONTH(E2848)='IN-NX'!$J$5,'IN-NX'!$D$7=D2848),"x","")</f>
        <v/>
      </c>
      <c r="AB2848" s="1155" t="str">
        <f>IF(AND(OR(LEFT(TH!N1917,2)="15",LEFT(TH!O1917,2)="15"),LEFT(TH!O1917,3)&lt;&gt;"111",'152-CT'!$J$8=TH!F1917),"x","")</f>
        <v/>
      </c>
      <c r="AC2848" s="1155" t="str">
        <f>IF(AND(OR(LEFT(TH!N1917,2)="15",LEFT(TH!O1917,2)="15"),TK!$E$7=TH!F1917),"x","")</f>
        <v/>
      </c>
      <c r="AD2848" s="1155" t="str">
        <f>IF(AND(N2848="1521",MONTH(C2848)='BK-NL'!$M$11),"x","")</f>
        <v/>
      </c>
      <c r="AE2848" s="1156"/>
      <c r="AF2848" s="1156"/>
    </row>
    <row r="2849" spans="1:32" s="349" customFormat="1" ht="15.75" customHeight="1">
      <c r="A2849" s="334" t="str">
        <f>IF(B2849&lt;&gt;"",IF(AND(B2849='IN-TC'!$S$4,OR(TH!N2845="1111",TH!O2845="1111")),TH!D2845,""),"")</f>
        <v/>
      </c>
      <c r="B2849" s="63">
        <f t="shared" si="294"/>
        <v>10</v>
      </c>
      <c r="C2849" s="64">
        <v>42659</v>
      </c>
      <c r="D2849" s="64" t="s">
        <v>887</v>
      </c>
      <c r="E2849" s="64">
        <f t="shared" si="295"/>
        <v>42659</v>
      </c>
      <c r="F2849" s="72" t="s">
        <v>2048</v>
      </c>
      <c r="G2849" s="972" t="s">
        <v>2098</v>
      </c>
      <c r="H2849" s="72" t="s">
        <v>805</v>
      </c>
      <c r="I2849" s="437"/>
      <c r="J2849" s="437"/>
      <c r="K2849" s="428"/>
      <c r="L2849" s="437"/>
      <c r="M2849" s="65">
        <v>3001255</v>
      </c>
      <c r="N2849" s="66" t="s">
        <v>101</v>
      </c>
      <c r="O2849" s="66" t="s">
        <v>63</v>
      </c>
      <c r="P2849" s="82" t="str">
        <f>IF(AND('331-CT'!$E$7=TH!H2845,OR(N2849="331",O2849="331")),"x","")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IF(OR(TH!N2845=TH!$X$7,O2849=TH!$X$7),"x","")</f>
        <v/>
      </c>
      <c r="Y2849" s="82" t="str">
        <f>IF(AND(OR(N2849="131",O2849="131"),H2849='131-CT'!$H$9),"x","")</f>
        <v/>
      </c>
      <c r="Z2849" s="82"/>
      <c r="AA2849" s="82" t="str">
        <f>IF(AND(MONTH(E2849)='IN-NX'!$J$5,'IN-NX'!$D$7=D2849),"x","")</f>
        <v/>
      </c>
      <c r="AB2849" s="82" t="str">
        <f>IF(AND(OR(LEFT(TH!N2845,2)="15",LEFT(TH!O2845,2)="15"),LEFT(TH!O2845,3)&lt;&gt;"111",'152-CT'!$J$8=TH!F2845),"x","")</f>
        <v/>
      </c>
      <c r="AC2849" s="82" t="str">
        <f>IF(AND(OR(LEFT(TH!N2845,2)="15",LEFT(TH!O2845,2)="15"),TK!$E$7=TH!F2845),"x","")</f>
        <v/>
      </c>
      <c r="AD2849" s="82" t="str">
        <f>IF(AND(N2849="1521",MONTH(C2849)='BK-NL'!$M$11),"x","")</f>
        <v/>
      </c>
      <c r="AE2849" s="349">
        <v>1</v>
      </c>
    </row>
    <row r="2850" spans="1:32" s="349" customFormat="1" ht="15.75" customHeight="1">
      <c r="A2850" s="334" t="str">
        <f>IF(B2850&lt;&gt;"",IF(AND(B2850='IN-TC'!$S$4,OR(TH!N2846="1111",TH!O2846="1111")),TH!D2846,""),"")</f>
        <v/>
      </c>
      <c r="B2850" s="63">
        <f t="shared" si="294"/>
        <v>10</v>
      </c>
      <c r="C2850" s="64">
        <v>42659</v>
      </c>
      <c r="D2850" s="64" t="s">
        <v>887</v>
      </c>
      <c r="E2850" s="64">
        <f t="shared" si="295"/>
        <v>42659</v>
      </c>
      <c r="F2850" s="72" t="s">
        <v>2049</v>
      </c>
      <c r="G2850" s="972" t="s">
        <v>2098</v>
      </c>
      <c r="H2850" s="72" t="s">
        <v>805</v>
      </c>
      <c r="I2850" s="437"/>
      <c r="J2850" s="437"/>
      <c r="K2850" s="428"/>
      <c r="L2850" s="437"/>
      <c r="M2850" s="65">
        <v>300125</v>
      </c>
      <c r="N2850" s="66" t="s">
        <v>9</v>
      </c>
      <c r="O2850" s="66" t="s">
        <v>63</v>
      </c>
      <c r="P2850" s="82" t="str">
        <f>IF(AND('331-CT'!$E$7=TH!H2846,OR(N2850="331",O2850="331")),"x","")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IF(OR(TH!N2846=TH!$X$7,O2850=TH!$X$7),"x","")</f>
        <v>x</v>
      </c>
      <c r="Y2850" s="82" t="str">
        <f>IF(AND(OR(N2850="131",O2850="131"),H2850='131-CT'!$H$9),"x","")</f>
        <v/>
      </c>
      <c r="Z2850" s="82"/>
      <c r="AA2850" s="82" t="str">
        <f>IF(AND(MONTH(E2850)='IN-NX'!$J$5,'IN-NX'!$D$7=D2850),"x","")</f>
        <v/>
      </c>
      <c r="AB2850" s="82" t="str">
        <f>IF(AND(OR(LEFT(TH!N2846,2)="15",LEFT(TH!O2846,2)="15"),LEFT(TH!O2846,3)&lt;&gt;"111",'152-CT'!$J$8=TH!F2846),"x","")</f>
        <v/>
      </c>
      <c r="AC2850" s="82" t="str">
        <f>IF(AND(OR(LEFT(TH!N2846,2)="15",LEFT(TH!O2846,2)="15"),TK!$E$7=TH!F2846),"x","")</f>
        <v/>
      </c>
      <c r="AD2850" s="82" t="str">
        <f>IF(AND(N2850="1521",MONTH(C2850)='BK-NL'!$M$11),"x","")</f>
        <v/>
      </c>
      <c r="AE2850" s="349">
        <v>1</v>
      </c>
    </row>
    <row r="2851" spans="1:32" s="349" customFormat="1" ht="15.75" customHeight="1">
      <c r="A2851" s="334" t="str">
        <f>IF(B2851&lt;&gt;"",IF(AND(B2851='IN-TC'!$S$4,OR(TH!N2849="1111",TH!O2849="1111")),TH!D2849,""),"")</f>
        <v/>
      </c>
      <c r="B2851" s="63">
        <f t="shared" si="294"/>
        <v>10</v>
      </c>
      <c r="C2851" s="64">
        <v>42661</v>
      </c>
      <c r="D2851" s="64" t="s">
        <v>888</v>
      </c>
      <c r="E2851" s="64">
        <f t="shared" si="295"/>
        <v>42661</v>
      </c>
      <c r="F2851" s="72" t="s">
        <v>1107</v>
      </c>
      <c r="G2851" s="972" t="s">
        <v>2133</v>
      </c>
      <c r="H2851" s="72" t="s">
        <v>805</v>
      </c>
      <c r="I2851" s="437"/>
      <c r="J2851" s="437"/>
      <c r="K2851" s="428"/>
      <c r="L2851" s="437"/>
      <c r="M2851" s="65">
        <v>932727</v>
      </c>
      <c r="N2851" s="66" t="s">
        <v>101</v>
      </c>
      <c r="O2851" s="66" t="s">
        <v>63</v>
      </c>
      <c r="P2851" s="82" t="str">
        <f>IF(AND('331-CT'!$E$7=TH!H2849,OR(N2851="331",O2851="331")),"x","")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IF(OR(TH!N2849=TH!$X$7,O2851=TH!$X$7),"x","")</f>
        <v/>
      </c>
      <c r="Y2851" s="82" t="str">
        <f>IF(AND(OR(N2851="131",O2851="131"),H2851='131-CT'!$H$9),"x","")</f>
        <v/>
      </c>
      <c r="Z2851" s="82"/>
      <c r="AA2851" s="82" t="str">
        <f>IF(AND(MONTH(E2851)='IN-NX'!$J$5,'IN-NX'!$D$7=D2851),"x","")</f>
        <v/>
      </c>
      <c r="AB2851" s="82" t="str">
        <f>IF(AND(OR(LEFT(TH!N2849,2)="15",LEFT(TH!O2849,2)="15"),LEFT(TH!O2849,3)&lt;&gt;"111",'152-CT'!$J$8=TH!F2849),"x","")</f>
        <v/>
      </c>
      <c r="AC2851" s="82" t="str">
        <f>IF(AND(OR(LEFT(TH!N2849,2)="15",LEFT(TH!O2849,2)="15"),TK!$E$7=TH!F2849),"x","")</f>
        <v/>
      </c>
      <c r="AD2851" s="82" t="str">
        <f>IF(AND(N2851="1521",MONTH(C2851)='BK-NL'!$M$11),"x","")</f>
        <v/>
      </c>
      <c r="AE2851" s="349">
        <v>1</v>
      </c>
    </row>
    <row r="2852" spans="1:32" s="349" customFormat="1" ht="15.75" customHeight="1">
      <c r="A2852" s="334" t="str">
        <f>IF(B2852&lt;&gt;"",IF(AND(B2852='IN-TC'!$S$4,OR(TH!N2850="1111",TH!O2850="1111")),TH!D2850,""),"")</f>
        <v/>
      </c>
      <c r="B2852" s="63">
        <f t="shared" si="294"/>
        <v>10</v>
      </c>
      <c r="C2852" s="64">
        <v>42661</v>
      </c>
      <c r="D2852" s="64" t="s">
        <v>888</v>
      </c>
      <c r="E2852" s="64">
        <f t="shared" si="295"/>
        <v>42661</v>
      </c>
      <c r="F2852" s="72" t="s">
        <v>774</v>
      </c>
      <c r="G2852" s="972" t="s">
        <v>2133</v>
      </c>
      <c r="H2852" s="72" t="s">
        <v>805</v>
      </c>
      <c r="I2852" s="437"/>
      <c r="J2852" s="437"/>
      <c r="K2852" s="428"/>
      <c r="L2852" s="437"/>
      <c r="M2852" s="65">
        <v>93273</v>
      </c>
      <c r="N2852" s="66" t="s">
        <v>9</v>
      </c>
      <c r="O2852" s="66" t="s">
        <v>63</v>
      </c>
      <c r="P2852" s="82" t="str">
        <f>IF(AND('331-CT'!$E$7=TH!H2850,OR(N2852="331",O2852="331")),"x","")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IF(OR(TH!N2850=TH!$X$7,O2852=TH!$X$7),"x","")</f>
        <v>x</v>
      </c>
      <c r="Y2852" s="82" t="str">
        <f>IF(AND(OR(N2852="131",O2852="131"),H2852='131-CT'!$H$9),"x","")</f>
        <v/>
      </c>
      <c r="Z2852" s="82"/>
      <c r="AA2852" s="82" t="str">
        <f>IF(AND(MONTH(E2852)='IN-NX'!$J$5,'IN-NX'!$D$7=D2852),"x","")</f>
        <v/>
      </c>
      <c r="AB2852" s="82" t="str">
        <f>IF(AND(OR(LEFT(TH!N2850,2)="15",LEFT(TH!O2850,2)="15"),LEFT(TH!O2850,3)&lt;&gt;"111",'152-CT'!$J$8=TH!F2850),"x","")</f>
        <v/>
      </c>
      <c r="AC2852" s="82" t="str">
        <f>IF(AND(OR(LEFT(TH!N2850,2)="15",LEFT(TH!O2850,2)="15"),TK!$E$7=TH!F2850),"x","")</f>
        <v/>
      </c>
      <c r="AD2852" s="82" t="str">
        <f>IF(AND(N2852="1521",MONTH(C2852)='BK-NL'!$M$11),"x","")</f>
        <v/>
      </c>
      <c r="AE2852" s="349">
        <v>1</v>
      </c>
    </row>
    <row r="2853" spans="1:32" s="349" customFormat="1" ht="15.75" customHeight="1">
      <c r="A2853" s="334" t="str">
        <f>IF(B2853&lt;&gt;"",IF(AND(B2853='IN-TC'!$S$4,OR(TH!N2851="1111",TH!O2851="1111")),TH!D2851,""),"")</f>
        <v/>
      </c>
      <c r="B2853" s="63">
        <f t="shared" si="294"/>
        <v>10</v>
      </c>
      <c r="C2853" s="64">
        <v>42661</v>
      </c>
      <c r="D2853" s="64" t="s">
        <v>889</v>
      </c>
      <c r="E2853" s="64">
        <f t="shared" si="295"/>
        <v>42661</v>
      </c>
      <c r="F2853" s="72" t="s">
        <v>1100</v>
      </c>
      <c r="G2853" s="67" t="s">
        <v>1558</v>
      </c>
      <c r="H2853" s="72" t="s">
        <v>760</v>
      </c>
      <c r="I2853" s="437"/>
      <c r="J2853" s="437"/>
      <c r="K2853" s="428"/>
      <c r="L2853" s="437"/>
      <c r="M2853" s="65">
        <v>200000000</v>
      </c>
      <c r="N2853" s="66" t="s">
        <v>26</v>
      </c>
      <c r="O2853" s="66" t="s">
        <v>63</v>
      </c>
      <c r="P2853" s="82" t="str">
        <f>IF(AND('331-CT'!$E$7=TH!H2851,OR(N2853="331",O2853="331")),"x","")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x</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IF(OR(TH!N2851=TH!$X$7,O2853=TH!$X$7),"x","")</f>
        <v/>
      </c>
      <c r="Y2853" s="82" t="str">
        <f>IF(AND(OR(N2853="131",O2853="131"),H2853='131-CT'!$H$9),"x","")</f>
        <v/>
      </c>
      <c r="Z2853" s="82"/>
      <c r="AA2853" s="82" t="str">
        <f>IF(AND(MONTH(E2853)='IN-NX'!$J$5,'IN-NX'!$D$7=D2853),"x","")</f>
        <v/>
      </c>
      <c r="AB2853" s="82" t="str">
        <f>IF(AND(OR(LEFT(TH!N2851,2)="15",LEFT(TH!O2851,2)="15"),LEFT(TH!O2851,3)&lt;&gt;"111",'152-CT'!$J$8=TH!F2851),"x","")</f>
        <v/>
      </c>
      <c r="AC2853" s="82" t="str">
        <f>IF(AND(OR(LEFT(TH!N2851,2)="15",LEFT(TH!O2851,2)="15"),TK!$E$7=TH!F2851),"x","")</f>
        <v/>
      </c>
      <c r="AD2853" s="82" t="str">
        <f>IF(AND(N2853="1521",MONTH(C2853)='BK-NL'!$M$11),"x","")</f>
        <v/>
      </c>
    </row>
    <row r="2854" spans="1:32" s="349" customFormat="1" ht="15.75" customHeight="1">
      <c r="A2854" s="334" t="str">
        <f>IF(B2854&lt;&gt;"",IF(AND(B2854='IN-TC'!$S$4,OR(TH!N1918="1111",TH!O1918="1111")),TH!D1918,""),"")</f>
        <v/>
      </c>
      <c r="B2854" s="1148">
        <f t="shared" ref="B2854" si="302">IF(C2854&lt;&gt;"",MONTH(C2854),"")</f>
        <v>10</v>
      </c>
      <c r="C2854" s="1149">
        <v>42661</v>
      </c>
      <c r="D2854" s="1149" t="s">
        <v>890</v>
      </c>
      <c r="E2854" s="1149">
        <f t="shared" ref="E2854" si="303">C2854</f>
        <v>42661</v>
      </c>
      <c r="F2854" s="512" t="s">
        <v>960</v>
      </c>
      <c r="G2854" s="1151"/>
      <c r="H2854" s="1150" t="s">
        <v>2239</v>
      </c>
      <c r="I2854" s="1152"/>
      <c r="J2854" s="1152"/>
      <c r="K2854" s="1153"/>
      <c r="L2854" s="1231"/>
      <c r="M2854" s="1154">
        <v>1200000000</v>
      </c>
      <c r="N2854" s="1155" t="s">
        <v>272</v>
      </c>
      <c r="O2854" s="1155" t="s">
        <v>63</v>
      </c>
      <c r="P2854" s="1155" t="str">
        <f>IF(AND('331-CT'!$E$7=TH!H1918,OR(N2854="331",O2854="331")),"x","")</f>
        <v/>
      </c>
      <c r="Q2854" s="1155" t="str">
        <f>IF(AND(B2854='111'!$L$11,OR($N2854=$Q$7,$O2854=$Q$7)),"x","")</f>
        <v/>
      </c>
      <c r="R2854" s="1155" t="str">
        <f>IF(AND($N2854=$Q$7,$B2854&lt;'111'!$L$11),"x","")</f>
        <v/>
      </c>
      <c r="S2854" s="1155" t="str">
        <f>IF(AND($O2854=$Q$7,$B2854&lt;'111'!$L$11),"x","")</f>
        <v/>
      </c>
      <c r="T2854" s="1155" t="str">
        <f>IF(ISERROR(FIND('112'!$M$9,G2854,1)),"",IF((AND(FIND('112'!$M$9,G2854,1)&gt;=1,B2854='112'!$K$9,OR($N2854='112'!$I$6,$O2854='112'!$I$6))),"x",""))</f>
        <v/>
      </c>
      <c r="U2854" s="1155" t="str">
        <f>IF(ISERROR(FIND('112'!$M$9,G2854,1)),"",IF((AND(LEFT(G2854,2)=LEFT('112'!$M$9,2),B2854&lt;'112'!$K$9,$N2854='112'!$I$6)),"x",""))</f>
        <v/>
      </c>
      <c r="V2854" s="1155" t="str">
        <f>IF(ISERROR(FIND('112'!$M$9,G2854,1)),"",IF((AND(RIGHT(G2854,2)=RIGHT('112'!$M$9,2),B2854&lt;'112'!$K$9,$O2854='112'!$I$6)),"x",""))</f>
        <v/>
      </c>
      <c r="W2854" s="1155" t="str">
        <f>IF(AND('341-CT'!$H$9=H2854,OR(LEFT(N2854,3)=$W$7,LEFT(O2854,3)=$W$7)),"x","")</f>
        <v/>
      </c>
      <c r="X2854" s="1155" t="str">
        <f>IF(OR(TH!N1918=TH!$X$7,O2854=TH!$X$7),"x","")</f>
        <v/>
      </c>
      <c r="Y2854" s="1155" t="str">
        <f>IF(AND(OR(N2854="131",O2854="131"),H2854='131-CT'!$H$9),"x","")</f>
        <v/>
      </c>
      <c r="Z2854" s="1155"/>
      <c r="AA2854" s="1155" t="str">
        <f>IF(AND(MONTH(E2854)='IN-NX'!$J$5,'IN-NX'!$D$7=D2854),"x","")</f>
        <v/>
      </c>
      <c r="AB2854" s="1155" t="str">
        <f>IF(AND(OR(LEFT(TH!N1918,2)="15",LEFT(TH!O1918,2)="15"),LEFT(TH!O1918,3)&lt;&gt;"111",'152-CT'!$J$8=TH!F1918),"x","")</f>
        <v/>
      </c>
      <c r="AC2854" s="1155" t="str">
        <f>IF(AND(OR(LEFT(TH!N1918,2)="15",LEFT(TH!O1918,2)="15"),TK!$E$7=TH!F1918),"x","")</f>
        <v/>
      </c>
      <c r="AD2854" s="1155" t="str">
        <f>IF(AND(N2854="1521",MONTH(C2854)='BK-NL'!$M$11),"x","")</f>
        <v/>
      </c>
      <c r="AE2854" s="1156"/>
      <c r="AF2854" s="1156"/>
    </row>
    <row r="2855" spans="1:32" s="349" customFormat="1" ht="15.75" customHeight="1">
      <c r="A2855" s="334" t="str">
        <f>IF(B2855&lt;&gt;"",IF(AND(B2855='IN-TC'!$S$4,OR(TH!N2852="1111",TH!O2852="1111")),TH!D2852,""),"")</f>
        <v/>
      </c>
      <c r="B2855" s="63">
        <f t="shared" si="294"/>
        <v>10</v>
      </c>
      <c r="C2855" s="64">
        <v>42662</v>
      </c>
      <c r="D2855" s="64" t="s">
        <v>891</v>
      </c>
      <c r="E2855" s="64">
        <f t="shared" si="295"/>
        <v>42662</v>
      </c>
      <c r="F2855" s="72" t="s">
        <v>2099</v>
      </c>
      <c r="G2855" s="972" t="s">
        <v>2100</v>
      </c>
      <c r="H2855" s="72" t="s">
        <v>2101</v>
      </c>
      <c r="I2855" s="437"/>
      <c r="J2855" s="437"/>
      <c r="K2855" s="428"/>
      <c r="L2855" s="437"/>
      <c r="M2855" s="65">
        <v>500000</v>
      </c>
      <c r="N2855" s="66" t="s">
        <v>101</v>
      </c>
      <c r="O2855" s="66" t="s">
        <v>63</v>
      </c>
      <c r="P2855" s="82" t="str">
        <f>IF(AND('331-CT'!$E$7=TH!H2852,OR(N2855="331",O2855="331")),"x","")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IF(OR(TH!N2852=TH!$X$7,O2855=TH!$X$7),"x","")</f>
        <v>x</v>
      </c>
      <c r="Y2855" s="82" t="str">
        <f>IF(AND(OR(N2855="131",O2855="131"),H2855='131-CT'!$H$9),"x","")</f>
        <v/>
      </c>
      <c r="Z2855" s="82"/>
      <c r="AA2855" s="82" t="str">
        <f>IF(AND(MONTH(E2855)='IN-NX'!$J$5,'IN-NX'!$D$7=D2855),"x","")</f>
        <v/>
      </c>
      <c r="AB2855" s="82" t="str">
        <f>IF(AND(OR(LEFT(TH!N2852,2)="15",LEFT(TH!O2852,2)="15"),LEFT(TH!O2852,3)&lt;&gt;"111",'152-CT'!$J$8=TH!F2852),"x","")</f>
        <v/>
      </c>
      <c r="AC2855" s="82" t="str">
        <f>IF(AND(OR(LEFT(TH!N2852,2)="15",LEFT(TH!O2852,2)="15"),TK!$E$7=TH!F2852),"x","")</f>
        <v/>
      </c>
      <c r="AD2855" s="82" t="str">
        <f>IF(AND(N2855="1521",MONTH(C2855)='BK-NL'!$M$11),"x","")</f>
        <v/>
      </c>
    </row>
    <row r="2856" spans="1:32" s="349" customFormat="1" ht="15.75" customHeight="1">
      <c r="A2856" s="334" t="str">
        <f>IF(B2856&lt;&gt;"",IF(AND(B2856='IN-TC'!$S$4,OR(TH!N2853="1111",TH!O2853="1111")),TH!D2853,""),"")</f>
        <v/>
      </c>
      <c r="B2856" s="63">
        <f t="shared" si="294"/>
        <v>10</v>
      </c>
      <c r="C2856" s="64">
        <v>42662</v>
      </c>
      <c r="D2856" s="64" t="s">
        <v>892</v>
      </c>
      <c r="E2856" s="64">
        <f t="shared" si="295"/>
        <v>42662</v>
      </c>
      <c r="F2856" s="72" t="s">
        <v>1135</v>
      </c>
      <c r="G2856" s="972" t="s">
        <v>2102</v>
      </c>
      <c r="H2856" s="72" t="s">
        <v>816</v>
      </c>
      <c r="I2856" s="437"/>
      <c r="J2856" s="437"/>
      <c r="K2856" s="428"/>
      <c r="L2856" s="437"/>
      <c r="M2856" s="65">
        <v>3157140</v>
      </c>
      <c r="N2856" s="66" t="s">
        <v>101</v>
      </c>
      <c r="O2856" s="66" t="s">
        <v>63</v>
      </c>
      <c r="P2856" s="82" t="str">
        <f>IF(AND('331-CT'!$E$7=TH!H2853,OR(N2856="331",O2856="331")),"x","")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IF(OR(TH!N2853=TH!$X$7,O2856=TH!$X$7),"x","")</f>
        <v/>
      </c>
      <c r="Y2856" s="82" t="str">
        <f>IF(AND(OR(N2856="131",O2856="131"),H2856='131-CT'!$H$9),"x","")</f>
        <v/>
      </c>
      <c r="Z2856" s="82"/>
      <c r="AA2856" s="82" t="str">
        <f>IF(AND(MONTH(E2856)='IN-NX'!$J$5,'IN-NX'!$D$7=D2856),"x","")</f>
        <v/>
      </c>
      <c r="AB2856" s="82" t="str">
        <f>IF(AND(OR(LEFT(TH!N2853,2)="15",LEFT(TH!O2853,2)="15"),LEFT(TH!O2853,3)&lt;&gt;"111",'152-CT'!$J$8=TH!F2853),"x","")</f>
        <v/>
      </c>
      <c r="AC2856" s="82" t="str">
        <f>IF(AND(OR(LEFT(TH!N2853,2)="15",LEFT(TH!O2853,2)="15"),TK!$E$7=TH!F2853),"x","")</f>
        <v/>
      </c>
      <c r="AD2856" s="82" t="str">
        <f>IF(AND(N2856="1521",MONTH(C2856)='BK-NL'!$M$11),"x","")</f>
        <v/>
      </c>
      <c r="AE2856" s="349">
        <v>1</v>
      </c>
    </row>
    <row r="2857" spans="1:32" s="349" customFormat="1" ht="15.75" customHeight="1">
      <c r="A2857" s="334" t="str">
        <f>IF(B2857&lt;&gt;"",IF(AND(B2857='IN-TC'!$S$4,OR(TH!N2855="1111",TH!O2855="1111")),TH!D2855,""),"")</f>
        <v/>
      </c>
      <c r="B2857" s="63">
        <f t="shared" si="294"/>
        <v>10</v>
      </c>
      <c r="C2857" s="64">
        <v>42662</v>
      </c>
      <c r="D2857" s="64" t="s">
        <v>892</v>
      </c>
      <c r="E2857" s="64">
        <f t="shared" si="295"/>
        <v>42662</v>
      </c>
      <c r="F2857" s="72" t="s">
        <v>1136</v>
      </c>
      <c r="G2857" s="972" t="s">
        <v>2102</v>
      </c>
      <c r="H2857" s="72" t="s">
        <v>816</v>
      </c>
      <c r="I2857" s="437"/>
      <c r="J2857" s="437"/>
      <c r="K2857" s="428"/>
      <c r="L2857" s="437"/>
      <c r="M2857" s="65">
        <v>315714</v>
      </c>
      <c r="N2857" s="66" t="s">
        <v>9</v>
      </c>
      <c r="O2857" s="66" t="s">
        <v>63</v>
      </c>
      <c r="P2857" s="82" t="str">
        <f>IF(AND('331-CT'!$E$7=TH!H2855,OR(N2857="331",O2857="331")),"x","")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IF(OR(TH!N2855=TH!$X$7,O2857=TH!$X$7),"x","")</f>
        <v/>
      </c>
      <c r="Y2857" s="82" t="str">
        <f>IF(AND(OR(N2857="131",O2857="131"),H2857='131-CT'!$H$9),"x","")</f>
        <v/>
      </c>
      <c r="Z2857" s="82"/>
      <c r="AA2857" s="82" t="str">
        <f>IF(AND(MONTH(E2857)='IN-NX'!$J$5,'IN-NX'!$D$7=D2857),"x","")</f>
        <v/>
      </c>
      <c r="AB2857" s="82" t="str">
        <f>IF(AND(OR(LEFT(TH!N2855,2)="15",LEFT(TH!O2855,2)="15"),LEFT(TH!O2855,3)&lt;&gt;"111",'152-CT'!$J$8=TH!F2855),"x","")</f>
        <v/>
      </c>
      <c r="AC2857" s="82" t="str">
        <f>IF(AND(OR(LEFT(TH!N2855,2)="15",LEFT(TH!O2855,2)="15"),TK!$E$7=TH!F2855),"x","")</f>
        <v/>
      </c>
      <c r="AD2857" s="82" t="str">
        <f>IF(AND(N2857="1521",MONTH(C2857)='BK-NL'!$M$11),"x","")</f>
        <v/>
      </c>
      <c r="AE2857" s="349">
        <v>1</v>
      </c>
    </row>
    <row r="2858" spans="1:32" s="349" customFormat="1" ht="15.75" customHeight="1">
      <c r="A2858" s="334" t="str">
        <f>IF(B2858&lt;&gt;"",IF(AND(B2858='IN-TC'!$S$4,OR(TH!N2856="1111",TH!O2856="1111")),TH!D2856,""),"")</f>
        <v/>
      </c>
      <c r="B2858" s="63">
        <f t="shared" si="294"/>
        <v>10</v>
      </c>
      <c r="C2858" s="64">
        <v>42662</v>
      </c>
      <c r="D2858" s="64" t="s">
        <v>893</v>
      </c>
      <c r="E2858" s="64">
        <f t="shared" si="295"/>
        <v>42662</v>
      </c>
      <c r="F2858" s="72" t="s">
        <v>2048</v>
      </c>
      <c r="G2858" s="972" t="s">
        <v>2134</v>
      </c>
      <c r="H2858" s="72" t="s">
        <v>805</v>
      </c>
      <c r="I2858" s="437"/>
      <c r="J2858" s="437"/>
      <c r="K2858" s="428"/>
      <c r="L2858" s="437"/>
      <c r="M2858" s="65">
        <v>1532455</v>
      </c>
      <c r="N2858" s="66" t="s">
        <v>101</v>
      </c>
      <c r="O2858" s="66" t="s">
        <v>63</v>
      </c>
      <c r="P2858" s="82" t="str">
        <f>IF(AND('331-CT'!$E$7=TH!H2856,OR(N2858="331",O2858="331")),"x","")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IF(OR(TH!N2856=TH!$X$7,O2858=TH!$X$7),"x","")</f>
        <v/>
      </c>
      <c r="Y2858" s="82" t="str">
        <f>IF(AND(OR(N2858="131",O2858="131"),H2858='131-CT'!$H$9),"x","")</f>
        <v/>
      </c>
      <c r="Z2858" s="82"/>
      <c r="AA2858" s="82" t="str">
        <f>IF(AND(MONTH(E2858)='IN-NX'!$J$5,'IN-NX'!$D$7=D2858),"x","")</f>
        <v/>
      </c>
      <c r="AB2858" s="82" t="str">
        <f>IF(AND(OR(LEFT(TH!N2856,2)="15",LEFT(TH!O2856,2)="15"),LEFT(TH!O2856,3)&lt;&gt;"111",'152-CT'!$J$8=TH!F2856),"x","")</f>
        <v/>
      </c>
      <c r="AC2858" s="82" t="str">
        <f>IF(AND(OR(LEFT(TH!N2856,2)="15",LEFT(TH!O2856,2)="15"),TK!$E$7=TH!F2856),"x","")</f>
        <v/>
      </c>
      <c r="AD2858" s="82" t="str">
        <f>IF(AND(N2858="1521",MONTH(C2858)='BK-NL'!$M$11),"x","")</f>
        <v/>
      </c>
      <c r="AE2858" s="349">
        <v>1</v>
      </c>
    </row>
    <row r="2859" spans="1:32" s="349" customFormat="1" ht="15.75" customHeight="1">
      <c r="A2859" s="334" t="str">
        <f>IF(B2859&lt;&gt;"",IF(AND(B2859='IN-TC'!$S$4,OR(TH!N2857="1111",TH!O2857="1111")),TH!D2857,""),"")</f>
        <v/>
      </c>
      <c r="B2859" s="63">
        <f t="shared" si="294"/>
        <v>10</v>
      </c>
      <c r="C2859" s="64">
        <v>42662</v>
      </c>
      <c r="D2859" s="64" t="s">
        <v>893</v>
      </c>
      <c r="E2859" s="64">
        <f t="shared" si="295"/>
        <v>42662</v>
      </c>
      <c r="F2859" s="72" t="s">
        <v>2049</v>
      </c>
      <c r="G2859" s="972" t="s">
        <v>2134</v>
      </c>
      <c r="H2859" s="72" t="s">
        <v>805</v>
      </c>
      <c r="I2859" s="437"/>
      <c r="J2859" s="437"/>
      <c r="K2859" s="428"/>
      <c r="L2859" s="437"/>
      <c r="M2859" s="65">
        <v>153245</v>
      </c>
      <c r="N2859" s="66" t="s">
        <v>9</v>
      </c>
      <c r="O2859" s="66" t="s">
        <v>63</v>
      </c>
      <c r="P2859" s="82" t="str">
        <f>IF(AND('331-CT'!$E$7=TH!H2857,OR(N2859="331",O2859="331")),"x","")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IF(OR(TH!N2857=TH!$X$7,O2859=TH!$X$7),"x","")</f>
        <v>x</v>
      </c>
      <c r="Y2859" s="82" t="str">
        <f>IF(AND(OR(N2859="131",O2859="131"),H2859='131-CT'!$H$9),"x","")</f>
        <v/>
      </c>
      <c r="Z2859" s="82"/>
      <c r="AA2859" s="82" t="str">
        <f>IF(AND(MONTH(E2859)='IN-NX'!$J$5,'IN-NX'!$D$7=D2859),"x","")</f>
        <v/>
      </c>
      <c r="AB2859" s="82" t="str">
        <f>IF(AND(OR(LEFT(TH!N2857,2)="15",LEFT(TH!O2857,2)="15"),LEFT(TH!O2857,3)&lt;&gt;"111",'152-CT'!$J$8=TH!F2857),"x","")</f>
        <v/>
      </c>
      <c r="AC2859" s="82" t="str">
        <f>IF(AND(OR(LEFT(TH!N2857,2)="15",LEFT(TH!O2857,2)="15"),TK!$E$7=TH!F2857),"x","")</f>
        <v/>
      </c>
      <c r="AD2859" s="82" t="str">
        <f>IF(AND(N2859="1521",MONTH(C2859)='BK-NL'!$M$11),"x","")</f>
        <v/>
      </c>
      <c r="AE2859" s="349">
        <v>1</v>
      </c>
    </row>
    <row r="2860" spans="1:32" s="349" customFormat="1" ht="15.75" customHeight="1">
      <c r="A2860" s="334" t="str">
        <f>IF(B2860&lt;&gt;"",IF(AND(B2860='IN-TC'!$S$4,OR(TH!N1919="1111",TH!O1919="1111")),TH!D1919,""),"")</f>
        <v/>
      </c>
      <c r="B2860" s="1148">
        <f>IF(C2860&lt;&gt;"",MONTH(C2860),"")</f>
        <v>10</v>
      </c>
      <c r="C2860" s="1149">
        <v>42664</v>
      </c>
      <c r="D2860" s="1149" t="s">
        <v>894</v>
      </c>
      <c r="E2860" s="1149">
        <f>C2860</f>
        <v>42664</v>
      </c>
      <c r="F2860" s="512" t="s">
        <v>960</v>
      </c>
      <c r="G2860" s="1151"/>
      <c r="H2860" s="1150" t="s">
        <v>2239</v>
      </c>
      <c r="I2860" s="1152"/>
      <c r="J2860" s="1152"/>
      <c r="K2860" s="1153"/>
      <c r="L2860" s="1231"/>
      <c r="M2860" s="1154">
        <v>1500000000</v>
      </c>
      <c r="N2860" s="1155" t="s">
        <v>272</v>
      </c>
      <c r="O2860" s="1155" t="s">
        <v>63</v>
      </c>
      <c r="P2860" s="1155" t="str">
        <f>IF(AND('331-CT'!$E$7=TH!H1919,OR(N2860="331",O2860="331")),"x","")</f>
        <v/>
      </c>
      <c r="Q2860" s="1155" t="str">
        <f>IF(AND(B2860='111'!$L$11,OR($N2860=$Q$7,$O2860=$Q$7)),"x","")</f>
        <v/>
      </c>
      <c r="R2860" s="1155" t="str">
        <f>IF(AND($N2860=$Q$7,$B2860&lt;'111'!$L$11),"x","")</f>
        <v/>
      </c>
      <c r="S2860" s="1155" t="str">
        <f>IF(AND($O2860=$Q$7,$B2860&lt;'111'!$L$11),"x","")</f>
        <v/>
      </c>
      <c r="T2860" s="1155" t="str">
        <f>IF(ISERROR(FIND('112'!$M$9,G2860,1)),"",IF((AND(FIND('112'!$M$9,G2860,1)&gt;=1,B2860='112'!$K$9,OR($N2860='112'!$I$6,$O2860='112'!$I$6))),"x",""))</f>
        <v/>
      </c>
      <c r="U2860" s="1155" t="str">
        <f>IF(ISERROR(FIND('112'!$M$9,G2860,1)),"",IF((AND(LEFT(G2860,2)=LEFT('112'!$M$9,2),B2860&lt;'112'!$K$9,$N2860='112'!$I$6)),"x",""))</f>
        <v/>
      </c>
      <c r="V2860" s="1155" t="str">
        <f>IF(ISERROR(FIND('112'!$M$9,G2860,1)),"",IF((AND(RIGHT(G2860,2)=RIGHT('112'!$M$9,2),B2860&lt;'112'!$K$9,$O2860='112'!$I$6)),"x",""))</f>
        <v/>
      </c>
      <c r="W2860" s="1155" t="str">
        <f>IF(AND('341-CT'!$H$9=H2860,OR(LEFT(N2860,3)=$W$7,LEFT(O2860,3)=$W$7)),"x","")</f>
        <v/>
      </c>
      <c r="X2860" s="1155" t="str">
        <f>IF(OR(TH!N1919=TH!$X$7,O2860=TH!$X$7),"x","")</f>
        <v/>
      </c>
      <c r="Y2860" s="1155" t="str">
        <f>IF(AND(OR(N2860="131",O2860="131"),H2860='131-CT'!$H$9),"x","")</f>
        <v/>
      </c>
      <c r="Z2860" s="1155"/>
      <c r="AA2860" s="1155" t="str">
        <f>IF(AND(MONTH(E2860)='IN-NX'!$J$5,'IN-NX'!$D$7=D2860),"x","")</f>
        <v/>
      </c>
      <c r="AB2860" s="1155" t="str">
        <f>IF(AND(OR(LEFT(TH!N1919,2)="15",LEFT(TH!O1919,2)="15"),LEFT(TH!O1919,3)&lt;&gt;"111",'152-CT'!$J$8=TH!F1919),"x","")</f>
        <v/>
      </c>
      <c r="AC2860" s="1155" t="str">
        <f>IF(AND(OR(LEFT(TH!N1919,2)="15",LEFT(TH!O1919,2)="15"),TK!$E$7=TH!F1919),"x","")</f>
        <v/>
      </c>
      <c r="AD2860" s="1155" t="str">
        <f>IF(AND(N2860="1521",MONTH(C2860)='BK-NL'!$M$11),"x","")</f>
        <v/>
      </c>
      <c r="AE2860" s="1156"/>
      <c r="AF2860" s="1156"/>
    </row>
    <row r="2861" spans="1:32" s="349" customFormat="1" ht="15.75" customHeight="1">
      <c r="A2861" s="334" t="str">
        <f>IF(B2861&lt;&gt;"",IF(AND(B2861='IN-TC'!$S$4,OR(TH!N1920="1111",TH!O1920="1111")),TH!D1920,""),"")</f>
        <v/>
      </c>
      <c r="B2861" s="1148">
        <f>IF(C2861&lt;&gt;"",MONTH(C2861),"")</f>
        <v>10</v>
      </c>
      <c r="C2861" s="1149">
        <v>42666</v>
      </c>
      <c r="D2861" s="1149" t="s">
        <v>895</v>
      </c>
      <c r="E2861" s="1149">
        <f>C2861</f>
        <v>42666</v>
      </c>
      <c r="F2861" s="512" t="s">
        <v>960</v>
      </c>
      <c r="G2861" s="1151"/>
      <c r="H2861" s="1150" t="s">
        <v>2239</v>
      </c>
      <c r="I2861" s="1152"/>
      <c r="J2861" s="1152"/>
      <c r="K2861" s="1153"/>
      <c r="L2861" s="1231"/>
      <c r="M2861" s="1154">
        <v>1000000000</v>
      </c>
      <c r="N2861" s="1155" t="s">
        <v>272</v>
      </c>
      <c r="O2861" s="1155" t="s">
        <v>63</v>
      </c>
      <c r="P2861" s="1155" t="str">
        <f>IF(AND('331-CT'!$E$7=TH!H1920,OR(N2861="331",O2861="331")),"x","")</f>
        <v/>
      </c>
      <c r="Q2861" s="1155" t="str">
        <f>IF(AND(B2861='111'!$L$11,OR($N2861=$Q$7,$O2861=$Q$7)),"x","")</f>
        <v/>
      </c>
      <c r="R2861" s="1155" t="str">
        <f>IF(AND($N2861=$Q$7,$B2861&lt;'111'!$L$11),"x","")</f>
        <v/>
      </c>
      <c r="S2861" s="1155" t="str">
        <f>IF(AND($O2861=$Q$7,$B2861&lt;'111'!$L$11),"x","")</f>
        <v/>
      </c>
      <c r="T2861" s="1155" t="str">
        <f>IF(ISERROR(FIND('112'!$M$9,G2861,1)),"",IF((AND(FIND('112'!$M$9,G2861,1)&gt;=1,B2861='112'!$K$9,OR($N2861='112'!$I$6,$O2861='112'!$I$6))),"x",""))</f>
        <v/>
      </c>
      <c r="U2861" s="1155" t="str">
        <f>IF(ISERROR(FIND('112'!$M$9,G2861,1)),"",IF((AND(LEFT(G2861,2)=LEFT('112'!$M$9,2),B2861&lt;'112'!$K$9,$N2861='112'!$I$6)),"x",""))</f>
        <v/>
      </c>
      <c r="V2861" s="1155" t="str">
        <f>IF(ISERROR(FIND('112'!$M$9,G2861,1)),"",IF((AND(RIGHT(G2861,2)=RIGHT('112'!$M$9,2),B2861&lt;'112'!$K$9,$O2861='112'!$I$6)),"x",""))</f>
        <v/>
      </c>
      <c r="W2861" s="1155" t="str">
        <f>IF(AND('341-CT'!$H$9=H2861,OR(LEFT(N2861,3)=$W$7,LEFT(O2861,3)=$W$7)),"x","")</f>
        <v/>
      </c>
      <c r="X2861" s="1155" t="str">
        <f>IF(OR(TH!N1920=TH!$X$7,O2861=TH!$X$7),"x","")</f>
        <v/>
      </c>
      <c r="Y2861" s="1155" t="str">
        <f>IF(AND(OR(N2861="131",O2861="131"),H2861='131-CT'!$H$9),"x","")</f>
        <v/>
      </c>
      <c r="Z2861" s="1155"/>
      <c r="AA2861" s="1155" t="str">
        <f>IF(AND(MONTH(E2861)='IN-NX'!$J$5,'IN-NX'!$D$7=D2861),"x","")</f>
        <v/>
      </c>
      <c r="AB2861" s="1155" t="str">
        <f>IF(AND(OR(LEFT(TH!N1920,2)="15",LEFT(TH!O1920,2)="15"),LEFT(TH!O1920,3)&lt;&gt;"111",'152-CT'!$J$8=TH!F1920),"x","")</f>
        <v/>
      </c>
      <c r="AC2861" s="1155" t="str">
        <f>IF(AND(OR(LEFT(TH!N1920,2)="15",LEFT(TH!O1920,2)="15"),TK!$E$7=TH!F1920),"x","")</f>
        <v/>
      </c>
      <c r="AD2861" s="1155" t="str">
        <f>IF(AND(N2861="1521",MONTH(C2861)='BK-NL'!$M$11),"x","")</f>
        <v/>
      </c>
      <c r="AE2861" s="1156"/>
      <c r="AF2861" s="1156"/>
    </row>
    <row r="2862" spans="1:32" s="349" customFormat="1" ht="15.75" customHeight="1">
      <c r="A2862" s="334" t="str">
        <f>IF(B2862&lt;&gt;"",IF(AND(B2862='IN-TC'!$S$4,OR(TH!N1921="1111",TH!O1921="1111")),TH!D1921,""),"")</f>
        <v/>
      </c>
      <c r="B2862" s="1148">
        <f t="shared" ref="B2862" si="304">IF(C2862&lt;&gt;"",MONTH(C2862),"")</f>
        <v>10</v>
      </c>
      <c r="C2862" s="1149">
        <v>42668</v>
      </c>
      <c r="D2862" s="1149" t="s">
        <v>896</v>
      </c>
      <c r="E2862" s="1149">
        <f t="shared" ref="E2862" si="305">C2862</f>
        <v>42668</v>
      </c>
      <c r="F2862" s="512" t="s">
        <v>960</v>
      </c>
      <c r="G2862" s="1151"/>
      <c r="H2862" s="1150" t="s">
        <v>2239</v>
      </c>
      <c r="I2862" s="1152"/>
      <c r="J2862" s="1152"/>
      <c r="K2862" s="1153"/>
      <c r="L2862" s="1231"/>
      <c r="M2862" s="1154">
        <v>1000000000</v>
      </c>
      <c r="N2862" s="1155" t="s">
        <v>272</v>
      </c>
      <c r="O2862" s="1155" t="s">
        <v>63</v>
      </c>
      <c r="P2862" s="1155" t="str">
        <f>IF(AND('331-CT'!$E$7=TH!H1921,OR(N2862="331",O2862="331")),"x","")</f>
        <v/>
      </c>
      <c r="Q2862" s="1155" t="str">
        <f>IF(AND(B2862='111'!$L$11,OR($N2862=$Q$7,$O2862=$Q$7)),"x","")</f>
        <v/>
      </c>
      <c r="R2862" s="1155" t="str">
        <f>IF(AND($N2862=$Q$7,$B2862&lt;'111'!$L$11),"x","")</f>
        <v/>
      </c>
      <c r="S2862" s="1155" t="str">
        <f>IF(AND($O2862=$Q$7,$B2862&lt;'111'!$L$11),"x","")</f>
        <v/>
      </c>
      <c r="T2862" s="1155" t="str">
        <f>IF(ISERROR(FIND('112'!$M$9,G2862,1)),"",IF((AND(FIND('112'!$M$9,G2862,1)&gt;=1,B2862='112'!$K$9,OR($N2862='112'!$I$6,$O2862='112'!$I$6))),"x",""))</f>
        <v/>
      </c>
      <c r="U2862" s="1155" t="str">
        <f>IF(ISERROR(FIND('112'!$M$9,G2862,1)),"",IF((AND(LEFT(G2862,2)=LEFT('112'!$M$9,2),B2862&lt;'112'!$K$9,$N2862='112'!$I$6)),"x",""))</f>
        <v/>
      </c>
      <c r="V2862" s="1155" t="str">
        <f>IF(ISERROR(FIND('112'!$M$9,G2862,1)),"",IF((AND(RIGHT(G2862,2)=RIGHT('112'!$M$9,2),B2862&lt;'112'!$K$9,$O2862='112'!$I$6)),"x",""))</f>
        <v/>
      </c>
      <c r="W2862" s="1155" t="str">
        <f>IF(AND('341-CT'!$H$9=H2862,OR(LEFT(N2862,3)=$W$7,LEFT(O2862,3)=$W$7)),"x","")</f>
        <v/>
      </c>
      <c r="X2862" s="1155" t="str">
        <f>IF(OR(TH!N1921=TH!$X$7,O2862=TH!$X$7),"x","")</f>
        <v/>
      </c>
      <c r="Y2862" s="1155" t="str">
        <f>IF(AND(OR(N2862="131",O2862="131"),H2862='131-CT'!$H$9),"x","")</f>
        <v/>
      </c>
      <c r="Z2862" s="1155"/>
      <c r="AA2862" s="1155" t="str">
        <f>IF(AND(MONTH(E2862)='IN-NX'!$J$5,'IN-NX'!$D$7=D2862),"x","")</f>
        <v/>
      </c>
      <c r="AB2862" s="1155" t="str">
        <f>IF(AND(OR(LEFT(TH!N1921,2)="15",LEFT(TH!O1921,2)="15"),LEFT(TH!O1921,3)&lt;&gt;"111",'152-CT'!$J$8=TH!F1921),"x","")</f>
        <v/>
      </c>
      <c r="AC2862" s="1155" t="str">
        <f>IF(AND(OR(LEFT(TH!N1921,2)="15",LEFT(TH!O1921,2)="15"),TK!$E$7=TH!F1921),"x","")</f>
        <v/>
      </c>
      <c r="AD2862" s="1155" t="str">
        <f>IF(AND(N2862="1521",MONTH(C2862)='BK-NL'!$M$11),"x","")</f>
        <v/>
      </c>
      <c r="AE2862" s="1156"/>
      <c r="AF2862" s="1156"/>
    </row>
    <row r="2863" spans="1:32" s="349" customFormat="1" ht="15.75" customHeight="1">
      <c r="A2863" s="334" t="str">
        <f>IF(B2863&lt;&gt;"",IF(AND(B2863='IN-TC'!$S$4,OR(TH!N2858="1111",TH!O2858="1111")),TH!D2858,""),"")</f>
        <v/>
      </c>
      <c r="B2863" s="63">
        <f t="shared" si="294"/>
        <v>10</v>
      </c>
      <c r="C2863" s="64">
        <v>42669</v>
      </c>
      <c r="D2863" s="64" t="s">
        <v>897</v>
      </c>
      <c r="E2863" s="64">
        <f t="shared" si="295"/>
        <v>42669</v>
      </c>
      <c r="F2863" s="72" t="s">
        <v>2099</v>
      </c>
      <c r="G2863" s="972" t="s">
        <v>2103</v>
      </c>
      <c r="H2863" s="72" t="s">
        <v>1395</v>
      </c>
      <c r="I2863" s="437"/>
      <c r="J2863" s="437"/>
      <c r="K2863" s="428"/>
      <c r="L2863" s="437"/>
      <c r="M2863" s="65">
        <v>1430000</v>
      </c>
      <c r="N2863" s="66" t="s">
        <v>101</v>
      </c>
      <c r="O2863" s="66" t="s">
        <v>63</v>
      </c>
      <c r="P2863" s="82" t="str">
        <f>IF(AND('331-CT'!$E$7=TH!H2858,OR(N2863="331",O2863="331")),"x","")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IF(OR(TH!N2858=TH!$X$7,O2863=TH!$X$7),"x","")</f>
        <v/>
      </c>
      <c r="Y2863" s="82" t="str">
        <f>IF(AND(OR(N2863="131",O2863="131"),H2863='131-CT'!$H$9),"x","")</f>
        <v/>
      </c>
      <c r="Z2863" s="82"/>
      <c r="AA2863" s="82" t="str">
        <f>IF(AND(MONTH(E2863)='IN-NX'!$J$5,'IN-NX'!$D$7=D2863),"x","")</f>
        <v/>
      </c>
      <c r="AB2863" s="82" t="str">
        <f>IF(AND(OR(LEFT(TH!N2858,2)="15",LEFT(TH!O2858,2)="15"),LEFT(TH!O2858,3)&lt;&gt;"111",'152-CT'!$J$8=TH!F2858),"x","")</f>
        <v/>
      </c>
      <c r="AC2863" s="82" t="str">
        <f>IF(AND(OR(LEFT(TH!N2858,2)="15",LEFT(TH!O2858,2)="15"),TK!$E$7=TH!F2858),"x","")</f>
        <v/>
      </c>
      <c r="AD2863" s="82" t="str">
        <f>IF(AND(N2863="1521",MONTH(C2863)='BK-NL'!$M$11),"x","")</f>
        <v/>
      </c>
    </row>
    <row r="2864" spans="1:32" s="349" customFormat="1" ht="15.75" customHeight="1">
      <c r="A2864" s="334" t="str">
        <f>IF(B2864&lt;&gt;"",IF(AND(B2864='IN-TC'!$S$4,OR(TH!N2859="1111",TH!O2859="1111")),TH!D2859,""),"")</f>
        <v/>
      </c>
      <c r="B2864" s="63">
        <f t="shared" si="294"/>
        <v>10</v>
      </c>
      <c r="C2864" s="64">
        <v>42670</v>
      </c>
      <c r="D2864" s="64" t="s">
        <v>898</v>
      </c>
      <c r="E2864" s="64">
        <f t="shared" si="295"/>
        <v>42670</v>
      </c>
      <c r="F2864" s="72" t="s">
        <v>2104</v>
      </c>
      <c r="G2864" s="972" t="s">
        <v>2105</v>
      </c>
      <c r="H2864" s="72" t="s">
        <v>836</v>
      </c>
      <c r="I2864" s="437"/>
      <c r="J2864" s="437"/>
      <c r="K2864" s="428"/>
      <c r="L2864" s="437"/>
      <c r="M2864" s="65">
        <v>16050000</v>
      </c>
      <c r="N2864" s="66" t="s">
        <v>101</v>
      </c>
      <c r="O2864" s="66" t="s">
        <v>63</v>
      </c>
      <c r="P2864" s="82" t="str">
        <f>IF(AND('331-CT'!$E$7=TH!H2859,OR(N2864="331",O2864="331")),"x","")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IF(OR(TH!N2859=TH!$X$7,O2864=TH!$X$7),"x","")</f>
        <v>x</v>
      </c>
      <c r="Y2864" s="82" t="str">
        <f>IF(AND(OR(N2864="131",O2864="131"),H2864='131-CT'!$H$9),"x","")</f>
        <v/>
      </c>
      <c r="Z2864" s="82"/>
      <c r="AA2864" s="82" t="str">
        <f>IF(AND(MONTH(E2864)='IN-NX'!$J$5,'IN-NX'!$D$7=D2864),"x","")</f>
        <v/>
      </c>
      <c r="AB2864" s="82" t="str">
        <f>IF(AND(OR(LEFT(TH!N2859,2)="15",LEFT(TH!O2859,2)="15"),LEFT(TH!O2859,3)&lt;&gt;"111",'152-CT'!$J$8=TH!F2859),"x","")</f>
        <v/>
      </c>
      <c r="AC2864" s="82" t="str">
        <f>IF(AND(OR(LEFT(TH!N2859,2)="15",LEFT(TH!O2859,2)="15"),TK!$E$7=TH!F2859),"x","")</f>
        <v/>
      </c>
      <c r="AD2864" s="82" t="str">
        <f>IF(AND(N2864="1521",MONTH(C2864)='BK-NL'!$M$11),"x","")</f>
        <v/>
      </c>
      <c r="AE2864" s="349">
        <v>1</v>
      </c>
    </row>
    <row r="2865" spans="1:32" s="349" customFormat="1" ht="15.75" customHeight="1">
      <c r="A2865" s="334" t="str">
        <f>IF(B2865&lt;&gt;"",IF(AND(B2865='IN-TC'!$S$4,OR(TH!N2863="1111",TH!O2863="1111")),TH!D2863,""),"")</f>
        <v/>
      </c>
      <c r="B2865" s="63">
        <f t="shared" si="294"/>
        <v>10</v>
      </c>
      <c r="C2865" s="64">
        <v>42670</v>
      </c>
      <c r="D2865" s="64" t="s">
        <v>898</v>
      </c>
      <c r="E2865" s="64">
        <f t="shared" si="295"/>
        <v>42670</v>
      </c>
      <c r="F2865" s="72" t="s">
        <v>2106</v>
      </c>
      <c r="G2865" s="972" t="s">
        <v>2105</v>
      </c>
      <c r="H2865" s="72" t="s">
        <v>836</v>
      </c>
      <c r="I2865" s="437"/>
      <c r="J2865" s="437"/>
      <c r="K2865" s="428"/>
      <c r="L2865" s="437"/>
      <c r="M2865" s="65">
        <v>1605000</v>
      </c>
      <c r="N2865" s="66" t="s">
        <v>9</v>
      </c>
      <c r="O2865" s="66" t="s">
        <v>63</v>
      </c>
      <c r="P2865" s="82" t="str">
        <f>IF(AND('331-CT'!$E$7=TH!H2863,OR(N2865="331",O2865="331")),"x","")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IF(OR(TH!N2863=TH!$X$7,O2865=TH!$X$7),"x","")</f>
        <v/>
      </c>
      <c r="Y2865" s="82" t="str">
        <f>IF(AND(OR(N2865="131",O2865="131"),H2865='131-CT'!$H$9),"x","")</f>
        <v/>
      </c>
      <c r="Z2865" s="82"/>
      <c r="AA2865" s="82" t="str">
        <f>IF(AND(MONTH(E2865)='IN-NX'!$J$5,'IN-NX'!$D$7=D2865),"x","")</f>
        <v/>
      </c>
      <c r="AB2865" s="82" t="str">
        <f>IF(AND(OR(LEFT(TH!N2863,2)="15",LEFT(TH!O2863,2)="15"),LEFT(TH!O2863,3)&lt;&gt;"111",'152-CT'!$J$8=TH!F2863),"x","")</f>
        <v/>
      </c>
      <c r="AC2865" s="82" t="str">
        <f>IF(AND(OR(LEFT(TH!N2863,2)="15",LEFT(TH!O2863,2)="15"),TK!$E$7=TH!F2863),"x","")</f>
        <v/>
      </c>
      <c r="AD2865" s="82" t="str">
        <f>IF(AND(N2865="1521",MONTH(C2865)='BK-NL'!$M$11),"x","")</f>
        <v/>
      </c>
      <c r="AE2865" s="349">
        <v>1</v>
      </c>
    </row>
    <row r="2866" spans="1:32" s="349" customFormat="1" ht="15.75" customHeight="1">
      <c r="A2866" s="334" t="str">
        <f>IF(B2866&lt;&gt;"",IF(AND(B2866='IN-TC'!$S$4,OR(TH!N1922="1111",TH!O1922="1111")),TH!D1922,""),"")</f>
        <v/>
      </c>
      <c r="B2866" s="1148">
        <f>IF(C2866&lt;&gt;"",MONTH(C2866),"")</f>
        <v>10</v>
      </c>
      <c r="C2866" s="1149">
        <v>42671</v>
      </c>
      <c r="D2866" s="1149" t="s">
        <v>900</v>
      </c>
      <c r="E2866" s="1149">
        <f>C2866</f>
        <v>42671</v>
      </c>
      <c r="F2866" s="512" t="s">
        <v>960</v>
      </c>
      <c r="G2866" s="1151"/>
      <c r="H2866" s="1150" t="s">
        <v>959</v>
      </c>
      <c r="I2866" s="1152"/>
      <c r="J2866" s="1152"/>
      <c r="K2866" s="1153"/>
      <c r="L2866" s="1231"/>
      <c r="M2866" s="1154">
        <v>477015000</v>
      </c>
      <c r="N2866" s="1155" t="s">
        <v>272</v>
      </c>
      <c r="O2866" s="1155" t="s">
        <v>63</v>
      </c>
      <c r="P2866" s="1155" t="str">
        <f>IF(AND('331-CT'!$E$7=TH!H1922,OR(N2866="331",O2866="331")),"x","")</f>
        <v/>
      </c>
      <c r="Q2866" s="1155" t="str">
        <f>IF(AND(B2866='111'!$L$11,OR($N2866=$Q$7,$O2866=$Q$7)),"x","")</f>
        <v/>
      </c>
      <c r="R2866" s="1155" t="str">
        <f>IF(AND($N2866=$Q$7,$B2866&lt;'111'!$L$11),"x","")</f>
        <v/>
      </c>
      <c r="S2866" s="1155" t="str">
        <f>IF(AND($O2866=$Q$7,$B2866&lt;'111'!$L$11),"x","")</f>
        <v/>
      </c>
      <c r="T2866" s="1155" t="str">
        <f>IF(ISERROR(FIND('112'!$M$9,G2866,1)),"",IF((AND(FIND('112'!$M$9,G2866,1)&gt;=1,B2866='112'!$K$9,OR($N2866='112'!$I$6,$O2866='112'!$I$6))),"x",""))</f>
        <v/>
      </c>
      <c r="U2866" s="1155" t="str">
        <f>IF(ISERROR(FIND('112'!$M$9,G2866,1)),"",IF((AND(LEFT(G2866,2)=LEFT('112'!$M$9,2),B2866&lt;'112'!$K$9,$N2866='112'!$I$6)),"x",""))</f>
        <v/>
      </c>
      <c r="V2866" s="1155" t="str">
        <f>IF(ISERROR(FIND('112'!$M$9,G2866,1)),"",IF((AND(RIGHT(G2866,2)=RIGHT('112'!$M$9,2),B2866&lt;'112'!$K$9,$O2866='112'!$I$6)),"x",""))</f>
        <v/>
      </c>
      <c r="W2866" s="1155" t="str">
        <f>IF(AND('341-CT'!$H$9=H2866,OR(LEFT(N2866,3)=$W$7,LEFT(O2866,3)=$W$7)),"x","")</f>
        <v/>
      </c>
      <c r="X2866" s="1155" t="str">
        <f>IF(OR(TH!N1922=TH!$X$7,O2866=TH!$X$7),"x","")</f>
        <v/>
      </c>
      <c r="Y2866" s="1155" t="str">
        <f>IF(AND(OR(N2866="131",O2866="131"),H2866='131-CT'!$H$9),"x","")</f>
        <v/>
      </c>
      <c r="Z2866" s="1155"/>
      <c r="AA2866" s="1155" t="str">
        <f>IF(AND(MONTH(E2866)='IN-NX'!$J$5,'IN-NX'!$D$7=D2866),"x","")</f>
        <v/>
      </c>
      <c r="AB2866" s="1155" t="str">
        <f>IF(AND(OR(LEFT(TH!N1922,2)="15",LEFT(TH!O1922,2)="15"),LEFT(TH!O1922,3)&lt;&gt;"111",'152-CT'!$J$8=TH!F1922),"x","")</f>
        <v/>
      </c>
      <c r="AC2866" s="1155" t="str">
        <f>IF(AND(OR(LEFT(TH!N1922,2)="15",LEFT(TH!O1922,2)="15"),TK!$E$7=TH!F1922),"x","")</f>
        <v/>
      </c>
      <c r="AD2866" s="1155" t="str">
        <f>IF(AND(N2866="1521",MONTH(C2866)='BK-NL'!$M$11),"x","")</f>
        <v/>
      </c>
      <c r="AE2866" s="1156"/>
      <c r="AF2866" s="1156"/>
    </row>
    <row r="2867" spans="1:32" s="349" customFormat="1" ht="15.75" customHeight="1">
      <c r="A2867" s="334" t="str">
        <f>IF(B2867&lt;&gt;"",IF(AND(B2867='IN-TC'!$S$4,OR(TH!N1923="1111",TH!O1923="1111")),TH!D1923,""),"")</f>
        <v/>
      </c>
      <c r="B2867" s="1148">
        <f t="shared" ref="B2867" si="306">IF(C2867&lt;&gt;"",MONTH(C2867),"")</f>
        <v>10</v>
      </c>
      <c r="C2867" s="1149">
        <v>42671</v>
      </c>
      <c r="D2867" s="1149" t="s">
        <v>901</v>
      </c>
      <c r="E2867" s="1149">
        <f t="shared" ref="E2867" si="307">C2867</f>
        <v>42671</v>
      </c>
      <c r="F2867" s="512" t="s">
        <v>960</v>
      </c>
      <c r="G2867" s="1151"/>
      <c r="H2867" s="1150" t="s">
        <v>2239</v>
      </c>
      <c r="I2867" s="1152"/>
      <c r="J2867" s="1152"/>
      <c r="K2867" s="1153"/>
      <c r="L2867" s="1231"/>
      <c r="M2867" s="1154">
        <v>420480000</v>
      </c>
      <c r="N2867" s="1155" t="s">
        <v>272</v>
      </c>
      <c r="O2867" s="1155" t="s">
        <v>63</v>
      </c>
      <c r="P2867" s="1155" t="str">
        <f>IF(AND('331-CT'!$E$7=TH!H1923,OR(N2867="331",O2867="331")),"x","")</f>
        <v/>
      </c>
      <c r="Q2867" s="1155" t="str">
        <f>IF(AND(B2867='111'!$L$11,OR($N2867=$Q$7,$O2867=$Q$7)),"x","")</f>
        <v/>
      </c>
      <c r="R2867" s="1155" t="str">
        <f>IF(AND($N2867=$Q$7,$B2867&lt;'111'!$L$11),"x","")</f>
        <v/>
      </c>
      <c r="S2867" s="1155" t="str">
        <f>IF(AND($O2867=$Q$7,$B2867&lt;'111'!$L$11),"x","")</f>
        <v/>
      </c>
      <c r="T2867" s="1155" t="str">
        <f>IF(ISERROR(FIND('112'!$M$9,G2867,1)),"",IF((AND(FIND('112'!$M$9,G2867,1)&gt;=1,B2867='112'!$K$9,OR($N2867='112'!$I$6,$O2867='112'!$I$6))),"x",""))</f>
        <v/>
      </c>
      <c r="U2867" s="1155" t="str">
        <f>IF(ISERROR(FIND('112'!$M$9,G2867,1)),"",IF((AND(LEFT(G2867,2)=LEFT('112'!$M$9,2),B2867&lt;'112'!$K$9,$N2867='112'!$I$6)),"x",""))</f>
        <v/>
      </c>
      <c r="V2867" s="1155" t="str">
        <f>IF(ISERROR(FIND('112'!$M$9,G2867,1)),"",IF((AND(RIGHT(G2867,2)=RIGHT('112'!$M$9,2),B2867&lt;'112'!$K$9,$O2867='112'!$I$6)),"x",""))</f>
        <v/>
      </c>
      <c r="W2867" s="1155" t="str">
        <f>IF(AND('341-CT'!$H$9=H2867,OR(LEFT(N2867,3)=$W$7,LEFT(O2867,3)=$W$7)),"x","")</f>
        <v/>
      </c>
      <c r="X2867" s="1155" t="str">
        <f>IF(OR(TH!N1923=TH!$X$7,O2867=TH!$X$7),"x","")</f>
        <v/>
      </c>
      <c r="Y2867" s="1155" t="str">
        <f>IF(AND(OR(N2867="131",O2867="131"),H2867='131-CT'!$H$9),"x","")</f>
        <v/>
      </c>
      <c r="Z2867" s="1155"/>
      <c r="AA2867" s="1155" t="str">
        <f>IF(AND(MONTH(E2867)='IN-NX'!$J$5,'IN-NX'!$D$7=D2867),"x","")</f>
        <v/>
      </c>
      <c r="AB2867" s="1155" t="str">
        <f>IF(AND(OR(LEFT(TH!N1923,2)="15",LEFT(TH!O1923,2)="15"),LEFT(TH!O1923,3)&lt;&gt;"111",'152-CT'!$J$8=TH!F1923),"x","")</f>
        <v/>
      </c>
      <c r="AC2867" s="1155" t="str">
        <f>IF(AND(OR(LEFT(TH!N1923,2)="15",LEFT(TH!O1923,2)="15"),TK!$E$7=TH!F1923),"x","")</f>
        <v/>
      </c>
      <c r="AD2867" s="1155" t="str">
        <f>IF(AND(N2867="1521",MONTH(C2867)='BK-NL'!$M$11),"x","")</f>
        <v/>
      </c>
      <c r="AE2867" s="1156"/>
      <c r="AF2867" s="1156"/>
    </row>
    <row r="2868" spans="1:32" s="349" customFormat="1" ht="15.75" customHeight="1">
      <c r="A2868" s="334" t="str">
        <f>IF(B2868&lt;&gt;"",IF(AND(B2868='IN-TC'!$S$4,OR(TH!N2864="1111",TH!O2864="1111")),TH!D2864,""),"")</f>
        <v/>
      </c>
      <c r="B2868" s="63">
        <f t="shared" si="294"/>
        <v>10</v>
      </c>
      <c r="C2868" s="64">
        <v>42672</v>
      </c>
      <c r="D2868" s="64" t="s">
        <v>903</v>
      </c>
      <c r="E2868" s="64">
        <f t="shared" si="295"/>
        <v>42672</v>
      </c>
      <c r="F2868" s="72" t="s">
        <v>1009</v>
      </c>
      <c r="G2868" s="972" t="s">
        <v>2107</v>
      </c>
      <c r="H2868" s="72" t="s">
        <v>1033</v>
      </c>
      <c r="I2868" s="437"/>
      <c r="J2868" s="437"/>
      <c r="K2868" s="428"/>
      <c r="L2868" s="437"/>
      <c r="M2868" s="65">
        <v>2050000</v>
      </c>
      <c r="N2868" s="66" t="s">
        <v>101</v>
      </c>
      <c r="O2868" s="66" t="s">
        <v>63</v>
      </c>
      <c r="P2868" s="82" t="str">
        <f>IF(AND('331-CT'!$E$7=TH!H2864,OR(N2868="331",O2868="331")),"x","")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IF(OR(TH!N2864=TH!$X$7,O2868=TH!$X$7),"x","")</f>
        <v/>
      </c>
      <c r="Y2868" s="82" t="str">
        <f>IF(AND(OR(N2868="131",O2868="131"),H2868='131-CT'!$H$9),"x","")</f>
        <v/>
      </c>
      <c r="Z2868" s="82"/>
      <c r="AA2868" s="82" t="str">
        <f>IF(AND(MONTH(E2868)='IN-NX'!$J$5,'IN-NX'!$D$7=D2868),"x","")</f>
        <v/>
      </c>
      <c r="AB2868" s="82" t="str">
        <f>IF(AND(OR(LEFT(TH!N2864,2)="15",LEFT(TH!O2864,2)="15"),LEFT(TH!O2864,3)&lt;&gt;"111",'152-CT'!$J$8=TH!F2864),"x","")</f>
        <v/>
      </c>
      <c r="AC2868" s="82" t="str">
        <f>IF(AND(OR(LEFT(TH!N2864,2)="15",LEFT(TH!O2864,2)="15"),TK!$E$7=TH!F2864),"x","")</f>
        <v/>
      </c>
      <c r="AD2868" s="82" t="str">
        <f>IF(AND(N2868="1521",MONTH(C2868)='BK-NL'!$M$11),"x","")</f>
        <v/>
      </c>
    </row>
    <row r="2869" spans="1:32" s="349" customFormat="1" ht="15.75" customHeight="1">
      <c r="A2869" s="334" t="str">
        <f>IF(B2869&lt;&gt;"",IF(AND(B2869='IN-TC'!$S$4,OR(TH!N2865="1111",TH!O2865="1111")),TH!D2865,""),"")</f>
        <v/>
      </c>
      <c r="B2869" s="63">
        <f t="shared" si="294"/>
        <v>10</v>
      </c>
      <c r="C2869" s="64">
        <v>42673</v>
      </c>
      <c r="D2869" s="64" t="s">
        <v>904</v>
      </c>
      <c r="E2869" s="64">
        <f t="shared" si="295"/>
        <v>42673</v>
      </c>
      <c r="F2869" s="72" t="s">
        <v>2048</v>
      </c>
      <c r="G2869" s="972" t="s">
        <v>2135</v>
      </c>
      <c r="H2869" s="72" t="s">
        <v>805</v>
      </c>
      <c r="I2869" s="437"/>
      <c r="J2869" s="437"/>
      <c r="K2869" s="428"/>
      <c r="L2869" s="437"/>
      <c r="M2869" s="65">
        <v>3674436</v>
      </c>
      <c r="N2869" s="66" t="s">
        <v>101</v>
      </c>
      <c r="O2869" s="66" t="s">
        <v>63</v>
      </c>
      <c r="P2869" s="82" t="str">
        <f>IF(AND('331-CT'!$E$7=TH!H2865,OR(N2869="331",O2869="331")),"x","")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IF(OR(TH!N2865=TH!$X$7,O2869=TH!$X$7),"x","")</f>
        <v>x</v>
      </c>
      <c r="Y2869" s="82" t="str">
        <f>IF(AND(OR(N2869="131",O2869="131"),H2869='131-CT'!$H$9),"x","")</f>
        <v/>
      </c>
      <c r="Z2869" s="82"/>
      <c r="AA2869" s="82" t="str">
        <f>IF(AND(MONTH(E2869)='IN-NX'!$J$5,'IN-NX'!$D$7=D2869),"x","")</f>
        <v/>
      </c>
      <c r="AB2869" s="82" t="str">
        <f>IF(AND(OR(LEFT(TH!N2865,2)="15",LEFT(TH!O2865,2)="15"),LEFT(TH!O2865,3)&lt;&gt;"111",'152-CT'!$J$8=TH!F2865),"x","")</f>
        <v/>
      </c>
      <c r="AC2869" s="82" t="str">
        <f>IF(AND(OR(LEFT(TH!N2865,2)="15",LEFT(TH!O2865,2)="15"),TK!$E$7=TH!F2865),"x","")</f>
        <v/>
      </c>
      <c r="AD2869" s="82" t="str">
        <f>IF(AND(N2869="1521",MONTH(C2869)='BK-NL'!$M$11),"x","")</f>
        <v/>
      </c>
      <c r="AE2869" s="349">
        <v>1</v>
      </c>
    </row>
    <row r="2870" spans="1:32" s="349" customFormat="1" ht="15.75" customHeight="1">
      <c r="A2870" s="334" t="str">
        <f>IF(B2870&lt;&gt;"",IF(AND(B2870='IN-TC'!$S$4,OR(TH!N2868="1111",TH!O2868="1111")),TH!D2868,""),"")</f>
        <v/>
      </c>
      <c r="B2870" s="63">
        <f t="shared" si="294"/>
        <v>10</v>
      </c>
      <c r="C2870" s="64">
        <v>42673</v>
      </c>
      <c r="D2870" s="64" t="s">
        <v>904</v>
      </c>
      <c r="E2870" s="64">
        <f t="shared" si="295"/>
        <v>42673</v>
      </c>
      <c r="F2870" s="72" t="s">
        <v>2049</v>
      </c>
      <c r="G2870" s="972" t="s">
        <v>2135</v>
      </c>
      <c r="H2870" s="72" t="s">
        <v>805</v>
      </c>
      <c r="I2870" s="437"/>
      <c r="J2870" s="437"/>
      <c r="K2870" s="428"/>
      <c r="L2870" s="437"/>
      <c r="M2870" s="65">
        <v>367444</v>
      </c>
      <c r="N2870" s="66" t="s">
        <v>9</v>
      </c>
      <c r="O2870" s="66" t="s">
        <v>63</v>
      </c>
      <c r="P2870" s="82" t="str">
        <f>IF(AND('331-CT'!$E$7=TH!H2868,OR(N2870="331",O2870="331")),"x","")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IF(OR(TH!N2868=TH!$X$7,O2870=TH!$X$7),"x","")</f>
        <v/>
      </c>
      <c r="Y2870" s="82" t="str">
        <f>IF(AND(OR(N2870="131",O2870="131"),H2870='131-CT'!$H$9),"x","")</f>
        <v/>
      </c>
      <c r="Z2870" s="82"/>
      <c r="AA2870" s="82" t="str">
        <f>IF(AND(MONTH(E2870)='IN-NX'!$J$5,'IN-NX'!$D$7=D2870),"x","")</f>
        <v/>
      </c>
      <c r="AB2870" s="82" t="str">
        <f>IF(AND(OR(LEFT(TH!N2868,2)="15",LEFT(TH!O2868,2)="15"),LEFT(TH!O2868,3)&lt;&gt;"111",'152-CT'!$J$8=TH!F2868),"x","")</f>
        <v/>
      </c>
      <c r="AC2870" s="82" t="str">
        <f>IF(AND(OR(LEFT(TH!N2868,2)="15",LEFT(TH!O2868,2)="15"),TK!$E$7=TH!F2868),"x","")</f>
        <v/>
      </c>
      <c r="AD2870" s="82" t="str">
        <f>IF(AND(N2870="1521",MONTH(C2870)='BK-NL'!$M$11),"x","")</f>
        <v/>
      </c>
      <c r="AE2870" s="349">
        <v>1</v>
      </c>
    </row>
    <row r="2871" spans="1:32" s="349" customFormat="1" ht="15.75" customHeight="1">
      <c r="A2871" s="334" t="str">
        <f>IF(B2871&lt;&gt;"",IF(AND(B2871='IN-TC'!$S$4,OR(TH!N2869="1111",TH!O2869="1111")),TH!D2869,""),"")</f>
        <v/>
      </c>
      <c r="B2871" s="63">
        <f t="shared" si="294"/>
        <v>10</v>
      </c>
      <c r="C2871" s="64">
        <v>42674</v>
      </c>
      <c r="D2871" s="64" t="s">
        <v>907</v>
      </c>
      <c r="E2871" s="64">
        <v>42668</v>
      </c>
      <c r="F2871" s="72" t="s">
        <v>2153</v>
      </c>
      <c r="G2871" s="972" t="s">
        <v>2155</v>
      </c>
      <c r="H2871" s="72" t="s">
        <v>625</v>
      </c>
      <c r="I2871" s="437"/>
      <c r="J2871" s="437"/>
      <c r="K2871" s="428"/>
      <c r="L2871" s="437"/>
      <c r="M2871" s="65">
        <f>137400+161250</f>
        <v>298650</v>
      </c>
      <c r="N2871" s="66" t="s">
        <v>588</v>
      </c>
      <c r="O2871" s="66" t="s">
        <v>63</v>
      </c>
      <c r="P2871" s="82" t="str">
        <f>IF(AND('331-CT'!$E$7=TH!H2869,OR(N2871="331",O2871="331")),"x","")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IF(OR(TH!N2869=TH!$X$7,O2871=TH!$X$7),"x","")</f>
        <v/>
      </c>
      <c r="Y2871" s="82" t="str">
        <f>IF(AND(OR(N2871="131",O2871="131"),H2871='131-CT'!$H$9),"x","")</f>
        <v/>
      </c>
      <c r="Z2871" s="82"/>
      <c r="AA2871" s="82" t="str">
        <f>IF(AND(MONTH(E2871)='IN-NX'!$J$5,'IN-NX'!$D$7=D2871),"x","")</f>
        <v/>
      </c>
      <c r="AB2871" s="82" t="str">
        <f>IF(AND(OR(LEFT(TH!N2869,2)="15",LEFT(TH!O2869,2)="15"),LEFT(TH!O2869,3)&lt;&gt;"111",'152-CT'!$J$8=TH!F2869),"x","")</f>
        <v/>
      </c>
      <c r="AC2871" s="82" t="str">
        <f>IF(AND(OR(LEFT(TH!N2869,2)="15",LEFT(TH!O2869,2)="15"),TK!$E$7=TH!F2869),"x","")</f>
        <v/>
      </c>
      <c r="AD2871" s="82" t="str">
        <f>IF(AND(N2871="1521",MONTH(C2871)='BK-NL'!$M$11),"x","")</f>
        <v/>
      </c>
      <c r="AE2871" s="349">
        <v>1</v>
      </c>
    </row>
    <row r="2872" spans="1:32" s="349" customFormat="1" ht="15.75" customHeight="1">
      <c r="A2872" s="334" t="str">
        <f>IF(B2872&lt;&gt;"",IF(AND(B2872='IN-TC'!$S$4,OR(TH!N2870="1111",TH!O2870="1111")),TH!D2870,""),"")</f>
        <v/>
      </c>
      <c r="B2872" s="63">
        <f t="shared" si="294"/>
        <v>10</v>
      </c>
      <c r="C2872" s="64">
        <v>42674</v>
      </c>
      <c r="D2872" s="64" t="s">
        <v>907</v>
      </c>
      <c r="E2872" s="64">
        <v>42668</v>
      </c>
      <c r="F2872" s="72" t="s">
        <v>2154</v>
      </c>
      <c r="G2872" s="972" t="s">
        <v>2155</v>
      </c>
      <c r="H2872" s="72" t="s">
        <v>625</v>
      </c>
      <c r="I2872" s="437"/>
      <c r="J2872" s="437"/>
      <c r="K2872" s="428"/>
      <c r="L2872" s="437"/>
      <c r="M2872" s="65">
        <f>13740+16125</f>
        <v>29865</v>
      </c>
      <c r="N2872" s="66" t="s">
        <v>9</v>
      </c>
      <c r="O2872" s="66" t="s">
        <v>63</v>
      </c>
      <c r="P2872" s="82" t="str">
        <f>IF(AND('331-CT'!$E$7=TH!H2870,OR(N2872="331",O2872="331")),"x","")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IF(OR(TH!N2870=TH!$X$7,O2872=TH!$X$7),"x","")</f>
        <v>x</v>
      </c>
      <c r="Y2872" s="82" t="str">
        <f>IF(AND(OR(N2872="131",O2872="131"),H2872='131-CT'!$H$9),"x","")</f>
        <v/>
      </c>
      <c r="Z2872" s="82"/>
      <c r="AA2872" s="82" t="str">
        <f>IF(AND(MONTH(E2872)='IN-NX'!$J$5,'IN-NX'!$D$7=D2872),"x","")</f>
        <v/>
      </c>
      <c r="AB2872" s="82" t="str">
        <f>IF(AND(OR(LEFT(TH!N2870,2)="15",LEFT(TH!O2870,2)="15"),LEFT(TH!O2870,3)&lt;&gt;"111",'152-CT'!$J$8=TH!F2870),"x","")</f>
        <v/>
      </c>
      <c r="AC2872" s="82" t="str">
        <f>IF(AND(OR(LEFT(TH!N2870,2)="15",LEFT(TH!O2870,2)="15"),TK!$E$7=TH!F2870),"x","")</f>
        <v/>
      </c>
      <c r="AD2872" s="82" t="str">
        <f>IF(AND(N2872="1521",MONTH(C2872)='BK-NL'!$M$11),"x","")</f>
        <v/>
      </c>
      <c r="AE2872" s="349">
        <v>1</v>
      </c>
    </row>
    <row r="2873" spans="1:32" s="348" customFormat="1" ht="15.75" customHeight="1">
      <c r="A2873" s="334" t="str">
        <f>IF(B2873&lt;&gt;"",IF(AND(B2873='IN-TC'!$S$4,OR(TH!N2871="1111",TH!O2871="1111")),TH!D2871,""),"")</f>
        <v/>
      </c>
      <c r="B2873" s="63">
        <f t="shared" si="294"/>
        <v>10</v>
      </c>
      <c r="C2873" s="64">
        <v>42674</v>
      </c>
      <c r="D2873" s="64" t="s">
        <v>908</v>
      </c>
      <c r="E2873" s="64">
        <f>C2873</f>
        <v>42674</v>
      </c>
      <c r="F2873" s="72" t="s">
        <v>1354</v>
      </c>
      <c r="G2873" s="972"/>
      <c r="H2873" s="72" t="s">
        <v>1356</v>
      </c>
      <c r="I2873" s="437"/>
      <c r="J2873" s="437"/>
      <c r="K2873" s="428"/>
      <c r="L2873" s="437"/>
      <c r="M2873" s="65">
        <v>2186364</v>
      </c>
      <c r="N2873" s="66" t="s">
        <v>101</v>
      </c>
      <c r="O2873" s="66" t="s">
        <v>63</v>
      </c>
      <c r="P2873" s="82" t="str">
        <f>IF(AND('331-CT'!$E$7=TH!H2871,OR(N2873="331",O2873="331")),"x","")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IF(OR(TH!N2871=TH!$X$7,O2873=TH!$X$7),"x","")</f>
        <v/>
      </c>
      <c r="Y2873" s="82" t="str">
        <f>IF(AND(OR(N2873="131",O2873="131"),H2873='131-CT'!$H$9),"x","")</f>
        <v/>
      </c>
      <c r="Z2873" s="82"/>
      <c r="AA2873" s="82" t="str">
        <f>IF(AND(MONTH(E2873)='IN-NX'!$J$5,'IN-NX'!$D$7=D2873),"x","")</f>
        <v/>
      </c>
      <c r="AB2873" s="82" t="str">
        <f>IF(AND(OR(LEFT(TH!N2871,2)="15",LEFT(TH!O2871,2)="15"),LEFT(TH!O2871,3)&lt;&gt;"111",'152-CT'!$J$8=TH!F2871),"x","")</f>
        <v/>
      </c>
      <c r="AC2873" s="82" t="str">
        <f>IF(AND(OR(LEFT(TH!N2871,2)="15",LEFT(TH!O2871,2)="15"),TK!$E$7=TH!F2871),"x","")</f>
        <v/>
      </c>
      <c r="AD2873" s="82" t="str">
        <f>IF(AND(N2873="1521",MONTH(C2873)='BK-NL'!$M$11),"x","")</f>
        <v/>
      </c>
      <c r="AE2873" s="349">
        <v>1</v>
      </c>
      <c r="AF2873" s="349"/>
    </row>
    <row r="2874" spans="1:32" s="349" customFormat="1" ht="15.75" customHeight="1">
      <c r="A2874" s="334" t="str">
        <f>IF(B2874&lt;&gt;"",IF(AND(B2874='IN-TC'!$S$4,OR(TH!N2874="1111",TH!O2874="1111")),TH!D2874,""),"")</f>
        <v/>
      </c>
      <c r="B2874" s="63">
        <f t="shared" si="294"/>
        <v>10</v>
      </c>
      <c r="C2874" s="64">
        <v>42648</v>
      </c>
      <c r="D2874" s="64" t="s">
        <v>674</v>
      </c>
      <c r="E2874" s="64">
        <f>C2874</f>
        <v>42648</v>
      </c>
      <c r="F2874" s="72" t="s">
        <v>353</v>
      </c>
      <c r="G2874" s="972" t="s">
        <v>2109</v>
      </c>
      <c r="H2874" s="72" t="s">
        <v>619</v>
      </c>
      <c r="I2874" s="437">
        <v>3000</v>
      </c>
      <c r="J2874" s="437">
        <v>3200</v>
      </c>
      <c r="K2874" s="428"/>
      <c r="L2874" s="437"/>
      <c r="M2874" s="65">
        <f>ROUND(I2874*J2874,0)</f>
        <v>9600000</v>
      </c>
      <c r="N2874" s="66" t="s">
        <v>276</v>
      </c>
      <c r="O2874" s="66" t="s">
        <v>8</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c r="AE2874" s="349">
        <v>1</v>
      </c>
    </row>
    <row r="2875" spans="1:32" s="349" customFormat="1" ht="15.75" customHeight="1">
      <c r="A2875" s="334" t="str">
        <f>IF(B2875&lt;&gt;"",IF(AND(B2875='IN-TC'!$S$4,OR(TH!N2872="1111",TH!O2872="1111")),TH!D2872,""),"")</f>
        <v/>
      </c>
      <c r="B2875" s="63">
        <f t="shared" si="294"/>
        <v>10</v>
      </c>
      <c r="C2875" s="64">
        <v>42674</v>
      </c>
      <c r="D2875" s="64" t="s">
        <v>908</v>
      </c>
      <c r="E2875" s="64">
        <f>C2875</f>
        <v>42674</v>
      </c>
      <c r="F2875" s="72" t="s">
        <v>1355</v>
      </c>
      <c r="G2875" s="972"/>
      <c r="H2875" s="72" t="s">
        <v>1356</v>
      </c>
      <c r="I2875" s="437"/>
      <c r="J2875" s="437"/>
      <c r="K2875" s="428"/>
      <c r="L2875" s="437"/>
      <c r="M2875" s="65">
        <v>218636</v>
      </c>
      <c r="N2875" s="66" t="s">
        <v>9</v>
      </c>
      <c r="O2875" s="66" t="s">
        <v>63</v>
      </c>
      <c r="P2875" s="82" t="str">
        <f>IF(AND('331-CT'!$E$7=TH!H2872,OR(N2875="331",O2875="331")),"x","")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IF(OR(TH!N2872=TH!$X$7,O2875=TH!$X$7),"x","")</f>
        <v>x</v>
      </c>
      <c r="Y2875" s="82" t="str">
        <f>IF(AND(OR(N2875="131",O2875="131"),H2875='131-CT'!$H$9),"x","")</f>
        <v/>
      </c>
      <c r="Z2875" s="82"/>
      <c r="AA2875" s="82" t="str">
        <f>IF(AND(MONTH(E2875)='IN-NX'!$J$5,'IN-NX'!$D$7=D2875),"x","")</f>
        <v/>
      </c>
      <c r="AB2875" s="82" t="str">
        <f>IF(AND(OR(LEFT(TH!N2872,2)="15",LEFT(TH!O2872,2)="15"),LEFT(TH!O2872,3)&lt;&gt;"111",'152-CT'!$J$8=TH!F2872),"x","")</f>
        <v/>
      </c>
      <c r="AC2875" s="82" t="str">
        <f>IF(AND(OR(LEFT(TH!N2872,2)="15",LEFT(TH!O2872,2)="15"),TK!$E$7=TH!F2872),"x","")</f>
        <v/>
      </c>
      <c r="AD2875" s="82" t="str">
        <f>IF(AND(N2875="1521",MONTH(C2875)='BK-NL'!$M$11),"x","")</f>
        <v/>
      </c>
      <c r="AE2875" s="349">
        <v>1</v>
      </c>
    </row>
    <row r="2876" spans="1:32" s="348" customFormat="1" ht="15.75" customHeight="1">
      <c r="A2876" s="1229" t="str">
        <f>IF(B2876&lt;&gt;"",IF(AND(B2876='IN-TC'!$S$4,OR(TH!N2873="1111",TH!O2873="1111")),TH!D2873,""),"")</f>
        <v/>
      </c>
      <c r="B2876" s="1134">
        <f t="shared" si="294"/>
        <v>10</v>
      </c>
      <c r="C2876" s="92">
        <v>42674</v>
      </c>
      <c r="D2876" s="92" t="s">
        <v>909</v>
      </c>
      <c r="E2876" s="92">
        <f>C2876</f>
        <v>42674</v>
      </c>
      <c r="F2876" s="94" t="s">
        <v>2108</v>
      </c>
      <c r="G2876" s="93"/>
      <c r="H2876" s="94" t="s">
        <v>845</v>
      </c>
      <c r="I2876" s="443"/>
      <c r="J2876" s="443"/>
      <c r="K2876" s="434"/>
      <c r="L2876" s="443"/>
      <c r="M2876" s="95"/>
      <c r="N2876" s="83" t="s">
        <v>589</v>
      </c>
      <c r="O2876" s="83" t="s">
        <v>63</v>
      </c>
      <c r="P2876" s="82" t="str">
        <f>IF(AND('331-CT'!$E$7=TH!H2873,OR(N2876="331",O2876="331")),"x","")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IF(OR(TH!N2873=TH!$X$7,O2876=TH!$X$7),"x","")</f>
        <v/>
      </c>
      <c r="Y2876" s="82" t="str">
        <f>IF(AND(OR(N2876="131",O2876="131"),H2876='131-CT'!$H$9),"x","")</f>
        <v/>
      </c>
      <c r="Z2876" s="82"/>
      <c r="AA2876" s="82" t="str">
        <f>IF(AND(MONTH(E2876)='IN-NX'!$J$5,'IN-NX'!$D$7=D2876),"x","")</f>
        <v/>
      </c>
      <c r="AB2876" s="82" t="str">
        <f>IF(AND(OR(LEFT(TH!N2873,2)="15",LEFT(TH!O2873,2)="15"),LEFT(TH!O2873,3)&lt;&gt;"111",'152-CT'!$J$8=TH!F2873),"x","")</f>
        <v/>
      </c>
      <c r="AC2876" s="82" t="str">
        <f>IF(AND(OR(LEFT(TH!N2873,2)="15",LEFT(TH!O2873,2)="15"),TK!$E$7=TH!F2873),"x","")</f>
        <v/>
      </c>
      <c r="AD2876" s="82" t="str">
        <f>IF(AND(N2876="1521",MONTH(C2876)='BK-NL'!$M$11),"x","")</f>
        <v/>
      </c>
    </row>
    <row r="2877" spans="1:32" s="349" customFormat="1" ht="15.75" customHeight="1">
      <c r="A2877" s="334" t="str">
        <f>IF(B2877&lt;&gt;"",IF(AND(B2877='IN-TC'!$S$4,OR(TH!N2877="1111",TH!O2877="1111")),TH!D2877,""),"")</f>
        <v/>
      </c>
      <c r="B2877" s="63">
        <f t="shared" si="278"/>
        <v>10</v>
      </c>
      <c r="C2877" s="64">
        <v>42670</v>
      </c>
      <c r="D2877" s="64" t="s">
        <v>579</v>
      </c>
      <c r="E2877" s="64">
        <f t="shared" ref="E2877:E2878" si="308">C2877</f>
        <v>42670</v>
      </c>
      <c r="F2877" s="72" t="s">
        <v>1745</v>
      </c>
      <c r="G2877" s="972" t="s">
        <v>2110</v>
      </c>
      <c r="H2877" s="72" t="s">
        <v>1747</v>
      </c>
      <c r="I2877" s="437"/>
      <c r="J2877" s="437"/>
      <c r="K2877" s="428"/>
      <c r="L2877" s="437"/>
      <c r="M2877" s="65">
        <v>26704545</v>
      </c>
      <c r="N2877" s="66" t="s">
        <v>101</v>
      </c>
      <c r="O2877" s="66" t="s">
        <v>8</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c r="AE2877" s="349">
        <v>1</v>
      </c>
    </row>
    <row r="2878" spans="1:32" s="349" customFormat="1" ht="15.75" customHeight="1">
      <c r="A2878" s="334" t="str">
        <f>IF(B2878&lt;&gt;"",IF(AND(B2878='IN-TC'!$S$4,OR(TH!N2878="1111",TH!O2878="1111")),TH!D2878,""),"")</f>
        <v/>
      </c>
      <c r="B2878" s="63">
        <f t="shared" si="278"/>
        <v>10</v>
      </c>
      <c r="C2878" s="64">
        <v>42670</v>
      </c>
      <c r="D2878" s="64" t="s">
        <v>579</v>
      </c>
      <c r="E2878" s="64">
        <f t="shared" si="308"/>
        <v>42670</v>
      </c>
      <c r="F2878" s="72" t="s">
        <v>1746</v>
      </c>
      <c r="G2878" s="972" t="s">
        <v>2110</v>
      </c>
      <c r="H2878" s="72" t="s">
        <v>1747</v>
      </c>
      <c r="I2878" s="437"/>
      <c r="J2878" s="437"/>
      <c r="K2878" s="428"/>
      <c r="L2878" s="437"/>
      <c r="M2878" s="65">
        <v>2670455</v>
      </c>
      <c r="N2878" s="66" t="s">
        <v>9</v>
      </c>
      <c r="O2878" s="66" t="s">
        <v>8</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x</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E2878" s="349">
        <v>1</v>
      </c>
    </row>
    <row r="2879" spans="1:32" s="349" customFormat="1" ht="15.75" customHeight="1">
      <c r="A2879" s="334" t="str">
        <f>IF(B2879&lt;&gt;"",IF(AND(B2879='IN-TC'!$S$4,OR(TH!N2879="1111",TH!O2879="1111")),TH!D2879,""),"")</f>
        <v/>
      </c>
      <c r="B2879" s="63">
        <f t="shared" ref="B2879:B2884" si="309">IF(C2879&lt;&gt;"",MONTH(C2879),"")</f>
        <v>10</v>
      </c>
      <c r="C2879" s="64">
        <v>42647</v>
      </c>
      <c r="D2879" s="64" t="s">
        <v>579</v>
      </c>
      <c r="E2879" s="64">
        <f t="shared" ref="E2879:E2884" si="310">C2879</f>
        <v>42647</v>
      </c>
      <c r="F2879" s="72" t="s">
        <v>636</v>
      </c>
      <c r="G2879" s="972" t="s">
        <v>2114</v>
      </c>
      <c r="H2879" s="72" t="s">
        <v>627</v>
      </c>
      <c r="I2879" s="437"/>
      <c r="J2879" s="437"/>
      <c r="K2879" s="428"/>
      <c r="L2879" s="437"/>
      <c r="M2879" s="65">
        <v>2000000</v>
      </c>
      <c r="N2879" s="66" t="s">
        <v>588</v>
      </c>
      <c r="O2879" s="66" t="s">
        <v>8</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c r="AE2879" s="349">
        <v>1</v>
      </c>
    </row>
    <row r="2880" spans="1:32" s="349" customFormat="1" ht="15.75" customHeight="1">
      <c r="A2880" s="334" t="str">
        <f>IF(B2880&lt;&gt;"",IF(AND(B2880='IN-TC'!$S$4,OR(TH!N2880="1111",TH!O2880="1111")),TH!D2880,""),"")</f>
        <v/>
      </c>
      <c r="B2880" s="63">
        <f t="shared" si="309"/>
        <v>10</v>
      </c>
      <c r="C2880" s="64">
        <v>42647</v>
      </c>
      <c r="D2880" s="64" t="s">
        <v>579</v>
      </c>
      <c r="E2880" s="64">
        <f t="shared" si="310"/>
        <v>42647</v>
      </c>
      <c r="F2880" s="72" t="s">
        <v>637</v>
      </c>
      <c r="G2880" s="972" t="s">
        <v>2114</v>
      </c>
      <c r="H2880" s="72" t="s">
        <v>627</v>
      </c>
      <c r="I2880" s="437"/>
      <c r="J2880" s="437"/>
      <c r="K2880" s="428"/>
      <c r="L2880" s="437"/>
      <c r="M2880" s="65">
        <v>200000</v>
      </c>
      <c r="N2880" s="66" t="s">
        <v>9</v>
      </c>
      <c r="O2880" s="66" t="s">
        <v>8</v>
      </c>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x</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c r="AE2880" s="349">
        <v>1</v>
      </c>
    </row>
    <row r="2881" spans="1:31" s="349" customFormat="1" ht="15.75" customHeight="1">
      <c r="A2881" s="334" t="str">
        <f>IF(B2881&lt;&gt;"",IF(AND(B2881='IN-TC'!$S$4,OR(TH!N2881="1111",TH!O2881="1111")),TH!D2881,""),"")</f>
        <v/>
      </c>
      <c r="B2881" s="63">
        <f t="shared" si="309"/>
        <v>10</v>
      </c>
      <c r="C2881" s="64">
        <v>42669</v>
      </c>
      <c r="D2881" s="64" t="s">
        <v>579</v>
      </c>
      <c r="E2881" s="64">
        <f t="shared" si="310"/>
        <v>42669</v>
      </c>
      <c r="F2881" s="72" t="s">
        <v>636</v>
      </c>
      <c r="G2881" s="972" t="s">
        <v>2111</v>
      </c>
      <c r="H2881" s="72" t="s">
        <v>627</v>
      </c>
      <c r="I2881" s="437"/>
      <c r="J2881" s="437"/>
      <c r="K2881" s="428"/>
      <c r="L2881" s="437"/>
      <c r="M2881" s="65">
        <v>3333000</v>
      </c>
      <c r="N2881" s="66" t="s">
        <v>588</v>
      </c>
      <c r="O2881" s="66" t="s">
        <v>8</v>
      </c>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c r="AE2881" s="349">
        <v>1</v>
      </c>
    </row>
    <row r="2882" spans="1:31" s="349" customFormat="1" ht="15.75" customHeight="1">
      <c r="A2882" s="334" t="str">
        <f>IF(B2882&lt;&gt;"",IF(AND(B2882='IN-TC'!$S$4,OR(TH!N2882="1111",TH!O2882="1111")),TH!D2882,""),"")</f>
        <v/>
      </c>
      <c r="B2882" s="63">
        <f t="shared" si="309"/>
        <v>10</v>
      </c>
      <c r="C2882" s="64">
        <v>42669</v>
      </c>
      <c r="D2882" s="64" t="s">
        <v>579</v>
      </c>
      <c r="E2882" s="64">
        <f t="shared" si="310"/>
        <v>42669</v>
      </c>
      <c r="F2882" s="72" t="s">
        <v>637</v>
      </c>
      <c r="G2882" s="972" t="s">
        <v>2111</v>
      </c>
      <c r="H2882" s="72" t="s">
        <v>627</v>
      </c>
      <c r="I2882" s="437"/>
      <c r="J2882" s="437"/>
      <c r="K2882" s="428"/>
      <c r="L2882" s="437"/>
      <c r="M2882" s="65">
        <v>333300</v>
      </c>
      <c r="N2882" s="66" t="s">
        <v>9</v>
      </c>
      <c r="O2882" s="66" t="s">
        <v>8</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x</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c r="AE2882" s="349">
        <v>1</v>
      </c>
    </row>
    <row r="2883" spans="1:31" s="349" customFormat="1" ht="15.75" customHeight="1">
      <c r="A2883" s="334" t="str">
        <f>IF(B2883&lt;&gt;"",IF(AND(B2883='IN-TC'!$S$4,OR(TH!N2883="1111",TH!O2883="1111")),TH!D2883,""),"")</f>
        <v/>
      </c>
      <c r="B2883" s="63">
        <f t="shared" si="309"/>
        <v>10</v>
      </c>
      <c r="C2883" s="64">
        <v>42674</v>
      </c>
      <c r="D2883" s="64" t="s">
        <v>579</v>
      </c>
      <c r="E2883" s="64">
        <f t="shared" si="310"/>
        <v>42674</v>
      </c>
      <c r="F2883" s="72" t="s">
        <v>2112</v>
      </c>
      <c r="G2883" s="972" t="s">
        <v>2169</v>
      </c>
      <c r="H2883" s="72" t="s">
        <v>627</v>
      </c>
      <c r="I2883" s="437"/>
      <c r="J2883" s="437"/>
      <c r="K2883" s="428"/>
      <c r="L2883" s="437"/>
      <c r="M2883" s="65">
        <v>125081028</v>
      </c>
      <c r="N2883" s="66" t="s">
        <v>588</v>
      </c>
      <c r="O2883" s="66" t="s">
        <v>8</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c r="AE2883" s="349">
        <v>1</v>
      </c>
    </row>
    <row r="2884" spans="1:31" s="349" customFormat="1" ht="15.75" customHeight="1">
      <c r="A2884" s="334" t="str">
        <f>IF(B2884&lt;&gt;"",IF(AND(B2884='IN-TC'!$S$4,OR(TH!N2884="1111",TH!O2884="1111")),TH!D2884,""),"")</f>
        <v/>
      </c>
      <c r="B2884" s="63">
        <f t="shared" si="309"/>
        <v>10</v>
      </c>
      <c r="C2884" s="64">
        <v>42674</v>
      </c>
      <c r="D2884" s="64" t="s">
        <v>579</v>
      </c>
      <c r="E2884" s="64">
        <f t="shared" si="310"/>
        <v>42674</v>
      </c>
      <c r="F2884" s="72" t="s">
        <v>2113</v>
      </c>
      <c r="G2884" s="972" t="s">
        <v>2169</v>
      </c>
      <c r="H2884" s="72" t="s">
        <v>627</v>
      </c>
      <c r="I2884" s="437"/>
      <c r="J2884" s="437"/>
      <c r="K2884" s="428"/>
      <c r="L2884" s="437"/>
      <c r="M2884" s="65">
        <v>12508103</v>
      </c>
      <c r="N2884" s="66" t="s">
        <v>9</v>
      </c>
      <c r="O2884" s="66" t="s">
        <v>8</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x</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c r="AE2884" s="349">
        <v>1</v>
      </c>
    </row>
    <row r="2885" spans="1:31" s="349" customFormat="1" ht="15.75" customHeight="1">
      <c r="A2885" s="334" t="str">
        <f>IF(B2885&lt;&gt;"",IF(AND(B2885='IN-TC'!$S$4,OR(TH!N2885="1111",TH!O2885="1111")),TH!D2885,""),"")</f>
        <v/>
      </c>
      <c r="B2885" s="63">
        <f t="shared" si="278"/>
        <v>10</v>
      </c>
      <c r="C2885" s="64">
        <v>42648</v>
      </c>
      <c r="D2885" s="64" t="s">
        <v>579</v>
      </c>
      <c r="E2885" s="64">
        <f t="shared" ref="E2885:E2894" si="311">C2885</f>
        <v>42648</v>
      </c>
      <c r="F2885" s="72" t="s">
        <v>2119</v>
      </c>
      <c r="G2885" s="972" t="s">
        <v>2115</v>
      </c>
      <c r="H2885" s="72" t="s">
        <v>2116</v>
      </c>
      <c r="I2885" s="437"/>
      <c r="J2885" s="437"/>
      <c r="K2885" s="428"/>
      <c r="L2885" s="437"/>
      <c r="M2885" s="65">
        <v>11870800</v>
      </c>
      <c r="N2885" s="66" t="s">
        <v>101</v>
      </c>
      <c r="O2885" s="66" t="s">
        <v>8</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c r="AE2885" s="349">
        <v>1</v>
      </c>
    </row>
    <row r="2886" spans="1:31" s="349" customFormat="1" ht="15.75" customHeight="1">
      <c r="A2886" s="334" t="str">
        <f>IF(B2886&lt;&gt;"",IF(AND(B2886='IN-TC'!$S$4,OR(TH!N2886="1111",TH!O2886="1111")),TH!D2886,""),"")</f>
        <v/>
      </c>
      <c r="B2886" s="63">
        <f t="shared" si="278"/>
        <v>10</v>
      </c>
      <c r="C2886" s="64">
        <v>42648</v>
      </c>
      <c r="D2886" s="64" t="s">
        <v>579</v>
      </c>
      <c r="E2886" s="64">
        <f t="shared" si="311"/>
        <v>42648</v>
      </c>
      <c r="F2886" s="72" t="s">
        <v>2118</v>
      </c>
      <c r="G2886" s="972" t="s">
        <v>2115</v>
      </c>
      <c r="H2886" s="72" t="s">
        <v>2116</v>
      </c>
      <c r="I2886" s="437"/>
      <c r="J2886" s="437"/>
      <c r="K2886" s="428"/>
      <c r="L2886" s="437"/>
      <c r="M2886" s="65">
        <v>1187080</v>
      </c>
      <c r="N2886" s="66" t="s">
        <v>9</v>
      </c>
      <c r="O2886" s="66" t="s">
        <v>8</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x</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c r="AE2886" s="349">
        <v>1</v>
      </c>
    </row>
    <row r="2887" spans="1:31" s="349" customFormat="1" ht="15.75" customHeight="1">
      <c r="A2887" s="334" t="str">
        <f>IF(B2887&lt;&gt;"",IF(AND(B2887='IN-TC'!$S$4,OR(TH!N2887="1111",TH!O2887="1111")),TH!D2887,""),"")</f>
        <v/>
      </c>
      <c r="B2887" s="63">
        <f t="shared" si="278"/>
        <v>10</v>
      </c>
      <c r="C2887" s="64">
        <v>42648</v>
      </c>
      <c r="D2887" s="64" t="s">
        <v>579</v>
      </c>
      <c r="E2887" s="64">
        <f t="shared" si="311"/>
        <v>42648</v>
      </c>
      <c r="F2887" s="72" t="s">
        <v>2117</v>
      </c>
      <c r="G2887" s="972" t="s">
        <v>2115</v>
      </c>
      <c r="H2887" s="72" t="s">
        <v>2116</v>
      </c>
      <c r="I2887" s="437"/>
      <c r="J2887" s="437"/>
      <c r="K2887" s="428"/>
      <c r="L2887" s="437"/>
      <c r="M2887" s="65">
        <v>140000</v>
      </c>
      <c r="N2887" s="66" t="s">
        <v>101</v>
      </c>
      <c r="O2887" s="66" t="s">
        <v>8</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1" s="349" customFormat="1" ht="15.75" customHeight="1">
      <c r="A2888" s="334" t="str">
        <f>IF(B2888&lt;&gt;"",IF(AND(B2888='IN-TC'!$S$4,OR(TH!N2888="1111",TH!O2888="1111")),TH!D2888,""),"")</f>
        <v/>
      </c>
      <c r="B2888" s="63">
        <f t="shared" si="278"/>
        <v>10</v>
      </c>
      <c r="C2888" s="64">
        <v>42656</v>
      </c>
      <c r="D2888" s="64" t="s">
        <v>579</v>
      </c>
      <c r="E2888" s="64">
        <f t="shared" si="311"/>
        <v>42656</v>
      </c>
      <c r="F2888" s="72" t="s">
        <v>2121</v>
      </c>
      <c r="G2888" s="972" t="s">
        <v>2123</v>
      </c>
      <c r="H2888" s="7" t="s">
        <v>625</v>
      </c>
      <c r="I2888" s="437"/>
      <c r="J2888" s="437"/>
      <c r="K2888" s="428"/>
      <c r="L2888" s="437"/>
      <c r="M2888" s="65">
        <v>46800000</v>
      </c>
      <c r="N2888" s="66" t="s">
        <v>588</v>
      </c>
      <c r="O2888" s="66" t="s">
        <v>8</v>
      </c>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c r="AE2888" s="349">
        <v>1</v>
      </c>
    </row>
    <row r="2889" spans="1:31" s="349" customFormat="1" ht="15.75" customHeight="1">
      <c r="A2889" s="334" t="str">
        <f>IF(B2889&lt;&gt;"",IF(AND(B2889='IN-TC'!$S$4,OR(TH!N2889="1111",TH!O2889="1111")),TH!D2889,""),"")</f>
        <v/>
      </c>
      <c r="B2889" s="63">
        <f t="shared" si="278"/>
        <v>10</v>
      </c>
      <c r="C2889" s="64">
        <v>42656</v>
      </c>
      <c r="D2889" s="64" t="s">
        <v>579</v>
      </c>
      <c r="E2889" s="64">
        <f t="shared" si="311"/>
        <v>42656</v>
      </c>
      <c r="F2889" s="72" t="s">
        <v>2122</v>
      </c>
      <c r="G2889" s="972" t="s">
        <v>2123</v>
      </c>
      <c r="H2889" s="7" t="s">
        <v>625</v>
      </c>
      <c r="I2889" s="437"/>
      <c r="J2889" s="437"/>
      <c r="K2889" s="428"/>
      <c r="L2889" s="437"/>
      <c r="M2889" s="65">
        <v>4680000</v>
      </c>
      <c r="N2889" s="66" t="s">
        <v>9</v>
      </c>
      <c r="O2889" s="66" t="s">
        <v>8</v>
      </c>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x</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c r="AE2889" s="349">
        <v>1</v>
      </c>
    </row>
    <row r="2890" spans="1:31" s="349" customFormat="1" ht="15.75" customHeight="1">
      <c r="A2890" s="334" t="str">
        <f>IF(B2890&lt;&gt;"",IF(AND(B2890='IN-TC'!$S$4,OR(TH!N2890="1111",TH!O2890="1111")),TH!D2890,""),"")</f>
        <v/>
      </c>
      <c r="B2890" s="63">
        <f t="shared" si="278"/>
        <v>10</v>
      </c>
      <c r="C2890" s="64">
        <v>42656</v>
      </c>
      <c r="D2890" s="64" t="s">
        <v>579</v>
      </c>
      <c r="E2890" s="64">
        <f t="shared" si="311"/>
        <v>42656</v>
      </c>
      <c r="F2890" s="72" t="s">
        <v>2121</v>
      </c>
      <c r="G2890" s="972" t="s">
        <v>2124</v>
      </c>
      <c r="H2890" s="7" t="s">
        <v>625</v>
      </c>
      <c r="I2890" s="437"/>
      <c r="J2890" s="437"/>
      <c r="K2890" s="428"/>
      <c r="L2890" s="437"/>
      <c r="M2890" s="65">
        <v>46800000</v>
      </c>
      <c r="N2890" s="66" t="s">
        <v>588</v>
      </c>
      <c r="O2890" s="66" t="s">
        <v>8</v>
      </c>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c r="AE2890" s="349">
        <v>1</v>
      </c>
    </row>
    <row r="2891" spans="1:31" s="349" customFormat="1" ht="15.75" customHeight="1">
      <c r="A2891" s="334" t="str">
        <f>IF(B2891&lt;&gt;"",IF(AND(B2891='IN-TC'!$S$4,OR(TH!N2891="1111",TH!O2891="1111")),TH!D2891,""),"")</f>
        <v/>
      </c>
      <c r="B2891" s="63">
        <f t="shared" si="278"/>
        <v>10</v>
      </c>
      <c r="C2891" s="64">
        <v>42656</v>
      </c>
      <c r="D2891" s="64" t="s">
        <v>579</v>
      </c>
      <c r="E2891" s="64">
        <f t="shared" si="311"/>
        <v>42656</v>
      </c>
      <c r="F2891" s="72" t="s">
        <v>2122</v>
      </c>
      <c r="G2891" s="972" t="s">
        <v>2124</v>
      </c>
      <c r="H2891" s="7" t="s">
        <v>625</v>
      </c>
      <c r="I2891" s="437"/>
      <c r="J2891" s="437"/>
      <c r="K2891" s="428"/>
      <c r="L2891" s="437"/>
      <c r="M2891" s="65">
        <v>4680000</v>
      </c>
      <c r="N2891" s="66" t="s">
        <v>9</v>
      </c>
      <c r="O2891" s="66" t="s">
        <v>8</v>
      </c>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x</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c r="AE2891" s="349">
        <v>1</v>
      </c>
    </row>
    <row r="2892" spans="1:31" s="349" customFormat="1" ht="15.75" customHeight="1">
      <c r="A2892" s="334" t="str">
        <f>IF(B2892&lt;&gt;"",IF(AND(B2892='IN-TC'!$S$4,OR(TH!N2892="1111",TH!O2892="1111")),TH!D2892,""),"")</f>
        <v/>
      </c>
      <c r="B2892" s="63">
        <f t="shared" si="278"/>
        <v>10</v>
      </c>
      <c r="C2892" s="64">
        <v>42663</v>
      </c>
      <c r="D2892" s="64" t="s">
        <v>579</v>
      </c>
      <c r="E2892" s="64">
        <f t="shared" si="311"/>
        <v>42663</v>
      </c>
      <c r="F2892" s="72" t="s">
        <v>2128</v>
      </c>
      <c r="G2892" s="972" t="s">
        <v>2129</v>
      </c>
      <c r="H2892" s="72" t="s">
        <v>1860</v>
      </c>
      <c r="I2892" s="437"/>
      <c r="J2892" s="437"/>
      <c r="K2892" s="428"/>
      <c r="L2892" s="437"/>
      <c r="M2892" s="65">
        <v>6256000</v>
      </c>
      <c r="N2892" s="66" t="s">
        <v>588</v>
      </c>
      <c r="O2892" s="66" t="s">
        <v>8</v>
      </c>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1" s="349" customFormat="1" ht="15.75" customHeight="1">
      <c r="A2893" s="334" t="str">
        <f>IF(B2893&lt;&gt;"",IF(AND(B2893='IN-TC'!$S$4,OR(TH!N2893="1111",TH!O2893="1111")),TH!D2893,""),"")</f>
        <v/>
      </c>
      <c r="B2893" s="63">
        <f t="shared" si="278"/>
        <v>10</v>
      </c>
      <c r="C2893" s="64">
        <v>42663</v>
      </c>
      <c r="D2893" s="64" t="s">
        <v>579</v>
      </c>
      <c r="E2893" s="64">
        <f>C2893</f>
        <v>42663</v>
      </c>
      <c r="F2893" s="72" t="s">
        <v>2131</v>
      </c>
      <c r="G2893" s="972" t="s">
        <v>2130</v>
      </c>
      <c r="H2893" s="72" t="s">
        <v>1860</v>
      </c>
      <c r="I2893" s="437"/>
      <c r="J2893" s="437"/>
      <c r="K2893" s="428"/>
      <c r="L2893" s="437"/>
      <c r="M2893" s="65">
        <v>3733610</v>
      </c>
      <c r="N2893" s="66" t="s">
        <v>588</v>
      </c>
      <c r="O2893" s="66" t="s">
        <v>8</v>
      </c>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c r="AE2893" s="349">
        <v>1</v>
      </c>
    </row>
    <row r="2894" spans="1:31" s="349" customFormat="1" ht="15.75" customHeight="1">
      <c r="A2894" s="334" t="str">
        <f>IF(B2894&lt;&gt;"",IF(AND(B2894='IN-TC'!$S$4,OR(TH!N2894="1111",TH!O2894="1111")),TH!D2894,""),"")</f>
        <v/>
      </c>
      <c r="B2894" s="63">
        <f t="shared" si="278"/>
        <v>10</v>
      </c>
      <c r="C2894" s="64">
        <v>42663</v>
      </c>
      <c r="D2894" s="64" t="s">
        <v>579</v>
      </c>
      <c r="E2894" s="64">
        <f t="shared" si="311"/>
        <v>42663</v>
      </c>
      <c r="F2894" s="72" t="s">
        <v>2132</v>
      </c>
      <c r="G2894" s="972" t="s">
        <v>2130</v>
      </c>
      <c r="H2894" s="72" t="s">
        <v>1860</v>
      </c>
      <c r="I2894" s="437"/>
      <c r="J2894" s="437"/>
      <c r="K2894" s="428"/>
      <c r="L2894" s="437"/>
      <c r="M2894" s="65">
        <v>373361</v>
      </c>
      <c r="N2894" s="66" t="s">
        <v>9</v>
      </c>
      <c r="O2894" s="66" t="s">
        <v>8</v>
      </c>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x</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c r="AE2894" s="349">
        <v>1</v>
      </c>
    </row>
    <row r="2895" spans="1:31" s="349" customFormat="1" ht="15.75" customHeight="1">
      <c r="A2895" s="334" t="str">
        <f>IF(B2895&lt;&gt;"",IF(AND(B2895='IN-TC'!$S$4,OR(TH!N2895="1111",TH!O2895="1111")),TH!D2895,""),"")</f>
        <v/>
      </c>
      <c r="B2895" s="63">
        <f t="shared" si="278"/>
        <v>10</v>
      </c>
      <c r="C2895" s="64">
        <v>42674</v>
      </c>
      <c r="D2895" s="64" t="s">
        <v>579</v>
      </c>
      <c r="E2895" s="64">
        <v>42643</v>
      </c>
      <c r="F2895" s="72" t="s">
        <v>2144</v>
      </c>
      <c r="G2895" s="972" t="s">
        <v>1343</v>
      </c>
      <c r="H2895" s="72" t="s">
        <v>1498</v>
      </c>
      <c r="I2895" s="437"/>
      <c r="J2895" s="437"/>
      <c r="K2895" s="428"/>
      <c r="L2895" s="437"/>
      <c r="M2895" s="65">
        <v>8509635</v>
      </c>
      <c r="N2895" s="66" t="s">
        <v>588</v>
      </c>
      <c r="O2895" s="66" t="s">
        <v>8</v>
      </c>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c r="AE2895" s="349">
        <v>1</v>
      </c>
    </row>
    <row r="2896" spans="1:31" s="349" customFormat="1" ht="15.75" customHeight="1">
      <c r="A2896" s="334" t="str">
        <f>IF(B2896&lt;&gt;"",IF(AND(B2896='IN-TC'!$S$4,OR(TH!N2896="1111",TH!O2896="1111")),TH!D2896,""),"")</f>
        <v/>
      </c>
      <c r="B2896" s="63">
        <f t="shared" si="278"/>
        <v>10</v>
      </c>
      <c r="C2896" s="64">
        <v>42674</v>
      </c>
      <c r="D2896" s="64" t="s">
        <v>579</v>
      </c>
      <c r="E2896" s="64">
        <v>42643</v>
      </c>
      <c r="F2896" s="72" t="s">
        <v>2145</v>
      </c>
      <c r="G2896" s="972" t="s">
        <v>1343</v>
      </c>
      <c r="H2896" s="72" t="s">
        <v>1498</v>
      </c>
      <c r="I2896" s="437"/>
      <c r="J2896" s="437"/>
      <c r="K2896" s="428"/>
      <c r="L2896" s="437"/>
      <c r="M2896" s="65">
        <v>850964</v>
      </c>
      <c r="N2896" s="66" t="s">
        <v>9</v>
      </c>
      <c r="O2896" s="66" t="s">
        <v>8</v>
      </c>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x</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c r="AE2896" s="349">
        <v>1</v>
      </c>
    </row>
    <row r="2897" spans="1:31" s="349" customFormat="1" ht="15.75" customHeight="1">
      <c r="A2897" s="334" t="str">
        <f>IF(B2897&lt;&gt;"",IF(AND(B2897='IN-TC'!$S$4,OR(TH!N2897="1111",TH!O2897="1111")),TH!D2897,""),"")</f>
        <v/>
      </c>
      <c r="B2897" s="63">
        <f t="shared" ref="B2897" si="312">IF(C2897&lt;&gt;"",MONTH(C2897),"")</f>
        <v>10</v>
      </c>
      <c r="C2897" s="64">
        <v>42674</v>
      </c>
      <c r="D2897" s="64" t="s">
        <v>579</v>
      </c>
      <c r="E2897" s="64">
        <v>42643</v>
      </c>
      <c r="F2897" s="72" t="s">
        <v>1500</v>
      </c>
      <c r="G2897" s="972" t="s">
        <v>2146</v>
      </c>
      <c r="H2897" s="72" t="s">
        <v>1498</v>
      </c>
      <c r="I2897" s="437"/>
      <c r="J2897" s="437"/>
      <c r="K2897" s="428"/>
      <c r="L2897" s="437"/>
      <c r="M2897" s="65">
        <v>21218250</v>
      </c>
      <c r="N2897" s="66" t="s">
        <v>588</v>
      </c>
      <c r="O2897" s="66" t="s">
        <v>8</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1" s="349" customFormat="1" ht="15.75" customHeight="1">
      <c r="A2898" s="334" t="str">
        <f>IF(B2898&lt;&gt;"",IF(AND(B2898='IN-TC'!$S$4,OR(TH!N2898="1111",TH!O2898="1111")),TH!D2898,""),"")</f>
        <v/>
      </c>
      <c r="B2898" s="63">
        <f t="shared" si="278"/>
        <v>10</v>
      </c>
      <c r="C2898" s="64">
        <v>42674</v>
      </c>
      <c r="D2898" s="64" t="s">
        <v>579</v>
      </c>
      <c r="E2898" s="64">
        <v>42669</v>
      </c>
      <c r="F2898" s="72" t="s">
        <v>2141</v>
      </c>
      <c r="G2898" s="972" t="s">
        <v>2143</v>
      </c>
      <c r="H2898" s="72" t="s">
        <v>1498</v>
      </c>
      <c r="I2898" s="437"/>
      <c r="J2898" s="437"/>
      <c r="K2898" s="428"/>
      <c r="L2898" s="437"/>
      <c r="M2898" s="65">
        <v>23421390</v>
      </c>
      <c r="N2898" s="66" t="s">
        <v>588</v>
      </c>
      <c r="O2898" s="66" t="s">
        <v>8</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c r="AE2898" s="349">
        <v>1</v>
      </c>
    </row>
    <row r="2899" spans="1:31" s="349" customFormat="1" ht="15.75" customHeight="1">
      <c r="A2899" s="334" t="str">
        <f>IF(B2899&lt;&gt;"",IF(AND(B2899='IN-TC'!$S$4,OR(TH!N2899="1111",TH!O2899="1111")),TH!D2899,""),"")</f>
        <v/>
      </c>
      <c r="B2899" s="63">
        <f t="shared" si="278"/>
        <v>10</v>
      </c>
      <c r="C2899" s="64">
        <v>42674</v>
      </c>
      <c r="D2899" s="64" t="s">
        <v>579</v>
      </c>
      <c r="E2899" s="64">
        <v>42669</v>
      </c>
      <c r="F2899" s="72" t="s">
        <v>2142</v>
      </c>
      <c r="G2899" s="972" t="s">
        <v>2143</v>
      </c>
      <c r="H2899" s="72" t="s">
        <v>1498</v>
      </c>
      <c r="I2899" s="437"/>
      <c r="J2899" s="437"/>
      <c r="K2899" s="428"/>
      <c r="L2899" s="437"/>
      <c r="M2899" s="65">
        <v>2342139</v>
      </c>
      <c r="N2899" s="66" t="s">
        <v>9</v>
      </c>
      <c r="O2899" s="66" t="s">
        <v>8</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x</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c r="AE2899" s="349">
        <v>1</v>
      </c>
    </row>
    <row r="2900" spans="1:31" s="349" customFormat="1" ht="15.75" customHeight="1">
      <c r="A2900" s="334" t="str">
        <f>IF(B2900&lt;&gt;"",IF(AND(B2900='IN-TC'!$S$4,OR(TH!N2900="1111",TH!O2900="1111")),TH!D2900,""),"")</f>
        <v/>
      </c>
      <c r="B2900" s="63">
        <f t="shared" si="278"/>
        <v>10</v>
      </c>
      <c r="C2900" s="64">
        <v>42674</v>
      </c>
      <c r="D2900" s="64" t="s">
        <v>579</v>
      </c>
      <c r="E2900" s="64">
        <v>42669</v>
      </c>
      <c r="F2900" s="72" t="s">
        <v>1500</v>
      </c>
      <c r="G2900" s="972" t="s">
        <v>2147</v>
      </c>
      <c r="H2900" s="72" t="s">
        <v>1498</v>
      </c>
      <c r="I2900" s="437"/>
      <c r="J2900" s="437"/>
      <c r="K2900" s="428"/>
      <c r="L2900" s="437"/>
      <c r="M2900" s="65">
        <v>26172900</v>
      </c>
      <c r="N2900" s="66" t="s">
        <v>588</v>
      </c>
      <c r="O2900" s="66" t="s">
        <v>8</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1" s="349" customFormat="1" ht="15.75" customHeight="1">
      <c r="A2901" s="334" t="str">
        <f>IF(B2901&lt;&gt;"",IF(AND(B2901='IN-TC'!$S$4,OR(TH!N2901="1111",TH!O2901="1111")),TH!D2901,""),"")</f>
        <v/>
      </c>
      <c r="B2901" s="1184">
        <f t="shared" ref="B2901:B2910" si="313">IF(C2901&lt;&gt;"",MONTH(C2901),"")</f>
        <v>10</v>
      </c>
      <c r="C2901" s="1213">
        <v>42656</v>
      </c>
      <c r="D2901" s="64" t="s">
        <v>579</v>
      </c>
      <c r="E2901" s="1213">
        <v>42643</v>
      </c>
      <c r="F2901" s="72" t="s">
        <v>766</v>
      </c>
      <c r="G2901" s="1222" t="s">
        <v>2125</v>
      </c>
      <c r="H2901" s="1215" t="s">
        <v>2127</v>
      </c>
      <c r="I2901" s="1216"/>
      <c r="J2901" s="1216"/>
      <c r="K2901" s="1217"/>
      <c r="L2901" s="1216"/>
      <c r="M2901" s="1218">
        <v>4000000</v>
      </c>
      <c r="N2901" s="1219" t="s">
        <v>588</v>
      </c>
      <c r="O2901" s="1219" t="s">
        <v>8</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c r="AE2901" s="349">
        <v>1</v>
      </c>
    </row>
    <row r="2902" spans="1:31" s="349" customFormat="1" ht="15.75" customHeight="1">
      <c r="A2902" s="334" t="str">
        <f>IF(B2902&lt;&gt;"",IF(AND(B2902='IN-TC'!$S$4,OR(TH!N2902="1111",TH!O2902="1111")),TH!D2902,""),"")</f>
        <v/>
      </c>
      <c r="B2902" s="1184">
        <f t="shared" si="313"/>
        <v>10</v>
      </c>
      <c r="C2902" s="1213">
        <v>42656</v>
      </c>
      <c r="D2902" s="64" t="s">
        <v>579</v>
      </c>
      <c r="E2902" s="1213">
        <v>42643</v>
      </c>
      <c r="F2902" s="72" t="s">
        <v>767</v>
      </c>
      <c r="G2902" s="1222" t="s">
        <v>2125</v>
      </c>
      <c r="H2902" s="1215" t="s">
        <v>2127</v>
      </c>
      <c r="I2902" s="1216"/>
      <c r="J2902" s="1216"/>
      <c r="K2902" s="1217"/>
      <c r="L2902" s="1216"/>
      <c r="M2902" s="1218">
        <v>400000</v>
      </c>
      <c r="N2902" s="1219" t="s">
        <v>9</v>
      </c>
      <c r="O2902" s="1219" t="s">
        <v>8</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x</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c r="AE2902" s="349">
        <v>1</v>
      </c>
    </row>
    <row r="2903" spans="1:31" s="349" customFormat="1" ht="15.75" customHeight="1">
      <c r="A2903" s="334" t="str">
        <f>IF(B2903&lt;&gt;"",IF(AND(B2903='IN-TC'!$S$4,OR(TH!N2903="1111",TH!O2903="1111")),TH!D2903,""),"")</f>
        <v/>
      </c>
      <c r="B2903" s="1184">
        <f t="shared" si="313"/>
        <v>10</v>
      </c>
      <c r="C2903" s="1213">
        <v>42656</v>
      </c>
      <c r="D2903" s="64" t="s">
        <v>579</v>
      </c>
      <c r="E2903" s="1213">
        <f>C2903</f>
        <v>42656</v>
      </c>
      <c r="F2903" s="72" t="s">
        <v>766</v>
      </c>
      <c r="G2903" s="1222" t="s">
        <v>2126</v>
      </c>
      <c r="H2903" s="1215" t="s">
        <v>2127</v>
      </c>
      <c r="I2903" s="1216"/>
      <c r="J2903" s="1216"/>
      <c r="K2903" s="1217"/>
      <c r="L2903" s="1216"/>
      <c r="M2903" s="1218">
        <v>4000000</v>
      </c>
      <c r="N2903" s="1219" t="s">
        <v>588</v>
      </c>
      <c r="O2903" s="1219" t="s">
        <v>8</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349">
        <v>1</v>
      </c>
    </row>
    <row r="2904" spans="1:31" s="349" customFormat="1" ht="15.75" customHeight="1">
      <c r="A2904" s="334" t="str">
        <f>IF(B2904&lt;&gt;"",IF(AND(B2904='IN-TC'!$S$4,OR(TH!N2904="1111",TH!O2904="1111")),TH!D2904,""),"")</f>
        <v/>
      </c>
      <c r="B2904" s="1184">
        <f t="shared" si="313"/>
        <v>10</v>
      </c>
      <c r="C2904" s="1213">
        <v>42656</v>
      </c>
      <c r="D2904" s="64" t="s">
        <v>579</v>
      </c>
      <c r="E2904" s="1213">
        <f>C2904</f>
        <v>42656</v>
      </c>
      <c r="F2904" s="72" t="s">
        <v>767</v>
      </c>
      <c r="G2904" s="1222" t="s">
        <v>2126</v>
      </c>
      <c r="H2904" s="1215" t="s">
        <v>2127</v>
      </c>
      <c r="I2904" s="1216"/>
      <c r="J2904" s="1216"/>
      <c r="K2904" s="1217"/>
      <c r="L2904" s="1216"/>
      <c r="M2904" s="1218">
        <v>400000</v>
      </c>
      <c r="N2904" s="1219" t="s">
        <v>9</v>
      </c>
      <c r="O2904" s="1219" t="s">
        <v>8</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x</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349">
        <v>1</v>
      </c>
    </row>
    <row r="2905" spans="1:31" s="349" customFormat="1" ht="15.75" customHeight="1">
      <c r="A2905" s="334" t="str">
        <f>IF(B2905&lt;&gt;"",IF(AND(B2905='IN-TC'!$S$4,OR(TH!N2905="1111",TH!O2905="1111")),TH!D2905,""),"")</f>
        <v/>
      </c>
      <c r="B2905" s="1184">
        <f t="shared" si="313"/>
        <v>10</v>
      </c>
      <c r="C2905" s="1213">
        <v>42668</v>
      </c>
      <c r="D2905" s="64" t="s">
        <v>579</v>
      </c>
      <c r="E2905" s="1213">
        <f>C2905</f>
        <v>42668</v>
      </c>
      <c r="F2905" s="72" t="s">
        <v>766</v>
      </c>
      <c r="G2905" s="1222" t="s">
        <v>2148</v>
      </c>
      <c r="H2905" s="1215" t="s">
        <v>2127</v>
      </c>
      <c r="I2905" s="1216"/>
      <c r="J2905" s="1216"/>
      <c r="K2905" s="1217"/>
      <c r="L2905" s="1216"/>
      <c r="M2905" s="1218">
        <v>4000000</v>
      </c>
      <c r="N2905" s="1219" t="s">
        <v>588</v>
      </c>
      <c r="O2905" s="1219" t="s">
        <v>8</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c r="AE2905" s="349">
        <v>1</v>
      </c>
    </row>
    <row r="2906" spans="1:31" s="349" customFormat="1" ht="15.75" customHeight="1">
      <c r="A2906" s="334" t="str">
        <f>IF(B2906&lt;&gt;"",IF(AND(B2906='IN-TC'!$S$4,OR(TH!N2906="1111",TH!O2906="1111")),TH!D2906,""),"")</f>
        <v/>
      </c>
      <c r="B2906" s="1184">
        <f t="shared" si="313"/>
        <v>10</v>
      </c>
      <c r="C2906" s="1213">
        <v>42668</v>
      </c>
      <c r="D2906" s="64" t="s">
        <v>579</v>
      </c>
      <c r="E2906" s="1213">
        <f>C2906</f>
        <v>42668</v>
      </c>
      <c r="F2906" s="72" t="s">
        <v>767</v>
      </c>
      <c r="G2906" s="1222" t="s">
        <v>2148</v>
      </c>
      <c r="H2906" s="1215" t="s">
        <v>2127</v>
      </c>
      <c r="I2906" s="1216"/>
      <c r="J2906" s="1216"/>
      <c r="K2906" s="1217"/>
      <c r="L2906" s="1216"/>
      <c r="M2906" s="1218">
        <v>400000</v>
      </c>
      <c r="N2906" s="1219" t="s">
        <v>9</v>
      </c>
      <c r="O2906" s="1219" t="s">
        <v>8</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x</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c r="AE2906" s="349">
        <v>1</v>
      </c>
    </row>
    <row r="2907" spans="1:31" s="349" customFormat="1" ht="15.75" customHeight="1">
      <c r="A2907" s="334" t="str">
        <f>IF(B2907&lt;&gt;"",IF(AND(B2907='IN-TC'!$S$4,OR(TH!N2907="1111",TH!O2907="1111")),TH!D2907,""),"")</f>
        <v/>
      </c>
      <c r="B2907" s="63">
        <f t="shared" si="313"/>
        <v>10</v>
      </c>
      <c r="C2907" s="64">
        <v>42674</v>
      </c>
      <c r="D2907" s="64" t="s">
        <v>579</v>
      </c>
      <c r="E2907" s="64">
        <v>42649</v>
      </c>
      <c r="F2907" s="72" t="s">
        <v>2178</v>
      </c>
      <c r="G2907" s="972" t="s">
        <v>2184</v>
      </c>
      <c r="H2907" s="72" t="s">
        <v>629</v>
      </c>
      <c r="I2907" s="437"/>
      <c r="J2907" s="437"/>
      <c r="K2907" s="428"/>
      <c r="L2907" s="437"/>
      <c r="M2907" s="65">
        <v>18906600</v>
      </c>
      <c r="N2907" s="66" t="s">
        <v>282</v>
      </c>
      <c r="O2907" s="66" t="s">
        <v>8</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c r="AE2907" s="349">
        <v>1</v>
      </c>
    </row>
    <row r="2908" spans="1:31" s="349" customFormat="1" ht="15.75" customHeight="1">
      <c r="A2908" s="334" t="str">
        <f>IF(B2908&lt;&gt;"",IF(AND(B2908='IN-TC'!$S$4,OR(TH!N2908="1111",TH!O2908="1111")),TH!D2908,""),"")</f>
        <v/>
      </c>
      <c r="B2908" s="63">
        <f t="shared" si="313"/>
        <v>10</v>
      </c>
      <c r="C2908" s="64">
        <v>42674</v>
      </c>
      <c r="D2908" s="64" t="s">
        <v>579</v>
      </c>
      <c r="E2908" s="64">
        <v>42649</v>
      </c>
      <c r="F2908" s="72" t="s">
        <v>2179</v>
      </c>
      <c r="G2908" s="972" t="s">
        <v>2184</v>
      </c>
      <c r="H2908" s="72" t="s">
        <v>629</v>
      </c>
      <c r="I2908" s="437"/>
      <c r="J2908" s="437"/>
      <c r="K2908" s="428"/>
      <c r="L2908" s="437"/>
      <c r="M2908" s="65">
        <v>1890660</v>
      </c>
      <c r="N2908" s="66" t="s">
        <v>9</v>
      </c>
      <c r="O2908" s="66" t="s">
        <v>8</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x</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c r="AE2908" s="349">
        <v>1</v>
      </c>
    </row>
    <row r="2909" spans="1:31" s="349" customFormat="1" ht="15.75" customHeight="1">
      <c r="A2909" s="334" t="str">
        <f>IF(B2909&lt;&gt;"",IF(AND(B2909='IN-TC'!$S$4,OR(TH!N2909="1111",TH!O2909="1111")),TH!D2909,""),"")</f>
        <v/>
      </c>
      <c r="B2909" s="63">
        <f t="shared" si="313"/>
        <v>10</v>
      </c>
      <c r="C2909" s="64">
        <v>42674</v>
      </c>
      <c r="D2909" s="64" t="s">
        <v>579</v>
      </c>
      <c r="E2909" s="64">
        <v>42660</v>
      </c>
      <c r="F2909" s="72" t="s">
        <v>2180</v>
      </c>
      <c r="G2909" s="972" t="s">
        <v>2185</v>
      </c>
      <c r="H2909" s="72" t="s">
        <v>629</v>
      </c>
      <c r="I2909" s="437"/>
      <c r="J2909" s="437"/>
      <c r="K2909" s="428"/>
      <c r="L2909" s="437"/>
      <c r="M2909" s="65">
        <v>22126200</v>
      </c>
      <c r="N2909" s="66" t="s">
        <v>282</v>
      </c>
      <c r="O2909" s="66" t="s">
        <v>8</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c r="AE2909" s="349">
        <v>1</v>
      </c>
    </row>
    <row r="2910" spans="1:31" s="349" customFormat="1" ht="15.75" customHeight="1">
      <c r="A2910" s="334" t="str">
        <f>IF(B2910&lt;&gt;"",IF(AND(B2910='IN-TC'!$S$4,OR(TH!N2910="1111",TH!O2910="1111")),TH!D2910,""),"")</f>
        <v/>
      </c>
      <c r="B2910" s="63">
        <f t="shared" si="313"/>
        <v>10</v>
      </c>
      <c r="C2910" s="64">
        <v>42674</v>
      </c>
      <c r="D2910" s="64" t="s">
        <v>579</v>
      </c>
      <c r="E2910" s="64">
        <v>42660</v>
      </c>
      <c r="F2910" s="72" t="s">
        <v>2181</v>
      </c>
      <c r="G2910" s="972" t="s">
        <v>2185</v>
      </c>
      <c r="H2910" s="72" t="s">
        <v>629</v>
      </c>
      <c r="I2910" s="437"/>
      <c r="J2910" s="437"/>
      <c r="K2910" s="428"/>
      <c r="L2910" s="437"/>
      <c r="M2910" s="65">
        <v>2212620</v>
      </c>
      <c r="N2910" s="66" t="s">
        <v>9</v>
      </c>
      <c r="O2910" s="66" t="s">
        <v>8</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x</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c r="AE2910" s="349">
        <v>1</v>
      </c>
    </row>
    <row r="2911" spans="1:31" s="349" customFormat="1" ht="15.75" customHeight="1">
      <c r="A2911" s="334" t="str">
        <f>IF(B2911&lt;&gt;"",IF(AND(B2911='IN-TC'!$S$4,OR(TH!N2911="1111",TH!O2911="1111")),TH!D2911,""),"")</f>
        <v/>
      </c>
      <c r="B2911" s="63">
        <f t="shared" ref="B2911:B2912" si="314">IF(C2911&lt;&gt;"",MONTH(C2911),"")</f>
        <v>10</v>
      </c>
      <c r="C2911" s="64">
        <v>42674</v>
      </c>
      <c r="D2911" s="64" t="s">
        <v>579</v>
      </c>
      <c r="E2911" s="64">
        <v>42669</v>
      </c>
      <c r="F2911" s="72" t="s">
        <v>2182</v>
      </c>
      <c r="G2911" s="972" t="s">
        <v>2311</v>
      </c>
      <c r="H2911" s="72" t="s">
        <v>629</v>
      </c>
      <c r="I2911" s="437"/>
      <c r="J2911" s="437"/>
      <c r="K2911" s="428"/>
      <c r="L2911" s="437"/>
      <c r="M2911" s="65">
        <v>20577100</v>
      </c>
      <c r="N2911" s="66" t="s">
        <v>282</v>
      </c>
      <c r="O2911" s="66" t="s">
        <v>8</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c r="AE2911" s="349">
        <v>1</v>
      </c>
    </row>
    <row r="2912" spans="1:31" s="349" customFormat="1" ht="15.75" customHeight="1">
      <c r="A2912" s="334" t="str">
        <f>IF(B2912&lt;&gt;"",IF(AND(B2912='IN-TC'!$S$4,OR(TH!N2912="1111",TH!O2912="1111")),TH!D2912,""),"")</f>
        <v/>
      </c>
      <c r="B2912" s="63">
        <f t="shared" si="314"/>
        <v>10</v>
      </c>
      <c r="C2912" s="64">
        <v>42674</v>
      </c>
      <c r="D2912" s="64" t="s">
        <v>579</v>
      </c>
      <c r="E2912" s="64">
        <v>42669</v>
      </c>
      <c r="F2912" s="72" t="s">
        <v>2183</v>
      </c>
      <c r="G2912" s="972" t="s">
        <v>2311</v>
      </c>
      <c r="H2912" s="72" t="s">
        <v>629</v>
      </c>
      <c r="I2912" s="437"/>
      <c r="J2912" s="437"/>
      <c r="K2912" s="428"/>
      <c r="L2912" s="437"/>
      <c r="M2912" s="65">
        <v>2057710</v>
      </c>
      <c r="N2912" s="66" t="s">
        <v>9</v>
      </c>
      <c r="O2912" s="66" t="s">
        <v>8</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x</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c r="AE2912" s="349">
        <v>1</v>
      </c>
    </row>
    <row r="2913" spans="1:31" s="349" customFormat="1" ht="15.75" customHeight="1">
      <c r="A2913" s="334" t="str">
        <f>IF(B2913&lt;&gt;"",IF(AND(B2913='IN-TC'!$S$4,OR(TH!N2913="1111",TH!O2913="1111")),TH!D2913,""),"")</f>
        <v/>
      </c>
      <c r="B2913" s="63">
        <f t="shared" si="278"/>
        <v>10</v>
      </c>
      <c r="C2913" s="64">
        <v>42674</v>
      </c>
      <c r="D2913" s="64" t="s">
        <v>579</v>
      </c>
      <c r="E2913" s="64">
        <v>42613</v>
      </c>
      <c r="F2913" s="72" t="s">
        <v>2149</v>
      </c>
      <c r="G2913" s="972" t="s">
        <v>2151</v>
      </c>
      <c r="H2913" s="72" t="s">
        <v>1378</v>
      </c>
      <c r="I2913" s="437"/>
      <c r="J2913" s="437"/>
      <c r="K2913" s="428"/>
      <c r="L2913" s="437"/>
      <c r="M2913" s="65">
        <v>7535874</v>
      </c>
      <c r="N2913" s="66" t="s">
        <v>101</v>
      </c>
      <c r="O2913" s="66" t="s">
        <v>8</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c r="AE2913" s="349">
        <v>1</v>
      </c>
    </row>
    <row r="2914" spans="1:31" s="349" customFormat="1" ht="15.75" customHeight="1">
      <c r="A2914" s="334" t="str">
        <f>IF(B2914&lt;&gt;"",IF(AND(B2914='IN-TC'!$S$4,OR(TH!N2914="1111",TH!O2914="1111")),TH!D2914,""),"")</f>
        <v/>
      </c>
      <c r="B2914" s="63">
        <f t="shared" si="278"/>
        <v>10</v>
      </c>
      <c r="C2914" s="64">
        <v>42674</v>
      </c>
      <c r="D2914" s="64" t="s">
        <v>579</v>
      </c>
      <c r="E2914" s="64">
        <v>42613</v>
      </c>
      <c r="F2914" s="72" t="s">
        <v>2150</v>
      </c>
      <c r="G2914" s="972" t="s">
        <v>2151</v>
      </c>
      <c r="H2914" s="72" t="s">
        <v>1378</v>
      </c>
      <c r="I2914" s="437"/>
      <c r="J2914" s="437"/>
      <c r="K2914" s="428"/>
      <c r="L2914" s="437"/>
      <c r="M2914" s="65">
        <v>505306</v>
      </c>
      <c r="N2914" s="66" t="s">
        <v>9</v>
      </c>
      <c r="O2914" s="66" t="s">
        <v>8</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x</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c r="AE2914" s="349">
        <v>1</v>
      </c>
    </row>
    <row r="2915" spans="1:31" s="349" customFormat="1" ht="15.75" customHeight="1">
      <c r="A2915" s="334" t="str">
        <f>IF(B2915&lt;&gt;"",IF(AND(B2915='IN-TC'!$S$4,OR(TH!N2915="1111",TH!O2915="1111")),TH!D2915,""),"")</f>
        <v/>
      </c>
      <c r="B2915" s="63">
        <f t="shared" si="278"/>
        <v>10</v>
      </c>
      <c r="C2915" s="64">
        <v>42674</v>
      </c>
      <c r="D2915" s="64" t="s">
        <v>579</v>
      </c>
      <c r="E2915" s="64">
        <v>42643</v>
      </c>
      <c r="F2915" s="72" t="s">
        <v>2149</v>
      </c>
      <c r="G2915" s="972" t="s">
        <v>2152</v>
      </c>
      <c r="H2915" s="72" t="s">
        <v>1378</v>
      </c>
      <c r="I2915" s="437"/>
      <c r="J2915" s="437"/>
      <c r="K2915" s="428"/>
      <c r="L2915" s="437"/>
      <c r="M2915" s="65">
        <v>7745394</v>
      </c>
      <c r="N2915" s="66" t="s">
        <v>101</v>
      </c>
      <c r="O2915" s="66" t="s">
        <v>8</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c r="AE2915" s="349">
        <v>1</v>
      </c>
    </row>
    <row r="2916" spans="1:31" s="349" customFormat="1" ht="15.75" customHeight="1">
      <c r="A2916" s="334" t="str">
        <f>IF(B2916&lt;&gt;"",IF(AND(B2916='IN-TC'!$S$4,OR(TH!N2916="1111",TH!O2916="1111")),TH!D2916,""),"")</f>
        <v/>
      </c>
      <c r="B2916" s="63">
        <f t="shared" si="278"/>
        <v>10</v>
      </c>
      <c r="C2916" s="64">
        <v>42674</v>
      </c>
      <c r="D2916" s="64" t="s">
        <v>579</v>
      </c>
      <c r="E2916" s="64">
        <v>42643</v>
      </c>
      <c r="F2916" s="72" t="s">
        <v>2150</v>
      </c>
      <c r="G2916" s="972" t="s">
        <v>2152</v>
      </c>
      <c r="H2916" s="72" t="s">
        <v>1378</v>
      </c>
      <c r="I2916" s="437"/>
      <c r="J2916" s="437"/>
      <c r="K2916" s="428"/>
      <c r="L2916" s="437"/>
      <c r="M2916" s="65">
        <v>515782</v>
      </c>
      <c r="N2916" s="66" t="s">
        <v>9</v>
      </c>
      <c r="O2916" s="66" t="s">
        <v>8</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x</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c r="AE2916" s="349">
        <v>1</v>
      </c>
    </row>
    <row r="2917" spans="1:31" s="1256" customFormat="1" ht="15.75" customHeight="1">
      <c r="A2917" s="1247" t="str">
        <f>IF(B2917&lt;&gt;"",IF(AND(B2917='IN-TC'!$S$4,OR(TH!N2917="1111",TH!O2917="1111")),TH!D2917,""),"")</f>
        <v/>
      </c>
      <c r="B2917" s="1248">
        <f t="shared" ref="B2917" si="315">IF(C2917&lt;&gt;"",MONTH(C2917),"")</f>
        <v>10</v>
      </c>
      <c r="C2917" s="1249">
        <v>42660</v>
      </c>
      <c r="D2917" s="1249" t="s">
        <v>1941</v>
      </c>
      <c r="E2917" s="1249">
        <f>C2917</f>
        <v>42660</v>
      </c>
      <c r="F2917" s="67" t="s">
        <v>463</v>
      </c>
      <c r="G2917" s="1251" t="s">
        <v>1074</v>
      </c>
      <c r="H2917" s="1250" t="s">
        <v>1211</v>
      </c>
      <c r="I2917" s="1252">
        <v>26000</v>
      </c>
      <c r="J2917" s="1252">
        <v>55000</v>
      </c>
      <c r="K2917" s="1253"/>
      <c r="L2917" s="1252"/>
      <c r="M2917" s="1254">
        <f>ROUND(I2917*J2917,0)</f>
        <v>1430000000</v>
      </c>
      <c r="N2917" s="1255" t="s">
        <v>284</v>
      </c>
      <c r="O2917" s="1255" t="s">
        <v>8</v>
      </c>
      <c r="P2917" s="1255" t="str">
        <f>IF(AND('331-CT'!$E$7=TH!H2917,OR(N2917="331",O2917="331")),"x","")</f>
        <v/>
      </c>
      <c r="Q2917" s="1255" t="str">
        <f>IF(AND(B2917='111'!$L$11,OR($N2917=$Q$7,$O2917=$Q$7)),"x","")</f>
        <v/>
      </c>
      <c r="R2917" s="1255" t="str">
        <f>IF(AND($N2917=$Q$7,$B2917&lt;'111'!$L$11),"x","")</f>
        <v/>
      </c>
      <c r="S2917" s="1255" t="str">
        <f>IF(AND($O2917=$Q$7,$B2917&lt;'111'!$L$11),"x","")</f>
        <v/>
      </c>
      <c r="T2917" s="1255" t="str">
        <f>IF(ISERROR(FIND('112'!$M$9,G2917,1)),"",IF((AND(FIND('112'!$M$9,G2917,1)&gt;=1,B2917='112'!$K$9,OR($N2917='112'!$I$6,$O2917='112'!$I$6))),"x",""))</f>
        <v/>
      </c>
      <c r="U2917" s="1255" t="str">
        <f>IF(ISERROR(FIND('112'!$M$9,G2917,1)),"",IF((AND(LEFT(G2917,2)=LEFT('112'!$M$9,2),B2917&lt;'112'!$K$9,$N2917='112'!$I$6)),"x",""))</f>
        <v/>
      </c>
      <c r="V2917" s="1255" t="str">
        <f>IF(ISERROR(FIND('112'!$M$9,G2917,1)),"",IF((AND(RIGHT(G2917,2)=RIGHT('112'!$M$9,2),B2917&lt;'112'!$K$9,$O2917='112'!$I$6)),"x",""))</f>
        <v/>
      </c>
      <c r="W2917" s="1255" t="str">
        <f>IF(AND('341-CT'!$H$9=H2917,OR(LEFT(N2917,3)=$W$7,LEFT(O2917,3)=$W$7)),"x","")</f>
        <v/>
      </c>
      <c r="X2917" s="1255" t="str">
        <f>IF(OR(TH!N2917=TH!$X$7,O2917=TH!$X$7),"x","")</f>
        <v/>
      </c>
      <c r="Y2917" s="1255" t="str">
        <f>IF(AND(OR(N2917="131",O2917="131"),H2917='131-CT'!$H$9),"x","")</f>
        <v/>
      </c>
      <c r="Z2917" s="1255"/>
      <c r="AA2917" s="1255" t="str">
        <f>IF(AND(MONTH(E2917)='IN-NX'!$J$5,'IN-NX'!$D$7=D2917),"x","")</f>
        <v/>
      </c>
      <c r="AB2917" s="1255" t="str">
        <f>IF(AND(OR(LEFT(TH!N2917,2)="15",LEFT(TH!O2917,2)="15"),LEFT(TH!O2917,3)&lt;&gt;"111",'152-CT'!$J$8=TH!F2917),"x","")</f>
        <v/>
      </c>
      <c r="AC2917" s="1255" t="str">
        <f>IF(AND(OR(LEFT(TH!N2917,2)="15",LEFT(TH!O2917,2)="15"),TK!$E$7=TH!F2917),"x","")</f>
        <v/>
      </c>
      <c r="AD2917" s="1255" t="str">
        <f>IF(AND(N2917="1521",MONTH(C2917)='BK-NL'!$M$11),"x","")</f>
        <v/>
      </c>
    </row>
    <row r="2918" spans="1:31" s="1256" customFormat="1" ht="15.75" customHeight="1">
      <c r="A2918" s="1247" t="str">
        <f>IF(B2918&lt;&gt;"",IF(AND(B2918='IN-TC'!$S$4,OR(TH!N2918="1111",TH!O2918="1111")),TH!D2918,""),"")</f>
        <v/>
      </c>
      <c r="B2918" s="1248">
        <f t="shared" ref="B2918" si="316">IF(C2918&lt;&gt;"",MONTH(C2918),"")</f>
        <v>10</v>
      </c>
      <c r="C2918" s="1249">
        <v>42672</v>
      </c>
      <c r="D2918" s="1249" t="s">
        <v>697</v>
      </c>
      <c r="E2918" s="1249">
        <f t="shared" ref="E2918" si="317">C2918</f>
        <v>42672</v>
      </c>
      <c r="F2918" s="67" t="s">
        <v>463</v>
      </c>
      <c r="G2918" s="1251" t="s">
        <v>2303</v>
      </c>
      <c r="H2918" s="1250" t="s">
        <v>1211</v>
      </c>
      <c r="I2918" s="1252">
        <v>26000</v>
      </c>
      <c r="J2918" s="1252">
        <v>55000</v>
      </c>
      <c r="K2918" s="1253"/>
      <c r="L2918" s="1252"/>
      <c r="M2918" s="1254">
        <f t="shared" ref="M2918" si="318">ROUND(I2918*J2918,0)</f>
        <v>1430000000</v>
      </c>
      <c r="N2918" s="1255" t="s">
        <v>284</v>
      </c>
      <c r="O2918" s="1255" t="s">
        <v>8</v>
      </c>
      <c r="P2918" s="1255" t="str">
        <f>IF(AND('331-CT'!$E$7=TH!H2918,OR(N2918="331",O2918="331")),"x","")</f>
        <v/>
      </c>
      <c r="Q2918" s="1255" t="str">
        <f>IF(AND(B2918='111'!$L$11,OR($N2918=$Q$7,$O2918=$Q$7)),"x","")</f>
        <v/>
      </c>
      <c r="R2918" s="1255" t="str">
        <f>IF(AND($N2918=$Q$7,$B2918&lt;'111'!$L$11),"x","")</f>
        <v/>
      </c>
      <c r="S2918" s="1255" t="str">
        <f>IF(AND($O2918=$Q$7,$B2918&lt;'111'!$L$11),"x","")</f>
        <v/>
      </c>
      <c r="T2918" s="1255" t="str">
        <f>IF(ISERROR(FIND('112'!$M$9,G2918,1)),"",IF((AND(FIND('112'!$M$9,G2918,1)&gt;=1,B2918='112'!$K$9,OR($N2918='112'!$I$6,$O2918='112'!$I$6))),"x",""))</f>
        <v/>
      </c>
      <c r="U2918" s="1255" t="str">
        <f>IF(ISERROR(FIND('112'!$M$9,G2918,1)),"",IF((AND(LEFT(G2918,2)=LEFT('112'!$M$9,2),B2918&lt;'112'!$K$9,$N2918='112'!$I$6)),"x",""))</f>
        <v/>
      </c>
      <c r="V2918" s="1255" t="str">
        <f>IF(ISERROR(FIND('112'!$M$9,G2918,1)),"",IF((AND(RIGHT(G2918,2)=RIGHT('112'!$M$9,2),B2918&lt;'112'!$K$9,$O2918='112'!$I$6)),"x",""))</f>
        <v/>
      </c>
      <c r="W2918" s="1255" t="str">
        <f>IF(AND('341-CT'!$H$9=H2918,OR(LEFT(N2918,3)=$W$7,LEFT(O2918,3)=$W$7)),"x","")</f>
        <v/>
      </c>
      <c r="X2918" s="1255" t="str">
        <f>IF(OR(TH!N2918=TH!$X$7,O2918=TH!$X$7),"x","")</f>
        <v/>
      </c>
      <c r="Y2918" s="1255" t="str">
        <f>IF(AND(OR(N2918="131",O2918="131"),H2918='131-CT'!$H$9),"x","")</f>
        <v/>
      </c>
      <c r="Z2918" s="1255"/>
      <c r="AA2918" s="1255" t="str">
        <f>IF(AND(MONTH(E2918)='IN-NX'!$J$5,'IN-NX'!$D$7=D2918),"x","")</f>
        <v/>
      </c>
      <c r="AB2918" s="1255" t="str">
        <f>IF(AND(OR(LEFT(TH!N2918,2)="15",LEFT(TH!O2918,2)="15"),LEFT(TH!O2918,3)&lt;&gt;"111",'152-CT'!$J$8=TH!F2918),"x","")</f>
        <v/>
      </c>
      <c r="AC2918" s="1255" t="str">
        <f>IF(AND(OR(LEFT(TH!N2918,2)="15",LEFT(TH!O2918,2)="15"),TK!$E$7=TH!F2918),"x","")</f>
        <v/>
      </c>
      <c r="AD2918" s="1255" t="str">
        <f>IF(AND(N2918="1521",MONTH(C2918)='BK-NL'!$M$11),"x","")</f>
        <v/>
      </c>
    </row>
    <row r="2919" spans="1:31" s="349" customFormat="1" ht="15.75" customHeight="1">
      <c r="A2919" s="334" t="str">
        <f>IF(B2919&lt;&gt;"",IF(AND(B2919='IN-TC'!$S$4,OR(TH!N2919="1111",TH!O2919="1111")),TH!D2919,""),"")</f>
        <v/>
      </c>
      <c r="B2919" s="63">
        <f t="shared" si="278"/>
        <v>10</v>
      </c>
      <c r="C2919" s="64">
        <v>42646</v>
      </c>
      <c r="D2919" s="64" t="s">
        <v>702</v>
      </c>
      <c r="E2919" s="64">
        <f>C2919</f>
        <v>42646</v>
      </c>
      <c r="F2919" s="72" t="s">
        <v>1651</v>
      </c>
      <c r="G2919" s="67" t="s">
        <v>914</v>
      </c>
      <c r="H2919" s="72" t="s">
        <v>627</v>
      </c>
      <c r="I2919" s="437"/>
      <c r="J2919" s="437"/>
      <c r="K2919" s="428"/>
      <c r="L2919" s="437"/>
      <c r="M2919" s="65">
        <v>100000000</v>
      </c>
      <c r="N2919" s="66" t="s">
        <v>8</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1" s="349" customFormat="1" ht="15.75" customHeight="1">
      <c r="A2920" s="334" t="str">
        <f>IF(B2920&lt;&gt;"",IF(AND(B2920='IN-TC'!$S$4,OR(TH!N2920="1111",TH!O2920="1111")),TH!D2920,""),"")</f>
        <v/>
      </c>
      <c r="B2920" s="63">
        <f t="shared" si="278"/>
        <v>10</v>
      </c>
      <c r="C2920" s="64">
        <v>42646</v>
      </c>
      <c r="D2920" s="64" t="s">
        <v>702</v>
      </c>
      <c r="E2920" s="64">
        <f t="shared" ref="E2920:E2937" si="319">C2920</f>
        <v>42646</v>
      </c>
      <c r="F2920" s="72" t="s">
        <v>1169</v>
      </c>
      <c r="G2920" s="67" t="s">
        <v>914</v>
      </c>
      <c r="H2920" s="72" t="s">
        <v>2066</v>
      </c>
      <c r="I2920" s="437"/>
      <c r="J2920" s="437"/>
      <c r="K2920" s="428"/>
      <c r="L2920" s="437"/>
      <c r="M2920" s="65">
        <v>50000</v>
      </c>
      <c r="N2920" s="66" t="s">
        <v>101</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c r="AE2920" s="349">
        <v>1</v>
      </c>
    </row>
    <row r="2921" spans="1:31" s="349" customFormat="1" ht="15.75" customHeight="1">
      <c r="A2921" s="334" t="str">
        <f>IF(B2921&lt;&gt;"",IF(AND(B2921='IN-TC'!$S$4,OR(TH!N2921="1111",TH!O2921="1111")),TH!D2921,""),"")</f>
        <v/>
      </c>
      <c r="B2921" s="63">
        <f t="shared" si="278"/>
        <v>10</v>
      </c>
      <c r="C2921" s="64">
        <v>42646</v>
      </c>
      <c r="D2921" s="64" t="s">
        <v>702</v>
      </c>
      <c r="E2921" s="64">
        <f t="shared" si="319"/>
        <v>42646</v>
      </c>
      <c r="F2921" s="72" t="s">
        <v>1631</v>
      </c>
      <c r="G2921" s="67" t="s">
        <v>914</v>
      </c>
      <c r="H2921" s="72" t="s">
        <v>2066</v>
      </c>
      <c r="I2921" s="437"/>
      <c r="J2921" s="437"/>
      <c r="K2921" s="428"/>
      <c r="L2921" s="437"/>
      <c r="M2921" s="65">
        <v>5000</v>
      </c>
      <c r="N2921" s="66" t="s">
        <v>9</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x</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c r="AE2921" s="349">
        <v>1</v>
      </c>
    </row>
    <row r="2922" spans="1:31" s="349" customFormat="1" ht="15.75" customHeight="1">
      <c r="A2922" s="334" t="str">
        <f>IF(B2922&lt;&gt;"",IF(AND(B2922='IN-TC'!$S$4,OR(TH!N2922="1111",TH!O2922="1111")),TH!D2922,""),"")</f>
        <v/>
      </c>
      <c r="B2922" s="63">
        <f t="shared" si="278"/>
        <v>10</v>
      </c>
      <c r="C2922" s="64">
        <v>42651</v>
      </c>
      <c r="D2922" s="64" t="s">
        <v>702</v>
      </c>
      <c r="E2922" s="64">
        <f t="shared" si="319"/>
        <v>42651</v>
      </c>
      <c r="F2922" s="72" t="s">
        <v>1438</v>
      </c>
      <c r="G2922" s="67" t="s">
        <v>914</v>
      </c>
      <c r="H2922" s="72" t="s">
        <v>2066</v>
      </c>
      <c r="I2922" s="437"/>
      <c r="J2922" s="437"/>
      <c r="K2922" s="428">
        <v>94500</v>
      </c>
      <c r="L2922" s="437">
        <v>22300</v>
      </c>
      <c r="M2922" s="65">
        <f t="shared" ref="M2922:M2927" si="320">ROUND(K2922*L2922,0)</f>
        <v>2107350000</v>
      </c>
      <c r="N2922" s="66" t="s">
        <v>26</v>
      </c>
      <c r="O2922" s="66" t="s">
        <v>266</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1" s="349" customFormat="1" ht="15.75" customHeight="1">
      <c r="A2923" s="334" t="str">
        <f>IF(B2923&lt;&gt;"",IF(AND(B2923='IN-TC'!$S$4,OR(TH!N2923="1111",TH!O2923="1111")),TH!D2923,""),"")</f>
        <v/>
      </c>
      <c r="B2923" s="63">
        <f t="shared" si="278"/>
        <v>10</v>
      </c>
      <c r="C2923" s="64">
        <v>42658</v>
      </c>
      <c r="D2923" s="64" t="s">
        <v>702</v>
      </c>
      <c r="E2923" s="64">
        <f t="shared" si="319"/>
        <v>42658</v>
      </c>
      <c r="F2923" s="72" t="s">
        <v>1782</v>
      </c>
      <c r="G2923" s="67" t="s">
        <v>914</v>
      </c>
      <c r="H2923" s="72" t="s">
        <v>1665</v>
      </c>
      <c r="I2923" s="437"/>
      <c r="J2923" s="437"/>
      <c r="K2923" s="428">
        <v>206.79</v>
      </c>
      <c r="L2923" s="437">
        <v>22335</v>
      </c>
      <c r="M2923" s="65">
        <f t="shared" si="320"/>
        <v>4618655</v>
      </c>
      <c r="N2923" s="66" t="s">
        <v>99</v>
      </c>
      <c r="O2923" s="66" t="s">
        <v>26</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1" s="349" customFormat="1" ht="15.75" customHeight="1">
      <c r="A2924" s="334" t="str">
        <f>IF(B2924&lt;&gt;"",IF(AND(B2924='IN-TC'!$S$4,OR(TH!N2924="1111",TH!O2924="1111")),TH!D2924,""),"")</f>
        <v/>
      </c>
      <c r="B2924" s="63">
        <f t="shared" si="278"/>
        <v>10</v>
      </c>
      <c r="C2924" s="64">
        <v>42658</v>
      </c>
      <c r="D2924" s="64" t="s">
        <v>702</v>
      </c>
      <c r="E2924" s="64">
        <f t="shared" si="319"/>
        <v>42658</v>
      </c>
      <c r="F2924" s="72" t="s">
        <v>1782</v>
      </c>
      <c r="G2924" s="67" t="s">
        <v>914</v>
      </c>
      <c r="H2924" s="72" t="s">
        <v>1667</v>
      </c>
      <c r="I2924" s="437"/>
      <c r="J2924" s="437"/>
      <c r="K2924" s="428">
        <v>277.08</v>
      </c>
      <c r="L2924" s="437">
        <v>22335</v>
      </c>
      <c r="M2924" s="65">
        <f t="shared" si="320"/>
        <v>6188582</v>
      </c>
      <c r="N2924" s="66" t="s">
        <v>99</v>
      </c>
      <c r="O2924" s="66" t="s">
        <v>26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1" s="349" customFormat="1" ht="15.75" customHeight="1">
      <c r="A2925" s="334" t="str">
        <f>IF(B2925&lt;&gt;"",IF(AND(B2925='IN-TC'!$S$4,OR(TH!N2925="1111",TH!O2925="1111")),TH!D2925,""),"")</f>
        <v/>
      </c>
      <c r="B2925" s="63">
        <f t="shared" si="278"/>
        <v>10</v>
      </c>
      <c r="C2925" s="64">
        <v>42658</v>
      </c>
      <c r="D2925" s="64" t="s">
        <v>702</v>
      </c>
      <c r="E2925" s="64">
        <f t="shared" si="319"/>
        <v>42658</v>
      </c>
      <c r="F2925" s="72" t="s">
        <v>1782</v>
      </c>
      <c r="G2925" s="67" t="s">
        <v>914</v>
      </c>
      <c r="H2925" s="72" t="s">
        <v>1892</v>
      </c>
      <c r="I2925" s="437"/>
      <c r="J2925" s="437"/>
      <c r="K2925" s="428">
        <v>107.5</v>
      </c>
      <c r="L2925" s="437">
        <v>22335</v>
      </c>
      <c r="M2925" s="65">
        <f t="shared" si="320"/>
        <v>2401013</v>
      </c>
      <c r="N2925" s="66" t="s">
        <v>99</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1" s="349" customFormat="1" ht="15.75" customHeight="1">
      <c r="A2926" s="334" t="str">
        <f>IF(B2926&lt;&gt;"",IF(AND(B2926='IN-TC'!$S$4,OR(TH!N2926="1111",TH!O2926="1111")),TH!D2926,""),"")</f>
        <v/>
      </c>
      <c r="B2926" s="63">
        <f t="shared" si="278"/>
        <v>10</v>
      </c>
      <c r="C2926" s="64">
        <v>42658</v>
      </c>
      <c r="D2926" s="64" t="s">
        <v>702</v>
      </c>
      <c r="E2926" s="64">
        <f t="shared" si="319"/>
        <v>42658</v>
      </c>
      <c r="F2926" s="72" t="s">
        <v>1782</v>
      </c>
      <c r="G2926" s="67" t="s">
        <v>914</v>
      </c>
      <c r="H2926" s="72" t="s">
        <v>1895</v>
      </c>
      <c r="I2926" s="437"/>
      <c r="J2926" s="437"/>
      <c r="K2926" s="428">
        <v>130.75</v>
      </c>
      <c r="L2926" s="437">
        <v>22335</v>
      </c>
      <c r="M2926" s="65">
        <f t="shared" si="320"/>
        <v>2920301</v>
      </c>
      <c r="N2926" s="66" t="s">
        <v>99</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1" s="349" customFormat="1" ht="15.75" customHeight="1">
      <c r="A2927" s="334" t="str">
        <f>IF(B2927&lt;&gt;"",IF(AND(B2927='IN-TC'!$S$4,OR(TH!N2927="1111",TH!O2927="1111")),TH!D2927,""),"")</f>
        <v/>
      </c>
      <c r="B2927" s="63">
        <f t="shared" si="278"/>
        <v>10</v>
      </c>
      <c r="C2927" s="64">
        <v>42667</v>
      </c>
      <c r="D2927" s="64" t="s">
        <v>702</v>
      </c>
      <c r="E2927" s="64">
        <f t="shared" si="319"/>
        <v>42667</v>
      </c>
      <c r="F2927" s="72" t="s">
        <v>1438</v>
      </c>
      <c r="G2927" s="67" t="s">
        <v>914</v>
      </c>
      <c r="H2927" s="72" t="s">
        <v>2066</v>
      </c>
      <c r="I2927" s="437"/>
      <c r="J2927" s="437"/>
      <c r="K2927" s="428">
        <v>2300</v>
      </c>
      <c r="L2927" s="437">
        <v>22290</v>
      </c>
      <c r="M2927" s="65">
        <f t="shared" si="320"/>
        <v>51267000</v>
      </c>
      <c r="N2927" s="66" t="s">
        <v>26</v>
      </c>
      <c r="O2927" s="66" t="s">
        <v>266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1" s="349" customFormat="1" ht="15.75" customHeight="1">
      <c r="A2928" s="334" t="str">
        <f>IF(B2928&lt;&gt;"",IF(AND(B2928='IN-TC'!$S$4,OR(TH!N2928="1111",TH!O2928="1111")),TH!D2928,""),"")</f>
        <v/>
      </c>
      <c r="B2928" s="63">
        <f t="shared" si="278"/>
        <v>10</v>
      </c>
      <c r="C2928" s="64">
        <v>42667</v>
      </c>
      <c r="D2928" s="64" t="s">
        <v>702</v>
      </c>
      <c r="E2928" s="64">
        <f t="shared" si="319"/>
        <v>42667</v>
      </c>
      <c r="F2928" s="72" t="s">
        <v>1651</v>
      </c>
      <c r="G2928" s="67" t="s">
        <v>914</v>
      </c>
      <c r="H2928" s="72" t="s">
        <v>1860</v>
      </c>
      <c r="I2928" s="437"/>
      <c r="J2928" s="437"/>
      <c r="K2928" s="428"/>
      <c r="L2928" s="437"/>
      <c r="M2928" s="65">
        <v>10803694</v>
      </c>
      <c r="N2928" s="66" t="s">
        <v>8</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1" s="349" customFormat="1" ht="15.75" customHeight="1">
      <c r="A2929" s="334" t="str">
        <f>IF(B2929&lt;&gt;"",IF(AND(B2929='IN-TC'!$S$4,OR(TH!N2929="1111",TH!O2929="1111")),TH!D2929,""),"")</f>
        <v/>
      </c>
      <c r="B2929" s="63">
        <f t="shared" si="278"/>
        <v>10</v>
      </c>
      <c r="C2929" s="64">
        <v>42667</v>
      </c>
      <c r="D2929" s="64" t="s">
        <v>702</v>
      </c>
      <c r="E2929" s="64">
        <f t="shared" si="319"/>
        <v>42667</v>
      </c>
      <c r="F2929" s="72" t="s">
        <v>1169</v>
      </c>
      <c r="G2929" s="67" t="s">
        <v>914</v>
      </c>
      <c r="H2929" s="72" t="s">
        <v>2066</v>
      </c>
      <c r="I2929" s="437"/>
      <c r="J2929" s="437"/>
      <c r="K2929" s="428"/>
      <c r="L2929" s="437"/>
      <c r="M2929" s="65">
        <v>20000</v>
      </c>
      <c r="N2929" s="66" t="s">
        <v>101</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c r="AE2929" s="349">
        <v>1</v>
      </c>
    </row>
    <row r="2930" spans="1:31" s="349" customFormat="1" ht="15.75" customHeight="1">
      <c r="A2930" s="334" t="str">
        <f>IF(B2930&lt;&gt;"",IF(AND(B2930='IN-TC'!$S$4,OR(TH!N2930="1111",TH!O2930="1111")),TH!D2930,""),"")</f>
        <v/>
      </c>
      <c r="B2930" s="63">
        <f t="shared" si="278"/>
        <v>10</v>
      </c>
      <c r="C2930" s="64">
        <v>42667</v>
      </c>
      <c r="D2930" s="64" t="s">
        <v>702</v>
      </c>
      <c r="E2930" s="64">
        <f t="shared" si="319"/>
        <v>42667</v>
      </c>
      <c r="F2930" s="72" t="s">
        <v>1631</v>
      </c>
      <c r="G2930" s="67" t="s">
        <v>914</v>
      </c>
      <c r="H2930" s="72" t="s">
        <v>2066</v>
      </c>
      <c r="I2930" s="437"/>
      <c r="J2930" s="437"/>
      <c r="K2930" s="428"/>
      <c r="L2930" s="437"/>
      <c r="M2930" s="65">
        <v>2000</v>
      </c>
      <c r="N2930" s="66" t="s">
        <v>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x</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c r="AE2930" s="349">
        <v>1</v>
      </c>
    </row>
    <row r="2931" spans="1:31" s="349" customFormat="1" ht="15.75" customHeight="1">
      <c r="A2931" s="334" t="str">
        <f>IF(B2931&lt;&gt;"",IF(AND(B2931='IN-TC'!$S$4,OR(TH!N2931="1111",TH!O2931="1111")),TH!D2931,""),"")</f>
        <v/>
      </c>
      <c r="B2931" s="63">
        <f t="shared" si="278"/>
        <v>10</v>
      </c>
      <c r="C2931" s="64">
        <v>42667</v>
      </c>
      <c r="D2931" s="64" t="s">
        <v>702</v>
      </c>
      <c r="E2931" s="64">
        <f t="shared" si="319"/>
        <v>42667</v>
      </c>
      <c r="F2931" s="72" t="s">
        <v>1651</v>
      </c>
      <c r="G2931" s="67" t="s">
        <v>914</v>
      </c>
      <c r="H2931" s="72" t="s">
        <v>619</v>
      </c>
      <c r="I2931" s="437"/>
      <c r="J2931" s="437"/>
      <c r="K2931" s="428"/>
      <c r="L2931" s="437"/>
      <c r="M2931" s="65">
        <v>19200000</v>
      </c>
      <c r="N2931" s="66" t="s">
        <v>8</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1" s="349" customFormat="1" ht="15.75" customHeight="1">
      <c r="A2932" s="334" t="str">
        <f>IF(B2932&lt;&gt;"",IF(AND(B2932='IN-TC'!$S$4,OR(TH!N2932="1111",TH!O2932="1111")),TH!D2932,""),"")</f>
        <v/>
      </c>
      <c r="B2932" s="63">
        <f t="shared" si="278"/>
        <v>10</v>
      </c>
      <c r="C2932" s="64">
        <v>42667</v>
      </c>
      <c r="D2932" s="64" t="s">
        <v>702</v>
      </c>
      <c r="E2932" s="64">
        <f t="shared" si="319"/>
        <v>42667</v>
      </c>
      <c r="F2932" s="72" t="s">
        <v>1169</v>
      </c>
      <c r="G2932" s="67" t="s">
        <v>914</v>
      </c>
      <c r="H2932" s="72" t="s">
        <v>2066</v>
      </c>
      <c r="I2932" s="437"/>
      <c r="J2932" s="437"/>
      <c r="K2932" s="428"/>
      <c r="L2932" s="437"/>
      <c r="M2932" s="65">
        <v>20000</v>
      </c>
      <c r="N2932" s="66" t="s">
        <v>101</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c r="AE2932" s="349">
        <v>1</v>
      </c>
    </row>
    <row r="2933" spans="1:31" s="349" customFormat="1" ht="15.75" customHeight="1">
      <c r="A2933" s="334" t="str">
        <f>IF(B2933&lt;&gt;"",IF(AND(B2933='IN-TC'!$S$4,OR(TH!N2933="1111",TH!O2933="1111")),TH!D2933,""),"")</f>
        <v/>
      </c>
      <c r="B2933" s="63">
        <f t="shared" si="278"/>
        <v>10</v>
      </c>
      <c r="C2933" s="64">
        <v>42667</v>
      </c>
      <c r="D2933" s="64" t="s">
        <v>702</v>
      </c>
      <c r="E2933" s="64">
        <f t="shared" si="319"/>
        <v>42667</v>
      </c>
      <c r="F2933" s="72" t="s">
        <v>1631</v>
      </c>
      <c r="G2933" s="67" t="s">
        <v>914</v>
      </c>
      <c r="H2933" s="72" t="s">
        <v>2066</v>
      </c>
      <c r="I2933" s="437"/>
      <c r="J2933" s="437"/>
      <c r="K2933" s="428"/>
      <c r="L2933" s="437"/>
      <c r="M2933" s="65">
        <v>2000</v>
      </c>
      <c r="N2933" s="66" t="s">
        <v>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x</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E2933" s="349">
        <v>1</v>
      </c>
    </row>
    <row r="2934" spans="1:31" s="349" customFormat="1" ht="15.75" customHeight="1">
      <c r="A2934" s="334" t="str">
        <f>IF(B2934&lt;&gt;"",IF(AND(B2934='IN-TC'!$S$4,OR(TH!N2934="1111",TH!O2934="1111")),TH!D2934,""),"")</f>
        <v/>
      </c>
      <c r="B2934" s="63">
        <f t="shared" si="278"/>
        <v>10</v>
      </c>
      <c r="C2934" s="64">
        <v>42667</v>
      </c>
      <c r="D2934" s="64" t="s">
        <v>699</v>
      </c>
      <c r="E2934" s="64">
        <f t="shared" si="319"/>
        <v>42667</v>
      </c>
      <c r="F2934" s="72" t="s">
        <v>1647</v>
      </c>
      <c r="G2934" s="67" t="s">
        <v>914</v>
      </c>
      <c r="H2934" s="72" t="s">
        <v>2066</v>
      </c>
      <c r="I2934" s="437"/>
      <c r="J2934" s="437"/>
      <c r="K2934" s="428"/>
      <c r="L2934" s="437"/>
      <c r="M2934" s="65">
        <v>12307</v>
      </c>
      <c r="N2934" s="66" t="s">
        <v>26</v>
      </c>
      <c r="O2934" s="66" t="s">
        <v>43</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1" s="349" customFormat="1" ht="15.75" customHeight="1">
      <c r="A2935" s="334" t="str">
        <f>IF(B2935&lt;&gt;"",IF(AND(B2935='IN-TC'!$S$4,OR(TH!N2935="1111",TH!O2935="1111")),TH!D2935,""),"")</f>
        <v/>
      </c>
      <c r="B2935" s="63">
        <f t="shared" si="278"/>
        <v>10</v>
      </c>
      <c r="C2935" s="64">
        <v>42670</v>
      </c>
      <c r="D2935" s="64" t="s">
        <v>699</v>
      </c>
      <c r="E2935" s="64">
        <f t="shared" si="319"/>
        <v>42670</v>
      </c>
      <c r="F2935" s="72" t="s">
        <v>1194</v>
      </c>
      <c r="G2935" s="67" t="s">
        <v>921</v>
      </c>
      <c r="H2935" s="72" t="s">
        <v>2066</v>
      </c>
      <c r="I2935" s="437"/>
      <c r="J2935" s="437"/>
      <c r="K2935" s="428"/>
      <c r="L2935" s="437"/>
      <c r="M2935" s="65">
        <v>9000000</v>
      </c>
      <c r="N2935" s="66" t="s">
        <v>26</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1" s="349" customFormat="1" ht="15.75" customHeight="1">
      <c r="A2936" s="334" t="str">
        <f>IF(B2936&lt;&gt;"",IF(AND(B2936='IN-TC'!$S$4,OR(TH!N2936="1111",TH!O2936="1111")),TH!D2936,""),"")</f>
        <v/>
      </c>
      <c r="B2936" s="63">
        <f t="shared" si="278"/>
        <v>10</v>
      </c>
      <c r="C2936" s="64">
        <v>42670</v>
      </c>
      <c r="D2936" s="64" t="s">
        <v>702</v>
      </c>
      <c r="E2936" s="64">
        <f t="shared" si="319"/>
        <v>42670</v>
      </c>
      <c r="F2936" s="72" t="s">
        <v>1443</v>
      </c>
      <c r="G2936" s="67" t="s">
        <v>914</v>
      </c>
      <c r="H2936" s="72" t="s">
        <v>1211</v>
      </c>
      <c r="I2936" s="437"/>
      <c r="J2936" s="437"/>
      <c r="K2936" s="428"/>
      <c r="L2936" s="437"/>
      <c r="M2936" s="65">
        <v>25000000</v>
      </c>
      <c r="N2936" s="66" t="s">
        <v>72</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1" s="349" customFormat="1" ht="15.75" customHeight="1">
      <c r="A2937" s="334" t="str">
        <f>IF(B2937&lt;&gt;"",IF(AND(B2937='IN-TC'!$S$4,OR(TH!N2937="1111",TH!O2937="1111")),TH!D2937,""),"")</f>
        <v/>
      </c>
      <c r="B2937" s="63">
        <f t="shared" si="278"/>
        <v>10</v>
      </c>
      <c r="C2937" s="64">
        <v>42647</v>
      </c>
      <c r="D2937" s="64" t="s">
        <v>702</v>
      </c>
      <c r="E2937" s="64">
        <f t="shared" si="319"/>
        <v>42647</v>
      </c>
      <c r="F2937" s="72" t="s">
        <v>1436</v>
      </c>
      <c r="G2937" s="67" t="s">
        <v>914</v>
      </c>
      <c r="H2937" s="72" t="s">
        <v>2066</v>
      </c>
      <c r="I2937" s="437"/>
      <c r="J2937" s="437"/>
      <c r="K2937" s="428">
        <v>5</v>
      </c>
      <c r="L2937" s="437">
        <v>22275</v>
      </c>
      <c r="M2937" s="65">
        <f t="shared" ref="M2937" si="321">ROUND(K2937*L2937,0)</f>
        <v>111375</v>
      </c>
      <c r="N2937" s="66" t="s">
        <v>101</v>
      </c>
      <c r="O2937" s="66" t="s">
        <v>266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c r="AE2937" s="349">
        <v>1</v>
      </c>
    </row>
    <row r="2938" spans="1:31" s="349" customFormat="1" ht="15.75" customHeight="1">
      <c r="A2938" s="334" t="str">
        <f>IF(B2938&lt;&gt;"",IF(AND(B2938='IN-TC'!$S$4,OR(TH!N2938="1111",TH!O2938="1111")),TH!D2938,""),"")</f>
        <v/>
      </c>
      <c r="B2938" s="63">
        <f t="shared" ref="B2938" si="322">IF(C2938&lt;&gt;"",MONTH(C2938),"")</f>
        <v>10</v>
      </c>
      <c r="C2938" s="64">
        <v>42647</v>
      </c>
      <c r="D2938" s="64" t="s">
        <v>702</v>
      </c>
      <c r="E2938" s="64">
        <f t="shared" ref="E2938:E2939" si="323">C2938</f>
        <v>42647</v>
      </c>
      <c r="F2938" s="72" t="s">
        <v>1437</v>
      </c>
      <c r="G2938" s="67" t="s">
        <v>914</v>
      </c>
      <c r="H2938" s="72" t="s">
        <v>2066</v>
      </c>
      <c r="I2938" s="437"/>
      <c r="J2938" s="437"/>
      <c r="K2938" s="428">
        <v>0.5</v>
      </c>
      <c r="L2938" s="437">
        <v>22275</v>
      </c>
      <c r="M2938" s="65">
        <f t="shared" ref="M2938:M2939" si="324">ROUND(K2938*L2938,0)</f>
        <v>11138</v>
      </c>
      <c r="N2938" s="66" t="s">
        <v>9</v>
      </c>
      <c r="O2938" s="66" t="s">
        <v>266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x</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c r="AE2938" s="349">
        <v>1</v>
      </c>
    </row>
    <row r="2939" spans="1:31" s="349" customFormat="1" ht="15.75" customHeight="1">
      <c r="A2939" s="334" t="str">
        <f>IF(B2939&lt;&gt;"",IF(AND(B2939='IN-TC'!$S$4,OR(TH!N2939="1111",TH!O2939="1111")),TH!D2939,""),"")</f>
        <v/>
      </c>
      <c r="B2939" s="63">
        <f t="shared" si="278"/>
        <v>10</v>
      </c>
      <c r="C2939" s="64">
        <v>42650</v>
      </c>
      <c r="D2939" s="64" t="s">
        <v>699</v>
      </c>
      <c r="E2939" s="64">
        <f t="shared" si="323"/>
        <v>42650</v>
      </c>
      <c r="F2939" s="72" t="s">
        <v>1663</v>
      </c>
      <c r="G2939" s="67" t="s">
        <v>1915</v>
      </c>
      <c r="H2939" s="72" t="s">
        <v>2066</v>
      </c>
      <c r="I2939" s="437"/>
      <c r="J2939" s="437"/>
      <c r="K2939" s="428">
        <v>94600</v>
      </c>
      <c r="L2939" s="437">
        <v>22300</v>
      </c>
      <c r="M2939" s="65">
        <f t="shared" si="324"/>
        <v>2109580000</v>
      </c>
      <c r="N2939" s="66" t="s">
        <v>266</v>
      </c>
      <c r="O2939" s="66" t="s">
        <v>266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1" s="349" customFormat="1" ht="15.75" customHeight="1">
      <c r="A2940" s="334" t="str">
        <f>IF(B2940&lt;&gt;"",IF(AND(B2940='IN-TC'!$S$4,OR(TH!N2940="1111",TH!O2940="1111")),TH!D2940,""),"")</f>
        <v/>
      </c>
      <c r="B2940" s="63">
        <f t="shared" si="278"/>
        <v>10</v>
      </c>
      <c r="C2940" s="64">
        <v>42653</v>
      </c>
      <c r="D2940" s="64" t="s">
        <v>699</v>
      </c>
      <c r="E2940" s="64">
        <f t="shared" ref="E2940:E2941" si="325">C2940</f>
        <v>42653</v>
      </c>
      <c r="F2940" s="72" t="s">
        <v>1450</v>
      </c>
      <c r="G2940" s="67" t="s">
        <v>914</v>
      </c>
      <c r="H2940" s="72" t="s">
        <v>598</v>
      </c>
      <c r="I2940" s="437"/>
      <c r="J2940" s="437"/>
      <c r="K2940" s="428">
        <v>2271.46</v>
      </c>
      <c r="L2940" s="437">
        <v>22275</v>
      </c>
      <c r="M2940" s="65">
        <f t="shared" ref="M2940" si="326">ROUND(K2940*L2940,0)</f>
        <v>50596772</v>
      </c>
      <c r="N2940" s="66" t="s">
        <v>266</v>
      </c>
      <c r="O2940" s="66" t="s">
        <v>585</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1" s="349" customFormat="1" ht="15.75" customHeight="1">
      <c r="A2941" s="334" t="str">
        <f>IF(B2941&lt;&gt;"",IF(AND(B2941='IN-TC'!$S$4,OR(TH!N2941="1111",TH!O2941="1111")),TH!D2941,""),"")</f>
        <v/>
      </c>
      <c r="B2941" s="63">
        <f t="shared" si="278"/>
        <v>10</v>
      </c>
      <c r="C2941" s="64">
        <v>42653</v>
      </c>
      <c r="D2941" s="64" t="s">
        <v>579</v>
      </c>
      <c r="E2941" s="64">
        <f t="shared" si="325"/>
        <v>42653</v>
      </c>
      <c r="F2941" s="72" t="s">
        <v>1058</v>
      </c>
      <c r="G2941" s="67" t="s">
        <v>914</v>
      </c>
      <c r="H2941" s="72" t="s">
        <v>598</v>
      </c>
      <c r="I2941" s="437"/>
      <c r="J2941" s="437"/>
      <c r="K2941" s="428">
        <v>73.959999999999994</v>
      </c>
      <c r="L2941" s="437">
        <v>22275</v>
      </c>
      <c r="M2941" s="65">
        <f t="shared" ref="M2941:M2947" si="327">ROUND(K2941*L2941,0)</f>
        <v>1647459</v>
      </c>
      <c r="N2941" s="66" t="s">
        <v>101</v>
      </c>
      <c r="O2941" s="66" t="s">
        <v>585</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c r="AE2941" s="349">
        <v>1</v>
      </c>
    </row>
    <row r="2942" spans="1:31" s="349" customFormat="1" ht="15.75" customHeight="1">
      <c r="A2942" s="334" t="str">
        <f>IF(B2942&lt;&gt;"",IF(AND(B2942='IN-TC'!$S$4,OR(TH!N2942="1111",TH!O2942="1111")),TH!D2942,""),"")</f>
        <v/>
      </c>
      <c r="B2942" s="63">
        <f t="shared" si="278"/>
        <v>10</v>
      </c>
      <c r="C2942" s="64">
        <v>42653</v>
      </c>
      <c r="D2942" s="64" t="s">
        <v>579</v>
      </c>
      <c r="E2942" s="64">
        <f t="shared" ref="E2942:E2947" si="328">C2942</f>
        <v>42653</v>
      </c>
      <c r="F2942" s="72" t="s">
        <v>1059</v>
      </c>
      <c r="G2942" s="67" t="s">
        <v>914</v>
      </c>
      <c r="H2942" s="72" t="s">
        <v>598</v>
      </c>
      <c r="I2942" s="437"/>
      <c r="J2942" s="437"/>
      <c r="K2942" s="428">
        <v>7.4</v>
      </c>
      <c r="L2942" s="437">
        <v>22275</v>
      </c>
      <c r="M2942" s="65">
        <f t="shared" si="327"/>
        <v>164835</v>
      </c>
      <c r="N2942" s="66" t="s">
        <v>9</v>
      </c>
      <c r="O2942" s="66" t="s">
        <v>585</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x</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c r="AE2942" s="349">
        <v>1</v>
      </c>
    </row>
    <row r="2943" spans="1:31" s="349" customFormat="1" ht="15.75" customHeight="1">
      <c r="A2943" s="334" t="str">
        <f>IF(B2943&lt;&gt;"",IF(AND(B2943='IN-TC'!$S$4,OR(TH!N2943="1111",TH!O2943="1111")),TH!D2943,""),"")</f>
        <v/>
      </c>
      <c r="B2943" s="63">
        <f t="shared" si="278"/>
        <v>10</v>
      </c>
      <c r="C2943" s="64">
        <v>42653</v>
      </c>
      <c r="D2943" s="64" t="s">
        <v>579</v>
      </c>
      <c r="E2943" s="64">
        <f t="shared" si="328"/>
        <v>42653</v>
      </c>
      <c r="F2943" s="72" t="s">
        <v>611</v>
      </c>
      <c r="G2943" s="67" t="s">
        <v>914</v>
      </c>
      <c r="H2943" s="72" t="s">
        <v>598</v>
      </c>
      <c r="I2943" s="437"/>
      <c r="J2943" s="437"/>
      <c r="K2943" s="428">
        <v>10</v>
      </c>
      <c r="L2943" s="437">
        <v>22275</v>
      </c>
      <c r="M2943" s="65">
        <f t="shared" si="327"/>
        <v>222750</v>
      </c>
      <c r="N2943" s="66" t="s">
        <v>101</v>
      </c>
      <c r="O2943" s="66" t="s">
        <v>585</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c r="AE2943" s="349">
        <v>1</v>
      </c>
    </row>
    <row r="2944" spans="1:31" s="349" customFormat="1" ht="15.75" customHeight="1">
      <c r="A2944" s="334" t="str">
        <f>IF(B2944&lt;&gt;"",IF(AND(B2944='IN-TC'!$S$4,OR(TH!N2944="1111",TH!O2944="1111")),TH!D2944,""),"")</f>
        <v/>
      </c>
      <c r="B2944" s="63">
        <f t="shared" si="278"/>
        <v>10</v>
      </c>
      <c r="C2944" s="64">
        <v>42653</v>
      </c>
      <c r="D2944" s="64" t="s">
        <v>579</v>
      </c>
      <c r="E2944" s="64">
        <f t="shared" si="328"/>
        <v>42653</v>
      </c>
      <c r="F2944" s="72" t="s">
        <v>1187</v>
      </c>
      <c r="G2944" s="67" t="s">
        <v>914</v>
      </c>
      <c r="H2944" s="72" t="s">
        <v>598</v>
      </c>
      <c r="I2944" s="437"/>
      <c r="J2944" s="437"/>
      <c r="K2944" s="428">
        <v>1</v>
      </c>
      <c r="L2944" s="437">
        <v>22275</v>
      </c>
      <c r="M2944" s="65">
        <f t="shared" si="327"/>
        <v>22275</v>
      </c>
      <c r="N2944" s="66" t="s">
        <v>9</v>
      </c>
      <c r="O2944" s="66" t="s">
        <v>585</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x</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c r="AE2944" s="349">
        <v>1</v>
      </c>
    </row>
    <row r="2945" spans="1:31" s="349" customFormat="1" ht="15.75" customHeight="1">
      <c r="A2945" s="334" t="str">
        <f>IF(B2945&lt;&gt;"",IF(AND(B2945='IN-TC'!$S$4,OR(TH!N2945="1111",TH!O2945="1111")),TH!D2945,""),"")</f>
        <v/>
      </c>
      <c r="B2945" s="63">
        <f t="shared" ref="B2945:B2978" si="329">IF(C2945&lt;&gt;"",MONTH(C2945),"")</f>
        <v>10</v>
      </c>
      <c r="C2945" s="64">
        <v>42653</v>
      </c>
      <c r="D2945" s="64" t="s">
        <v>579</v>
      </c>
      <c r="E2945" s="64">
        <f t="shared" si="328"/>
        <v>42653</v>
      </c>
      <c r="F2945" s="72" t="s">
        <v>1060</v>
      </c>
      <c r="G2945" s="67" t="s">
        <v>914</v>
      </c>
      <c r="H2945" s="72" t="s">
        <v>598</v>
      </c>
      <c r="I2945" s="437"/>
      <c r="J2945" s="437"/>
      <c r="K2945" s="428">
        <v>52</v>
      </c>
      <c r="L2945" s="437">
        <v>22275</v>
      </c>
      <c r="M2945" s="65">
        <f t="shared" si="327"/>
        <v>1158300</v>
      </c>
      <c r="N2945" s="66" t="s">
        <v>99</v>
      </c>
      <c r="O2945" s="66" t="s">
        <v>585</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1" s="349" customFormat="1" ht="15.75" customHeight="1">
      <c r="A2946" s="334" t="str">
        <f>IF(B2946&lt;&gt;"",IF(AND(B2946='IN-TC'!$S$4,OR(TH!N2946="1111",TH!O2946="1111")),TH!D2946,""),"")</f>
        <v/>
      </c>
      <c r="B2946" s="63">
        <f t="shared" si="329"/>
        <v>10</v>
      </c>
      <c r="C2946" s="64">
        <v>42653</v>
      </c>
      <c r="D2946" s="64" t="s">
        <v>579</v>
      </c>
      <c r="E2946" s="64">
        <f t="shared" si="328"/>
        <v>42653</v>
      </c>
      <c r="F2946" s="72" t="s">
        <v>1188</v>
      </c>
      <c r="G2946" s="67" t="s">
        <v>914</v>
      </c>
      <c r="H2946" s="72" t="s">
        <v>598</v>
      </c>
      <c r="I2946" s="437"/>
      <c r="J2946" s="437"/>
      <c r="K2946" s="428">
        <v>51.98</v>
      </c>
      <c r="L2946" s="437">
        <v>22275</v>
      </c>
      <c r="M2946" s="65">
        <f t="shared" si="327"/>
        <v>1157855</v>
      </c>
      <c r="N2946" s="66" t="s">
        <v>101</v>
      </c>
      <c r="O2946" s="66" t="s">
        <v>585</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c r="AE2946" s="349">
        <v>1</v>
      </c>
    </row>
    <row r="2947" spans="1:31" s="349" customFormat="1" ht="15.75" customHeight="1">
      <c r="A2947" s="334" t="str">
        <f>IF(B2947&lt;&gt;"",IF(AND(B2947='IN-TC'!$S$4,OR(TH!N2947="1111",TH!O2947="1111")),TH!D2947,""),"")</f>
        <v/>
      </c>
      <c r="B2947" s="63">
        <f t="shared" ref="B2947:B2957" si="330">IF(C2947&lt;&gt;"",MONTH(C2947),"")</f>
        <v>10</v>
      </c>
      <c r="C2947" s="64">
        <v>42653</v>
      </c>
      <c r="D2947" s="64" t="s">
        <v>579</v>
      </c>
      <c r="E2947" s="64">
        <f t="shared" si="328"/>
        <v>42653</v>
      </c>
      <c r="F2947" s="72" t="s">
        <v>1189</v>
      </c>
      <c r="G2947" s="67" t="s">
        <v>914</v>
      </c>
      <c r="H2947" s="72" t="s">
        <v>598</v>
      </c>
      <c r="I2947" s="437"/>
      <c r="J2947" s="437"/>
      <c r="K2947" s="428">
        <v>5.2</v>
      </c>
      <c r="L2947" s="437">
        <v>22275</v>
      </c>
      <c r="M2947" s="65">
        <f t="shared" si="327"/>
        <v>115830</v>
      </c>
      <c r="N2947" s="66" t="s">
        <v>9</v>
      </c>
      <c r="O2947" s="66" t="s">
        <v>585</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x</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c r="AE2947" s="349">
        <v>1</v>
      </c>
    </row>
    <row r="2948" spans="1:31" s="349" customFormat="1" ht="15.75" customHeight="1">
      <c r="A2948" s="334" t="str">
        <f>IF(B2948&lt;&gt;"",IF(AND(B2948='IN-TC'!$S$4,OR(TH!N2948="1111",TH!O2948="1111")),TH!D2948,""),"")</f>
        <v/>
      </c>
      <c r="B2948" s="63">
        <f t="shared" si="330"/>
        <v>10</v>
      </c>
      <c r="C2948" s="64">
        <v>42653</v>
      </c>
      <c r="D2948" s="64" t="s">
        <v>579</v>
      </c>
      <c r="E2948" s="64">
        <f t="shared" ref="E2948" si="331">C2948</f>
        <v>42653</v>
      </c>
      <c r="F2948" s="72" t="s">
        <v>1986</v>
      </c>
      <c r="G2948" s="67" t="s">
        <v>914</v>
      </c>
      <c r="H2948" s="72" t="s">
        <v>598</v>
      </c>
      <c r="I2948" s="437"/>
      <c r="J2948" s="437"/>
      <c r="K2948" s="428">
        <v>35</v>
      </c>
      <c r="L2948" s="437">
        <v>22275</v>
      </c>
      <c r="M2948" s="65">
        <f t="shared" ref="M2948" si="332">ROUND(K2948*L2948,0)</f>
        <v>779625</v>
      </c>
      <c r="N2948" s="66" t="s">
        <v>101</v>
      </c>
      <c r="O2948" s="66" t="s">
        <v>585</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c r="AE2948" s="349">
        <v>1</v>
      </c>
    </row>
    <row r="2949" spans="1:31" s="345" customFormat="1" ht="15.75" customHeight="1">
      <c r="A2949" s="334" t="str">
        <f>IF(B2949&lt;&gt;"",IF(AND(B2949='IN-TC'!$S$4,OR(TH!N2949="1111",TH!O2949="1111")),TH!D2949,""),"")</f>
        <v/>
      </c>
      <c r="B2949" s="63">
        <f t="shared" si="330"/>
        <v>10</v>
      </c>
      <c r="C2949" s="78">
        <v>42653</v>
      </c>
      <c r="D2949" s="78" t="s">
        <v>579</v>
      </c>
      <c r="E2949" s="78">
        <f t="shared" ref="E2949:E2950" si="333">C2949</f>
        <v>42653</v>
      </c>
      <c r="F2949" s="72" t="s">
        <v>1062</v>
      </c>
      <c r="G2949" s="79" t="s">
        <v>914</v>
      </c>
      <c r="H2949" s="80" t="s">
        <v>598</v>
      </c>
      <c r="I2949" s="435"/>
      <c r="J2949" s="435"/>
      <c r="K2949" s="426"/>
      <c r="L2949" s="435"/>
      <c r="M2949" s="81">
        <v>948541</v>
      </c>
      <c r="N2949" s="82" t="s">
        <v>585</v>
      </c>
      <c r="O2949" s="82" t="s">
        <v>43</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1" s="1220" customFormat="1" ht="15.75" customHeight="1">
      <c r="A2950" s="334" t="str">
        <f>IF(B2950&lt;&gt;"",IF(AND(B2950='IN-TC'!$S$4,OR(TH!N2950="1111",TH!O2950="1111")),TH!D2950,""),"")</f>
        <v/>
      </c>
      <c r="B2950" s="1184">
        <f t="shared" si="330"/>
        <v>10</v>
      </c>
      <c r="C2950" s="1213">
        <v>42646</v>
      </c>
      <c r="D2950" s="1213" t="s">
        <v>702</v>
      </c>
      <c r="E2950" s="1213">
        <f t="shared" si="333"/>
        <v>42646</v>
      </c>
      <c r="F2950" s="72" t="s">
        <v>2156</v>
      </c>
      <c r="G2950" s="1212" t="s">
        <v>915</v>
      </c>
      <c r="H2950" s="1215" t="s">
        <v>1582</v>
      </c>
      <c r="I2950" s="1216"/>
      <c r="J2950" s="1216"/>
      <c r="K2950" s="1217"/>
      <c r="L2950" s="1216"/>
      <c r="M2950" s="1218">
        <v>7261946</v>
      </c>
      <c r="N2950" s="1219" t="s">
        <v>928</v>
      </c>
      <c r="O2950" s="1219"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1" s="349" customFormat="1" ht="15.75" customHeight="1">
      <c r="A2951" s="334" t="str">
        <f>IF(B2951&lt;&gt;"",IF(AND(B2951='IN-TC'!$S$4,OR(TH!N2951="1111",TH!O2951="1111")),TH!D2951,""),"")</f>
        <v/>
      </c>
      <c r="B2951" s="63">
        <f t="shared" si="330"/>
        <v>10</v>
      </c>
      <c r="C2951" s="64">
        <v>42646</v>
      </c>
      <c r="D2951" s="64" t="s">
        <v>702</v>
      </c>
      <c r="E2951" s="64">
        <f t="shared" ref="E2951:E2957" si="334">C2951</f>
        <v>42646</v>
      </c>
      <c r="F2951" s="72" t="s">
        <v>2157</v>
      </c>
      <c r="G2951" s="67" t="s">
        <v>915</v>
      </c>
      <c r="H2951" s="72" t="s">
        <v>1582</v>
      </c>
      <c r="I2951" s="437"/>
      <c r="J2951" s="437"/>
      <c r="K2951" s="428"/>
      <c r="L2951" s="437"/>
      <c r="M2951" s="65">
        <v>76250</v>
      </c>
      <c r="N2951" s="66" t="s">
        <v>105</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1" s="349" customFormat="1" ht="15.75" customHeight="1">
      <c r="A2952" s="334" t="str">
        <f>IF(B2952&lt;&gt;"",IF(AND(B2952='IN-TC'!$S$4,OR(TH!N2952="1111",TH!O2952="1111")),TH!D2952,""),"")</f>
        <v/>
      </c>
      <c r="B2952" s="63">
        <f t="shared" ref="B2952:B2953" si="335">IF(C2952&lt;&gt;"",MONTH(C2952),"")</f>
        <v>10</v>
      </c>
      <c r="C2952" s="64">
        <v>42646</v>
      </c>
      <c r="D2952" s="64" t="s">
        <v>702</v>
      </c>
      <c r="E2952" s="64">
        <f t="shared" ref="E2952:E2953" si="336">C2952</f>
        <v>42646</v>
      </c>
      <c r="F2952" s="72" t="s">
        <v>1169</v>
      </c>
      <c r="G2952" s="67" t="s">
        <v>915</v>
      </c>
      <c r="H2952" s="72" t="s">
        <v>1794</v>
      </c>
      <c r="I2952" s="437"/>
      <c r="J2952" s="437"/>
      <c r="K2952" s="428"/>
      <c r="L2952" s="437"/>
      <c r="M2952" s="65">
        <v>10000</v>
      </c>
      <c r="N2952" s="66" t="s">
        <v>101</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c r="AE2952" s="349">
        <v>1</v>
      </c>
    </row>
    <row r="2953" spans="1:31" s="349" customFormat="1" ht="15.75" customHeight="1">
      <c r="A2953" s="334" t="str">
        <f>IF(B2953&lt;&gt;"",IF(AND(B2953='IN-TC'!$S$4,OR(TH!N2953="1111",TH!O2953="1111")),TH!D2953,""),"")</f>
        <v/>
      </c>
      <c r="B2953" s="63">
        <f t="shared" si="335"/>
        <v>10</v>
      </c>
      <c r="C2953" s="64">
        <v>42646</v>
      </c>
      <c r="D2953" s="64" t="s">
        <v>702</v>
      </c>
      <c r="E2953" s="64">
        <f t="shared" si="336"/>
        <v>42646</v>
      </c>
      <c r="F2953" s="72" t="s">
        <v>1631</v>
      </c>
      <c r="G2953" s="67" t="s">
        <v>915</v>
      </c>
      <c r="H2953" s="72" t="s">
        <v>1794</v>
      </c>
      <c r="I2953" s="437"/>
      <c r="J2953" s="437"/>
      <c r="K2953" s="428"/>
      <c r="L2953" s="437"/>
      <c r="M2953" s="65">
        <v>1000</v>
      </c>
      <c r="N2953" s="66" t="s">
        <v>9</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x</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c r="AE2953" s="349">
        <v>1</v>
      </c>
    </row>
    <row r="2954" spans="1:31" s="349" customFormat="1" ht="15.75" customHeight="1">
      <c r="A2954" s="334" t="str">
        <f>IF(B2954&lt;&gt;"",IF(AND(B2954='IN-TC'!$S$4,OR(TH!N2954="1111",TH!O2954="1111")),TH!D2954,""),"")</f>
        <v/>
      </c>
      <c r="B2954" s="63">
        <f t="shared" si="330"/>
        <v>10</v>
      </c>
      <c r="C2954" s="64">
        <v>42647</v>
      </c>
      <c r="D2954" s="64" t="s">
        <v>702</v>
      </c>
      <c r="E2954" s="64">
        <f t="shared" si="334"/>
        <v>42647</v>
      </c>
      <c r="F2954" s="72" t="s">
        <v>2158</v>
      </c>
      <c r="G2954" s="67" t="s">
        <v>915</v>
      </c>
      <c r="H2954" s="72" t="s">
        <v>629</v>
      </c>
      <c r="I2954" s="437"/>
      <c r="J2954" s="437"/>
      <c r="K2954" s="428"/>
      <c r="L2954" s="437"/>
      <c r="M2954" s="65">
        <v>24156880</v>
      </c>
      <c r="N2954" s="66" t="s">
        <v>8</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1" s="348" customFormat="1" ht="15.75" customHeight="1">
      <c r="A2955" s="1229" t="str">
        <f>IF(B2955&lt;&gt;"",IF(AND(B2955='IN-TC'!$S$4,OR(TH!N2955="1111",TH!O2955="1111")),TH!D2955,""),"")</f>
        <v/>
      </c>
      <c r="B2955" s="1134">
        <f t="shared" si="330"/>
        <v>10</v>
      </c>
      <c r="C2955" s="92">
        <v>42647</v>
      </c>
      <c r="D2955" s="92" t="s">
        <v>702</v>
      </c>
      <c r="E2955" s="92">
        <f t="shared" si="334"/>
        <v>42647</v>
      </c>
      <c r="F2955" s="72" t="s">
        <v>1192</v>
      </c>
      <c r="G2955" s="93" t="s">
        <v>915</v>
      </c>
      <c r="H2955" s="94" t="s">
        <v>1794</v>
      </c>
      <c r="I2955" s="443"/>
      <c r="J2955" s="443"/>
      <c r="K2955" s="434"/>
      <c r="L2955" s="443"/>
      <c r="M2955" s="95">
        <v>45000</v>
      </c>
      <c r="N2955" s="83" t="s">
        <v>101</v>
      </c>
      <c r="O2955" s="83" t="s">
        <v>26</v>
      </c>
      <c r="P2955" s="83" t="str">
        <f>IF(AND('331-CT'!$E$7=TH!H2955,OR(N2955="331",O2955="331")),"x","")</f>
        <v/>
      </c>
      <c r="Q2955" s="83" t="str">
        <f>IF(AND(B2955='111'!$L$11,OR($N2955=$Q$7,$O2955=$Q$7)),"x","")</f>
        <v/>
      </c>
      <c r="R2955" s="83" t="str">
        <f>IF(AND($N2955=$Q$7,$B2955&lt;'111'!$L$11),"x","")</f>
        <v/>
      </c>
      <c r="S2955" s="83" t="str">
        <f>IF(AND($O2955=$Q$7,$B2955&lt;'111'!$L$11),"x","")</f>
        <v/>
      </c>
      <c r="T2955" s="83" t="str">
        <f>IF(ISERROR(FIND('112'!$M$9,G2955,1)),"",IF((AND(FIND('112'!$M$9,G2955,1)&gt;=1,B2955='112'!$K$9,OR($N2955='112'!$I$6,$O2955='112'!$I$6))),"x",""))</f>
        <v/>
      </c>
      <c r="U2955" s="83" t="str">
        <f>IF(ISERROR(FIND('112'!$M$9,G2955,1)),"",IF((AND(LEFT(G2955,2)=LEFT('112'!$M$9,2),B2955&lt;'112'!$K$9,$N2955='112'!$I$6)),"x",""))</f>
        <v/>
      </c>
      <c r="V2955" s="83" t="str">
        <f>IF(ISERROR(FIND('112'!$M$9,G2955,1)),"",IF((AND(RIGHT(G2955,2)=RIGHT('112'!$M$9,2),B2955&lt;'112'!$K$9,$O2955='112'!$I$6)),"x",""))</f>
        <v/>
      </c>
      <c r="W2955" s="83" t="str">
        <f>IF(AND('341-CT'!$H$9=H2955,OR(LEFT(N2955,3)=$W$7,LEFT(O2955,3)=$W$7)),"x","")</f>
        <v/>
      </c>
      <c r="X2955" s="83" t="str">
        <f>IF(OR(TH!N2955=TH!$X$7,O2955=TH!$X$7),"x","")</f>
        <v/>
      </c>
      <c r="Y2955" s="83" t="str">
        <f>IF(AND(OR(N2955="131",O2955="131"),H2955='131-CT'!$H$9),"x","")</f>
        <v/>
      </c>
      <c r="Z2955" s="83"/>
      <c r="AA2955" s="83" t="str">
        <f>IF(AND(MONTH(E2955)='IN-NX'!$J$5,'IN-NX'!$D$7=D2955),"x","")</f>
        <v/>
      </c>
      <c r="AB2955" s="83" t="str">
        <f>IF(AND(OR(LEFT(TH!N2955,2)="15",LEFT(TH!O2955,2)="15"),LEFT(TH!O2955,3)&lt;&gt;"111",'152-CT'!$J$8=TH!F2955),"x","")</f>
        <v/>
      </c>
      <c r="AC2955" s="83" t="str">
        <f>IF(AND(OR(LEFT(TH!N2955,2)="15",LEFT(TH!O2955,2)="15"),TK!$E$7=TH!F2955),"x","")</f>
        <v/>
      </c>
      <c r="AD2955" s="83" t="str">
        <f>IF(AND(N2955="1521",MONTH(C2955)='BK-NL'!$M$11),"x","")</f>
        <v/>
      </c>
      <c r="AE2955" s="348">
        <v>1</v>
      </c>
    </row>
    <row r="2956" spans="1:31" s="348" customFormat="1" ht="15.75" customHeight="1">
      <c r="A2956" s="1229" t="str">
        <f>IF(B2956&lt;&gt;"",IF(AND(B2956='IN-TC'!$S$4,OR(TH!N2956="1111",TH!O2956="1111")),TH!D2956,""),"")</f>
        <v/>
      </c>
      <c r="B2956" s="1134">
        <f t="shared" si="330"/>
        <v>10</v>
      </c>
      <c r="C2956" s="92">
        <v>42647</v>
      </c>
      <c r="D2956" s="92" t="s">
        <v>702</v>
      </c>
      <c r="E2956" s="92">
        <f t="shared" si="334"/>
        <v>42647</v>
      </c>
      <c r="F2956" s="72" t="s">
        <v>1193</v>
      </c>
      <c r="G2956" s="93" t="s">
        <v>915</v>
      </c>
      <c r="H2956" s="94" t="s">
        <v>1794</v>
      </c>
      <c r="I2956" s="443"/>
      <c r="J2956" s="443"/>
      <c r="K2956" s="434"/>
      <c r="L2956" s="443"/>
      <c r="M2956" s="95">
        <v>4500</v>
      </c>
      <c r="N2956" s="83" t="s">
        <v>9</v>
      </c>
      <c r="O2956" s="83" t="s">
        <v>26</v>
      </c>
      <c r="P2956" s="83" t="str">
        <f>IF(AND('331-CT'!$E$7=TH!H2956,OR(N2956="331",O2956="331")),"x","")</f>
        <v/>
      </c>
      <c r="Q2956" s="83" t="str">
        <f>IF(AND(B2956='111'!$L$11,OR($N2956=$Q$7,$O2956=$Q$7)),"x","")</f>
        <v/>
      </c>
      <c r="R2956" s="83" t="str">
        <f>IF(AND($N2956=$Q$7,$B2956&lt;'111'!$L$11),"x","")</f>
        <v/>
      </c>
      <c r="S2956" s="83" t="str">
        <f>IF(AND($O2956=$Q$7,$B2956&lt;'111'!$L$11),"x","")</f>
        <v/>
      </c>
      <c r="T2956" s="83" t="str">
        <f>IF(ISERROR(FIND('112'!$M$9,G2956,1)),"",IF((AND(FIND('112'!$M$9,G2956,1)&gt;=1,B2956='112'!$K$9,OR($N2956='112'!$I$6,$O2956='112'!$I$6))),"x",""))</f>
        <v/>
      </c>
      <c r="U2956" s="83" t="str">
        <f>IF(ISERROR(FIND('112'!$M$9,G2956,1)),"",IF((AND(LEFT(G2956,2)=LEFT('112'!$M$9,2),B2956&lt;'112'!$K$9,$N2956='112'!$I$6)),"x",""))</f>
        <v/>
      </c>
      <c r="V2956" s="83" t="str">
        <f>IF(ISERROR(FIND('112'!$M$9,G2956,1)),"",IF((AND(RIGHT(G2956,2)=RIGHT('112'!$M$9,2),B2956&lt;'112'!$K$9,$O2956='112'!$I$6)),"x",""))</f>
        <v/>
      </c>
      <c r="W2956" s="83" t="str">
        <f>IF(AND('341-CT'!$H$9=H2956,OR(LEFT(N2956,3)=$W$7,LEFT(O2956,3)=$W$7)),"x","")</f>
        <v/>
      </c>
      <c r="X2956" s="83" t="str">
        <f>IF(OR(TH!N2956=TH!$X$7,O2956=TH!$X$7),"x","")</f>
        <v>x</v>
      </c>
      <c r="Y2956" s="83" t="str">
        <f>IF(AND(OR(N2956="131",O2956="131"),H2956='131-CT'!$H$9),"x","")</f>
        <v/>
      </c>
      <c r="Z2956" s="83"/>
      <c r="AA2956" s="83" t="str">
        <f>IF(AND(MONTH(E2956)='IN-NX'!$J$5,'IN-NX'!$D$7=D2956),"x","")</f>
        <v/>
      </c>
      <c r="AB2956" s="83" t="str">
        <f>IF(AND(OR(LEFT(TH!N2956,2)="15",LEFT(TH!O2956,2)="15"),LEFT(TH!O2956,3)&lt;&gt;"111",'152-CT'!$J$8=TH!F2956),"x","")</f>
        <v/>
      </c>
      <c r="AC2956" s="83" t="str">
        <f>IF(AND(OR(LEFT(TH!N2956,2)="15",LEFT(TH!O2956,2)="15"),TK!$E$7=TH!F2956),"x","")</f>
        <v/>
      </c>
      <c r="AD2956" s="83" t="str">
        <f>IF(AND(N2956="1521",MONTH(C2956)='BK-NL'!$M$11),"x","")</f>
        <v/>
      </c>
      <c r="AE2956" s="348">
        <v>1</v>
      </c>
    </row>
    <row r="2957" spans="1:31" s="349" customFormat="1" ht="15.75" customHeight="1">
      <c r="A2957" s="334" t="str">
        <f>IF(B2957&lt;&gt;"",IF(AND(B2957='IN-TC'!$S$4,OR(TH!N2957="1111",TH!O2957="1111")),TH!D2957,""),"")</f>
        <v/>
      </c>
      <c r="B2957" s="63">
        <f t="shared" si="330"/>
        <v>10</v>
      </c>
      <c r="C2957" s="64">
        <v>42650</v>
      </c>
      <c r="D2957" s="64" t="s">
        <v>699</v>
      </c>
      <c r="E2957" s="64">
        <f t="shared" si="334"/>
        <v>42650</v>
      </c>
      <c r="F2957" s="72" t="s">
        <v>1450</v>
      </c>
      <c r="G2957" s="67" t="s">
        <v>1558</v>
      </c>
      <c r="H2957" s="72" t="s">
        <v>1890</v>
      </c>
      <c r="I2957" s="437"/>
      <c r="J2957" s="437"/>
      <c r="K2957" s="428">
        <v>194610.5</v>
      </c>
      <c r="L2957" s="437">
        <v>22296</v>
      </c>
      <c r="M2957" s="65">
        <f t="shared" ref="M2957" si="337">ROUND(K2957*L2957,0)</f>
        <v>4339035708</v>
      </c>
      <c r="N2957" s="66" t="s">
        <v>266</v>
      </c>
      <c r="O2957" s="66" t="s">
        <v>585</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1" s="349" customFormat="1" ht="15.75" customHeight="1">
      <c r="A2958" s="334" t="str">
        <f>IF(B2958&lt;&gt;"",IF(AND(B2958='IN-TC'!$S$4,OR(TH!N2958="1111",TH!O2958="1111")),TH!D2958,""),"")</f>
        <v/>
      </c>
      <c r="B2958" s="63">
        <f t="shared" ref="B2958" si="338">IF(C2958&lt;&gt;"",MONTH(C2958),"")</f>
        <v>10</v>
      </c>
      <c r="C2958" s="64">
        <v>42650</v>
      </c>
      <c r="D2958" s="64" t="s">
        <v>702</v>
      </c>
      <c r="E2958" s="64">
        <f t="shared" ref="E2958" si="339">C2958</f>
        <v>42650</v>
      </c>
      <c r="F2958" s="72" t="s">
        <v>1438</v>
      </c>
      <c r="G2958" s="67" t="s">
        <v>1558</v>
      </c>
      <c r="H2958" s="72" t="s">
        <v>1795</v>
      </c>
      <c r="I2958" s="437"/>
      <c r="J2958" s="437"/>
      <c r="K2958" s="428">
        <v>100000</v>
      </c>
      <c r="L2958" s="437">
        <v>22296</v>
      </c>
      <c r="M2958" s="65">
        <f t="shared" ref="M2958" si="340">ROUND(K2958*L2958,0)</f>
        <v>2229600000</v>
      </c>
      <c r="N2958" s="66" t="s">
        <v>26</v>
      </c>
      <c r="O2958" s="66" t="s">
        <v>266</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x</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1" s="349" customFormat="1" ht="15.75" customHeight="1">
      <c r="A2959" s="334" t="str">
        <f>IF(B2959&lt;&gt;"",IF(AND(B2959='IN-TC'!$S$4,OR(TH!N2959="1111",TH!O2959="1111")),TH!D2959,""),"")</f>
        <v/>
      </c>
      <c r="B2959" s="63">
        <f t="shared" ref="B2959" si="341">IF(C2959&lt;&gt;"",MONTH(C2959),"")</f>
        <v>10</v>
      </c>
      <c r="C2959" s="64">
        <v>42650</v>
      </c>
      <c r="D2959" s="64" t="s">
        <v>702</v>
      </c>
      <c r="E2959" s="64">
        <f t="shared" ref="E2959" si="342">C2959</f>
        <v>42650</v>
      </c>
      <c r="F2959" s="72" t="s">
        <v>2159</v>
      </c>
      <c r="G2959" s="67" t="s">
        <v>1558</v>
      </c>
      <c r="H2959" s="72" t="s">
        <v>1795</v>
      </c>
      <c r="I2959" s="437"/>
      <c r="J2959" s="437"/>
      <c r="K2959" s="428">
        <v>3</v>
      </c>
      <c r="L2959" s="1216">
        <v>22290</v>
      </c>
      <c r="M2959" s="65">
        <f t="shared" ref="M2959" si="343">ROUND(K2959*L2959,0)</f>
        <v>66870</v>
      </c>
      <c r="N2959" s="66" t="s">
        <v>101</v>
      </c>
      <c r="O2959" s="66" t="s">
        <v>266</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c r="AE2959" s="349">
        <v>1</v>
      </c>
    </row>
    <row r="2960" spans="1:31" s="349" customFormat="1" ht="15.75" customHeight="1">
      <c r="A2960" s="334" t="str">
        <f>IF(B2960&lt;&gt;"",IF(AND(B2960='IN-TC'!$S$4,OR(TH!N2960="1111",TH!O2960="1111")),TH!D2960,""),"")</f>
        <v/>
      </c>
      <c r="B2960" s="63">
        <f t="shared" ref="B2960:B2962" si="344">IF(C2960&lt;&gt;"",MONTH(C2960),"")</f>
        <v>10</v>
      </c>
      <c r="C2960" s="64">
        <v>42650</v>
      </c>
      <c r="D2960" s="64" t="s">
        <v>702</v>
      </c>
      <c r="E2960" s="64">
        <f t="shared" ref="E2960:E2962" si="345">C2960</f>
        <v>42650</v>
      </c>
      <c r="F2960" s="72" t="s">
        <v>2160</v>
      </c>
      <c r="G2960" s="67" t="s">
        <v>1558</v>
      </c>
      <c r="H2960" s="72" t="s">
        <v>1795</v>
      </c>
      <c r="I2960" s="437"/>
      <c r="J2960" s="437"/>
      <c r="K2960" s="428">
        <v>0.3</v>
      </c>
      <c r="L2960" s="1216">
        <v>22290</v>
      </c>
      <c r="M2960" s="65">
        <f t="shared" ref="M2960:M2962" si="346">ROUND(K2960*L2960,0)</f>
        <v>6687</v>
      </c>
      <c r="N2960" s="66" t="s">
        <v>9</v>
      </c>
      <c r="O2960" s="66" t="s">
        <v>266</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x</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c r="AE2960" s="349">
        <v>1</v>
      </c>
    </row>
    <row r="2961" spans="1:30" s="349" customFormat="1" ht="15.75" customHeight="1">
      <c r="A2961" s="334" t="str">
        <f>IF(B2961&lt;&gt;"",IF(AND(B2961='IN-TC'!$S$4,OR(TH!N2961="1111",TH!O2961="1111")),TH!D2961,""),"")</f>
        <v/>
      </c>
      <c r="B2961" s="63">
        <f t="shared" si="344"/>
        <v>10</v>
      </c>
      <c r="C2961" s="64">
        <v>42660</v>
      </c>
      <c r="D2961" s="64" t="s">
        <v>699</v>
      </c>
      <c r="E2961" s="64">
        <f t="shared" si="345"/>
        <v>42660</v>
      </c>
      <c r="F2961" s="72" t="s">
        <v>1450</v>
      </c>
      <c r="G2961" s="67" t="s">
        <v>1558</v>
      </c>
      <c r="H2961" s="72" t="s">
        <v>1890</v>
      </c>
      <c r="I2961" s="437"/>
      <c r="J2961" s="437"/>
      <c r="K2961" s="428">
        <v>100626</v>
      </c>
      <c r="L2961" s="1216">
        <v>22290</v>
      </c>
      <c r="M2961" s="65">
        <f t="shared" si="346"/>
        <v>2242953540</v>
      </c>
      <c r="N2961" s="66" t="s">
        <v>266</v>
      </c>
      <c r="O2961" s="66" t="s">
        <v>585</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s="349" customFormat="1" ht="15.75" customHeight="1">
      <c r="A2962" s="334" t="str">
        <f>IF(B2962&lt;&gt;"",IF(AND(B2962='IN-TC'!$S$4,OR(TH!N2962="1111",TH!O2962="1111")),TH!D2962,""),"")</f>
        <v/>
      </c>
      <c r="B2962" s="63">
        <f t="shared" si="344"/>
        <v>10</v>
      </c>
      <c r="C2962" s="64">
        <v>42660</v>
      </c>
      <c r="D2962" s="64" t="s">
        <v>702</v>
      </c>
      <c r="E2962" s="64">
        <f t="shared" si="345"/>
        <v>42660</v>
      </c>
      <c r="F2962" s="72" t="s">
        <v>1438</v>
      </c>
      <c r="G2962" s="67" t="s">
        <v>1558</v>
      </c>
      <c r="H2962" s="72" t="s">
        <v>1795</v>
      </c>
      <c r="I2962" s="437"/>
      <c r="J2962" s="437"/>
      <c r="K2962" s="428">
        <v>100000</v>
      </c>
      <c r="L2962" s="1216">
        <v>22300</v>
      </c>
      <c r="M2962" s="65">
        <f t="shared" si="346"/>
        <v>2230000000</v>
      </c>
      <c r="N2962" s="66" t="s">
        <v>26</v>
      </c>
      <c r="O2962" s="66" t="s">
        <v>266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x</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s="349" customFormat="1" ht="15.75" customHeight="1">
      <c r="A2963" s="334" t="str">
        <f>IF(B2963&lt;&gt;"",IF(AND(B2963='IN-TC'!$S$4,OR(TH!N2963="1111",TH!O2963="1111")),TH!D2963,""),"")</f>
        <v/>
      </c>
      <c r="B2963" s="63">
        <f t="shared" ref="B2963" si="347">IF(C2963&lt;&gt;"",MONTH(C2963),"")</f>
        <v>10</v>
      </c>
      <c r="C2963" s="64">
        <v>42660</v>
      </c>
      <c r="D2963" s="64" t="s">
        <v>702</v>
      </c>
      <c r="E2963" s="64">
        <f t="shared" ref="E2963:E2965" si="348">C2963</f>
        <v>42660</v>
      </c>
      <c r="F2963" s="72" t="s">
        <v>1185</v>
      </c>
      <c r="G2963" s="67" t="s">
        <v>1558</v>
      </c>
      <c r="H2963" s="72" t="s">
        <v>1795</v>
      </c>
      <c r="I2963" s="437"/>
      <c r="J2963" s="437"/>
      <c r="K2963" s="428">
        <v>30.33</v>
      </c>
      <c r="L2963" s="1216">
        <v>22290</v>
      </c>
      <c r="M2963" s="65">
        <f t="shared" ref="M2963:M2966" si="349">ROUND(K2963*L2963,0)</f>
        <v>676056</v>
      </c>
      <c r="N2963" s="66" t="s">
        <v>101</v>
      </c>
      <c r="O2963" s="66" t="s">
        <v>266</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s="349" customFormat="1" ht="15.75" customHeight="1">
      <c r="A2964" s="334" t="str">
        <f>IF(B2964&lt;&gt;"",IF(AND(B2964='IN-TC'!$S$4,OR(TH!N2964="1111",TH!O2964="1111")),TH!D2964,""),"")</f>
        <v/>
      </c>
      <c r="B2964" s="63">
        <f t="shared" si="329"/>
        <v>10</v>
      </c>
      <c r="C2964" s="64">
        <v>42664</v>
      </c>
      <c r="D2964" s="64" t="s">
        <v>699</v>
      </c>
      <c r="E2964" s="64">
        <f t="shared" si="348"/>
        <v>42664</v>
      </c>
      <c r="F2964" s="72" t="s">
        <v>2186</v>
      </c>
      <c r="G2964" s="67" t="s">
        <v>1558</v>
      </c>
      <c r="H2964" s="72" t="s">
        <v>2162</v>
      </c>
      <c r="I2964" s="437"/>
      <c r="J2964" s="437"/>
      <c r="K2964" s="428">
        <v>1500</v>
      </c>
      <c r="L2964" s="437">
        <v>22290</v>
      </c>
      <c r="M2964" s="65">
        <f t="shared" si="349"/>
        <v>33435000</v>
      </c>
      <c r="N2964" s="66" t="s">
        <v>266</v>
      </c>
      <c r="O2964" s="66" t="s">
        <v>260</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s="349" customFormat="1" ht="15.75" customHeight="1">
      <c r="A2965" s="334" t="str">
        <f>IF(B2965&lt;&gt;"",IF(AND(B2965='IN-TC'!$S$4,OR(TH!N2965="1111",TH!O2965="1111")),TH!D2965,""),"")</f>
        <v/>
      </c>
      <c r="B2965" s="63">
        <f t="shared" si="329"/>
        <v>10</v>
      </c>
      <c r="C2965" s="64">
        <v>42665</v>
      </c>
      <c r="D2965" s="64" t="s">
        <v>702</v>
      </c>
      <c r="E2965" s="64">
        <f t="shared" si="348"/>
        <v>42665</v>
      </c>
      <c r="F2965" s="72" t="s">
        <v>2027</v>
      </c>
      <c r="G2965" s="67" t="s">
        <v>1558</v>
      </c>
      <c r="H2965" s="1215"/>
      <c r="I2965" s="437"/>
      <c r="J2965" s="437"/>
      <c r="K2965" s="428">
        <v>0.1</v>
      </c>
      <c r="L2965" s="1216">
        <v>22290</v>
      </c>
      <c r="M2965" s="65">
        <f t="shared" si="349"/>
        <v>2229</v>
      </c>
      <c r="N2965" s="66" t="s">
        <v>99</v>
      </c>
      <c r="O2965" s="66" t="s">
        <v>266</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s="349" customFormat="1" ht="15.75" customHeight="1">
      <c r="A2966" s="334" t="str">
        <f>IF(B2966&lt;&gt;"",IF(AND(B2966='IN-TC'!$S$4,OR(TH!N2966="1111",TH!O2966="1111")),TH!D2966,""),"")</f>
        <v/>
      </c>
      <c r="B2966" s="63">
        <f t="shared" si="329"/>
        <v>10</v>
      </c>
      <c r="C2966" s="64">
        <v>42665</v>
      </c>
      <c r="D2966" s="64" t="s">
        <v>702</v>
      </c>
      <c r="E2966" s="64">
        <f t="shared" ref="E2966:E2982" si="350">C2966</f>
        <v>42665</v>
      </c>
      <c r="F2966" s="72" t="s">
        <v>2163</v>
      </c>
      <c r="G2966" s="67" t="s">
        <v>1558</v>
      </c>
      <c r="H2966" s="1215"/>
      <c r="I2966" s="437"/>
      <c r="J2966" s="437"/>
      <c r="K2966" s="428">
        <v>375</v>
      </c>
      <c r="L2966" s="1216">
        <v>22290</v>
      </c>
      <c r="M2966" s="65">
        <f t="shared" si="349"/>
        <v>8358750</v>
      </c>
      <c r="N2966" s="66" t="s">
        <v>99</v>
      </c>
      <c r="O2966" s="66" t="s">
        <v>266</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s="349" customFormat="1" ht="15.75" customHeight="1">
      <c r="A2967" s="334" t="str">
        <f>IF(B2967&lt;&gt;"",IF(AND(B2967='IN-TC'!$S$4,OR(TH!N2967="1111",TH!O2967="1111")),TH!D2967,""),"")</f>
        <v/>
      </c>
      <c r="B2967" s="63">
        <f t="shared" si="329"/>
        <v>10</v>
      </c>
      <c r="C2967" s="64">
        <v>42665</v>
      </c>
      <c r="D2967" s="64" t="s">
        <v>702</v>
      </c>
      <c r="E2967" s="64">
        <f t="shared" si="350"/>
        <v>42665</v>
      </c>
      <c r="F2967" s="72" t="s">
        <v>2027</v>
      </c>
      <c r="G2967" s="67" t="s">
        <v>1558</v>
      </c>
      <c r="H2967" s="1215"/>
      <c r="I2967" s="437"/>
      <c r="J2967" s="437"/>
      <c r="K2967" s="428">
        <v>0.12</v>
      </c>
      <c r="L2967" s="1216">
        <v>22290</v>
      </c>
      <c r="M2967" s="65">
        <f t="shared" ref="M2967:M2968" si="351">ROUND(K2967*L2967,0)</f>
        <v>2675</v>
      </c>
      <c r="N2967" s="66" t="s">
        <v>99</v>
      </c>
      <c r="O2967" s="66" t="s">
        <v>266</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s="349" customFormat="1" ht="15.75" customHeight="1">
      <c r="A2968" s="334" t="str">
        <f>IF(B2968&lt;&gt;"",IF(AND(B2968='IN-TC'!$S$4,OR(TH!N2968="1111",TH!O2968="1111")),TH!D2968,""),"")</f>
        <v/>
      </c>
      <c r="B2968" s="63">
        <f t="shared" si="329"/>
        <v>10</v>
      </c>
      <c r="C2968" s="64">
        <v>42665</v>
      </c>
      <c r="D2968" s="64" t="s">
        <v>702</v>
      </c>
      <c r="E2968" s="64">
        <f t="shared" ref="E2968" si="352">C2968</f>
        <v>42665</v>
      </c>
      <c r="F2968" s="72" t="s">
        <v>2163</v>
      </c>
      <c r="G2968" s="67" t="s">
        <v>1558</v>
      </c>
      <c r="H2968" s="1215"/>
      <c r="I2968" s="437"/>
      <c r="J2968" s="437"/>
      <c r="K2968" s="428">
        <v>223.75</v>
      </c>
      <c r="L2968" s="1216">
        <v>22290</v>
      </c>
      <c r="M2968" s="65">
        <f t="shared" si="351"/>
        <v>4987388</v>
      </c>
      <c r="N2968" s="66" t="s">
        <v>99</v>
      </c>
      <c r="O2968" s="66" t="s">
        <v>266</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s="349" customFormat="1" ht="15.75" customHeight="1">
      <c r="A2969" s="334" t="str">
        <f>IF(B2969&lt;&gt;"",IF(AND(B2969='IN-TC'!$S$4,OR(TH!N2969="1111",TH!O2969="1111")),TH!D2969,""),"")</f>
        <v/>
      </c>
      <c r="B2969" s="63">
        <f t="shared" si="329"/>
        <v>10</v>
      </c>
      <c r="C2969" s="64">
        <v>42665</v>
      </c>
      <c r="D2969" s="64" t="s">
        <v>702</v>
      </c>
      <c r="E2969" s="64">
        <f t="shared" si="350"/>
        <v>42665</v>
      </c>
      <c r="F2969" s="72" t="s">
        <v>2027</v>
      </c>
      <c r="G2969" s="67" t="s">
        <v>1558</v>
      </c>
      <c r="H2969" s="1215"/>
      <c r="I2969" s="437"/>
      <c r="J2969" s="437"/>
      <c r="K2969" s="428">
        <v>0.09</v>
      </c>
      <c r="L2969" s="1216">
        <v>22290</v>
      </c>
      <c r="M2969" s="65">
        <f t="shared" ref="M2969:M2970" si="353">ROUND(K2969*L2969,0)</f>
        <v>2006</v>
      </c>
      <c r="N2969" s="66" t="s">
        <v>99</v>
      </c>
      <c r="O2969" s="66" t="s">
        <v>266</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s="349" customFormat="1" ht="15.75" customHeight="1">
      <c r="A2970" s="334" t="str">
        <f>IF(B2970&lt;&gt;"",IF(AND(B2970='IN-TC'!$S$4,OR(TH!N2970="1111",TH!O2970="1111")),TH!D2970,""),"")</f>
        <v/>
      </c>
      <c r="B2970" s="63">
        <f t="shared" si="329"/>
        <v>10</v>
      </c>
      <c r="C2970" s="64">
        <v>42665</v>
      </c>
      <c r="D2970" s="64" t="s">
        <v>702</v>
      </c>
      <c r="E2970" s="64">
        <f t="shared" si="350"/>
        <v>42665</v>
      </c>
      <c r="F2970" s="72" t="s">
        <v>2163</v>
      </c>
      <c r="G2970" s="67" t="s">
        <v>1558</v>
      </c>
      <c r="H2970" s="1215"/>
      <c r="I2970" s="437"/>
      <c r="J2970" s="437"/>
      <c r="K2970" s="428">
        <v>222.5</v>
      </c>
      <c r="L2970" s="1216">
        <v>22290</v>
      </c>
      <c r="M2970" s="65">
        <f t="shared" si="353"/>
        <v>4959525</v>
      </c>
      <c r="N2970" s="66" t="s">
        <v>99</v>
      </c>
      <c r="O2970" s="66" t="s">
        <v>266</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s="349" customFormat="1" ht="15.75" customHeight="1">
      <c r="A2971" s="334" t="str">
        <f>IF(B2971&lt;&gt;"",IF(AND(B2971='IN-TC'!$S$4,OR(TH!N2971="1111",TH!O2971="1111")),TH!D2971,""),"")</f>
        <v/>
      </c>
      <c r="B2971" s="63">
        <f t="shared" si="329"/>
        <v>10</v>
      </c>
      <c r="C2971" s="64">
        <v>42665</v>
      </c>
      <c r="D2971" s="64" t="s">
        <v>702</v>
      </c>
      <c r="E2971" s="64">
        <f t="shared" si="350"/>
        <v>42665</v>
      </c>
      <c r="F2971" s="72" t="s">
        <v>2027</v>
      </c>
      <c r="G2971" s="67" t="s">
        <v>1558</v>
      </c>
      <c r="H2971" s="1215"/>
      <c r="I2971" s="437"/>
      <c r="J2971" s="437"/>
      <c r="K2971" s="428">
        <v>0.13</v>
      </c>
      <c r="L2971" s="1216">
        <v>22290</v>
      </c>
      <c r="M2971" s="65">
        <f t="shared" ref="M2971:M2972" si="354">ROUND(K2971*L2971,0)</f>
        <v>2898</v>
      </c>
      <c r="N2971" s="66" t="s">
        <v>99</v>
      </c>
      <c r="O2971" s="66" t="s">
        <v>266</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s="349" customFormat="1" ht="15.75" customHeight="1">
      <c r="A2972" s="334" t="str">
        <f>IF(B2972&lt;&gt;"",IF(AND(B2972='IN-TC'!$S$4,OR(TH!N2972="1111",TH!O2972="1111")),TH!D2972,""),"")</f>
        <v/>
      </c>
      <c r="B2972" s="63">
        <f t="shared" si="329"/>
        <v>10</v>
      </c>
      <c r="C2972" s="64">
        <v>42665</v>
      </c>
      <c r="D2972" s="64" t="s">
        <v>702</v>
      </c>
      <c r="E2972" s="64">
        <f t="shared" si="350"/>
        <v>42665</v>
      </c>
      <c r="F2972" s="72" t="s">
        <v>2163</v>
      </c>
      <c r="G2972" s="67" t="s">
        <v>1558</v>
      </c>
      <c r="H2972" s="1215"/>
      <c r="I2972" s="437"/>
      <c r="J2972" s="437"/>
      <c r="K2972" s="428">
        <v>223.75</v>
      </c>
      <c r="L2972" s="1216">
        <v>22290</v>
      </c>
      <c r="M2972" s="65">
        <f t="shared" si="354"/>
        <v>4987388</v>
      </c>
      <c r="N2972" s="66" t="s">
        <v>99</v>
      </c>
      <c r="O2972" s="66" t="s">
        <v>266</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s="349" customFormat="1" ht="15.75" customHeight="1">
      <c r="A2973" s="334" t="str">
        <f>IF(B2973&lt;&gt;"",IF(AND(B2973='IN-TC'!$S$4,OR(TH!N2973="1111",TH!O2973="1111")),TH!D2973,""),"")</f>
        <v/>
      </c>
      <c r="B2973" s="63">
        <f t="shared" si="329"/>
        <v>10</v>
      </c>
      <c r="C2973" s="64">
        <v>42665</v>
      </c>
      <c r="D2973" s="64" t="s">
        <v>702</v>
      </c>
      <c r="E2973" s="64">
        <f t="shared" si="350"/>
        <v>42665</v>
      </c>
      <c r="F2973" s="72" t="s">
        <v>2163</v>
      </c>
      <c r="G2973" s="67" t="s">
        <v>1558</v>
      </c>
      <c r="H2973" s="1215"/>
      <c r="I2973" s="437"/>
      <c r="J2973" s="437"/>
      <c r="K2973" s="428">
        <v>341.25</v>
      </c>
      <c r="L2973" s="1216">
        <v>22290</v>
      </c>
      <c r="M2973" s="65">
        <f t="shared" ref="M2973:M2976" si="355">ROUND(K2973*L2973,0)</f>
        <v>7606463</v>
      </c>
      <c r="N2973" s="66" t="s">
        <v>99</v>
      </c>
      <c r="O2973" s="66" t="s">
        <v>266</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s="349" customFormat="1" ht="15.75" customHeight="1">
      <c r="A2974" s="334" t="str">
        <f>IF(B2974&lt;&gt;"",IF(AND(B2974='IN-TC'!$S$4,OR(TH!N2974="1111",TH!O2974="1111")),TH!D2974,""),"")</f>
        <v/>
      </c>
      <c r="B2974" s="63">
        <f t="shared" si="329"/>
        <v>10</v>
      </c>
      <c r="C2974" s="64">
        <v>42665</v>
      </c>
      <c r="D2974" s="64" t="s">
        <v>702</v>
      </c>
      <c r="E2974" s="64">
        <f t="shared" si="350"/>
        <v>42665</v>
      </c>
      <c r="F2974" s="72" t="s">
        <v>2163</v>
      </c>
      <c r="G2974" s="67" t="s">
        <v>1558</v>
      </c>
      <c r="H2974" s="1215"/>
      <c r="I2974" s="437"/>
      <c r="J2974" s="437"/>
      <c r="K2974" s="428">
        <v>40</v>
      </c>
      <c r="L2974" s="1216">
        <v>22290</v>
      </c>
      <c r="M2974" s="65">
        <f t="shared" si="355"/>
        <v>891600</v>
      </c>
      <c r="N2974" s="66" t="s">
        <v>99</v>
      </c>
      <c r="O2974" s="66" t="s">
        <v>266</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s="349" customFormat="1" ht="15.75" customHeight="1">
      <c r="A2975" s="334" t="str">
        <f>IF(B2975&lt;&gt;"",IF(AND(B2975='IN-TC'!$S$4,OR(TH!N2975="1111",TH!O2975="1111")),TH!D2975,""),"")</f>
        <v/>
      </c>
      <c r="B2975" s="63">
        <f t="shared" si="329"/>
        <v>10</v>
      </c>
      <c r="C2975" s="64">
        <v>42665</v>
      </c>
      <c r="D2975" s="64" t="s">
        <v>702</v>
      </c>
      <c r="E2975" s="64">
        <f t="shared" si="350"/>
        <v>42665</v>
      </c>
      <c r="F2975" s="72" t="s">
        <v>2027</v>
      </c>
      <c r="G2975" s="67" t="s">
        <v>1558</v>
      </c>
      <c r="H2975" s="1215"/>
      <c r="I2975" s="437"/>
      <c r="J2975" s="437"/>
      <c r="K2975" s="428">
        <v>0.05</v>
      </c>
      <c r="L2975" s="1216">
        <v>22290</v>
      </c>
      <c r="M2975" s="65">
        <f t="shared" si="355"/>
        <v>1115</v>
      </c>
      <c r="N2975" s="66" t="s">
        <v>99</v>
      </c>
      <c r="O2975" s="66" t="s">
        <v>266</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s="349" customFormat="1" ht="15.75" customHeight="1">
      <c r="A2976" s="334" t="str">
        <f>IF(B2976&lt;&gt;"",IF(AND(B2976='IN-TC'!$S$4,OR(TH!N2976="1111",TH!O2976="1111")),TH!D2976,""),"")</f>
        <v/>
      </c>
      <c r="B2976" s="63">
        <f t="shared" si="329"/>
        <v>10</v>
      </c>
      <c r="C2976" s="64">
        <v>42665</v>
      </c>
      <c r="D2976" s="64" t="s">
        <v>702</v>
      </c>
      <c r="E2976" s="64">
        <f t="shared" si="350"/>
        <v>42665</v>
      </c>
      <c r="F2976" s="72" t="s">
        <v>2163</v>
      </c>
      <c r="G2976" s="67" t="s">
        <v>1558</v>
      </c>
      <c r="H2976" s="1215"/>
      <c r="I2976" s="437"/>
      <c r="J2976" s="437"/>
      <c r="K2976" s="428">
        <v>220</v>
      </c>
      <c r="L2976" s="1216">
        <v>22290</v>
      </c>
      <c r="M2976" s="65">
        <f t="shared" si="355"/>
        <v>4903800</v>
      </c>
      <c r="N2976" s="66" t="s">
        <v>99</v>
      </c>
      <c r="O2976" s="66" t="s">
        <v>266</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1" s="349" customFormat="1" ht="15.75" customHeight="1">
      <c r="A2977" s="334" t="str">
        <f>IF(B2977&lt;&gt;"",IF(AND(B2977='IN-TC'!$S$4,OR(TH!N2977="1111",TH!O2977="1111")),TH!D2977,""),"")</f>
        <v/>
      </c>
      <c r="B2977" s="63">
        <f t="shared" si="329"/>
        <v>10</v>
      </c>
      <c r="C2977" s="64">
        <v>42665</v>
      </c>
      <c r="D2977" s="64" t="s">
        <v>702</v>
      </c>
      <c r="E2977" s="64">
        <f t="shared" si="350"/>
        <v>42665</v>
      </c>
      <c r="F2977" s="72" t="s">
        <v>2163</v>
      </c>
      <c r="G2977" s="67" t="s">
        <v>1558</v>
      </c>
      <c r="H2977" s="1215"/>
      <c r="I2977" s="437"/>
      <c r="J2977" s="437"/>
      <c r="K2977" s="428">
        <v>128</v>
      </c>
      <c r="L2977" s="1216">
        <v>22290</v>
      </c>
      <c r="M2977" s="65">
        <f t="shared" ref="M2977:M2985" si="356">ROUND(K2977*L2977,0)</f>
        <v>2853120</v>
      </c>
      <c r="N2977" s="66" t="s">
        <v>99</v>
      </c>
      <c r="O2977" s="66" t="s">
        <v>266</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1" s="349" customFormat="1" ht="15.75" customHeight="1">
      <c r="A2978" s="334" t="str">
        <f>IF(B2978&lt;&gt;"",IF(AND(B2978='IN-TC'!$S$4,OR(TH!N2978="1111",TH!O2978="1111")),TH!D2978,""),"")</f>
        <v/>
      </c>
      <c r="B2978" s="63">
        <f t="shared" si="329"/>
        <v>10</v>
      </c>
      <c r="C2978" s="64">
        <v>42674</v>
      </c>
      <c r="D2978" s="64" t="s">
        <v>702</v>
      </c>
      <c r="E2978" s="64">
        <f t="shared" si="350"/>
        <v>42674</v>
      </c>
      <c r="F2978" s="72" t="s">
        <v>1933</v>
      </c>
      <c r="G2978" s="67" t="s">
        <v>1558</v>
      </c>
      <c r="H2978" s="72" t="s">
        <v>2188</v>
      </c>
      <c r="I2978" s="437"/>
      <c r="J2978" s="437"/>
      <c r="K2978" s="428">
        <v>41590</v>
      </c>
      <c r="L2978" s="437">
        <v>22290</v>
      </c>
      <c r="M2978" s="65">
        <f t="shared" si="356"/>
        <v>927041100</v>
      </c>
      <c r="N2978" s="66" t="s">
        <v>266</v>
      </c>
      <c r="O2978" s="66" t="s">
        <v>260</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1" s="349" customFormat="1" ht="15.75" customHeight="1">
      <c r="A2979" s="334" t="str">
        <f>IF(B2979&lt;&gt;"",IF(AND(B2979='IN-TC'!$S$4,OR(TH!N2979="1111",TH!O2979="1111")),TH!D2979,""),"")</f>
        <v/>
      </c>
      <c r="B2979" s="63">
        <f t="shared" ref="B2979:B3014" si="357">IF(C2979&lt;&gt;"",MONTH(C2979),"")</f>
        <v>10</v>
      </c>
      <c r="C2979" s="64">
        <v>42674</v>
      </c>
      <c r="D2979" s="64" t="s">
        <v>702</v>
      </c>
      <c r="E2979" s="64">
        <f t="shared" si="350"/>
        <v>42674</v>
      </c>
      <c r="F2979" s="72" t="s">
        <v>1913</v>
      </c>
      <c r="G2979" s="67" t="s">
        <v>1558</v>
      </c>
      <c r="H2979" s="1215"/>
      <c r="I2979" s="437"/>
      <c r="J2979" s="437"/>
      <c r="K2979" s="428">
        <v>55.12</v>
      </c>
      <c r="L2979" s="1216">
        <v>22290</v>
      </c>
      <c r="M2979" s="65">
        <f t="shared" si="356"/>
        <v>1228625</v>
      </c>
      <c r="N2979" s="66" t="s">
        <v>101</v>
      </c>
      <c r="O2979" s="66" t="s">
        <v>266</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c r="AE2979" s="349">
        <v>1</v>
      </c>
    </row>
    <row r="2980" spans="1:31" s="349" customFormat="1" ht="15.75" customHeight="1">
      <c r="A2980" s="334" t="str">
        <f>IF(B2980&lt;&gt;"",IF(AND(B2980='IN-TC'!$S$4,OR(TH!N2980="1111",TH!O2980="1111")),TH!D2980,""),"")</f>
        <v/>
      </c>
      <c r="B2980" s="63">
        <f t="shared" si="357"/>
        <v>10</v>
      </c>
      <c r="C2980" s="64">
        <v>42674</v>
      </c>
      <c r="D2980" s="64" t="s">
        <v>702</v>
      </c>
      <c r="E2980" s="64">
        <f t="shared" si="350"/>
        <v>42674</v>
      </c>
      <c r="F2980" s="72" t="s">
        <v>2164</v>
      </c>
      <c r="G2980" s="67" t="s">
        <v>1558</v>
      </c>
      <c r="H2980" s="1215"/>
      <c r="I2980" s="437"/>
      <c r="J2980" s="437"/>
      <c r="K2980" s="428">
        <v>5.5</v>
      </c>
      <c r="L2980" s="1216">
        <v>22290</v>
      </c>
      <c r="M2980" s="65">
        <f t="shared" si="356"/>
        <v>122595</v>
      </c>
      <c r="N2980" s="66" t="s">
        <v>9</v>
      </c>
      <c r="O2980" s="66" t="s">
        <v>266</v>
      </c>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x</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c r="AE2980" s="349">
        <v>1</v>
      </c>
    </row>
    <row r="2981" spans="1:31" s="349" customFormat="1" ht="15.75" customHeight="1">
      <c r="A2981" s="334" t="str">
        <f>IF(B2981&lt;&gt;"",IF(AND(B2981='IN-TC'!$S$4,OR(TH!N2981="1111",TH!O2981="1111")),TH!D2981,""),"")</f>
        <v/>
      </c>
      <c r="B2981" s="63">
        <f t="shared" si="357"/>
        <v>10</v>
      </c>
      <c r="C2981" s="64">
        <v>42674</v>
      </c>
      <c r="D2981" s="64" t="s">
        <v>702</v>
      </c>
      <c r="E2981" s="64">
        <f t="shared" si="350"/>
        <v>42674</v>
      </c>
      <c r="F2981" s="72" t="s">
        <v>1185</v>
      </c>
      <c r="G2981" s="67" t="s">
        <v>1558</v>
      </c>
      <c r="H2981" s="1215"/>
      <c r="I2981" s="437"/>
      <c r="J2981" s="437"/>
      <c r="K2981" s="428">
        <v>30.33</v>
      </c>
      <c r="L2981" s="1216">
        <v>22290</v>
      </c>
      <c r="M2981" s="65">
        <f t="shared" si="356"/>
        <v>676056</v>
      </c>
      <c r="N2981" s="66" t="s">
        <v>101</v>
      </c>
      <c r="O2981" s="66" t="s">
        <v>266</v>
      </c>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1" s="349" customFormat="1" ht="15.75" customHeight="1">
      <c r="A2982" s="334" t="str">
        <f>IF(B2982&lt;&gt;"",IF(AND(B2982='IN-TC'!$S$4,OR(TH!N2982="1111",TH!O2982="1111")),TH!D2982,""),"")</f>
        <v/>
      </c>
      <c r="B2982" s="63">
        <f t="shared" si="357"/>
        <v>10</v>
      </c>
      <c r="C2982" s="64">
        <v>42674</v>
      </c>
      <c r="D2982" s="64" t="s">
        <v>702</v>
      </c>
      <c r="E2982" s="64">
        <f t="shared" si="350"/>
        <v>42674</v>
      </c>
      <c r="F2982" s="72" t="s">
        <v>2195</v>
      </c>
      <c r="G2982" s="67" t="s">
        <v>1558</v>
      </c>
      <c r="H2982" s="72" t="s">
        <v>2162</v>
      </c>
      <c r="I2982" s="437"/>
      <c r="J2982" s="437"/>
      <c r="K2982" s="428">
        <v>37611.32</v>
      </c>
      <c r="L2982" s="437">
        <v>22290</v>
      </c>
      <c r="M2982" s="65">
        <f t="shared" si="356"/>
        <v>838356323</v>
      </c>
      <c r="N2982" s="66" t="s">
        <v>260</v>
      </c>
      <c r="O2982" s="66" t="s">
        <v>266</v>
      </c>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1" s="349" customFormat="1" ht="15.75" customHeight="1">
      <c r="A2983" s="334" t="str">
        <f>IF(B2983&lt;&gt;"",IF(AND(B2983='IN-TC'!$S$4,OR(TH!N2983="1111",TH!O2983="1111")),TH!D2983,""),"")</f>
        <v/>
      </c>
      <c r="B2983" s="63">
        <f t="shared" ref="B2983" si="358">IF(C2983&lt;&gt;"",MONTH(C2983),"")</f>
        <v>10</v>
      </c>
      <c r="C2983" s="64">
        <v>42674</v>
      </c>
      <c r="D2983" s="64" t="s">
        <v>702</v>
      </c>
      <c r="E2983" s="64">
        <f t="shared" ref="E2983" si="359">C2983</f>
        <v>42674</v>
      </c>
      <c r="F2983" s="72" t="s">
        <v>1185</v>
      </c>
      <c r="G2983" s="67" t="s">
        <v>1558</v>
      </c>
      <c r="H2983" s="72" t="s">
        <v>2162</v>
      </c>
      <c r="I2983" s="437"/>
      <c r="J2983" s="437"/>
      <c r="K2983" s="428">
        <v>31.32</v>
      </c>
      <c r="L2983" s="437">
        <v>22290</v>
      </c>
      <c r="M2983" s="65">
        <f t="shared" ref="M2983" si="360">ROUND(K2983*L2983,0)</f>
        <v>698123</v>
      </c>
      <c r="N2983" s="66" t="s">
        <v>101</v>
      </c>
      <c r="O2983" s="66" t="s">
        <v>260</v>
      </c>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1" s="349" customFormat="1" ht="15.75" customHeight="1">
      <c r="A2984" s="334" t="str">
        <f>IF(B2984&lt;&gt;"",IF(AND(B2984='IN-TC'!$S$4,OR(TH!N2984="1111",TH!O2984="1111")),TH!D2984,""),"")</f>
        <v/>
      </c>
      <c r="B2984" s="63">
        <f t="shared" ref="B2984" si="361">IF(C2984&lt;&gt;"",MONTH(C2984),"")</f>
        <v>10</v>
      </c>
      <c r="C2984" s="64">
        <v>42674</v>
      </c>
      <c r="D2984" s="64" t="s">
        <v>702</v>
      </c>
      <c r="E2984" s="64">
        <f t="shared" ref="E2984" si="362">C2984</f>
        <v>42674</v>
      </c>
      <c r="F2984" s="72" t="s">
        <v>1062</v>
      </c>
      <c r="G2984" s="67" t="s">
        <v>1558</v>
      </c>
      <c r="H2984" s="72" t="s">
        <v>2162</v>
      </c>
      <c r="I2984" s="437"/>
      <c r="J2984" s="437"/>
      <c r="K2984" s="428"/>
      <c r="L2984" s="437"/>
      <c r="M2984" s="65">
        <v>396880</v>
      </c>
      <c r="N2984" s="66" t="s">
        <v>260</v>
      </c>
      <c r="O2984" s="66" t="s">
        <v>43</v>
      </c>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1" s="349" customFormat="1" ht="15.75" customHeight="1">
      <c r="A2985" s="334" t="str">
        <f>IF(B2985&lt;&gt;"",IF(AND(B2985='IN-TC'!$S$4,OR(TH!N2985="1111",TH!O2985="1111")),TH!D2985,""),"")</f>
        <v/>
      </c>
      <c r="B2985" s="63">
        <f t="shared" si="357"/>
        <v>10</v>
      </c>
      <c r="C2985" s="64">
        <v>42674</v>
      </c>
      <c r="D2985" s="64" t="s">
        <v>702</v>
      </c>
      <c r="E2985" s="64">
        <f t="shared" ref="E2985:E2987" si="363">C2985</f>
        <v>42674</v>
      </c>
      <c r="F2985" s="72" t="s">
        <v>1438</v>
      </c>
      <c r="G2985" s="67" t="s">
        <v>1558</v>
      </c>
      <c r="H2985" s="72" t="s">
        <v>1795</v>
      </c>
      <c r="I2985" s="437"/>
      <c r="J2985" s="437"/>
      <c r="K2985" s="428">
        <v>4200</v>
      </c>
      <c r="L2985" s="1216">
        <v>22290</v>
      </c>
      <c r="M2985" s="65">
        <f t="shared" si="356"/>
        <v>93618000</v>
      </c>
      <c r="N2985" s="66" t="s">
        <v>26</v>
      </c>
      <c r="O2985" s="66" t="s">
        <v>266</v>
      </c>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x</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1" s="349" customFormat="1" ht="15.75" customHeight="1">
      <c r="A2986" s="334" t="str">
        <f>IF(B2986&lt;&gt;"",IF(AND(B2986='IN-TC'!$S$4,OR(TH!N2986="1111",TH!O2986="1111")),TH!D2986,""),"")</f>
        <v/>
      </c>
      <c r="B2986" s="63">
        <f t="shared" si="357"/>
        <v>10</v>
      </c>
      <c r="C2986" s="64">
        <v>42648</v>
      </c>
      <c r="D2986" s="64" t="s">
        <v>702</v>
      </c>
      <c r="E2986" s="64">
        <f t="shared" si="363"/>
        <v>42648</v>
      </c>
      <c r="F2986" s="72" t="s">
        <v>2165</v>
      </c>
      <c r="G2986" s="67" t="s">
        <v>1558</v>
      </c>
      <c r="H2986" s="72" t="s">
        <v>2116</v>
      </c>
      <c r="I2986" s="437"/>
      <c r="J2986" s="437"/>
      <c r="K2986" s="428"/>
      <c r="L2986" s="437"/>
      <c r="M2986" s="65">
        <v>862400</v>
      </c>
      <c r="N2986" s="66" t="s">
        <v>8</v>
      </c>
      <c r="O2986" s="66" t="s">
        <v>26</v>
      </c>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x</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1" s="349" customFormat="1" ht="15.75" customHeight="1">
      <c r="A2987" s="334" t="str">
        <f>IF(B2987&lt;&gt;"",IF(AND(B2987='IN-TC'!$S$4,OR(TH!N2987="1111",TH!O2987="1111")),TH!D2987,""),"")</f>
        <v/>
      </c>
      <c r="B2987" s="63">
        <f t="shared" si="357"/>
        <v>10</v>
      </c>
      <c r="C2987" s="64">
        <v>42648</v>
      </c>
      <c r="D2987" s="64" t="s">
        <v>702</v>
      </c>
      <c r="E2987" s="64">
        <f t="shared" si="363"/>
        <v>42648</v>
      </c>
      <c r="F2987" s="72" t="s">
        <v>1192</v>
      </c>
      <c r="G2987" s="67" t="s">
        <v>1558</v>
      </c>
      <c r="H2987" s="72" t="s">
        <v>2116</v>
      </c>
      <c r="I2987" s="437"/>
      <c r="J2987" s="437"/>
      <c r="K2987" s="428"/>
      <c r="L2987" s="437"/>
      <c r="M2987" s="65">
        <v>11000</v>
      </c>
      <c r="N2987" s="66" t="s">
        <v>8</v>
      </c>
      <c r="O2987" s="66" t="s">
        <v>103</v>
      </c>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c r="AE2987" s="349">
        <v>1</v>
      </c>
    </row>
    <row r="2988" spans="1:31" s="349" customFormat="1" ht="15.75" customHeight="1">
      <c r="A2988" s="334" t="str">
        <f>IF(B2988&lt;&gt;"",IF(AND(B2988='IN-TC'!$S$4,OR(TH!N2988="1111",TH!O2988="1111")),TH!D2988,""),"")</f>
        <v/>
      </c>
      <c r="B2988" s="63">
        <f t="shared" ref="B2988:B2989" si="364">IF(C2988&lt;&gt;"",MONTH(C2988),"")</f>
        <v>10</v>
      </c>
      <c r="C2988" s="64">
        <v>42648</v>
      </c>
      <c r="D2988" s="64" t="s">
        <v>702</v>
      </c>
      <c r="E2988" s="64">
        <f t="shared" ref="E2988:E2990" si="365">C2988</f>
        <v>42648</v>
      </c>
      <c r="F2988" s="72" t="s">
        <v>2166</v>
      </c>
      <c r="G2988" s="67" t="s">
        <v>1558</v>
      </c>
      <c r="H2988" s="72" t="s">
        <v>2116</v>
      </c>
      <c r="I2988" s="437"/>
      <c r="J2988" s="437"/>
      <c r="K2988" s="428"/>
      <c r="L2988" s="437"/>
      <c r="M2988" s="65">
        <v>10000</v>
      </c>
      <c r="N2988" s="66" t="s">
        <v>101</v>
      </c>
      <c r="O2988" s="66" t="s">
        <v>26</v>
      </c>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x</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c r="AE2988" s="349">
        <v>1</v>
      </c>
    </row>
    <row r="2989" spans="1:31" s="349" customFormat="1" ht="15.75" customHeight="1">
      <c r="A2989" s="334" t="str">
        <f>IF(B2989&lt;&gt;"",IF(AND(B2989='IN-TC'!$S$4,OR(TH!N2989="1111",TH!O2989="1111")),TH!D2989,""),"")</f>
        <v/>
      </c>
      <c r="B2989" s="63">
        <f t="shared" si="364"/>
        <v>10</v>
      </c>
      <c r="C2989" s="64">
        <v>42648</v>
      </c>
      <c r="D2989" s="64" t="s">
        <v>702</v>
      </c>
      <c r="E2989" s="64">
        <f t="shared" si="365"/>
        <v>42648</v>
      </c>
      <c r="F2989" s="72" t="s">
        <v>2167</v>
      </c>
      <c r="G2989" s="67" t="s">
        <v>1558</v>
      </c>
      <c r="H2989" s="72" t="s">
        <v>2116</v>
      </c>
      <c r="I2989" s="437"/>
      <c r="J2989" s="437"/>
      <c r="K2989" s="428"/>
      <c r="L2989" s="437"/>
      <c r="M2989" s="65">
        <v>1000</v>
      </c>
      <c r="N2989" s="66" t="s">
        <v>9</v>
      </c>
      <c r="O2989" s="66" t="s">
        <v>26</v>
      </c>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x</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x</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c r="AE2989" s="349">
        <v>1</v>
      </c>
    </row>
    <row r="2990" spans="1:31" s="349" customFormat="1" ht="15.75" customHeight="1">
      <c r="A2990" s="334" t="str">
        <f>IF(B2990&lt;&gt;"",IF(AND(B2990='IN-TC'!$S$4,OR(TH!N2990="1111",TH!O2990="1111")),TH!D2990,""),"")</f>
        <v/>
      </c>
      <c r="B2990" s="63">
        <f t="shared" si="357"/>
        <v>10</v>
      </c>
      <c r="C2990" s="64">
        <v>42649</v>
      </c>
      <c r="D2990" s="64" t="s">
        <v>702</v>
      </c>
      <c r="E2990" s="64">
        <f t="shared" si="365"/>
        <v>42649</v>
      </c>
      <c r="F2990" s="72" t="s">
        <v>2168</v>
      </c>
      <c r="G2990" s="67" t="s">
        <v>1558</v>
      </c>
      <c r="H2990" s="963" t="s">
        <v>1875</v>
      </c>
      <c r="I2990" s="437"/>
      <c r="J2990" s="437"/>
      <c r="K2990" s="428">
        <v>96469.73</v>
      </c>
      <c r="L2990" s="437">
        <v>22308</v>
      </c>
      <c r="M2990" s="65">
        <f t="shared" ref="M2990" si="366">ROUND(K2990*L2990,0)</f>
        <v>2152046737</v>
      </c>
      <c r="N2990" s="66" t="s">
        <v>260</v>
      </c>
      <c r="O2990" s="66" t="s">
        <v>26</v>
      </c>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x</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1" s="349" customFormat="1" ht="15.75" customHeight="1">
      <c r="A2991" s="334" t="str">
        <f>IF(B2991&lt;&gt;"",IF(AND(B2991='IN-TC'!$S$4,OR(TH!N2991="1111",TH!O2991="1111")),TH!D2991,""),"")</f>
        <v/>
      </c>
      <c r="B2991" s="63">
        <f t="shared" ref="B2991" si="367">IF(C2991&lt;&gt;"",MONTH(C2991),"")</f>
        <v>10</v>
      </c>
      <c r="C2991" s="64">
        <v>42649</v>
      </c>
      <c r="D2991" s="64" t="s">
        <v>702</v>
      </c>
      <c r="E2991" s="64">
        <f t="shared" ref="E2991" si="368">C2991</f>
        <v>42649</v>
      </c>
      <c r="F2991" s="72" t="s">
        <v>2187</v>
      </c>
      <c r="G2991" s="67" t="s">
        <v>1558</v>
      </c>
      <c r="H2991" s="963"/>
      <c r="I2991" s="437"/>
      <c r="J2991" s="437"/>
      <c r="K2991" s="428"/>
      <c r="L2991" s="437"/>
      <c r="M2991" s="65">
        <v>8877346</v>
      </c>
      <c r="N2991" s="66" t="s">
        <v>99</v>
      </c>
      <c r="O2991" s="66" t="s">
        <v>26</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x</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1" s="349" customFormat="1" ht="15.75" customHeight="1">
      <c r="A2992" s="334" t="str">
        <f>IF(B2992&lt;&gt;"",IF(AND(B2992='IN-TC'!$S$4,OR(TH!N2992="1111",TH!O2992="1111")),TH!D2992,""),"")</f>
        <v/>
      </c>
      <c r="B2992" s="63">
        <f t="shared" ref="B2992" si="369">IF(C2992&lt;&gt;"",MONTH(C2992),"")</f>
        <v>10</v>
      </c>
      <c r="C2992" s="64">
        <v>42649</v>
      </c>
      <c r="D2992" s="64" t="s">
        <v>699</v>
      </c>
      <c r="E2992" s="64">
        <f t="shared" ref="E2992" si="370">C2992</f>
        <v>42649</v>
      </c>
      <c r="F2992" s="72" t="s">
        <v>2170</v>
      </c>
      <c r="G2992" s="67" t="s">
        <v>1558</v>
      </c>
      <c r="H2992" s="72" t="s">
        <v>2189</v>
      </c>
      <c r="I2992" s="437"/>
      <c r="J2992" s="437"/>
      <c r="K2992" s="428">
        <v>96000</v>
      </c>
      <c r="L2992" s="437">
        <v>22296</v>
      </c>
      <c r="M2992" s="65">
        <v>2140416000</v>
      </c>
      <c r="N2992" s="66" t="s">
        <v>26</v>
      </c>
      <c r="O2992" s="66" t="s">
        <v>260</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x</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1" s="349" customFormat="1" ht="15.75" customHeight="1">
      <c r="A2993" s="334" t="str">
        <f>IF(B2993&lt;&gt;"",IF(AND(B2993='IN-TC'!$S$4,OR(TH!N2993="1111",TH!O2993="1111")),TH!D2993,""),"")</f>
        <v/>
      </c>
      <c r="B2993" s="63">
        <f t="shared" si="357"/>
        <v>10</v>
      </c>
      <c r="C2993" s="64">
        <v>42650</v>
      </c>
      <c r="D2993" s="64" t="s">
        <v>702</v>
      </c>
      <c r="E2993" s="64">
        <f t="shared" ref="E2993" si="371">C2993</f>
        <v>42650</v>
      </c>
      <c r="F2993" s="72" t="s">
        <v>2222</v>
      </c>
      <c r="G2993" s="67" t="s">
        <v>1558</v>
      </c>
      <c r="H2993" s="72" t="s">
        <v>1795</v>
      </c>
      <c r="I2993" s="437"/>
      <c r="J2993" s="437"/>
      <c r="K2993" s="428"/>
      <c r="L2993" s="437"/>
      <c r="M2993" s="65">
        <v>2173905</v>
      </c>
      <c r="N2993" s="66" t="s">
        <v>101</v>
      </c>
      <c r="O2993" s="66" t="s">
        <v>26</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x</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c r="AE2993" s="349">
        <v>1</v>
      </c>
    </row>
    <row r="2994" spans="1:31" s="349" customFormat="1" ht="15.75" customHeight="1">
      <c r="A2994" s="334" t="str">
        <f>IF(B2994&lt;&gt;"",IF(AND(B2994='IN-TC'!$S$4,OR(TH!N2994="1111",TH!O2994="1111")),TH!D2994,""),"")</f>
        <v/>
      </c>
      <c r="B2994" s="63">
        <f t="shared" ref="B2994" si="372">IF(C2994&lt;&gt;"",MONTH(C2994),"")</f>
        <v>10</v>
      </c>
      <c r="C2994" s="64">
        <v>42650</v>
      </c>
      <c r="D2994" s="64" t="s">
        <v>702</v>
      </c>
      <c r="E2994" s="64">
        <f t="shared" ref="E2994" si="373">C2994</f>
        <v>42650</v>
      </c>
      <c r="F2994" s="72" t="s">
        <v>2223</v>
      </c>
      <c r="G2994" s="67" t="s">
        <v>1558</v>
      </c>
      <c r="H2994" s="72" t="s">
        <v>1795</v>
      </c>
      <c r="I2994" s="437"/>
      <c r="J2994" s="437"/>
      <c r="K2994" s="428"/>
      <c r="L2994" s="437"/>
      <c r="M2994" s="65">
        <v>217391</v>
      </c>
      <c r="N2994" s="66" t="s">
        <v>9</v>
      </c>
      <c r="O2994" s="66" t="s">
        <v>26</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x</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x</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c r="AE2994" s="349">
        <v>1</v>
      </c>
    </row>
    <row r="2995" spans="1:31" s="349" customFormat="1" ht="15.75" customHeight="1">
      <c r="A2995" s="334" t="str">
        <f>IF(B2995&lt;&gt;"",IF(AND(B2995='IN-TC'!$S$4,OR(TH!N2995="1111",TH!O2995="1111")),TH!D2995,""),"")</f>
        <v/>
      </c>
      <c r="B2995" s="63">
        <f t="shared" si="357"/>
        <v>10</v>
      </c>
      <c r="C2995" s="64">
        <v>42650</v>
      </c>
      <c r="D2995" s="64" t="s">
        <v>702</v>
      </c>
      <c r="E2995" s="64">
        <f t="shared" ref="E2995:E2997" si="374">C2995</f>
        <v>42650</v>
      </c>
      <c r="F2995" s="72" t="s">
        <v>2171</v>
      </c>
      <c r="G2995" s="67" t="s">
        <v>1558</v>
      </c>
      <c r="H2995" s="72" t="s">
        <v>2116</v>
      </c>
      <c r="I2995" s="437"/>
      <c r="J2995" s="437"/>
      <c r="K2995" s="428"/>
      <c r="L2995" s="437"/>
      <c r="M2995" s="65">
        <v>12313480</v>
      </c>
      <c r="N2995" s="66" t="s">
        <v>8</v>
      </c>
      <c r="O2995" s="66" t="s">
        <v>26</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x</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1" s="349" customFormat="1" ht="15.75" customHeight="1">
      <c r="A2996" s="334" t="str">
        <f>IF(B2996&lt;&gt;"",IF(AND(B2996='IN-TC'!$S$4,OR(TH!N2996="1111",TH!O2996="1111")),TH!D2996,""),"")</f>
        <v/>
      </c>
      <c r="B2996" s="63">
        <f t="shared" ref="B2996" si="375">IF(C2996&lt;&gt;"",MONTH(C2996),"")</f>
        <v>10</v>
      </c>
      <c r="C2996" s="64">
        <v>42650</v>
      </c>
      <c r="D2996" s="64" t="s">
        <v>702</v>
      </c>
      <c r="E2996" s="64">
        <f t="shared" ref="E2996" si="376">C2996</f>
        <v>42650</v>
      </c>
      <c r="F2996" s="72" t="s">
        <v>1192</v>
      </c>
      <c r="G2996" s="67" t="s">
        <v>1558</v>
      </c>
      <c r="H2996" s="72" t="s">
        <v>2116</v>
      </c>
      <c r="I2996" s="437"/>
      <c r="J2996" s="437"/>
      <c r="K2996" s="428"/>
      <c r="L2996" s="437"/>
      <c r="M2996" s="65">
        <v>11000</v>
      </c>
      <c r="N2996" s="66" t="s">
        <v>8</v>
      </c>
      <c r="O2996" s="66" t="s">
        <v>103</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c r="AE2996" s="349">
        <v>1</v>
      </c>
    </row>
    <row r="2997" spans="1:31" s="349" customFormat="1" ht="15.75" customHeight="1">
      <c r="A2997" s="334" t="str">
        <f>IF(B2997&lt;&gt;"",IF(AND(B2997='IN-TC'!$S$4,OR(TH!N2997="1111",TH!O2997="1111")),TH!D2997,""),"")</f>
        <v/>
      </c>
      <c r="B2997" s="63">
        <f t="shared" si="357"/>
        <v>10</v>
      </c>
      <c r="C2997" s="64">
        <v>42650</v>
      </c>
      <c r="D2997" s="64" t="s">
        <v>702</v>
      </c>
      <c r="E2997" s="64">
        <f t="shared" si="374"/>
        <v>42650</v>
      </c>
      <c r="F2997" s="72" t="s">
        <v>2166</v>
      </c>
      <c r="G2997" s="67" t="s">
        <v>1558</v>
      </c>
      <c r="H2997" s="72" t="s">
        <v>1795</v>
      </c>
      <c r="I2997" s="437"/>
      <c r="J2997" s="437"/>
      <c r="K2997" s="428"/>
      <c r="L2997" s="437"/>
      <c r="M2997" s="65">
        <v>10000</v>
      </c>
      <c r="N2997" s="66" t="s">
        <v>101</v>
      </c>
      <c r="O2997" s="66" t="s">
        <v>26</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x</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c r="AE2997" s="349">
        <v>1</v>
      </c>
    </row>
    <row r="2998" spans="1:31" s="349" customFormat="1" ht="15.75" customHeight="1">
      <c r="A2998" s="334" t="str">
        <f>IF(B2998&lt;&gt;"",IF(AND(B2998='IN-TC'!$S$4,OR(TH!N2998="1111",TH!O2998="1111")),TH!D2998,""),"")</f>
        <v/>
      </c>
      <c r="B2998" s="63">
        <f t="shared" si="357"/>
        <v>10</v>
      </c>
      <c r="C2998" s="64">
        <v>42650</v>
      </c>
      <c r="D2998" s="64" t="s">
        <v>702</v>
      </c>
      <c r="E2998" s="64">
        <f t="shared" ref="E2998:E2999" si="377">C2998</f>
        <v>42650</v>
      </c>
      <c r="F2998" s="72" t="s">
        <v>2167</v>
      </c>
      <c r="G2998" s="67" t="s">
        <v>1558</v>
      </c>
      <c r="H2998" s="72" t="s">
        <v>1795</v>
      </c>
      <c r="I2998" s="437"/>
      <c r="J2998" s="437"/>
      <c r="K2998" s="428"/>
      <c r="L2998" s="437"/>
      <c r="M2998" s="65">
        <v>1000</v>
      </c>
      <c r="N2998" s="66" t="s">
        <v>9</v>
      </c>
      <c r="O2998" s="66" t="s">
        <v>26</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x</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x</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c r="AE2998" s="349">
        <v>1</v>
      </c>
    </row>
    <row r="2999" spans="1:31" s="349" customFormat="1" ht="15.75" customHeight="1">
      <c r="A2999" s="334" t="str">
        <f>IF(B2999&lt;&gt;"",IF(AND(B2999='IN-TC'!$S$4,OR(TH!N2999="1111",TH!O2999="1111")),TH!D2999,""),"")</f>
        <v/>
      </c>
      <c r="B2999" s="63">
        <f t="shared" si="357"/>
        <v>10</v>
      </c>
      <c r="C2999" s="64">
        <v>42650</v>
      </c>
      <c r="D2999" s="64" t="s">
        <v>702</v>
      </c>
      <c r="E2999" s="64">
        <f t="shared" si="377"/>
        <v>42650</v>
      </c>
      <c r="F2999" s="72" t="s">
        <v>2172</v>
      </c>
      <c r="G2999" s="67" t="s">
        <v>1558</v>
      </c>
      <c r="H2999" s="72" t="s">
        <v>625</v>
      </c>
      <c r="I2999" s="437"/>
      <c r="J2999" s="437"/>
      <c r="K2999" s="428"/>
      <c r="L2999" s="437"/>
      <c r="M2999" s="65">
        <v>103169000</v>
      </c>
      <c r="N2999" s="66" t="s">
        <v>8</v>
      </c>
      <c r="O2999" s="66" t="s">
        <v>26</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x</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1" s="349" customFormat="1" ht="15.75" customHeight="1">
      <c r="A3000" s="334" t="str">
        <f>IF(B3000&lt;&gt;"",IF(AND(B3000='IN-TC'!$S$4,OR(TH!N3000="1111",TH!O3000="1111")),TH!D3000,""),"")</f>
        <v/>
      </c>
      <c r="B3000" s="63">
        <f t="shared" ref="B3000:B3001" si="378">IF(C3000&lt;&gt;"",MONTH(C3000),"")</f>
        <v>10</v>
      </c>
      <c r="C3000" s="64">
        <v>42650</v>
      </c>
      <c r="D3000" s="64" t="s">
        <v>702</v>
      </c>
      <c r="E3000" s="64">
        <f t="shared" ref="E3000:E3002" si="379">C3000</f>
        <v>42650</v>
      </c>
      <c r="F3000" s="72" t="s">
        <v>2166</v>
      </c>
      <c r="G3000" s="67" t="s">
        <v>1558</v>
      </c>
      <c r="H3000" s="72" t="s">
        <v>1795</v>
      </c>
      <c r="I3000" s="437"/>
      <c r="J3000" s="437"/>
      <c r="K3000" s="428"/>
      <c r="L3000" s="437"/>
      <c r="M3000" s="65">
        <v>10000</v>
      </c>
      <c r="N3000" s="66" t="s">
        <v>101</v>
      </c>
      <c r="O3000" s="66" t="s">
        <v>26</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x</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c r="AE3000" s="349">
        <v>1</v>
      </c>
    </row>
    <row r="3001" spans="1:31" s="349" customFormat="1" ht="15.75" customHeight="1">
      <c r="A3001" s="334" t="str">
        <f>IF(B3001&lt;&gt;"",IF(AND(B3001='IN-TC'!$S$4,OR(TH!N3001="1111",TH!O3001="1111")),TH!D3001,""),"")</f>
        <v/>
      </c>
      <c r="B3001" s="63">
        <f t="shared" si="378"/>
        <v>10</v>
      </c>
      <c r="C3001" s="64">
        <v>42650</v>
      </c>
      <c r="D3001" s="64" t="s">
        <v>702</v>
      </c>
      <c r="E3001" s="64">
        <f t="shared" si="379"/>
        <v>42650</v>
      </c>
      <c r="F3001" s="72" t="s">
        <v>2167</v>
      </c>
      <c r="G3001" s="67" t="s">
        <v>1558</v>
      </c>
      <c r="H3001" s="72" t="s">
        <v>1795</v>
      </c>
      <c r="I3001" s="437"/>
      <c r="J3001" s="437"/>
      <c r="K3001" s="428"/>
      <c r="L3001" s="437"/>
      <c r="M3001" s="65">
        <v>1000</v>
      </c>
      <c r="N3001" s="66" t="s">
        <v>9</v>
      </c>
      <c r="O3001" s="66" t="s">
        <v>26</v>
      </c>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x</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x</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c r="AE3001" s="349">
        <v>1</v>
      </c>
    </row>
    <row r="3002" spans="1:31" s="349" customFormat="1" ht="15.75" customHeight="1">
      <c r="A3002" s="334" t="str">
        <f>IF(B3002&lt;&gt;"",IF(AND(B3002='IN-TC'!$S$4,OR(TH!N3002="1111",TH!O3002="1111")),TH!D3002,""),"")</f>
        <v/>
      </c>
      <c r="B3002" s="63">
        <f t="shared" si="357"/>
        <v>10</v>
      </c>
      <c r="C3002" s="64">
        <v>42650</v>
      </c>
      <c r="D3002" s="64" t="s">
        <v>702</v>
      </c>
      <c r="E3002" s="64">
        <f t="shared" si="379"/>
        <v>42650</v>
      </c>
      <c r="F3002" s="72" t="s">
        <v>2173</v>
      </c>
      <c r="G3002" s="67" t="s">
        <v>1558</v>
      </c>
      <c r="H3002" s="72" t="s">
        <v>1841</v>
      </c>
      <c r="I3002" s="437"/>
      <c r="J3002" s="437"/>
      <c r="K3002" s="428"/>
      <c r="L3002" s="437"/>
      <c r="M3002" s="65">
        <v>84555900</v>
      </c>
      <c r="N3002" s="66" t="s">
        <v>8</v>
      </c>
      <c r="O3002" s="66" t="s">
        <v>26</v>
      </c>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x</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1" s="349" customFormat="1" ht="15.75" customHeight="1">
      <c r="A3003" s="334" t="str">
        <f>IF(B3003&lt;&gt;"",IF(AND(B3003='IN-TC'!$S$4,OR(TH!N3003="1111",TH!O3003="1111")),TH!D3003,""),"")</f>
        <v/>
      </c>
      <c r="B3003" s="63">
        <f t="shared" si="357"/>
        <v>10</v>
      </c>
      <c r="C3003" s="64">
        <v>42650</v>
      </c>
      <c r="D3003" s="64" t="s">
        <v>702</v>
      </c>
      <c r="E3003" s="64">
        <f t="shared" ref="E3003:E3005" si="380">C3003</f>
        <v>42650</v>
      </c>
      <c r="F3003" s="72" t="s">
        <v>2166</v>
      </c>
      <c r="G3003" s="67" t="s">
        <v>1558</v>
      </c>
      <c r="H3003" s="72" t="s">
        <v>1795</v>
      </c>
      <c r="I3003" s="437"/>
      <c r="J3003" s="437"/>
      <c r="K3003" s="428"/>
      <c r="L3003" s="437"/>
      <c r="M3003" s="65">
        <v>10000</v>
      </c>
      <c r="N3003" s="66" t="s">
        <v>101</v>
      </c>
      <c r="O3003" s="66" t="s">
        <v>26</v>
      </c>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x</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c r="AE3003" s="349">
        <v>1</v>
      </c>
    </row>
    <row r="3004" spans="1:31" s="349" customFormat="1" ht="15.75" customHeight="1">
      <c r="A3004" s="334" t="str">
        <f>IF(B3004&lt;&gt;"",IF(AND(B3004='IN-TC'!$S$4,OR(TH!N3004="1111",TH!O3004="1111")),TH!D3004,""),"")</f>
        <v/>
      </c>
      <c r="B3004" s="63">
        <f t="shared" si="357"/>
        <v>10</v>
      </c>
      <c r="C3004" s="64">
        <v>42650</v>
      </c>
      <c r="D3004" s="64" t="s">
        <v>702</v>
      </c>
      <c r="E3004" s="64">
        <f t="shared" si="380"/>
        <v>42650</v>
      </c>
      <c r="F3004" s="72" t="s">
        <v>2167</v>
      </c>
      <c r="G3004" s="67" t="s">
        <v>1558</v>
      </c>
      <c r="H3004" s="72" t="s">
        <v>1795</v>
      </c>
      <c r="I3004" s="437"/>
      <c r="J3004" s="437"/>
      <c r="K3004" s="428"/>
      <c r="L3004" s="437"/>
      <c r="M3004" s="65">
        <v>1000</v>
      </c>
      <c r="N3004" s="66" t="s">
        <v>9</v>
      </c>
      <c r="O3004" s="66" t="s">
        <v>26</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x</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x</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c r="AE3004" s="349">
        <v>1</v>
      </c>
    </row>
    <row r="3005" spans="1:31" s="349" customFormat="1" ht="15.75" customHeight="1">
      <c r="A3005" s="334" t="str">
        <f>IF(B3005&lt;&gt;"",IF(AND(B3005='IN-TC'!$S$4,OR(TH!N3005="1111",TH!O3005="1111")),TH!D3005,""),"")</f>
        <v/>
      </c>
      <c r="B3005" s="63">
        <f t="shared" si="357"/>
        <v>10</v>
      </c>
      <c r="C3005" s="64">
        <v>42650</v>
      </c>
      <c r="D3005" s="64" t="s">
        <v>702</v>
      </c>
      <c r="E3005" s="64">
        <f t="shared" si="380"/>
        <v>42650</v>
      </c>
      <c r="F3005" s="72" t="s">
        <v>1651</v>
      </c>
      <c r="G3005" s="67" t="s">
        <v>1558</v>
      </c>
      <c r="H3005" s="72" t="s">
        <v>627</v>
      </c>
      <c r="I3005" s="437"/>
      <c r="J3005" s="437"/>
      <c r="K3005" s="428"/>
      <c r="L3005" s="437"/>
      <c r="M3005" s="65">
        <v>98045855</v>
      </c>
      <c r="N3005" s="66" t="s">
        <v>8</v>
      </c>
      <c r="O3005" s="66" t="s">
        <v>26</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x</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1" s="349" customFormat="1" ht="15.75" customHeight="1">
      <c r="A3006" s="334" t="str">
        <f>IF(B3006&lt;&gt;"",IF(AND(B3006='IN-TC'!$S$4,OR(TH!N3006="1111",TH!O3006="1111")),TH!D3006,""),"")</f>
        <v/>
      </c>
      <c r="B3006" s="63">
        <f t="shared" si="357"/>
        <v>10</v>
      </c>
      <c r="C3006" s="64">
        <v>42650</v>
      </c>
      <c r="D3006" s="64" t="s">
        <v>702</v>
      </c>
      <c r="E3006" s="64">
        <f t="shared" ref="E3006:E3007" si="381">C3006</f>
        <v>42650</v>
      </c>
      <c r="F3006" s="72" t="s">
        <v>2166</v>
      </c>
      <c r="G3006" s="67" t="s">
        <v>1558</v>
      </c>
      <c r="H3006" s="72" t="s">
        <v>1795</v>
      </c>
      <c r="I3006" s="437"/>
      <c r="J3006" s="437"/>
      <c r="K3006" s="428"/>
      <c r="L3006" s="437"/>
      <c r="M3006" s="65">
        <v>10000</v>
      </c>
      <c r="N3006" s="66" t="s">
        <v>101</v>
      </c>
      <c r="O3006" s="66" t="s">
        <v>26</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x</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c r="AE3006" s="349">
        <v>1</v>
      </c>
    </row>
    <row r="3007" spans="1:31" s="349" customFormat="1" ht="15.75" customHeight="1">
      <c r="A3007" s="334" t="str">
        <f>IF(B3007&lt;&gt;"",IF(AND(B3007='IN-TC'!$S$4,OR(TH!N3007="1111",TH!O3007="1111")),TH!D3007,""),"")</f>
        <v/>
      </c>
      <c r="B3007" s="63">
        <f t="shared" si="357"/>
        <v>10</v>
      </c>
      <c r="C3007" s="64">
        <v>42650</v>
      </c>
      <c r="D3007" s="64" t="s">
        <v>702</v>
      </c>
      <c r="E3007" s="64">
        <f t="shared" si="381"/>
        <v>42650</v>
      </c>
      <c r="F3007" s="72" t="s">
        <v>2167</v>
      </c>
      <c r="G3007" s="67" t="s">
        <v>1558</v>
      </c>
      <c r="H3007" s="72" t="s">
        <v>1795</v>
      </c>
      <c r="I3007" s="437"/>
      <c r="J3007" s="437"/>
      <c r="K3007" s="428"/>
      <c r="L3007" s="437"/>
      <c r="M3007" s="65">
        <v>1000</v>
      </c>
      <c r="N3007" s="66" t="s">
        <v>9</v>
      </c>
      <c r="O3007" s="66" t="s">
        <v>26</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x</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x</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c r="AE3007" s="349">
        <v>1</v>
      </c>
    </row>
    <row r="3008" spans="1:31" s="349" customFormat="1" ht="15.75" customHeight="1">
      <c r="A3008" s="334" t="str">
        <f>IF(B3008&lt;&gt;"",IF(AND(B3008='IN-TC'!$S$4,OR(TH!N3008="1111",TH!O3008="1111")),TH!D3008,""),"")</f>
        <v/>
      </c>
      <c r="B3008" s="63">
        <f t="shared" si="357"/>
        <v>10</v>
      </c>
      <c r="C3008" s="64">
        <v>42650</v>
      </c>
      <c r="D3008" s="64" t="s">
        <v>702</v>
      </c>
      <c r="E3008" s="64">
        <f t="shared" ref="E3008:E3010" si="382">C3008</f>
        <v>42650</v>
      </c>
      <c r="F3008" s="72" t="s">
        <v>1651</v>
      </c>
      <c r="G3008" s="67" t="s">
        <v>1558</v>
      </c>
      <c r="H3008" s="7" t="s">
        <v>630</v>
      </c>
      <c r="I3008" s="437"/>
      <c r="J3008" s="437"/>
      <c r="K3008" s="428"/>
      <c r="L3008" s="437"/>
      <c r="M3008" s="65">
        <v>37480000</v>
      </c>
      <c r="N3008" s="66" t="s">
        <v>8</v>
      </c>
      <c r="O3008" s="66" t="s">
        <v>26</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x</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1" s="349" customFormat="1" ht="15.75" customHeight="1">
      <c r="A3009" s="334" t="str">
        <f>IF(B3009&lt;&gt;"",IF(AND(B3009='IN-TC'!$S$4,OR(TH!N3009="1111",TH!O3009="1111")),TH!D3009,""),"")</f>
        <v/>
      </c>
      <c r="B3009" s="63">
        <f t="shared" si="357"/>
        <v>10</v>
      </c>
      <c r="C3009" s="64">
        <v>42650</v>
      </c>
      <c r="D3009" s="64" t="s">
        <v>702</v>
      </c>
      <c r="E3009" s="64">
        <f t="shared" si="382"/>
        <v>42650</v>
      </c>
      <c r="F3009" s="72" t="s">
        <v>2166</v>
      </c>
      <c r="G3009" s="67" t="s">
        <v>1558</v>
      </c>
      <c r="H3009" s="72" t="s">
        <v>1795</v>
      </c>
      <c r="I3009" s="437"/>
      <c r="J3009" s="437"/>
      <c r="K3009" s="428"/>
      <c r="L3009" s="437"/>
      <c r="M3009" s="65">
        <v>10000</v>
      </c>
      <c r="N3009" s="66" t="s">
        <v>101</v>
      </c>
      <c r="O3009" s="66" t="s">
        <v>26</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x</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c r="AE3009" s="349">
        <v>1</v>
      </c>
    </row>
    <row r="3010" spans="1:31" s="349" customFormat="1" ht="15.75" customHeight="1">
      <c r="A3010" s="334" t="str">
        <f>IF(B3010&lt;&gt;"",IF(AND(B3010='IN-TC'!$S$4,OR(TH!N3010="1111",TH!O3010="1111")),TH!D3010,""),"")</f>
        <v/>
      </c>
      <c r="B3010" s="63">
        <f t="shared" si="357"/>
        <v>10</v>
      </c>
      <c r="C3010" s="64">
        <v>42650</v>
      </c>
      <c r="D3010" s="64" t="s">
        <v>702</v>
      </c>
      <c r="E3010" s="64">
        <f t="shared" si="382"/>
        <v>42650</v>
      </c>
      <c r="F3010" s="72" t="s">
        <v>2167</v>
      </c>
      <c r="G3010" s="67" t="s">
        <v>1558</v>
      </c>
      <c r="H3010" s="72" t="s">
        <v>1795</v>
      </c>
      <c r="I3010" s="437"/>
      <c r="J3010" s="437"/>
      <c r="K3010" s="428"/>
      <c r="L3010" s="437"/>
      <c r="M3010" s="65">
        <v>1000</v>
      </c>
      <c r="N3010" s="66" t="s">
        <v>9</v>
      </c>
      <c r="O3010" s="66" t="s">
        <v>26</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x</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x</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c r="AE3010" s="349">
        <v>1</v>
      </c>
    </row>
    <row r="3011" spans="1:31" s="349" customFormat="1" ht="15.75" customHeight="1">
      <c r="A3011" s="334" t="str">
        <f>IF(B3011&lt;&gt;"",IF(AND(B3011='IN-TC'!$S$4,OR(TH!N3011="1111",TH!O3011="1111")),TH!D3011,""),"")</f>
        <v/>
      </c>
      <c r="B3011" s="63">
        <f t="shared" si="357"/>
        <v>10</v>
      </c>
      <c r="C3011" s="64">
        <v>42653</v>
      </c>
      <c r="D3011" s="64" t="s">
        <v>702</v>
      </c>
      <c r="E3011" s="64">
        <f t="shared" ref="E3011:E3014" si="383">C3011</f>
        <v>42653</v>
      </c>
      <c r="F3011" s="72" t="s">
        <v>2174</v>
      </c>
      <c r="G3011" s="67" t="s">
        <v>1558</v>
      </c>
      <c r="H3011" s="7" t="s">
        <v>629</v>
      </c>
      <c r="I3011" s="437"/>
      <c r="J3011" s="437"/>
      <c r="K3011" s="428"/>
      <c r="L3011" s="437"/>
      <c r="M3011" s="65">
        <v>21023640</v>
      </c>
      <c r="N3011" s="66" t="s">
        <v>8</v>
      </c>
      <c r="O3011" s="66" t="s">
        <v>26</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x</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1" s="349" customFormat="1" ht="15.75" customHeight="1">
      <c r="A3012" s="334" t="str">
        <f>IF(B3012&lt;&gt;"",IF(AND(B3012='IN-TC'!$S$4,OR(TH!N3012="1111",TH!O3012="1111")),TH!D3012,""),"")</f>
        <v/>
      </c>
      <c r="B3012" s="63">
        <f t="shared" si="357"/>
        <v>10</v>
      </c>
      <c r="C3012" s="64">
        <v>42653</v>
      </c>
      <c r="D3012" s="64" t="s">
        <v>702</v>
      </c>
      <c r="E3012" s="64">
        <f t="shared" si="383"/>
        <v>42653</v>
      </c>
      <c r="F3012" s="72" t="s">
        <v>2166</v>
      </c>
      <c r="G3012" s="67" t="s">
        <v>1558</v>
      </c>
      <c r="H3012" s="72" t="s">
        <v>1795</v>
      </c>
      <c r="I3012" s="437"/>
      <c r="J3012" s="437"/>
      <c r="K3012" s="428"/>
      <c r="L3012" s="437"/>
      <c r="M3012" s="65">
        <v>10000</v>
      </c>
      <c r="N3012" s="66" t="s">
        <v>101</v>
      </c>
      <c r="O3012" s="66" t="s">
        <v>26</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x</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c r="AE3012" s="349">
        <v>1</v>
      </c>
    </row>
    <row r="3013" spans="1:31" s="349" customFormat="1" ht="15.75" customHeight="1">
      <c r="A3013" s="334" t="str">
        <f>IF(B3013&lt;&gt;"",IF(AND(B3013='IN-TC'!$S$4,OR(TH!N3013="1111",TH!O3013="1111")),TH!D3013,""),"")</f>
        <v/>
      </c>
      <c r="B3013" s="63">
        <f t="shared" si="357"/>
        <v>10</v>
      </c>
      <c r="C3013" s="64">
        <v>42653</v>
      </c>
      <c r="D3013" s="64" t="s">
        <v>702</v>
      </c>
      <c r="E3013" s="64">
        <f t="shared" si="383"/>
        <v>42653</v>
      </c>
      <c r="F3013" s="72" t="s">
        <v>2167</v>
      </c>
      <c r="G3013" s="67" t="s">
        <v>1558</v>
      </c>
      <c r="H3013" s="72" t="s">
        <v>1795</v>
      </c>
      <c r="I3013" s="437"/>
      <c r="J3013" s="437"/>
      <c r="K3013" s="428"/>
      <c r="L3013" s="437"/>
      <c r="M3013" s="65">
        <v>1000</v>
      </c>
      <c r="N3013" s="66" t="s">
        <v>9</v>
      </c>
      <c r="O3013" s="66" t="s">
        <v>26</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x</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x</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c r="AE3013" s="349">
        <v>1</v>
      </c>
    </row>
    <row r="3014" spans="1:31" s="349" customFormat="1" ht="15.75" customHeight="1">
      <c r="A3014" s="334" t="str">
        <f>IF(B3014&lt;&gt;"",IF(AND(B3014='IN-TC'!$S$4,OR(TH!N3014="1111",TH!O3014="1111")),TH!D3014,""),"")</f>
        <v/>
      </c>
      <c r="B3014" s="63">
        <f t="shared" si="357"/>
        <v>10</v>
      </c>
      <c r="C3014" s="64">
        <v>42660</v>
      </c>
      <c r="D3014" s="64" t="s">
        <v>702</v>
      </c>
      <c r="E3014" s="64">
        <f t="shared" si="383"/>
        <v>42660</v>
      </c>
      <c r="F3014" s="72" t="s">
        <v>2222</v>
      </c>
      <c r="G3014" s="67" t="s">
        <v>1558</v>
      </c>
      <c r="H3014" s="72" t="s">
        <v>1795</v>
      </c>
      <c r="I3014" s="437"/>
      <c r="J3014" s="437"/>
      <c r="K3014" s="428"/>
      <c r="L3014" s="437"/>
      <c r="M3014" s="65">
        <v>1236318</v>
      </c>
      <c r="N3014" s="66" t="s">
        <v>101</v>
      </c>
      <c r="O3014" s="66" t="s">
        <v>26</v>
      </c>
      <c r="P3014" s="66" t="str">
        <f>IF(AND('331-CT'!$E$7=TH!H3014,OR(N3014="331",O3014="331")),"x","")</f>
        <v/>
      </c>
      <c r="Q3014" s="66" t="str">
        <f>IF(AND(B3014='111'!$L$11,OR($N3014=$Q$7,$O3014=$Q$7)),"x","")</f>
        <v/>
      </c>
      <c r="R3014" s="66" t="str">
        <f>IF(AND($N3014=$Q$7,$B3014&lt;'111'!$L$11),"x","")</f>
        <v/>
      </c>
      <c r="S3014" s="66" t="str">
        <f>IF(AND($O3014=$Q$7,$B3014&lt;'111'!$L$11),"x","")</f>
        <v/>
      </c>
      <c r="T3014" s="66" t="str">
        <f>IF(ISERROR(FIND('112'!$M$9,G3014,1)),"",IF((AND(FIND('112'!$M$9,G3014,1)&gt;=1,B3014='112'!$K$9,OR($N3014='112'!$I$6,$O3014='112'!$I$6))),"x",""))</f>
        <v>x</v>
      </c>
      <c r="U3014" s="66" t="str">
        <f>IF(ISERROR(FIND('112'!$M$9,G3014,1)),"",IF((AND(LEFT(G3014,2)=LEFT('112'!$M$9,2),B3014&lt;'112'!$K$9,$N3014='112'!$I$6)),"x",""))</f>
        <v/>
      </c>
      <c r="V3014" s="66" t="str">
        <f>IF(ISERROR(FIND('112'!$M$9,G3014,1)),"",IF((AND(RIGHT(G3014,2)=RIGHT('112'!$M$9,2),B3014&lt;'112'!$K$9,$O3014='112'!$I$6)),"x",""))</f>
        <v/>
      </c>
      <c r="W3014" s="66" t="str">
        <f>IF(AND('341-CT'!$H$9=H3014,OR(LEFT(N3014,3)=$W$7,LEFT(O3014,3)=$W$7)),"x","")</f>
        <v/>
      </c>
      <c r="X3014" s="66" t="str">
        <f>IF(OR(TH!N3014=TH!$X$7,O3014=TH!$X$7),"x","")</f>
        <v/>
      </c>
      <c r="Y3014" s="66" t="str">
        <f>IF(AND(OR(N3014="131",O3014="131"),H3014='131-CT'!$H$9),"x","")</f>
        <v/>
      </c>
      <c r="Z3014" s="66"/>
      <c r="AA3014" s="66" t="str">
        <f>IF(AND(MONTH(E3014)='IN-NX'!$J$5,'IN-NX'!$D$7=D3014),"x","")</f>
        <v/>
      </c>
      <c r="AB3014" s="66" t="str">
        <f>IF(AND(OR(LEFT(TH!N3014,2)="15",LEFT(TH!O3014,2)="15"),LEFT(TH!O3014,3)&lt;&gt;"111",'152-CT'!$J$8=TH!F3014),"x","")</f>
        <v/>
      </c>
      <c r="AC3014" s="66" t="str">
        <f>IF(AND(OR(LEFT(TH!N3014,2)="15",LEFT(TH!O3014,2)="15"),TK!$E$7=TH!F3014),"x","")</f>
        <v/>
      </c>
      <c r="AD3014" s="66" t="str">
        <f>IF(AND(N3014="1521",MONTH(C3014)='BK-NL'!$M$11),"x","")</f>
        <v/>
      </c>
    </row>
    <row r="3015" spans="1:31" s="349" customFormat="1" ht="15.75" customHeight="1">
      <c r="A3015" s="334" t="str">
        <f>IF(B3015&lt;&gt;"",IF(AND(B3015='IN-TC'!$S$4,OR(TH!N3015="1111",TH!O3015="1111")),TH!D3015,""),"")</f>
        <v/>
      </c>
      <c r="B3015" s="63">
        <f t="shared" ref="B3015" si="384">IF(C3015&lt;&gt;"",MONTH(C3015),"")</f>
        <v>10</v>
      </c>
      <c r="C3015" s="64">
        <v>42660</v>
      </c>
      <c r="D3015" s="64" t="s">
        <v>702</v>
      </c>
      <c r="E3015" s="64">
        <f t="shared" ref="E3015:E3018" si="385">C3015</f>
        <v>42660</v>
      </c>
      <c r="F3015" s="72" t="s">
        <v>1185</v>
      </c>
      <c r="G3015" s="67" t="s">
        <v>1558</v>
      </c>
      <c r="H3015" s="72" t="s">
        <v>1795</v>
      </c>
      <c r="I3015" s="437"/>
      <c r="J3015" s="437"/>
      <c r="K3015" s="428"/>
      <c r="L3015" s="437"/>
      <c r="M3015" s="65">
        <v>223400</v>
      </c>
      <c r="N3015" s="66" t="s">
        <v>101</v>
      </c>
      <c r="O3015" s="66" t="s">
        <v>26</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x</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1" s="349" customFormat="1" ht="15.75" customHeight="1">
      <c r="A3016" s="334" t="str">
        <f>IF(B3016&lt;&gt;"",IF(AND(B3016='IN-TC'!$S$4,OR(TH!N3016="1111",TH!O3016="1111")),TH!D3016,""),"")</f>
        <v/>
      </c>
      <c r="B3016" s="63">
        <f t="shared" ref="B3016:B3019" si="386">IF(C3016&lt;&gt;"",MONTH(C3016),"")</f>
        <v>10</v>
      </c>
      <c r="C3016" s="64">
        <v>42660</v>
      </c>
      <c r="D3016" s="64" t="s">
        <v>702</v>
      </c>
      <c r="E3016" s="64">
        <f t="shared" si="385"/>
        <v>42660</v>
      </c>
      <c r="F3016" s="72" t="s">
        <v>2168</v>
      </c>
      <c r="G3016" s="67" t="s">
        <v>1558</v>
      </c>
      <c r="H3016" s="963" t="s">
        <v>1875</v>
      </c>
      <c r="I3016" s="437"/>
      <c r="J3016" s="437"/>
      <c r="K3016" s="428">
        <v>97000</v>
      </c>
      <c r="L3016" s="437">
        <v>22308</v>
      </c>
      <c r="M3016" s="65">
        <f t="shared" ref="M3016" si="387">ROUND(K3016*L3016,0)</f>
        <v>2163876000</v>
      </c>
      <c r="N3016" s="66" t="s">
        <v>260</v>
      </c>
      <c r="O3016" s="66" t="s">
        <v>26</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x</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1" s="349" customFormat="1" ht="15.75" customHeight="1">
      <c r="A3017" s="334" t="str">
        <f>IF(B3017&lt;&gt;"",IF(AND(B3017='IN-TC'!$S$4,OR(TH!N3017="1111",TH!O3017="1111")),TH!D3017,""),"")</f>
        <v/>
      </c>
      <c r="B3017" s="63">
        <f t="shared" ref="B3017" si="388">IF(C3017&lt;&gt;"",MONTH(C3017),"")</f>
        <v>10</v>
      </c>
      <c r="C3017" s="64">
        <v>42660</v>
      </c>
      <c r="D3017" s="64" t="s">
        <v>702</v>
      </c>
      <c r="E3017" s="64">
        <f t="shared" ref="E3017" si="389">C3017</f>
        <v>42660</v>
      </c>
      <c r="F3017" s="72" t="s">
        <v>2187</v>
      </c>
      <c r="G3017" s="67" t="s">
        <v>1558</v>
      </c>
      <c r="H3017" s="963"/>
      <c r="I3017" s="437"/>
      <c r="J3017" s="437"/>
      <c r="K3017" s="428"/>
      <c r="L3017" s="437"/>
      <c r="M3017" s="65">
        <v>11316518</v>
      </c>
      <c r="N3017" s="66" t="s">
        <v>99</v>
      </c>
      <c r="O3017" s="66" t="s">
        <v>26</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x</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1" s="349" customFormat="1" ht="15.75" customHeight="1">
      <c r="A3018" s="334" t="str">
        <f>IF(B3018&lt;&gt;"",IF(AND(B3018='IN-TC'!$S$4,OR(TH!N3018="1111",TH!O3018="1111")),TH!D3018,""),"")</f>
        <v/>
      </c>
      <c r="B3018" s="63">
        <f t="shared" si="386"/>
        <v>10</v>
      </c>
      <c r="C3018" s="64">
        <v>42660</v>
      </c>
      <c r="D3018" s="64" t="s">
        <v>699</v>
      </c>
      <c r="E3018" s="64">
        <f t="shared" si="385"/>
        <v>42660</v>
      </c>
      <c r="F3018" s="72" t="s">
        <v>2161</v>
      </c>
      <c r="G3018" s="67" t="s">
        <v>1558</v>
      </c>
      <c r="H3018" s="72" t="s">
        <v>2190</v>
      </c>
      <c r="I3018" s="437"/>
      <c r="J3018" s="437"/>
      <c r="K3018" s="428">
        <v>96000</v>
      </c>
      <c r="L3018" s="437">
        <v>22301</v>
      </c>
      <c r="M3018" s="65">
        <v>2140896000</v>
      </c>
      <c r="N3018" s="66" t="s">
        <v>26</v>
      </c>
      <c r="O3018" s="66" t="s">
        <v>260</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x</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1" s="349" customFormat="1" ht="15.75" customHeight="1">
      <c r="A3019" s="334" t="str">
        <f>IF(B3019&lt;&gt;"",IF(AND(B3019='IN-TC'!$S$4,OR(TH!N3019="1111",TH!O3019="1111")),TH!D3019,""),"")</f>
        <v/>
      </c>
      <c r="B3019" s="63">
        <f t="shared" si="386"/>
        <v>10</v>
      </c>
      <c r="C3019" s="64">
        <v>42661</v>
      </c>
      <c r="D3019" s="64" t="s">
        <v>702</v>
      </c>
      <c r="E3019" s="64">
        <f t="shared" ref="E3019" si="390">C3019</f>
        <v>42661</v>
      </c>
      <c r="F3019" s="72" t="s">
        <v>2175</v>
      </c>
      <c r="G3019" s="67" t="s">
        <v>1558</v>
      </c>
      <c r="H3019" s="72" t="s">
        <v>1795</v>
      </c>
      <c r="I3019" s="437"/>
      <c r="J3019" s="437"/>
      <c r="K3019" s="428"/>
      <c r="L3019" s="437"/>
      <c r="M3019" s="65">
        <v>111700</v>
      </c>
      <c r="N3019" s="66" t="s">
        <v>101</v>
      </c>
      <c r="O3019" s="66" t="s">
        <v>26</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x</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1" s="349" customFormat="1" ht="15.75" customHeight="1">
      <c r="A3020" s="334" t="str">
        <f>IF(B3020&lt;&gt;"",IF(AND(B3020='IN-TC'!$S$4,OR(TH!N3020="1111",TH!O3020="1111")),TH!D3020,""),"")</f>
        <v/>
      </c>
      <c r="B3020" s="63">
        <f t="shared" ref="B3020:B3045" si="391">IF(C3020&lt;&gt;"",MONTH(C3020),"")</f>
        <v>10</v>
      </c>
      <c r="C3020" s="64">
        <v>42662</v>
      </c>
      <c r="D3020" s="64" t="s">
        <v>702</v>
      </c>
      <c r="E3020" s="64">
        <f t="shared" ref="E3020:E3022" si="392">C3020</f>
        <v>42662</v>
      </c>
      <c r="F3020" s="72" t="s">
        <v>2176</v>
      </c>
      <c r="G3020" s="67" t="s">
        <v>1558</v>
      </c>
      <c r="H3020" s="7" t="s">
        <v>1378</v>
      </c>
      <c r="I3020" s="437"/>
      <c r="J3020" s="437"/>
      <c r="K3020" s="428"/>
      <c r="L3020" s="437"/>
      <c r="M3020" s="65">
        <v>16302356</v>
      </c>
      <c r="N3020" s="66" t="s">
        <v>8</v>
      </c>
      <c r="O3020" s="66" t="s">
        <v>26</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x</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1" s="349" customFormat="1" ht="15.75" customHeight="1">
      <c r="A3021" s="334" t="str">
        <f>IF(B3021&lt;&gt;"",IF(AND(B3021='IN-TC'!$S$4,OR(TH!N3021="1111",TH!O3021="1111")),TH!D3021,""),"")</f>
        <v/>
      </c>
      <c r="B3021" s="63">
        <f t="shared" si="391"/>
        <v>10</v>
      </c>
      <c r="C3021" s="64">
        <v>42662</v>
      </c>
      <c r="D3021" s="64" t="s">
        <v>702</v>
      </c>
      <c r="E3021" s="64">
        <f t="shared" si="392"/>
        <v>42662</v>
      </c>
      <c r="F3021" s="72" t="s">
        <v>2166</v>
      </c>
      <c r="G3021" s="67" t="s">
        <v>1558</v>
      </c>
      <c r="H3021" s="72" t="s">
        <v>1795</v>
      </c>
      <c r="I3021" s="437"/>
      <c r="J3021" s="437"/>
      <c r="K3021" s="428"/>
      <c r="L3021" s="437"/>
      <c r="M3021" s="65">
        <v>20000</v>
      </c>
      <c r="N3021" s="66" t="s">
        <v>101</v>
      </c>
      <c r="O3021" s="66" t="s">
        <v>26</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x</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c r="AE3021" s="349">
        <v>1</v>
      </c>
    </row>
    <row r="3022" spans="1:31" s="349" customFormat="1" ht="15.75" customHeight="1">
      <c r="A3022" s="334" t="str">
        <f>IF(B3022&lt;&gt;"",IF(AND(B3022='IN-TC'!$S$4,OR(TH!N3022="1111",TH!O3022="1111")),TH!D3022,""),"")</f>
        <v/>
      </c>
      <c r="B3022" s="63">
        <f t="shared" si="391"/>
        <v>10</v>
      </c>
      <c r="C3022" s="64">
        <v>42662</v>
      </c>
      <c r="D3022" s="64" t="s">
        <v>702</v>
      </c>
      <c r="E3022" s="64">
        <f t="shared" si="392"/>
        <v>42662</v>
      </c>
      <c r="F3022" s="72" t="s">
        <v>2167</v>
      </c>
      <c r="G3022" s="67" t="s">
        <v>1558</v>
      </c>
      <c r="H3022" s="72" t="s">
        <v>1795</v>
      </c>
      <c r="I3022" s="437"/>
      <c r="J3022" s="437"/>
      <c r="K3022" s="428"/>
      <c r="L3022" s="437"/>
      <c r="M3022" s="65">
        <v>2000</v>
      </c>
      <c r="N3022" s="66" t="s">
        <v>9</v>
      </c>
      <c r="O3022" s="66" t="s">
        <v>26</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x</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x</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c r="AE3022" s="349">
        <v>1</v>
      </c>
    </row>
    <row r="3023" spans="1:31" s="349" customFormat="1" ht="15.75" customHeight="1">
      <c r="A3023" s="334" t="str">
        <f>IF(B3023&lt;&gt;"",IF(AND(B3023='IN-TC'!$S$4,OR(TH!N3023="1111",TH!O3023="1111")),TH!D3023,""),"")</f>
        <v/>
      </c>
      <c r="B3023" s="63">
        <f t="shared" si="391"/>
        <v>10</v>
      </c>
      <c r="C3023" s="64">
        <v>42662</v>
      </c>
      <c r="D3023" s="64" t="s">
        <v>702</v>
      </c>
      <c r="E3023" s="64">
        <f t="shared" ref="E3023:E3028" si="393">C3023</f>
        <v>42662</v>
      </c>
      <c r="F3023" s="72" t="s">
        <v>1443</v>
      </c>
      <c r="G3023" s="67" t="s">
        <v>1558</v>
      </c>
      <c r="H3023" s="7" t="s">
        <v>1211</v>
      </c>
      <c r="I3023" s="437"/>
      <c r="J3023" s="437"/>
      <c r="K3023" s="428"/>
      <c r="L3023" s="437"/>
      <c r="M3023" s="65">
        <v>42930000</v>
      </c>
      <c r="N3023" s="66" t="s">
        <v>72</v>
      </c>
      <c r="O3023" s="66" t="s">
        <v>26</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x</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1" s="349" customFormat="1" ht="15.75" customHeight="1">
      <c r="A3024" s="334" t="str">
        <f>IF(B3024&lt;&gt;"",IF(AND(B3024='IN-TC'!$S$4,OR(TH!N3024="1111",TH!O3024="1111")),TH!D3024,""),"")</f>
        <v/>
      </c>
      <c r="B3024" s="63">
        <f t="shared" si="391"/>
        <v>10</v>
      </c>
      <c r="C3024" s="64">
        <v>42662</v>
      </c>
      <c r="D3024" s="64" t="s">
        <v>702</v>
      </c>
      <c r="E3024" s="64">
        <f t="shared" si="393"/>
        <v>42662</v>
      </c>
      <c r="F3024" s="72" t="s">
        <v>2166</v>
      </c>
      <c r="G3024" s="67" t="s">
        <v>1558</v>
      </c>
      <c r="H3024" s="72" t="s">
        <v>1795</v>
      </c>
      <c r="I3024" s="437"/>
      <c r="J3024" s="437"/>
      <c r="K3024" s="428"/>
      <c r="L3024" s="437"/>
      <c r="M3024" s="65">
        <v>22879</v>
      </c>
      <c r="N3024" s="66" t="s">
        <v>101</v>
      </c>
      <c r="O3024" s="66" t="s">
        <v>26</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x</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c r="AE3024" s="349">
        <v>1</v>
      </c>
    </row>
    <row r="3025" spans="1:31" s="349" customFormat="1" ht="15.75" customHeight="1">
      <c r="A3025" s="334" t="str">
        <f>IF(B3025&lt;&gt;"",IF(AND(B3025='IN-TC'!$S$4,OR(TH!N3025="1111",TH!O3025="1111")),TH!D3025,""),"")</f>
        <v/>
      </c>
      <c r="B3025" s="63">
        <f t="shared" si="391"/>
        <v>10</v>
      </c>
      <c r="C3025" s="64">
        <v>42662</v>
      </c>
      <c r="D3025" s="64" t="s">
        <v>702</v>
      </c>
      <c r="E3025" s="64">
        <f t="shared" si="393"/>
        <v>42662</v>
      </c>
      <c r="F3025" s="72" t="s">
        <v>2167</v>
      </c>
      <c r="G3025" s="67" t="s">
        <v>1558</v>
      </c>
      <c r="H3025" s="72" t="s">
        <v>1795</v>
      </c>
      <c r="I3025" s="437"/>
      <c r="J3025" s="437"/>
      <c r="K3025" s="428"/>
      <c r="L3025" s="437"/>
      <c r="M3025" s="65">
        <v>2288</v>
      </c>
      <c r="N3025" s="66" t="s">
        <v>9</v>
      </c>
      <c r="O3025" s="66" t="s">
        <v>26</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x</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x</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c r="AE3025" s="349">
        <v>1</v>
      </c>
    </row>
    <row r="3026" spans="1:31" s="349" customFormat="1" ht="15.75" customHeight="1">
      <c r="A3026" s="334" t="str">
        <f>IF(B3026&lt;&gt;"",IF(AND(B3026='IN-TC'!$S$4,OR(TH!N3026="1111",TH!O3026="1111")),TH!D3026,""),"")</f>
        <v/>
      </c>
      <c r="B3026" s="63">
        <f t="shared" si="391"/>
        <v>10</v>
      </c>
      <c r="C3026" s="64">
        <v>42662</v>
      </c>
      <c r="D3026" s="64" t="s">
        <v>702</v>
      </c>
      <c r="E3026" s="64">
        <f t="shared" si="393"/>
        <v>42662</v>
      </c>
      <c r="F3026" s="72" t="s">
        <v>2177</v>
      </c>
      <c r="G3026" s="67" t="s">
        <v>1558</v>
      </c>
      <c r="H3026" s="7" t="s">
        <v>629</v>
      </c>
      <c r="I3026" s="437"/>
      <c r="J3026" s="437"/>
      <c r="K3026" s="428"/>
      <c r="L3026" s="437"/>
      <c r="M3026" s="65">
        <v>20797260</v>
      </c>
      <c r="N3026" s="66" t="s">
        <v>8</v>
      </c>
      <c r="O3026" s="66" t="s">
        <v>26</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x</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1" s="349" customFormat="1" ht="15.75" customHeight="1">
      <c r="A3027" s="334" t="str">
        <f>IF(B3027&lt;&gt;"",IF(AND(B3027='IN-TC'!$S$4,OR(TH!N3027="1111",TH!O3027="1111")),TH!D3027,""),"")</f>
        <v/>
      </c>
      <c r="B3027" s="63">
        <f t="shared" si="391"/>
        <v>10</v>
      </c>
      <c r="C3027" s="64">
        <v>42662</v>
      </c>
      <c r="D3027" s="64" t="s">
        <v>702</v>
      </c>
      <c r="E3027" s="64">
        <f t="shared" si="393"/>
        <v>42662</v>
      </c>
      <c r="F3027" s="72" t="s">
        <v>2166</v>
      </c>
      <c r="G3027" s="67" t="s">
        <v>1558</v>
      </c>
      <c r="H3027" s="72" t="s">
        <v>1795</v>
      </c>
      <c r="I3027" s="437"/>
      <c r="J3027" s="437"/>
      <c r="K3027" s="428"/>
      <c r="L3027" s="437"/>
      <c r="M3027" s="65">
        <v>20000</v>
      </c>
      <c r="N3027" s="66" t="s">
        <v>101</v>
      </c>
      <c r="O3027" s="66" t="s">
        <v>26</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x</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c r="AE3027" s="349">
        <v>1</v>
      </c>
    </row>
    <row r="3028" spans="1:31" s="349" customFormat="1" ht="15.75" customHeight="1">
      <c r="A3028" s="334" t="str">
        <f>IF(B3028&lt;&gt;"",IF(AND(B3028='IN-TC'!$S$4,OR(TH!N3028="1111",TH!O3028="1111")),TH!D3028,""),"")</f>
        <v/>
      </c>
      <c r="B3028" s="63">
        <f t="shared" si="391"/>
        <v>10</v>
      </c>
      <c r="C3028" s="64">
        <v>42662</v>
      </c>
      <c r="D3028" s="64" t="s">
        <v>702</v>
      </c>
      <c r="E3028" s="64">
        <f t="shared" si="393"/>
        <v>42662</v>
      </c>
      <c r="F3028" s="72" t="s">
        <v>2167</v>
      </c>
      <c r="G3028" s="67" t="s">
        <v>1558</v>
      </c>
      <c r="H3028" s="72" t="s">
        <v>1795</v>
      </c>
      <c r="I3028" s="437"/>
      <c r="J3028" s="437"/>
      <c r="K3028" s="428"/>
      <c r="L3028" s="437"/>
      <c r="M3028" s="65">
        <v>2000</v>
      </c>
      <c r="N3028" s="66" t="s">
        <v>9</v>
      </c>
      <c r="O3028" s="66" t="s">
        <v>26</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x</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x</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c r="AE3028" s="349">
        <v>1</v>
      </c>
    </row>
    <row r="3029" spans="1:31" s="349" customFormat="1" ht="15.75" customHeight="1">
      <c r="A3029" s="334" t="str">
        <f>IF(B3029&lt;&gt;"",IF(AND(B3029='IN-TC'!$S$4,OR(TH!N3029="1111",TH!O3029="1111")),TH!D3029,""),"")</f>
        <v/>
      </c>
      <c r="B3029" s="63">
        <f t="shared" si="391"/>
        <v>10</v>
      </c>
      <c r="C3029" s="64">
        <v>42662</v>
      </c>
      <c r="D3029" s="64" t="s">
        <v>702</v>
      </c>
      <c r="E3029" s="64">
        <f t="shared" ref="E3029:E3038" si="394">C3029</f>
        <v>42662</v>
      </c>
      <c r="F3029" s="72" t="s">
        <v>1638</v>
      </c>
      <c r="G3029" s="67" t="s">
        <v>1558</v>
      </c>
      <c r="H3029" s="7" t="s">
        <v>1498</v>
      </c>
      <c r="I3029" s="437"/>
      <c r="J3029" s="437"/>
      <c r="K3029" s="428"/>
      <c r="L3029" s="437"/>
      <c r="M3029" s="65">
        <v>100000000</v>
      </c>
      <c r="N3029" s="66" t="s">
        <v>8</v>
      </c>
      <c r="O3029" s="66" t="s">
        <v>26</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x</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1" s="349" customFormat="1" ht="15.75" customHeight="1">
      <c r="A3030" s="334" t="str">
        <f>IF(B3030&lt;&gt;"",IF(AND(B3030='IN-TC'!$S$4,OR(TH!N3030="1111",TH!O3030="1111")),TH!D3030,""),"")</f>
        <v/>
      </c>
      <c r="B3030" s="63">
        <f t="shared" si="391"/>
        <v>10</v>
      </c>
      <c r="C3030" s="64">
        <v>42662</v>
      </c>
      <c r="D3030" s="64" t="s">
        <v>702</v>
      </c>
      <c r="E3030" s="64">
        <f t="shared" si="394"/>
        <v>42662</v>
      </c>
      <c r="F3030" s="72" t="s">
        <v>2166</v>
      </c>
      <c r="G3030" s="67" t="s">
        <v>1558</v>
      </c>
      <c r="H3030" s="72" t="s">
        <v>1795</v>
      </c>
      <c r="I3030" s="437"/>
      <c r="J3030" s="437"/>
      <c r="K3030" s="428"/>
      <c r="L3030" s="437"/>
      <c r="M3030" s="65">
        <v>40000</v>
      </c>
      <c r="N3030" s="66" t="s">
        <v>101</v>
      </c>
      <c r="O3030" s="66" t="s">
        <v>26</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x</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c r="AE3030" s="349">
        <v>1</v>
      </c>
    </row>
    <row r="3031" spans="1:31" s="349" customFormat="1" ht="15.75" customHeight="1">
      <c r="A3031" s="334" t="str">
        <f>IF(B3031&lt;&gt;"",IF(AND(B3031='IN-TC'!$S$4,OR(TH!N3031="1111",TH!O3031="1111")),TH!D3031,""),"")</f>
        <v/>
      </c>
      <c r="B3031" s="63">
        <f t="shared" si="391"/>
        <v>10</v>
      </c>
      <c r="C3031" s="64">
        <v>42662</v>
      </c>
      <c r="D3031" s="64" t="s">
        <v>702</v>
      </c>
      <c r="E3031" s="64">
        <f t="shared" si="394"/>
        <v>42662</v>
      </c>
      <c r="F3031" s="72" t="s">
        <v>2167</v>
      </c>
      <c r="G3031" s="67" t="s">
        <v>1558</v>
      </c>
      <c r="H3031" s="72" t="s">
        <v>1795</v>
      </c>
      <c r="I3031" s="437"/>
      <c r="J3031" s="437"/>
      <c r="K3031" s="428"/>
      <c r="L3031" s="437"/>
      <c r="M3031" s="65">
        <v>4000</v>
      </c>
      <c r="N3031" s="66" t="s">
        <v>9</v>
      </c>
      <c r="O3031" s="66" t="s">
        <v>26</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x</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x</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c r="AE3031" s="349">
        <v>1</v>
      </c>
    </row>
    <row r="3032" spans="1:31" s="349" customFormat="1" ht="15.75" customHeight="1">
      <c r="A3032" s="334" t="str">
        <f>IF(B3032&lt;&gt;"",IF(AND(B3032='IN-TC'!$S$4,OR(TH!N3032="1111",TH!O3032="1111")),TH!D3032,""),"")</f>
        <v/>
      </c>
      <c r="B3032" s="63">
        <f t="shared" si="391"/>
        <v>10</v>
      </c>
      <c r="C3032" s="64">
        <v>42664</v>
      </c>
      <c r="D3032" s="64" t="s">
        <v>699</v>
      </c>
      <c r="E3032" s="64">
        <f t="shared" si="394"/>
        <v>42664</v>
      </c>
      <c r="F3032" s="72" t="s">
        <v>2186</v>
      </c>
      <c r="G3032" s="67" t="s">
        <v>1558</v>
      </c>
      <c r="H3032" s="72" t="s">
        <v>2162</v>
      </c>
      <c r="I3032" s="437"/>
      <c r="J3032" s="437"/>
      <c r="K3032" s="428">
        <v>36080</v>
      </c>
      <c r="L3032" s="437">
        <v>22301</v>
      </c>
      <c r="M3032" s="65">
        <v>804620080</v>
      </c>
      <c r="N3032" s="66" t="s">
        <v>26</v>
      </c>
      <c r="O3032" s="66" t="s">
        <v>260</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x</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1" s="349" customFormat="1" ht="15.75" customHeight="1">
      <c r="A3033" s="334" t="str">
        <f>IF(B3033&lt;&gt;"",IF(AND(B3033='IN-TC'!$S$4,OR(TH!N3033="1111",TH!O3033="1111")),TH!D3033,""),"")</f>
        <v/>
      </c>
      <c r="B3033" s="63">
        <f t="shared" si="391"/>
        <v>10</v>
      </c>
      <c r="C3033" s="64">
        <v>42665</v>
      </c>
      <c r="D3033" s="64" t="s">
        <v>702</v>
      </c>
      <c r="E3033" s="64">
        <f t="shared" si="394"/>
        <v>42665</v>
      </c>
      <c r="F3033" s="72" t="s">
        <v>2027</v>
      </c>
      <c r="G3033" s="67" t="s">
        <v>1558</v>
      </c>
      <c r="H3033" s="1215"/>
      <c r="I3033" s="437"/>
      <c r="J3033" s="437"/>
      <c r="K3033" s="428"/>
      <c r="L3033" s="437"/>
      <c r="M3033" s="65">
        <v>5104</v>
      </c>
      <c r="N3033" s="66" t="s">
        <v>99</v>
      </c>
      <c r="O3033" s="66" t="s">
        <v>26</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x</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1" s="349" customFormat="1" ht="15.75" customHeight="1">
      <c r="A3034" s="334" t="str">
        <f>IF(B3034&lt;&gt;"",IF(AND(B3034='IN-TC'!$S$4,OR(TH!N3034="1111",TH!O3034="1111")),TH!D3034,""),"")</f>
        <v/>
      </c>
      <c r="B3034" s="63">
        <f t="shared" si="391"/>
        <v>10</v>
      </c>
      <c r="C3034" s="64">
        <v>42665</v>
      </c>
      <c r="D3034" s="64" t="s">
        <v>702</v>
      </c>
      <c r="E3034" s="64">
        <f t="shared" si="394"/>
        <v>42665</v>
      </c>
      <c r="F3034" s="72" t="s">
        <v>2163</v>
      </c>
      <c r="G3034" s="67" t="s">
        <v>1558</v>
      </c>
      <c r="H3034" s="1215"/>
      <c r="I3034" s="437"/>
      <c r="J3034" s="437"/>
      <c r="K3034" s="428"/>
      <c r="L3034" s="437"/>
      <c r="M3034" s="65">
        <v>5487768</v>
      </c>
      <c r="N3034" s="66" t="s">
        <v>99</v>
      </c>
      <c r="O3034" s="66" t="s">
        <v>26</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x</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1" s="349" customFormat="1" ht="15.75" customHeight="1">
      <c r="A3035" s="334" t="str">
        <f>IF(B3035&lt;&gt;"",IF(AND(B3035='IN-TC'!$S$4,OR(TH!N3035="1111",TH!O3035="1111")),TH!D3035,""),"")</f>
        <v/>
      </c>
      <c r="B3035" s="63">
        <f t="shared" si="391"/>
        <v>10</v>
      </c>
      <c r="C3035" s="64">
        <v>42665</v>
      </c>
      <c r="D3035" s="64" t="s">
        <v>702</v>
      </c>
      <c r="E3035" s="64">
        <f t="shared" si="394"/>
        <v>42665</v>
      </c>
      <c r="F3035" s="72" t="s">
        <v>2027</v>
      </c>
      <c r="G3035" s="67" t="s">
        <v>1558</v>
      </c>
      <c r="H3035" s="1215"/>
      <c r="I3035" s="437"/>
      <c r="J3035" s="437"/>
      <c r="K3035" s="428"/>
      <c r="L3035" s="437"/>
      <c r="M3035" s="65">
        <v>5602</v>
      </c>
      <c r="N3035" s="66" t="s">
        <v>99</v>
      </c>
      <c r="O3035" s="66" t="s">
        <v>26</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x</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1" s="349" customFormat="1" ht="15.75" customHeight="1">
      <c r="A3036" s="334" t="str">
        <f>IF(B3036&lt;&gt;"",IF(AND(B3036='IN-TC'!$S$4,OR(TH!N3036="1111",TH!O3036="1111")),TH!D3036,""),"")</f>
        <v/>
      </c>
      <c r="B3036" s="63">
        <f t="shared" si="391"/>
        <v>10</v>
      </c>
      <c r="C3036" s="64">
        <v>42665</v>
      </c>
      <c r="D3036" s="64" t="s">
        <v>702</v>
      </c>
      <c r="E3036" s="64">
        <f t="shared" si="394"/>
        <v>42665</v>
      </c>
      <c r="F3036" s="72" t="s">
        <v>2163</v>
      </c>
      <c r="G3036" s="67" t="s">
        <v>1558</v>
      </c>
      <c r="H3036" s="1215"/>
      <c r="I3036" s="437"/>
      <c r="J3036" s="437"/>
      <c r="K3036" s="428"/>
      <c r="L3036" s="437"/>
      <c r="M3036" s="65">
        <v>6023160</v>
      </c>
      <c r="N3036" s="66" t="s">
        <v>99</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x</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1" s="349" customFormat="1" ht="15.75" customHeight="1">
      <c r="A3037" s="334" t="str">
        <f>IF(B3037&lt;&gt;"",IF(AND(B3037='IN-TC'!$S$4,OR(TH!N3037="1111",TH!O3037="1111")),TH!D3037,""),"")</f>
        <v/>
      </c>
      <c r="B3037" s="63">
        <f t="shared" si="391"/>
        <v>10</v>
      </c>
      <c r="C3037" s="64">
        <v>42668</v>
      </c>
      <c r="D3037" s="64" t="s">
        <v>699</v>
      </c>
      <c r="E3037" s="64">
        <f t="shared" si="394"/>
        <v>42668</v>
      </c>
      <c r="F3037" s="72" t="s">
        <v>1647</v>
      </c>
      <c r="G3037" s="67" t="s">
        <v>1558</v>
      </c>
      <c r="H3037" s="72" t="s">
        <v>1795</v>
      </c>
      <c r="I3037" s="437"/>
      <c r="J3037" s="437"/>
      <c r="K3037" s="428"/>
      <c r="L3037" s="437"/>
      <c r="M3037" s="65">
        <v>61188</v>
      </c>
      <c r="N3037" s="66" t="s">
        <v>26</v>
      </c>
      <c r="O3037" s="66" t="s">
        <v>43</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x</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1" s="349" customFormat="1" ht="15.75" customHeight="1">
      <c r="A3038" s="334" t="str">
        <f>IF(B3038&lt;&gt;"",IF(AND(B3038='IN-TC'!$S$4,OR(TH!N3038="1111",TH!O3038="1111")),TH!D3038,""),"")</f>
        <v/>
      </c>
      <c r="B3038" s="63">
        <f t="shared" si="391"/>
        <v>10</v>
      </c>
      <c r="C3038" s="64">
        <v>42668</v>
      </c>
      <c r="D3038" s="64" t="s">
        <v>702</v>
      </c>
      <c r="E3038" s="64">
        <f t="shared" si="394"/>
        <v>42668</v>
      </c>
      <c r="F3038" s="72" t="s">
        <v>1185</v>
      </c>
      <c r="G3038" s="67" t="s">
        <v>1558</v>
      </c>
      <c r="H3038" s="72" t="s">
        <v>1795</v>
      </c>
      <c r="I3038" s="437"/>
      <c r="J3038" s="437"/>
      <c r="K3038" s="428"/>
      <c r="L3038" s="437"/>
      <c r="M3038" s="65">
        <v>223700</v>
      </c>
      <c r="N3038" s="66" t="s">
        <v>101</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x</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1" s="349" customFormat="1" ht="15.75" customHeight="1">
      <c r="A3039" s="334" t="str">
        <f>IF(B3039&lt;&gt;"",IF(AND(B3039='IN-TC'!$S$4,OR(TH!N3039="1111",TH!O3039="1111")),TH!D3039,""),"")</f>
        <v/>
      </c>
      <c r="B3039" s="63">
        <f t="shared" ref="B3039:B3040" si="395">IF(C3039&lt;&gt;"",MONTH(C3039),"")</f>
        <v>10</v>
      </c>
      <c r="C3039" s="64">
        <v>42674</v>
      </c>
      <c r="D3039" s="64" t="s">
        <v>702</v>
      </c>
      <c r="E3039" s="64">
        <f t="shared" ref="E3039:E3046" si="396">C3039</f>
        <v>42674</v>
      </c>
      <c r="F3039" s="72" t="s">
        <v>2175</v>
      </c>
      <c r="G3039" s="67" t="s">
        <v>1558</v>
      </c>
      <c r="H3039" s="72" t="s">
        <v>1795</v>
      </c>
      <c r="I3039" s="437"/>
      <c r="J3039" s="437"/>
      <c r="K3039" s="428"/>
      <c r="L3039" s="437"/>
      <c r="M3039" s="65">
        <v>111850</v>
      </c>
      <c r="N3039" s="66" t="s">
        <v>101</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x</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1" s="349" customFormat="1" ht="15.75" customHeight="1">
      <c r="A3040" s="334" t="str">
        <f>IF(B3040&lt;&gt;"",IF(AND(B3040='IN-TC'!$S$4,OR(TH!N3040="1111",TH!O3040="1111")),TH!D3040,""),"")</f>
        <v/>
      </c>
      <c r="B3040" s="63">
        <f t="shared" si="395"/>
        <v>10</v>
      </c>
      <c r="C3040" s="64">
        <v>42674</v>
      </c>
      <c r="D3040" s="64" t="s">
        <v>699</v>
      </c>
      <c r="E3040" s="64">
        <f t="shared" si="396"/>
        <v>42674</v>
      </c>
      <c r="F3040" s="72" t="s">
        <v>2161</v>
      </c>
      <c r="G3040" s="67" t="s">
        <v>1558</v>
      </c>
      <c r="H3040" s="72" t="s">
        <v>2191</v>
      </c>
      <c r="I3040" s="437"/>
      <c r="J3040" s="437"/>
      <c r="K3040" s="428">
        <v>33400</v>
      </c>
      <c r="L3040" s="437">
        <v>22308</v>
      </c>
      <c r="M3040" s="65">
        <v>745087200</v>
      </c>
      <c r="N3040" s="66" t="s">
        <v>26</v>
      </c>
      <c r="O3040" s="66" t="s">
        <v>260</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x</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s="349" customFormat="1" ht="15.75" customHeight="1">
      <c r="A3041" s="334" t="str">
        <f>IF(B3041&lt;&gt;"",IF(AND(B3041='IN-TC'!$S$4,OR(TH!N3041="1111",TH!O3041="1111")),TH!D3041,""),"")</f>
        <v/>
      </c>
      <c r="B3041" s="63">
        <f t="shared" si="391"/>
        <v>11</v>
      </c>
      <c r="C3041" s="64">
        <v>42683</v>
      </c>
      <c r="D3041" s="64" t="s">
        <v>579</v>
      </c>
      <c r="E3041" s="64">
        <f t="shared" si="396"/>
        <v>42683</v>
      </c>
      <c r="F3041" s="72" t="s">
        <v>636</v>
      </c>
      <c r="G3041" s="972" t="s">
        <v>2203</v>
      </c>
      <c r="H3041" s="72" t="s">
        <v>627</v>
      </c>
      <c r="I3041" s="437"/>
      <c r="J3041" s="437"/>
      <c r="K3041" s="428"/>
      <c r="L3041" s="437"/>
      <c r="M3041" s="65">
        <v>2000000</v>
      </c>
      <c r="N3041" s="66" t="s">
        <v>588</v>
      </c>
      <c r="O3041" s="66" t="s">
        <v>8</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s="349" customFormat="1" ht="15.75" customHeight="1">
      <c r="A3042" s="334" t="str">
        <f>IF(B3042&lt;&gt;"",IF(AND(B3042='IN-TC'!$S$4,OR(TH!N3042="1111",TH!O3042="1111")),TH!D3042,""),"")</f>
        <v/>
      </c>
      <c r="B3042" s="63">
        <f t="shared" si="391"/>
        <v>11</v>
      </c>
      <c r="C3042" s="64">
        <v>42683</v>
      </c>
      <c r="D3042" s="64" t="s">
        <v>579</v>
      </c>
      <c r="E3042" s="64">
        <f t="shared" si="396"/>
        <v>42683</v>
      </c>
      <c r="F3042" s="72" t="s">
        <v>637</v>
      </c>
      <c r="G3042" s="972" t="s">
        <v>2203</v>
      </c>
      <c r="H3042" s="72" t="s">
        <v>627</v>
      </c>
      <c r="I3042" s="437"/>
      <c r="J3042" s="437"/>
      <c r="K3042" s="428"/>
      <c r="L3042" s="437"/>
      <c r="M3042" s="65">
        <v>200000</v>
      </c>
      <c r="N3042" s="66" t="s">
        <v>9</v>
      </c>
      <c r="O3042" s="66" t="s">
        <v>8</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x</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s="349" customFormat="1" ht="15.75" customHeight="1">
      <c r="A3043" s="334" t="str">
        <f>IF(B3043&lt;&gt;"",IF(AND(B3043='IN-TC'!$S$4,OR(TH!N3043="1111",TH!O3043="1111")),TH!D3043,""),"")</f>
        <v/>
      </c>
      <c r="B3043" s="63">
        <f t="shared" si="391"/>
        <v>11</v>
      </c>
      <c r="C3043" s="64">
        <v>42685</v>
      </c>
      <c r="D3043" s="64" t="s">
        <v>579</v>
      </c>
      <c r="E3043" s="64">
        <f t="shared" si="396"/>
        <v>42685</v>
      </c>
      <c r="F3043" s="72" t="s">
        <v>1500</v>
      </c>
      <c r="G3043" s="972" t="s">
        <v>2209</v>
      </c>
      <c r="H3043" s="72" t="s">
        <v>1860</v>
      </c>
      <c r="I3043" s="437"/>
      <c r="J3043" s="437"/>
      <c r="K3043" s="428"/>
      <c r="L3043" s="437"/>
      <c r="M3043" s="65">
        <v>7600700</v>
      </c>
      <c r="N3043" s="66" t="s">
        <v>588</v>
      </c>
      <c r="O3043" s="66" t="s">
        <v>8</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s="349" customFormat="1" ht="15.75" customHeight="1">
      <c r="A3044" s="334" t="str">
        <f>IF(B3044&lt;&gt;"",IF(AND(B3044='IN-TC'!$S$4,OR(TH!N3044="1111",TH!O3044="1111")),TH!D3044,""),"")</f>
        <v/>
      </c>
      <c r="B3044" s="63">
        <f t="shared" si="391"/>
        <v>11</v>
      </c>
      <c r="C3044" s="64">
        <v>42685</v>
      </c>
      <c r="D3044" s="64" t="s">
        <v>579</v>
      </c>
      <c r="E3044" s="64">
        <f t="shared" si="396"/>
        <v>42685</v>
      </c>
      <c r="F3044" s="72" t="s">
        <v>2204</v>
      </c>
      <c r="G3044" s="972" t="s">
        <v>2208</v>
      </c>
      <c r="H3044" s="72" t="s">
        <v>1860</v>
      </c>
      <c r="I3044" s="437"/>
      <c r="J3044" s="437"/>
      <c r="K3044" s="428"/>
      <c r="L3044" s="437"/>
      <c r="M3044" s="65">
        <v>3784990</v>
      </c>
      <c r="N3044" s="66" t="s">
        <v>588</v>
      </c>
      <c r="O3044" s="66" t="s">
        <v>8</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s="349" customFormat="1" ht="15.75" customHeight="1">
      <c r="A3045" s="334" t="str">
        <f>IF(B3045&lt;&gt;"",IF(AND(B3045='IN-TC'!$S$4,OR(TH!N3045="1111",TH!O3045="1111")),TH!D3045,""),"")</f>
        <v/>
      </c>
      <c r="B3045" s="63">
        <f t="shared" si="391"/>
        <v>11</v>
      </c>
      <c r="C3045" s="64">
        <v>42685</v>
      </c>
      <c r="D3045" s="64" t="s">
        <v>579</v>
      </c>
      <c r="E3045" s="64">
        <f t="shared" si="396"/>
        <v>42685</v>
      </c>
      <c r="F3045" s="72" t="s">
        <v>2205</v>
      </c>
      <c r="G3045" s="972" t="s">
        <v>2208</v>
      </c>
      <c r="H3045" s="72" t="s">
        <v>1860</v>
      </c>
      <c r="I3045" s="437"/>
      <c r="J3045" s="437"/>
      <c r="K3045" s="428"/>
      <c r="L3045" s="437"/>
      <c r="M3045" s="65">
        <v>378499</v>
      </c>
      <c r="N3045" s="66" t="s">
        <v>9</v>
      </c>
      <c r="O3045" s="66" t="s">
        <v>8</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x</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s="349" customFormat="1" ht="15.75" customHeight="1">
      <c r="A3046" s="334" t="str">
        <f>IF(B3046&lt;&gt;"",IF(AND(B3046='IN-TC'!$S$4,OR(TH!N3046="1111",TH!O3046="1111")),TH!D3046,""),"")</f>
        <v/>
      </c>
      <c r="B3046" s="63">
        <f t="shared" ref="B3046:B3097" si="397">IF(C3046&lt;&gt;"",MONTH(C3046),"")</f>
        <v>11</v>
      </c>
      <c r="C3046" s="64">
        <v>42685</v>
      </c>
      <c r="D3046" s="64" t="s">
        <v>579</v>
      </c>
      <c r="E3046" s="64">
        <f t="shared" si="396"/>
        <v>42685</v>
      </c>
      <c r="F3046" s="72" t="s">
        <v>1500</v>
      </c>
      <c r="G3046" s="972" t="s">
        <v>2207</v>
      </c>
      <c r="H3046" s="72" t="s">
        <v>1860</v>
      </c>
      <c r="I3046" s="437"/>
      <c r="J3046" s="437"/>
      <c r="K3046" s="428"/>
      <c r="L3046" s="437"/>
      <c r="M3046" s="65">
        <v>7604100</v>
      </c>
      <c r="N3046" s="66" t="s">
        <v>588</v>
      </c>
      <c r="O3046" s="66" t="s">
        <v>8</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s="349" customFormat="1" ht="15.75" customHeight="1">
      <c r="A3047" s="334" t="str">
        <f>IF(B3047&lt;&gt;"",IF(AND(B3047='IN-TC'!$S$4,OR(TH!N3047="1111",TH!O3047="1111")),TH!D3047,""),"")</f>
        <v/>
      </c>
      <c r="B3047" s="63">
        <f t="shared" si="397"/>
        <v>11</v>
      </c>
      <c r="C3047" s="64">
        <v>42688</v>
      </c>
      <c r="D3047" s="64" t="s">
        <v>579</v>
      </c>
      <c r="E3047" s="64">
        <f t="shared" ref="E3047:E3097" si="398">C3047</f>
        <v>42688</v>
      </c>
      <c r="F3047" s="72" t="s">
        <v>2204</v>
      </c>
      <c r="G3047" s="972" t="s">
        <v>2206</v>
      </c>
      <c r="H3047" s="72" t="s">
        <v>1860</v>
      </c>
      <c r="I3047" s="437"/>
      <c r="J3047" s="437"/>
      <c r="K3047" s="428"/>
      <c r="L3047" s="437"/>
      <c r="M3047" s="65">
        <v>3786370</v>
      </c>
      <c r="N3047" s="66" t="s">
        <v>588</v>
      </c>
      <c r="O3047" s="66" t="s">
        <v>8</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s="349" customFormat="1" ht="15.75" customHeight="1">
      <c r="A3048" s="334" t="str">
        <f>IF(B3048&lt;&gt;"",IF(AND(B3048='IN-TC'!$S$4,OR(TH!N3048="1111",TH!O3048="1111")),TH!D3048,""),"")</f>
        <v/>
      </c>
      <c r="B3048" s="63">
        <f t="shared" si="397"/>
        <v>11</v>
      </c>
      <c r="C3048" s="64">
        <v>42688</v>
      </c>
      <c r="D3048" s="64" t="s">
        <v>579</v>
      </c>
      <c r="E3048" s="64">
        <f t="shared" si="398"/>
        <v>42688</v>
      </c>
      <c r="F3048" s="72" t="s">
        <v>2205</v>
      </c>
      <c r="G3048" s="972" t="s">
        <v>2206</v>
      </c>
      <c r="H3048" s="72" t="s">
        <v>1860</v>
      </c>
      <c r="I3048" s="437"/>
      <c r="J3048" s="437"/>
      <c r="K3048" s="428"/>
      <c r="L3048" s="437"/>
      <c r="M3048" s="65">
        <v>378637</v>
      </c>
      <c r="N3048" s="66" t="s">
        <v>9</v>
      </c>
      <c r="O3048" s="66" t="s">
        <v>8</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x</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s="349" customFormat="1" ht="15.75" customHeight="1">
      <c r="A3049" s="334" t="str">
        <f>IF(B3049&lt;&gt;"",IF(AND(B3049='IN-TC'!$S$4,OR(TH!N3049="1111",TH!O3049="1111")),TH!D3049,""),"")</f>
        <v/>
      </c>
      <c r="B3049" s="63">
        <f t="shared" si="397"/>
        <v>11</v>
      </c>
      <c r="C3049" s="64">
        <v>42682</v>
      </c>
      <c r="D3049" s="64" t="s">
        <v>579</v>
      </c>
      <c r="E3049" s="64">
        <f t="shared" si="398"/>
        <v>42682</v>
      </c>
      <c r="F3049" s="72" t="s">
        <v>1500</v>
      </c>
      <c r="G3049" s="972" t="s">
        <v>2215</v>
      </c>
      <c r="H3049" s="72" t="s">
        <v>1498</v>
      </c>
      <c r="I3049" s="437"/>
      <c r="J3049" s="437"/>
      <c r="K3049" s="428"/>
      <c r="L3049" s="437"/>
      <c r="M3049" s="65">
        <v>26167050</v>
      </c>
      <c r="N3049" s="66" t="s">
        <v>588</v>
      </c>
      <c r="O3049" s="66" t="s">
        <v>8</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s="349" customFormat="1" ht="15.75" customHeight="1">
      <c r="A3050" s="334" t="str">
        <f>IF(B3050&lt;&gt;"",IF(AND(B3050='IN-TC'!$S$4,OR(TH!N3050="1111",TH!O3050="1111")),TH!D3050,""),"")</f>
        <v/>
      </c>
      <c r="B3050" s="63">
        <f t="shared" si="397"/>
        <v>11</v>
      </c>
      <c r="C3050" s="64">
        <v>42682</v>
      </c>
      <c r="D3050" s="64" t="s">
        <v>579</v>
      </c>
      <c r="E3050" s="64">
        <f t="shared" si="398"/>
        <v>42682</v>
      </c>
      <c r="F3050" s="72" t="s">
        <v>2211</v>
      </c>
      <c r="G3050" s="972" t="s">
        <v>2216</v>
      </c>
      <c r="H3050" s="72" t="s">
        <v>1498</v>
      </c>
      <c r="I3050" s="437"/>
      <c r="J3050" s="437"/>
      <c r="K3050" s="428"/>
      <c r="L3050" s="437"/>
      <c r="M3050" s="65">
        <v>19882485</v>
      </c>
      <c r="N3050" s="66" t="s">
        <v>588</v>
      </c>
      <c r="O3050" s="66" t="s">
        <v>8</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s="349" customFormat="1" ht="15.75" customHeight="1">
      <c r="A3051" s="334" t="str">
        <f>IF(B3051&lt;&gt;"",IF(AND(B3051='IN-TC'!$S$4,OR(TH!N3051="1111",TH!O3051="1111")),TH!D3051,""),"")</f>
        <v/>
      </c>
      <c r="B3051" s="63">
        <f t="shared" si="397"/>
        <v>11</v>
      </c>
      <c r="C3051" s="64">
        <v>42682</v>
      </c>
      <c r="D3051" s="64" t="s">
        <v>579</v>
      </c>
      <c r="E3051" s="64">
        <f t="shared" si="398"/>
        <v>42682</v>
      </c>
      <c r="F3051" s="72" t="s">
        <v>2212</v>
      </c>
      <c r="G3051" s="972" t="s">
        <v>2216</v>
      </c>
      <c r="H3051" s="72" t="s">
        <v>1498</v>
      </c>
      <c r="I3051" s="437"/>
      <c r="J3051" s="437"/>
      <c r="K3051" s="428"/>
      <c r="L3051" s="437"/>
      <c r="M3051" s="65">
        <v>1988249</v>
      </c>
      <c r="N3051" s="66" t="s">
        <v>9</v>
      </c>
      <c r="O3051" s="66" t="s">
        <v>8</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x</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s="349" customFormat="1" ht="15.75" customHeight="1">
      <c r="A3052" s="334" t="str">
        <f>IF(B3052&lt;&gt;"",IF(AND(B3052='IN-TC'!$S$4,OR(TH!N3052="1111",TH!O3052="1111")),TH!D3052,""),"")</f>
        <v/>
      </c>
      <c r="B3052" s="63">
        <f t="shared" si="397"/>
        <v>11</v>
      </c>
      <c r="C3052" s="64">
        <v>42682</v>
      </c>
      <c r="D3052" s="64" t="s">
        <v>579</v>
      </c>
      <c r="E3052" s="64">
        <f t="shared" si="398"/>
        <v>42682</v>
      </c>
      <c r="F3052" s="72" t="s">
        <v>1500</v>
      </c>
      <c r="G3052" s="972" t="s">
        <v>2217</v>
      </c>
      <c r="H3052" s="72" t="s">
        <v>1498</v>
      </c>
      <c r="I3052" s="437"/>
      <c r="J3052" s="437"/>
      <c r="K3052" s="428"/>
      <c r="L3052" s="437"/>
      <c r="M3052" s="65">
        <v>52334100</v>
      </c>
      <c r="N3052" s="66" t="s">
        <v>588</v>
      </c>
      <c r="O3052" s="66" t="s">
        <v>8</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s="349" customFormat="1" ht="15.75" customHeight="1">
      <c r="A3053" s="334" t="str">
        <f>IF(B3053&lt;&gt;"",IF(AND(B3053='IN-TC'!$S$4,OR(TH!N3053="1111",TH!O3053="1111")),TH!D3053,""),"")</f>
        <v/>
      </c>
      <c r="B3053" s="63">
        <f t="shared" ref="B3053:B3074" si="399">IF(C3053&lt;&gt;"",MONTH(C3053),"")</f>
        <v>11</v>
      </c>
      <c r="C3053" s="64">
        <v>42682</v>
      </c>
      <c r="D3053" s="64" t="s">
        <v>579</v>
      </c>
      <c r="E3053" s="64">
        <f t="shared" ref="E3053:E3074" si="400">C3053</f>
        <v>42682</v>
      </c>
      <c r="F3053" s="72" t="s">
        <v>2213</v>
      </c>
      <c r="G3053" s="972" t="s">
        <v>2218</v>
      </c>
      <c r="H3053" s="72" t="s">
        <v>1498</v>
      </c>
      <c r="I3053" s="437"/>
      <c r="J3053" s="437"/>
      <c r="K3053" s="428"/>
      <c r="L3053" s="437"/>
      <c r="M3053" s="65">
        <v>38915100</v>
      </c>
      <c r="N3053" s="66" t="s">
        <v>588</v>
      </c>
      <c r="O3053" s="66" t="s">
        <v>8</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s="349" customFormat="1" ht="15.75" customHeight="1">
      <c r="A3054" s="334" t="str">
        <f>IF(B3054&lt;&gt;"",IF(AND(B3054='IN-TC'!$S$4,OR(TH!N3054="1111",TH!O3054="1111")),TH!D3054,""),"")</f>
        <v/>
      </c>
      <c r="B3054" s="63">
        <f t="shared" si="399"/>
        <v>11</v>
      </c>
      <c r="C3054" s="64">
        <v>42682</v>
      </c>
      <c r="D3054" s="64" t="s">
        <v>579</v>
      </c>
      <c r="E3054" s="64">
        <f t="shared" si="400"/>
        <v>42682</v>
      </c>
      <c r="F3054" s="72" t="s">
        <v>2214</v>
      </c>
      <c r="G3054" s="972" t="s">
        <v>2218</v>
      </c>
      <c r="H3054" s="72" t="s">
        <v>1498</v>
      </c>
      <c r="I3054" s="437"/>
      <c r="J3054" s="437"/>
      <c r="K3054" s="428"/>
      <c r="L3054" s="437"/>
      <c r="M3054" s="65">
        <v>3891510</v>
      </c>
      <c r="N3054" s="66" t="s">
        <v>9</v>
      </c>
      <c r="O3054" s="66" t="s">
        <v>8</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x</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s="349" customFormat="1" ht="15.75" customHeight="1">
      <c r="A3055" s="334" t="str">
        <f>IF(B3055&lt;&gt;"",IF(AND(B3055='IN-TC'!$S$4,OR(TH!N3055="1111",TH!O3055="1111")),TH!D3055,""),"")</f>
        <v/>
      </c>
      <c r="B3055" s="63">
        <f t="shared" ref="B3055" si="401">IF(C3055&lt;&gt;"",MONTH(C3055),"")</f>
        <v>11</v>
      </c>
      <c r="C3055" s="64">
        <v>42677</v>
      </c>
      <c r="D3055" s="64" t="s">
        <v>579</v>
      </c>
      <c r="E3055" s="64">
        <f t="shared" ref="E3055" si="402">C3055</f>
        <v>42677</v>
      </c>
      <c r="F3055" s="72" t="s">
        <v>2305</v>
      </c>
      <c r="G3055" s="972" t="s">
        <v>2306</v>
      </c>
      <c r="H3055" s="72" t="s">
        <v>1211</v>
      </c>
      <c r="I3055" s="437">
        <v>52000</v>
      </c>
      <c r="J3055" s="437">
        <v>10000</v>
      </c>
      <c r="K3055" s="428"/>
      <c r="L3055" s="437"/>
      <c r="M3055" s="65">
        <f t="shared" ref="M3055" si="403">ROUND(I3055*J3055,0)</f>
        <v>520000000</v>
      </c>
      <c r="N3055" s="66" t="s">
        <v>282</v>
      </c>
      <c r="O3055" s="66" t="s">
        <v>8</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s="349" customFormat="1" ht="15.75" customHeight="1">
      <c r="A3056" s="334" t="str">
        <f>IF(B3056&lt;&gt;"",IF(AND(B3056='IN-TC'!$S$4,OR(TH!N3056="1111",TH!O3056="1111")),TH!D3056,""),"")</f>
        <v/>
      </c>
      <c r="B3056" s="63">
        <f t="shared" ref="B3056:B3057" si="404">IF(C3056&lt;&gt;"",MONTH(C3056),"")</f>
        <v>11</v>
      </c>
      <c r="C3056" s="64">
        <v>42677</v>
      </c>
      <c r="D3056" s="64" t="s">
        <v>579</v>
      </c>
      <c r="E3056" s="64">
        <f t="shared" ref="E3056:E3057" si="405">C3056</f>
        <v>42677</v>
      </c>
      <c r="F3056" s="72" t="s">
        <v>2309</v>
      </c>
      <c r="G3056" s="972" t="s">
        <v>2306</v>
      </c>
      <c r="H3056" s="72" t="s">
        <v>1211</v>
      </c>
      <c r="I3056" s="437"/>
      <c r="J3056" s="437"/>
      <c r="K3056" s="428"/>
      <c r="L3056" s="437"/>
      <c r="M3056" s="65">
        <v>52000000</v>
      </c>
      <c r="N3056" s="66" t="s">
        <v>9</v>
      </c>
      <c r="O3056" s="66" t="s">
        <v>8</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x</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s="349" customFormat="1" ht="15.75" customHeight="1">
      <c r="A3057" s="334" t="str">
        <f>IF(B3057&lt;&gt;"",IF(AND(B3057='IN-TC'!$S$4,OR(TH!N3057="1111",TH!O3057="1111")),TH!D3057,""),"")</f>
        <v/>
      </c>
      <c r="B3057" s="63">
        <f t="shared" si="404"/>
        <v>11</v>
      </c>
      <c r="C3057" s="64">
        <v>42681</v>
      </c>
      <c r="D3057" s="64" t="s">
        <v>579</v>
      </c>
      <c r="E3057" s="64">
        <f t="shared" si="405"/>
        <v>42681</v>
      </c>
      <c r="F3057" s="72" t="s">
        <v>2305</v>
      </c>
      <c r="G3057" s="972" t="s">
        <v>2307</v>
      </c>
      <c r="H3057" s="72" t="s">
        <v>1211</v>
      </c>
      <c r="I3057" s="437">
        <v>26000</v>
      </c>
      <c r="J3057" s="437">
        <v>10000</v>
      </c>
      <c r="K3057" s="428"/>
      <c r="L3057" s="437"/>
      <c r="M3057" s="65">
        <f t="shared" ref="M3057" si="406">ROUND(I3057*J3057,0)</f>
        <v>260000000</v>
      </c>
      <c r="N3057" s="66" t="s">
        <v>282</v>
      </c>
      <c r="O3057" s="66" t="s">
        <v>8</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s="349" customFormat="1" ht="15.75" customHeight="1">
      <c r="A3058" s="334" t="str">
        <f>IF(B3058&lt;&gt;"",IF(AND(B3058='IN-TC'!$S$4,OR(TH!N3058="1111",TH!O3058="1111")),TH!D3058,""),"")</f>
        <v/>
      </c>
      <c r="B3058" s="63">
        <f t="shared" ref="B3058:B3059" si="407">IF(C3058&lt;&gt;"",MONTH(C3058),"")</f>
        <v>11</v>
      </c>
      <c r="C3058" s="64">
        <v>42681</v>
      </c>
      <c r="D3058" s="64" t="s">
        <v>579</v>
      </c>
      <c r="E3058" s="64">
        <f t="shared" ref="E3058:E3059" si="408">C3058</f>
        <v>42681</v>
      </c>
      <c r="F3058" s="72" t="s">
        <v>2309</v>
      </c>
      <c r="G3058" s="972" t="s">
        <v>2307</v>
      </c>
      <c r="H3058" s="72" t="s">
        <v>1211</v>
      </c>
      <c r="I3058" s="437"/>
      <c r="J3058" s="437"/>
      <c r="K3058" s="428"/>
      <c r="L3058" s="437"/>
      <c r="M3058" s="65">
        <v>26000000</v>
      </c>
      <c r="N3058" s="66" t="s">
        <v>9</v>
      </c>
      <c r="O3058" s="66" t="s">
        <v>8</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x</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s="349" customFormat="1" ht="15.75" customHeight="1">
      <c r="A3059" s="334" t="str">
        <f>IF(B3059&lt;&gt;"",IF(AND(B3059='IN-TC'!$S$4,OR(TH!N3059="1111",TH!O3059="1111")),TH!D3059,""),"")</f>
        <v/>
      </c>
      <c r="B3059" s="63">
        <f t="shared" si="407"/>
        <v>11</v>
      </c>
      <c r="C3059" s="64">
        <v>42689</v>
      </c>
      <c r="D3059" s="64" t="s">
        <v>579</v>
      </c>
      <c r="E3059" s="64">
        <f t="shared" si="408"/>
        <v>42689</v>
      </c>
      <c r="F3059" s="72" t="s">
        <v>2305</v>
      </c>
      <c r="G3059" s="972" t="s">
        <v>2310</v>
      </c>
      <c r="H3059" s="72" t="s">
        <v>1211</v>
      </c>
      <c r="I3059" s="437">
        <v>26000</v>
      </c>
      <c r="J3059" s="437">
        <v>10000</v>
      </c>
      <c r="K3059" s="428"/>
      <c r="L3059" s="437"/>
      <c r="M3059" s="65">
        <f t="shared" ref="M3059" si="409">ROUND(I3059*J3059,0)</f>
        <v>260000000</v>
      </c>
      <c r="N3059" s="66" t="s">
        <v>282</v>
      </c>
      <c r="O3059" s="66" t="s">
        <v>8</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s="349" customFormat="1" ht="15.75" customHeight="1">
      <c r="A3060" s="334" t="str">
        <f>IF(B3060&lt;&gt;"",IF(AND(B3060='IN-TC'!$S$4,OR(TH!N3060="1111",TH!O3060="1111")),TH!D3060,""),"")</f>
        <v/>
      </c>
      <c r="B3060" s="63">
        <f t="shared" ref="B3060" si="410">IF(C3060&lt;&gt;"",MONTH(C3060),"")</f>
        <v>11</v>
      </c>
      <c r="C3060" s="64">
        <v>42689</v>
      </c>
      <c r="D3060" s="64" t="s">
        <v>579</v>
      </c>
      <c r="E3060" s="64">
        <f t="shared" ref="E3060" si="411">C3060</f>
        <v>42689</v>
      </c>
      <c r="F3060" s="72" t="s">
        <v>2309</v>
      </c>
      <c r="G3060" s="972" t="s">
        <v>2310</v>
      </c>
      <c r="H3060" s="72" t="s">
        <v>1211</v>
      </c>
      <c r="I3060" s="437"/>
      <c r="J3060" s="437"/>
      <c r="K3060" s="428"/>
      <c r="L3060" s="437"/>
      <c r="M3060" s="65">
        <v>26000000</v>
      </c>
      <c r="N3060" s="66" t="s">
        <v>9</v>
      </c>
      <c r="O3060" s="66" t="s">
        <v>8</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x</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s="349" customFormat="1" ht="15.75" customHeight="1">
      <c r="A3061" s="334" t="str">
        <f>IF(B3061&lt;&gt;"",IF(AND(B3061='IN-TC'!$S$4,OR(TH!N3061="1111",TH!O3061="1111")),TH!D3061,""),"")</f>
        <v/>
      </c>
      <c r="B3061" s="63">
        <f t="shared" si="399"/>
        <v>11</v>
      </c>
      <c r="C3061" s="64">
        <v>42695</v>
      </c>
      <c r="D3061" s="64" t="s">
        <v>579</v>
      </c>
      <c r="E3061" s="64">
        <f t="shared" si="400"/>
        <v>42695</v>
      </c>
      <c r="F3061" s="72" t="s">
        <v>636</v>
      </c>
      <c r="G3061" s="972" t="s">
        <v>2379</v>
      </c>
      <c r="H3061" s="72" t="s">
        <v>627</v>
      </c>
      <c r="I3061" s="437"/>
      <c r="J3061" s="437"/>
      <c r="K3061" s="428"/>
      <c r="L3061" s="437"/>
      <c r="M3061" s="65">
        <v>2000000</v>
      </c>
      <c r="N3061" s="66" t="s">
        <v>588</v>
      </c>
      <c r="O3061" s="66" t="s">
        <v>8</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s="349" customFormat="1" ht="15.75" customHeight="1">
      <c r="A3062" s="334" t="str">
        <f>IF(B3062&lt;&gt;"",IF(AND(B3062='IN-TC'!$S$4,OR(TH!N3062="1111",TH!O3062="1111")),TH!D3062,""),"")</f>
        <v/>
      </c>
      <c r="B3062" s="63">
        <f t="shared" si="399"/>
        <v>11</v>
      </c>
      <c r="C3062" s="64">
        <v>42695</v>
      </c>
      <c r="D3062" s="64" t="s">
        <v>579</v>
      </c>
      <c r="E3062" s="64">
        <f t="shared" si="400"/>
        <v>42695</v>
      </c>
      <c r="F3062" s="72" t="s">
        <v>637</v>
      </c>
      <c r="G3062" s="972" t="s">
        <v>2379</v>
      </c>
      <c r="H3062" s="72" t="s">
        <v>627</v>
      </c>
      <c r="I3062" s="437"/>
      <c r="J3062" s="437"/>
      <c r="K3062" s="428"/>
      <c r="L3062" s="437"/>
      <c r="M3062" s="65">
        <v>200000</v>
      </c>
      <c r="N3062" s="66" t="s">
        <v>9</v>
      </c>
      <c r="O3062" s="66" t="s">
        <v>8</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x</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s="349" customFormat="1" ht="15.75" customHeight="1">
      <c r="A3063" s="334" t="str">
        <f>IF(B3063&lt;&gt;"",IF(AND(B3063='IN-TC'!$S$4,OR(TH!N3063="1111",TH!O3063="1111")),TH!D3063,""),"")</f>
        <v/>
      </c>
      <c r="B3063" s="63" t="str">
        <f t="shared" si="399"/>
        <v/>
      </c>
      <c r="C3063" s="64"/>
      <c r="D3063" s="64"/>
      <c r="E3063" s="64">
        <f t="shared" si="400"/>
        <v>0</v>
      </c>
      <c r="F3063" s="72"/>
      <c r="G3063" s="67"/>
      <c r="H3063" s="72"/>
      <c r="I3063" s="437"/>
      <c r="J3063" s="437"/>
      <c r="K3063" s="428"/>
      <c r="L3063" s="437"/>
      <c r="M3063" s="65"/>
      <c r="N3063" s="66"/>
      <c r="O3063" s="66"/>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s="349" customFormat="1" ht="15.75" customHeight="1">
      <c r="A3064" s="334" t="str">
        <f>IF(B3064&lt;&gt;"",IF(AND(B3064='IN-TC'!$S$4,OR(TH!N3064="1111",TH!O3064="1111")),TH!D3064,""),"")</f>
        <v/>
      </c>
      <c r="B3064" s="63" t="str">
        <f t="shared" si="399"/>
        <v/>
      </c>
      <c r="C3064" s="64"/>
      <c r="D3064" s="64"/>
      <c r="E3064" s="64">
        <f t="shared" si="400"/>
        <v>0</v>
      </c>
      <c r="F3064" s="72"/>
      <c r="G3064" s="67"/>
      <c r="H3064" s="72"/>
      <c r="I3064" s="437"/>
      <c r="J3064" s="437"/>
      <c r="K3064" s="428"/>
      <c r="L3064" s="437"/>
      <c r="M3064" s="65"/>
      <c r="N3064" s="66"/>
      <c r="O3064" s="66"/>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s="349" customFormat="1" ht="15.75" customHeight="1">
      <c r="A3065" s="334" t="str">
        <f>IF(B3065&lt;&gt;"",IF(AND(B3065='IN-TC'!$S$4,OR(TH!N3065="1111",TH!O3065="1111")),TH!D3065,""),"")</f>
        <v/>
      </c>
      <c r="B3065" s="63" t="str">
        <f t="shared" si="399"/>
        <v/>
      </c>
      <c r="C3065" s="64"/>
      <c r="D3065" s="64"/>
      <c r="E3065" s="64">
        <f t="shared" si="400"/>
        <v>0</v>
      </c>
      <c r="F3065" s="72"/>
      <c r="G3065" s="67"/>
      <c r="H3065" s="72"/>
      <c r="I3065" s="437"/>
      <c r="J3065" s="437"/>
      <c r="K3065" s="428"/>
      <c r="L3065" s="437"/>
      <c r="M3065" s="65"/>
      <c r="N3065" s="66"/>
      <c r="O3065" s="66"/>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s="349" customFormat="1" ht="15.75" customHeight="1">
      <c r="A3066" s="334" t="str">
        <f>IF(B3066&lt;&gt;"",IF(AND(B3066='IN-TC'!$S$4,OR(TH!N3066="1111",TH!O3066="1111")),TH!D3066,""),"")</f>
        <v/>
      </c>
      <c r="B3066" s="63" t="str">
        <f t="shared" si="399"/>
        <v/>
      </c>
      <c r="C3066" s="64"/>
      <c r="D3066" s="64"/>
      <c r="E3066" s="64">
        <f t="shared" si="400"/>
        <v>0</v>
      </c>
      <c r="F3066" s="72"/>
      <c r="G3066" s="67"/>
      <c r="H3066" s="72"/>
      <c r="I3066" s="437"/>
      <c r="J3066" s="437"/>
      <c r="K3066" s="428"/>
      <c r="L3066" s="437"/>
      <c r="M3066" s="65"/>
      <c r="N3066" s="66"/>
      <c r="O3066" s="66"/>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s="349" customFormat="1" ht="15.75" customHeight="1">
      <c r="A3067" s="334" t="str">
        <f>IF(B3067&lt;&gt;"",IF(AND(B3067='IN-TC'!$S$4,OR(TH!N3067="1111",TH!O3067="1111")),TH!D3067,""),"")</f>
        <v/>
      </c>
      <c r="B3067" s="63" t="str">
        <f t="shared" si="399"/>
        <v/>
      </c>
      <c r="C3067" s="64"/>
      <c r="D3067" s="64"/>
      <c r="E3067" s="64">
        <f t="shared" si="400"/>
        <v>0</v>
      </c>
      <c r="F3067" s="72"/>
      <c r="G3067" s="67"/>
      <c r="H3067" s="72"/>
      <c r="I3067" s="437"/>
      <c r="J3067" s="437"/>
      <c r="K3067" s="428"/>
      <c r="L3067" s="437"/>
      <c r="M3067" s="65"/>
      <c r="N3067" s="66"/>
      <c r="O3067" s="66"/>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s="349" customFormat="1" ht="15.75" customHeight="1">
      <c r="A3068" s="334" t="str">
        <f>IF(B3068&lt;&gt;"",IF(AND(B3068='IN-TC'!$S$4,OR(TH!N3068="1111",TH!O3068="1111")),TH!D3068,""),"")</f>
        <v/>
      </c>
      <c r="B3068" s="63" t="str">
        <f t="shared" si="399"/>
        <v/>
      </c>
      <c r="C3068" s="64"/>
      <c r="D3068" s="64"/>
      <c r="E3068" s="64">
        <f t="shared" si="400"/>
        <v>0</v>
      </c>
      <c r="F3068" s="72"/>
      <c r="G3068" s="67"/>
      <c r="H3068" s="72"/>
      <c r="I3068" s="437"/>
      <c r="J3068" s="437"/>
      <c r="K3068" s="428"/>
      <c r="L3068" s="437"/>
      <c r="M3068" s="65"/>
      <c r="N3068" s="66"/>
      <c r="O3068" s="66"/>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s="349" customFormat="1" ht="15.75" customHeight="1">
      <c r="A3069" s="334" t="str">
        <f>IF(B3069&lt;&gt;"",IF(AND(B3069='IN-TC'!$S$4,OR(TH!N3069="1111",TH!O3069="1111")),TH!D3069,""),"")</f>
        <v/>
      </c>
      <c r="B3069" s="63" t="str">
        <f t="shared" si="399"/>
        <v/>
      </c>
      <c r="C3069" s="64"/>
      <c r="D3069" s="64"/>
      <c r="E3069" s="64">
        <f t="shared" si="400"/>
        <v>0</v>
      </c>
      <c r="F3069" s="72"/>
      <c r="G3069" s="67"/>
      <c r="H3069" s="72"/>
      <c r="I3069" s="437"/>
      <c r="J3069" s="437"/>
      <c r="K3069" s="428"/>
      <c r="L3069" s="437"/>
      <c r="M3069" s="65"/>
      <c r="N3069" s="66"/>
      <c r="O3069" s="66"/>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s="349" customFormat="1" ht="15.75" customHeight="1">
      <c r="A3070" s="334" t="str">
        <f>IF(B3070&lt;&gt;"",IF(AND(B3070='IN-TC'!$S$4,OR(TH!N3070="1111",TH!O3070="1111")),TH!D3070,""),"")</f>
        <v/>
      </c>
      <c r="B3070" s="63" t="str">
        <f t="shared" si="399"/>
        <v/>
      </c>
      <c r="C3070" s="64"/>
      <c r="D3070" s="64"/>
      <c r="E3070" s="64">
        <f t="shared" si="400"/>
        <v>0</v>
      </c>
      <c r="F3070" s="72"/>
      <c r="G3070" s="67"/>
      <c r="H3070" s="72"/>
      <c r="I3070" s="437"/>
      <c r="J3070" s="437"/>
      <c r="K3070" s="428"/>
      <c r="L3070" s="437"/>
      <c r="M3070" s="65"/>
      <c r="N3070" s="66"/>
      <c r="O3070" s="66"/>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s="349" customFormat="1" ht="15.75" customHeight="1">
      <c r="A3071" s="334" t="str">
        <f>IF(B3071&lt;&gt;"",IF(AND(B3071='IN-TC'!$S$4,OR(TH!N3071="1111",TH!O3071="1111")),TH!D3071,""),"")</f>
        <v/>
      </c>
      <c r="B3071" s="63" t="str">
        <f t="shared" si="399"/>
        <v/>
      </c>
      <c r="C3071" s="64"/>
      <c r="D3071" s="64"/>
      <c r="E3071" s="64">
        <f t="shared" si="400"/>
        <v>0</v>
      </c>
      <c r="F3071" s="72"/>
      <c r="G3071" s="67"/>
      <c r="H3071" s="72"/>
      <c r="I3071" s="437"/>
      <c r="J3071" s="437"/>
      <c r="K3071" s="428"/>
      <c r="L3071" s="437"/>
      <c r="M3071" s="65"/>
      <c r="N3071" s="66"/>
      <c r="O3071" s="66"/>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s="349" customFormat="1" ht="15.75" customHeight="1">
      <c r="A3072" s="334" t="str">
        <f>IF(B3072&lt;&gt;"",IF(AND(B3072='IN-TC'!$S$4,OR(TH!N3072="1111",TH!O3072="1111")),TH!D3072,""),"")</f>
        <v/>
      </c>
      <c r="B3072" s="63" t="str">
        <f t="shared" si="399"/>
        <v/>
      </c>
      <c r="C3072" s="64"/>
      <c r="D3072" s="64"/>
      <c r="E3072" s="64">
        <f t="shared" si="400"/>
        <v>0</v>
      </c>
      <c r="F3072" s="72"/>
      <c r="G3072" s="67"/>
      <c r="H3072" s="72"/>
      <c r="I3072" s="437"/>
      <c r="J3072" s="437"/>
      <c r="K3072" s="428"/>
      <c r="L3072" s="437"/>
      <c r="M3072" s="65"/>
      <c r="N3072" s="66"/>
      <c r="O3072" s="66"/>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s="349" customFormat="1" ht="15.75" customHeight="1">
      <c r="A3073" s="334" t="str">
        <f>IF(B3073&lt;&gt;"",IF(AND(B3073='IN-TC'!$S$4,OR(TH!N3073="1111",TH!O3073="1111")),TH!D3073,""),"")</f>
        <v/>
      </c>
      <c r="B3073" s="63" t="str">
        <f t="shared" si="399"/>
        <v/>
      </c>
      <c r="C3073" s="64"/>
      <c r="D3073" s="64"/>
      <c r="E3073" s="64">
        <f t="shared" si="400"/>
        <v>0</v>
      </c>
      <c r="F3073" s="72"/>
      <c r="G3073" s="67"/>
      <c r="H3073" s="72"/>
      <c r="I3073" s="437"/>
      <c r="J3073" s="437"/>
      <c r="K3073" s="428"/>
      <c r="L3073" s="437"/>
      <c r="M3073" s="65"/>
      <c r="N3073" s="66"/>
      <c r="O3073" s="66"/>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s="349" customFormat="1" ht="15.75" customHeight="1">
      <c r="A3074" s="334" t="str">
        <f>IF(B3074&lt;&gt;"",IF(AND(B3074='IN-TC'!$S$4,OR(TH!N3074="1111",TH!O3074="1111")),TH!D3074,""),"")</f>
        <v/>
      </c>
      <c r="B3074" s="63" t="str">
        <f t="shared" si="399"/>
        <v/>
      </c>
      <c r="C3074" s="64"/>
      <c r="D3074" s="64"/>
      <c r="E3074" s="64">
        <f t="shared" si="400"/>
        <v>0</v>
      </c>
      <c r="F3074" s="72"/>
      <c r="G3074" s="67"/>
      <c r="H3074" s="72"/>
      <c r="I3074" s="437"/>
      <c r="J3074" s="437"/>
      <c r="K3074" s="428"/>
      <c r="L3074" s="437"/>
      <c r="M3074" s="65"/>
      <c r="N3074" s="66"/>
      <c r="O3074" s="66"/>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s="349" customFormat="1" ht="15.75" customHeight="1">
      <c r="A3075" s="334" t="str">
        <f>IF(B3075&lt;&gt;"",IF(AND(B3075='IN-TC'!$S$4,OR(TH!N3075="1111",TH!O3075="1111")),TH!D3075,""),"")</f>
        <v/>
      </c>
      <c r="B3075" s="63">
        <f t="shared" si="397"/>
        <v>11</v>
      </c>
      <c r="C3075" s="64">
        <v>42685</v>
      </c>
      <c r="D3075" s="64" t="s">
        <v>674</v>
      </c>
      <c r="E3075" s="64">
        <f t="shared" si="398"/>
        <v>42685</v>
      </c>
      <c r="F3075" s="72" t="s">
        <v>359</v>
      </c>
      <c r="G3075" s="972" t="s">
        <v>2210</v>
      </c>
      <c r="H3075" s="318" t="s">
        <v>616</v>
      </c>
      <c r="I3075" s="437">
        <v>600</v>
      </c>
      <c r="J3075" s="437">
        <v>8000</v>
      </c>
      <c r="K3075" s="428"/>
      <c r="L3075" s="437"/>
      <c r="M3075" s="65">
        <f>ROUND(I3075*J3075,0)</f>
        <v>4800000</v>
      </c>
      <c r="N3075" s="66" t="s">
        <v>276</v>
      </c>
      <c r="O3075" s="66" t="s">
        <v>8</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s="349" customFormat="1" ht="15.75" customHeight="1">
      <c r="A3076" s="334" t="str">
        <f>IF(B3076&lt;&gt;"",IF(AND(B3076='IN-TC'!$S$4,OR(TH!N3076="1111",TH!O3076="1111")),TH!D3076,""),"")</f>
        <v/>
      </c>
      <c r="B3076" s="63">
        <f t="shared" ref="B3076" si="412">IF(C3076&lt;&gt;"",MONTH(C3076),"")</f>
        <v>11</v>
      </c>
      <c r="C3076" s="64">
        <v>42685</v>
      </c>
      <c r="D3076" s="64" t="s">
        <v>674</v>
      </c>
      <c r="E3076" s="64">
        <f t="shared" ref="E3076" si="413">C3076</f>
        <v>42685</v>
      </c>
      <c r="F3076" s="72" t="s">
        <v>1174</v>
      </c>
      <c r="G3076" s="972" t="s">
        <v>2210</v>
      </c>
      <c r="H3076" s="318" t="s">
        <v>616</v>
      </c>
      <c r="I3076" s="437"/>
      <c r="J3076" s="437"/>
      <c r="K3076" s="428"/>
      <c r="L3076" s="437"/>
      <c r="M3076" s="65">
        <v>480000</v>
      </c>
      <c r="N3076" s="66" t="s">
        <v>9</v>
      </c>
      <c r="O3076" s="66" t="s">
        <v>8</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x</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s="349" customFormat="1" ht="15.75" customHeight="1">
      <c r="A3077" s="334" t="str">
        <f>IF(B3077&lt;&gt;"",IF(AND(B3077='IN-TC'!$S$4,OR(TH!N3077="1111",TH!O3077="1111")),TH!D3077,""),"")</f>
        <v/>
      </c>
      <c r="B3077" s="63">
        <f t="shared" si="397"/>
        <v>11</v>
      </c>
      <c r="C3077" s="64">
        <v>42685</v>
      </c>
      <c r="D3077" s="64" t="s">
        <v>2240</v>
      </c>
      <c r="E3077" s="64">
        <f t="shared" ref="E3077:E3078" si="414">C3077</f>
        <v>42685</v>
      </c>
      <c r="F3077" s="72" t="s">
        <v>2221</v>
      </c>
      <c r="G3077" s="972" t="s">
        <v>2210</v>
      </c>
      <c r="H3077" s="318" t="s">
        <v>616</v>
      </c>
      <c r="I3077" s="437"/>
      <c r="J3077" s="437"/>
      <c r="K3077" s="428"/>
      <c r="L3077" s="437"/>
      <c r="M3077" s="65">
        <v>5280000</v>
      </c>
      <c r="N3077" s="66" t="s">
        <v>8</v>
      </c>
      <c r="O3077" s="66" t="s">
        <v>63</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s="349" customFormat="1" ht="15.75" customHeight="1">
      <c r="A3078" s="334" t="str">
        <f>IF(B3078&lt;&gt;"",IF(AND(B3078='IN-TC'!$S$4,OR(TH!N3078="1111",TH!O3078="1111")),TH!D3078,""),"")</f>
        <v/>
      </c>
      <c r="B3078" s="63">
        <f t="shared" ref="B3078" si="415">IF(C3078&lt;&gt;"",MONTH(C3078),"")</f>
        <v>11</v>
      </c>
      <c r="C3078" s="64">
        <v>42685</v>
      </c>
      <c r="D3078" s="64" t="s">
        <v>675</v>
      </c>
      <c r="E3078" s="64">
        <f t="shared" si="414"/>
        <v>42685</v>
      </c>
      <c r="F3078" s="318" t="s">
        <v>1829</v>
      </c>
      <c r="G3078" s="972" t="s">
        <v>2247</v>
      </c>
      <c r="H3078" s="318" t="s">
        <v>620</v>
      </c>
      <c r="I3078" s="437">
        <v>2587</v>
      </c>
      <c r="J3078" s="437">
        <v>10300</v>
      </c>
      <c r="K3078" s="428"/>
      <c r="L3078" s="437"/>
      <c r="M3078" s="65">
        <f>ROUND(I3078*J3078,0)</f>
        <v>26646100</v>
      </c>
      <c r="N3078" s="66" t="s">
        <v>276</v>
      </c>
      <c r="O3078" s="66" t="s">
        <v>8</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s="349" customFormat="1" ht="15.75" customHeight="1">
      <c r="A3079" s="334" t="str">
        <f>IF(B3079&lt;&gt;"",IF(AND(B3079='IN-TC'!$S$4,OR(TH!N3079="1111",TH!O3079="1111")),TH!D3079,""),"")</f>
        <v/>
      </c>
      <c r="B3079" s="63">
        <f t="shared" ref="B3079:B3081" si="416">IF(C3079&lt;&gt;"",MONTH(C3079),"")</f>
        <v>11</v>
      </c>
      <c r="C3079" s="64">
        <v>42685</v>
      </c>
      <c r="D3079" s="64" t="s">
        <v>675</v>
      </c>
      <c r="E3079" s="64">
        <f t="shared" ref="E3079:E3081" si="417">C3079</f>
        <v>42685</v>
      </c>
      <c r="F3079" s="512" t="s">
        <v>401</v>
      </c>
      <c r="G3079" s="972" t="s">
        <v>2247</v>
      </c>
      <c r="H3079" s="318" t="s">
        <v>620</v>
      </c>
      <c r="I3079" s="437">
        <v>1076</v>
      </c>
      <c r="J3079" s="437">
        <v>13500</v>
      </c>
      <c r="K3079" s="428"/>
      <c r="L3079" s="437"/>
      <c r="M3079" s="65">
        <f t="shared" ref="M3079:M3082" si="418">ROUND(I3079*J3079,0)</f>
        <v>14526000</v>
      </c>
      <c r="N3079" s="66" t="s">
        <v>276</v>
      </c>
      <c r="O3079" s="66" t="s">
        <v>8</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s="349" customFormat="1" ht="15.75" customHeight="1">
      <c r="A3080" s="334" t="str">
        <f>IF(B3080&lt;&gt;"",IF(AND(B3080='IN-TC'!$S$4,OR(TH!N3080="1111",TH!O3080="1111")),TH!D3080,""),"")</f>
        <v/>
      </c>
      <c r="B3080" s="63">
        <f t="shared" si="416"/>
        <v>11</v>
      </c>
      <c r="C3080" s="64">
        <v>42685</v>
      </c>
      <c r="D3080" s="64" t="s">
        <v>675</v>
      </c>
      <c r="E3080" s="64">
        <f t="shared" si="417"/>
        <v>42685</v>
      </c>
      <c r="F3080" s="512" t="s">
        <v>401</v>
      </c>
      <c r="G3080" s="972" t="s">
        <v>2247</v>
      </c>
      <c r="H3080" s="318" t="s">
        <v>620</v>
      </c>
      <c r="I3080" s="437">
        <v>678</v>
      </c>
      <c r="J3080" s="437">
        <v>18200</v>
      </c>
      <c r="K3080" s="428"/>
      <c r="L3080" s="437"/>
      <c r="M3080" s="65">
        <f t="shared" si="418"/>
        <v>12339600</v>
      </c>
      <c r="N3080" s="66" t="s">
        <v>276</v>
      </c>
      <c r="O3080" s="66" t="s">
        <v>8</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s="349" customFormat="1" ht="15.75" customHeight="1">
      <c r="A3081" s="334" t="str">
        <f>IF(B3081&lt;&gt;"",IF(AND(B3081='IN-TC'!$S$4,OR(TH!N3081="1111",TH!O3081="1111")),TH!D3081,""),"")</f>
        <v/>
      </c>
      <c r="B3081" s="63">
        <f t="shared" si="416"/>
        <v>11</v>
      </c>
      <c r="C3081" s="64">
        <v>42685</v>
      </c>
      <c r="D3081" s="64" t="s">
        <v>675</v>
      </c>
      <c r="E3081" s="64">
        <f t="shared" si="417"/>
        <v>42685</v>
      </c>
      <c r="F3081" s="72" t="s">
        <v>649</v>
      </c>
      <c r="G3081" s="972" t="s">
        <v>2247</v>
      </c>
      <c r="H3081" s="318" t="s">
        <v>620</v>
      </c>
      <c r="I3081" s="437"/>
      <c r="J3081" s="437"/>
      <c r="K3081" s="428"/>
      <c r="L3081" s="437"/>
      <c r="M3081" s="65">
        <v>5351170</v>
      </c>
      <c r="N3081" s="66" t="s">
        <v>9</v>
      </c>
      <c r="O3081" s="66" t="s">
        <v>8</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x</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s="349" customFormat="1" ht="15.75" customHeight="1">
      <c r="A3082" s="334" t="str">
        <f>IF(B3082&lt;&gt;"",IF(AND(B3082='IN-TC'!$S$4,OR(TH!N3082="1111",TH!O3082="1111")),TH!D3082,""),"")</f>
        <v/>
      </c>
      <c r="B3082" s="63">
        <f t="shared" ref="B3082:B3083" si="419">IF(C3082&lt;&gt;"",MONTH(C3082),"")</f>
        <v>11</v>
      </c>
      <c r="C3082" s="64">
        <v>42693</v>
      </c>
      <c r="D3082" s="64" t="s">
        <v>676</v>
      </c>
      <c r="E3082" s="64">
        <f t="shared" ref="E3082:E3083" si="420">C3082</f>
        <v>42693</v>
      </c>
      <c r="F3082" s="72" t="s">
        <v>650</v>
      </c>
      <c r="G3082" s="972" t="s">
        <v>2368</v>
      </c>
      <c r="H3082" s="318" t="s">
        <v>1416</v>
      </c>
      <c r="I3082" s="437">
        <v>2500</v>
      </c>
      <c r="J3082" s="437">
        <v>14000</v>
      </c>
      <c r="K3082" s="428"/>
      <c r="L3082" s="437"/>
      <c r="M3082" s="65">
        <f t="shared" si="418"/>
        <v>35000000</v>
      </c>
      <c r="N3082" s="66" t="s">
        <v>276</v>
      </c>
      <c r="O3082" s="66" t="s">
        <v>8</v>
      </c>
      <c r="P3082" s="82" t="str">
        <f>IF(AND('331-CT'!$E$7=TH!H3082,OR(N3082="331",O3082="331")),"x","")</f>
        <v>x</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x</v>
      </c>
      <c r="AC3082" s="82" t="str">
        <f>IF(AND(OR(LEFT(TH!N3082,2)="15",LEFT(TH!O3082,2)="15"),TK!$E$7=TH!F3082),"x","")</f>
        <v/>
      </c>
      <c r="AD3082" s="82" t="str">
        <f>IF(AND(N3082="1521",MONTH(C3082)='BK-NL'!$M$11),"x","")</f>
        <v/>
      </c>
    </row>
    <row r="3083" spans="1:30" s="349" customFormat="1" ht="15.75" customHeight="1">
      <c r="A3083" s="334" t="str">
        <f>IF(B3083&lt;&gt;"",IF(AND(B3083='IN-TC'!$S$4,OR(TH!N3083="1111",TH!O3083="1111")),TH!D3083,""),"")</f>
        <v/>
      </c>
      <c r="B3083" s="63">
        <f t="shared" si="419"/>
        <v>11</v>
      </c>
      <c r="C3083" s="64">
        <v>42693</v>
      </c>
      <c r="D3083" s="64" t="s">
        <v>676</v>
      </c>
      <c r="E3083" s="64">
        <f t="shared" si="420"/>
        <v>42693</v>
      </c>
      <c r="F3083" s="72" t="s">
        <v>651</v>
      </c>
      <c r="G3083" s="972" t="s">
        <v>2368</v>
      </c>
      <c r="H3083" s="318" t="s">
        <v>1416</v>
      </c>
      <c r="I3083" s="437"/>
      <c r="J3083" s="437"/>
      <c r="K3083" s="428"/>
      <c r="L3083" s="437"/>
      <c r="M3083" s="65">
        <v>3500000</v>
      </c>
      <c r="N3083" s="66" t="s">
        <v>9</v>
      </c>
      <c r="O3083" s="66" t="s">
        <v>8</v>
      </c>
      <c r="P3083" s="82" t="str">
        <f>IF(AND('331-CT'!$E$7=TH!H3083,OR(N3083="331",O3083="331")),"x","")</f>
        <v>x</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x</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s="349" customFormat="1" ht="15.75" customHeight="1">
      <c r="A3084" s="334" t="str">
        <f>IF(B3084&lt;&gt;"",IF(AND(B3084='IN-TC'!$S$4,OR(TH!N3084="1111",TH!O3084="1111")),TH!D3084,""),"")</f>
        <v/>
      </c>
      <c r="B3084" s="63" t="str">
        <f t="shared" si="397"/>
        <v/>
      </c>
      <c r="C3084" s="64"/>
      <c r="D3084" s="64"/>
      <c r="E3084" s="64">
        <f t="shared" si="398"/>
        <v>0</v>
      </c>
      <c r="F3084" s="72"/>
      <c r="G3084" s="67"/>
      <c r="H3084" s="72"/>
      <c r="I3084" s="437"/>
      <c r="J3084" s="437"/>
      <c r="K3084" s="428"/>
      <c r="L3084" s="437"/>
      <c r="M3084" s="65"/>
      <c r="N3084" s="66"/>
      <c r="O3084" s="66"/>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s="349" customFormat="1" ht="15.75" customHeight="1">
      <c r="A3085" s="334" t="str">
        <f>IF(B3085&lt;&gt;"",IF(AND(B3085='IN-TC'!$S$4,OR(TH!N3085="1111",TH!O3085="1111")),TH!D3085,""),"")</f>
        <v/>
      </c>
      <c r="B3085" s="63" t="str">
        <f t="shared" si="397"/>
        <v/>
      </c>
      <c r="C3085" s="64"/>
      <c r="D3085" s="64"/>
      <c r="E3085" s="64">
        <f t="shared" si="398"/>
        <v>0</v>
      </c>
      <c r="F3085" s="72"/>
      <c r="G3085" s="67"/>
      <c r="H3085" s="72"/>
      <c r="I3085" s="437"/>
      <c r="J3085" s="437"/>
      <c r="K3085" s="428"/>
      <c r="L3085" s="437"/>
      <c r="M3085" s="65"/>
      <c r="N3085" s="66"/>
      <c r="O3085" s="66"/>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s="349" customFormat="1" ht="15.75" customHeight="1">
      <c r="A3086" s="334" t="str">
        <f>IF(B3086&lt;&gt;"",IF(AND(B3086='IN-TC'!$S$4,OR(TH!N3086="1111",TH!O3086="1111")),TH!D3086,""),"")</f>
        <v/>
      </c>
      <c r="B3086" s="63">
        <f t="shared" si="397"/>
        <v>11</v>
      </c>
      <c r="C3086" s="64">
        <v>42676</v>
      </c>
      <c r="D3086" s="64" t="s">
        <v>870</v>
      </c>
      <c r="E3086" s="64">
        <f t="shared" si="398"/>
        <v>42676</v>
      </c>
      <c r="F3086" s="72" t="s">
        <v>1139</v>
      </c>
      <c r="G3086" s="67"/>
      <c r="H3086" s="72" t="s">
        <v>760</v>
      </c>
      <c r="I3086" s="437"/>
      <c r="J3086" s="437"/>
      <c r="K3086" s="428"/>
      <c r="L3086" s="437"/>
      <c r="M3086" s="65">
        <v>1250000000</v>
      </c>
      <c r="N3086" s="66" t="s">
        <v>63</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s="349" customFormat="1" ht="15.75" customHeight="1">
      <c r="A3087" s="334" t="str">
        <f>IF(B3087&lt;&gt;"",IF(AND(B3087='IN-TC'!$S$4,OR(TH!N3087="1111",TH!O3087="1111")),TH!D3087,""),"")</f>
        <v/>
      </c>
      <c r="B3087" s="63">
        <f t="shared" si="397"/>
        <v>11</v>
      </c>
      <c r="C3087" s="64">
        <v>42679</v>
      </c>
      <c r="D3087" s="64" t="s">
        <v>899</v>
      </c>
      <c r="E3087" s="64">
        <f t="shared" si="398"/>
        <v>42679</v>
      </c>
      <c r="F3087" s="72" t="s">
        <v>1139</v>
      </c>
      <c r="G3087" s="67"/>
      <c r="H3087" s="72" t="s">
        <v>760</v>
      </c>
      <c r="I3087" s="437"/>
      <c r="J3087" s="437"/>
      <c r="K3087" s="428"/>
      <c r="L3087" s="437"/>
      <c r="M3087" s="65">
        <v>270000000</v>
      </c>
      <c r="N3087" s="66" t="s">
        <v>63</v>
      </c>
      <c r="O3087" s="66" t="s">
        <v>26</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s="349" customFormat="1" ht="15.75" customHeight="1">
      <c r="A3088" s="334" t="str">
        <f>IF(B3088&lt;&gt;"",IF(AND(B3088='IN-TC'!$S$4,OR(TH!N3088="1111",TH!O3088="1111")),TH!D3088,""),"")</f>
        <v/>
      </c>
      <c r="B3088" s="63">
        <f t="shared" si="397"/>
        <v>11</v>
      </c>
      <c r="C3088" s="64">
        <v>42684</v>
      </c>
      <c r="D3088" s="64" t="s">
        <v>902</v>
      </c>
      <c r="E3088" s="64">
        <f t="shared" si="398"/>
        <v>42684</v>
      </c>
      <c r="F3088" s="72" t="s">
        <v>1139</v>
      </c>
      <c r="G3088" s="67"/>
      <c r="H3088" s="72" t="s">
        <v>760</v>
      </c>
      <c r="I3088" s="437"/>
      <c r="J3088" s="437"/>
      <c r="K3088" s="428"/>
      <c r="L3088" s="437"/>
      <c r="M3088" s="65">
        <v>1400000000</v>
      </c>
      <c r="N3088" s="66" t="s">
        <v>63</v>
      </c>
      <c r="O3088" s="66" t="s">
        <v>26</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s="349" customFormat="1" ht="15.75" customHeight="1">
      <c r="A3089" s="334" t="str">
        <f>IF(B3089&lt;&gt;"",IF(AND(B3089='IN-TC'!$S$4,OR(TH!N3089="1111",TH!O3089="1111")),TH!D3089,""),"")</f>
        <v/>
      </c>
      <c r="B3089" s="63">
        <f t="shared" si="397"/>
        <v>11</v>
      </c>
      <c r="C3089" s="64">
        <v>42685</v>
      </c>
      <c r="D3089" s="64" t="s">
        <v>905</v>
      </c>
      <c r="E3089" s="64">
        <f t="shared" si="398"/>
        <v>42685</v>
      </c>
      <c r="F3089" s="72" t="s">
        <v>1139</v>
      </c>
      <c r="G3089" s="67"/>
      <c r="H3089" s="72" t="s">
        <v>760</v>
      </c>
      <c r="I3089" s="437"/>
      <c r="J3089" s="437"/>
      <c r="K3089" s="428"/>
      <c r="L3089" s="437"/>
      <c r="M3089" s="65">
        <v>1850000000</v>
      </c>
      <c r="N3089" s="66" t="s">
        <v>63</v>
      </c>
      <c r="O3089" s="66" t="s">
        <v>26</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s="349" customFormat="1" ht="15.75" customHeight="1">
      <c r="A3090" s="334" t="str">
        <f>IF(B3090&lt;&gt;"",IF(AND(B3090='IN-TC'!$S$4,OR(TH!N3090="1111",TH!O3090="1111")),TH!D3090,""),"")</f>
        <v/>
      </c>
      <c r="B3090" s="63">
        <f t="shared" si="397"/>
        <v>11</v>
      </c>
      <c r="C3090" s="64">
        <v>42686</v>
      </c>
      <c r="D3090" s="64" t="s">
        <v>906</v>
      </c>
      <c r="E3090" s="64">
        <f t="shared" si="398"/>
        <v>42686</v>
      </c>
      <c r="F3090" s="72" t="s">
        <v>1139</v>
      </c>
      <c r="G3090" s="67"/>
      <c r="H3090" s="72" t="s">
        <v>760</v>
      </c>
      <c r="I3090" s="437"/>
      <c r="J3090" s="437"/>
      <c r="K3090" s="428"/>
      <c r="L3090" s="437"/>
      <c r="M3090" s="65">
        <v>1400000000</v>
      </c>
      <c r="N3090" s="66" t="s">
        <v>63</v>
      </c>
      <c r="O3090" s="66" t="s">
        <v>26</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s="349" customFormat="1" ht="15.75" customHeight="1">
      <c r="A3091" s="334" t="str">
        <f>IF(B3091&lt;&gt;"",IF(AND(B3091='IN-TC'!$S$4,OR(TH!N3091="1111",TH!O3091="1111")),TH!D3091,""),"")</f>
        <v/>
      </c>
      <c r="B3091" s="63">
        <f t="shared" si="397"/>
        <v>11</v>
      </c>
      <c r="C3091" s="64">
        <v>42688</v>
      </c>
      <c r="D3091" s="64" t="s">
        <v>913</v>
      </c>
      <c r="E3091" s="64">
        <f t="shared" si="398"/>
        <v>42688</v>
      </c>
      <c r="F3091" s="72" t="s">
        <v>1139</v>
      </c>
      <c r="G3091" s="67"/>
      <c r="H3091" s="72" t="s">
        <v>760</v>
      </c>
      <c r="I3091" s="437"/>
      <c r="J3091" s="437"/>
      <c r="K3091" s="428"/>
      <c r="L3091" s="437"/>
      <c r="M3091" s="65">
        <v>1500000000</v>
      </c>
      <c r="N3091" s="66" t="s">
        <v>63</v>
      </c>
      <c r="O3091" s="66" t="s">
        <v>26</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s="349" customFormat="1" ht="15.75" customHeight="1">
      <c r="A3092" s="334" t="str">
        <f>IF(B3092&lt;&gt;"",IF(AND(B3092='IN-TC'!$S$4,OR(TH!N3092="1111",TH!O3092="1111")),TH!D3092,""),"")</f>
        <v/>
      </c>
      <c r="B3092" s="63">
        <f t="shared" si="397"/>
        <v>11</v>
      </c>
      <c r="C3092" s="64">
        <v>42690</v>
      </c>
      <c r="D3092" s="64" t="s">
        <v>1556</v>
      </c>
      <c r="E3092" s="64">
        <f t="shared" si="398"/>
        <v>42690</v>
      </c>
      <c r="F3092" s="72" t="s">
        <v>1139</v>
      </c>
      <c r="G3092" s="67"/>
      <c r="H3092" s="72" t="s">
        <v>760</v>
      </c>
      <c r="I3092" s="437"/>
      <c r="J3092" s="437"/>
      <c r="K3092" s="428"/>
      <c r="L3092" s="437"/>
      <c r="M3092" s="65">
        <v>250000000</v>
      </c>
      <c r="N3092" s="66" t="s">
        <v>63</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s="349" customFormat="1" ht="15.75" customHeight="1">
      <c r="A3093" s="334" t="str">
        <f>IF(B3093&lt;&gt;"",IF(AND(B3093='IN-TC'!$S$4,OR(TH!N3093="1111",TH!O3093="1111")),TH!D3093,""),"")</f>
        <v/>
      </c>
      <c r="B3093" s="63">
        <f t="shared" si="397"/>
        <v>11</v>
      </c>
      <c r="C3093" s="64">
        <v>42690</v>
      </c>
      <c r="D3093" s="64" t="s">
        <v>2079</v>
      </c>
      <c r="E3093" s="64">
        <f t="shared" si="398"/>
        <v>42690</v>
      </c>
      <c r="F3093" s="72" t="s">
        <v>1139</v>
      </c>
      <c r="G3093" s="67"/>
      <c r="H3093" s="72" t="s">
        <v>760</v>
      </c>
      <c r="I3093" s="437"/>
      <c r="J3093" s="437"/>
      <c r="K3093" s="428"/>
      <c r="L3093" s="437"/>
      <c r="M3093" s="65">
        <v>3120000000</v>
      </c>
      <c r="N3093" s="66" t="s">
        <v>63</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s="349" customFormat="1" ht="15.75" customHeight="1">
      <c r="A3094" s="334" t="str">
        <f>IF(B3094&lt;&gt;"",IF(AND(B3094='IN-TC'!$S$4,OR(TH!N3094="1111",TH!O3094="1111")),TH!D3094,""),"")</f>
        <v/>
      </c>
      <c r="B3094" s="63" t="str">
        <f t="shared" si="397"/>
        <v/>
      </c>
      <c r="C3094" s="64"/>
      <c r="D3094" s="64"/>
      <c r="E3094" s="64">
        <f t="shared" si="398"/>
        <v>0</v>
      </c>
      <c r="F3094" s="72"/>
      <c r="G3094" s="67"/>
      <c r="H3094" s="72"/>
      <c r="I3094" s="437"/>
      <c r="J3094" s="437"/>
      <c r="K3094" s="428"/>
      <c r="L3094" s="437"/>
      <c r="M3094" s="65"/>
      <c r="N3094" s="66"/>
      <c r="O3094" s="66"/>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s="349" customFormat="1" ht="15.75" customHeight="1">
      <c r="A3095" s="334" t="str">
        <f>IF(B3095&lt;&gt;"",IF(AND(B3095='IN-TC'!$S$4,OR(TH!N3095="1111",TH!O3095="1111")),TH!D3095,""),"")</f>
        <v/>
      </c>
      <c r="B3095" s="63" t="str">
        <f t="shared" si="397"/>
        <v/>
      </c>
      <c r="C3095" s="64"/>
      <c r="D3095" s="64"/>
      <c r="E3095" s="64">
        <f t="shared" si="398"/>
        <v>0</v>
      </c>
      <c r="F3095" s="72"/>
      <c r="G3095" s="67"/>
      <c r="H3095" s="72"/>
      <c r="I3095" s="437"/>
      <c r="J3095" s="437"/>
      <c r="K3095" s="428"/>
      <c r="L3095" s="437"/>
      <c r="M3095" s="65"/>
      <c r="N3095" s="66"/>
      <c r="O3095" s="66"/>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s="349" customFormat="1" ht="15.75" customHeight="1">
      <c r="A3096" s="334" t="str">
        <f>IF(B3096&lt;&gt;"",IF(AND(B3096='IN-TC'!$S$4,OR(TH!N3096="1111",TH!O3096="1111")),TH!D3096,""),"")</f>
        <v/>
      </c>
      <c r="B3096" s="63" t="str">
        <f t="shared" si="397"/>
        <v/>
      </c>
      <c r="C3096" s="64"/>
      <c r="D3096" s="64"/>
      <c r="E3096" s="64">
        <f t="shared" si="398"/>
        <v>0</v>
      </c>
      <c r="F3096" s="72"/>
      <c r="G3096" s="67"/>
      <c r="H3096" s="72"/>
      <c r="I3096" s="437"/>
      <c r="J3096" s="437"/>
      <c r="K3096" s="428"/>
      <c r="L3096" s="437"/>
      <c r="M3096" s="65"/>
      <c r="N3096" s="66"/>
      <c r="O3096" s="66"/>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s="349" customFormat="1" ht="15.75" customHeight="1">
      <c r="A3097" s="334" t="str">
        <f>IF(B3097&lt;&gt;"",IF(AND(B3097='IN-TC'!$S$4,OR(TH!N3097="1111",TH!O3097="1111")),TH!D3097,""),"")</f>
        <v/>
      </c>
      <c r="B3097" s="63" t="str">
        <f t="shared" si="397"/>
        <v/>
      </c>
      <c r="C3097" s="64"/>
      <c r="D3097" s="64"/>
      <c r="E3097" s="64">
        <f t="shared" si="398"/>
        <v>0</v>
      </c>
      <c r="F3097" s="72"/>
      <c r="G3097" s="67"/>
      <c r="H3097" s="72"/>
      <c r="I3097" s="437"/>
      <c r="J3097" s="437"/>
      <c r="K3097" s="428"/>
      <c r="L3097" s="437"/>
      <c r="M3097" s="65"/>
      <c r="N3097" s="66"/>
      <c r="O3097" s="66"/>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s="349" customFormat="1" ht="15.75" customHeight="1">
      <c r="A3098" s="334" t="str">
        <f>IF(B3098&lt;&gt;"",IF(AND(B3098='IN-TC'!$S$4,OR(TH!N3098="1111",TH!O3098="1111")),TH!D3098,""),"")</f>
        <v/>
      </c>
      <c r="B3098" s="63">
        <f t="shared" ref="B3098:B3104" si="421">IF(C3098&lt;&gt;"",MONTH(C3098),"")</f>
        <v>11</v>
      </c>
      <c r="C3098" s="64">
        <v>42677</v>
      </c>
      <c r="D3098" s="64" t="s">
        <v>696</v>
      </c>
      <c r="E3098" s="64">
        <f t="shared" ref="E3098:E3104" si="422">C3098</f>
        <v>42677</v>
      </c>
      <c r="F3098" s="72" t="s">
        <v>463</v>
      </c>
      <c r="G3098" s="972" t="s">
        <v>2304</v>
      </c>
      <c r="H3098" s="72" t="s">
        <v>1211</v>
      </c>
      <c r="I3098" s="437">
        <v>26000</v>
      </c>
      <c r="J3098" s="437">
        <v>55000</v>
      </c>
      <c r="K3098" s="428"/>
      <c r="L3098" s="437"/>
      <c r="M3098" s="65">
        <f t="shared" ref="M3098:M3104" si="423">ROUND(I3098*J3098,0)</f>
        <v>1430000000</v>
      </c>
      <c r="N3098" s="66" t="s">
        <v>284</v>
      </c>
      <c r="O3098" s="66" t="s">
        <v>8</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s="349" customFormat="1" ht="15.75" customHeight="1">
      <c r="A3099" s="334" t="str">
        <f>IF(B3099&lt;&gt;"",IF(AND(B3099='IN-TC'!$S$4,OR(TH!N3099="1111",TH!O3099="1111")),TH!D3099,""),"")</f>
        <v/>
      </c>
      <c r="B3099" s="63">
        <f t="shared" si="421"/>
        <v>11</v>
      </c>
      <c r="C3099" s="64">
        <v>42684</v>
      </c>
      <c r="D3099" s="64" t="s">
        <v>697</v>
      </c>
      <c r="E3099" s="64">
        <f t="shared" si="422"/>
        <v>42684</v>
      </c>
      <c r="F3099" s="72" t="s">
        <v>463</v>
      </c>
      <c r="G3099" s="972" t="s">
        <v>2308</v>
      </c>
      <c r="H3099" s="72" t="s">
        <v>1211</v>
      </c>
      <c r="I3099" s="437">
        <v>26000</v>
      </c>
      <c r="J3099" s="437">
        <v>55000</v>
      </c>
      <c r="K3099" s="428"/>
      <c r="L3099" s="437"/>
      <c r="M3099" s="65">
        <f t="shared" si="423"/>
        <v>1430000000</v>
      </c>
      <c r="N3099" s="66" t="s">
        <v>284</v>
      </c>
      <c r="O3099" s="66" t="s">
        <v>8</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s="349" customFormat="1" ht="15.75" customHeight="1">
      <c r="A3100" s="334" t="str">
        <f>IF(B3100&lt;&gt;"",IF(AND(B3100='IN-TC'!$S$4,OR(TH!N3100="1111",TH!O3100="1111")),TH!D3100,""),"")</f>
        <v/>
      </c>
      <c r="B3100" s="63">
        <f t="shared" si="421"/>
        <v>11</v>
      </c>
      <c r="C3100" s="64">
        <v>42690</v>
      </c>
      <c r="D3100" s="64" t="s">
        <v>698</v>
      </c>
      <c r="E3100" s="64">
        <f t="shared" si="422"/>
        <v>42690</v>
      </c>
      <c r="F3100" s="72" t="s">
        <v>463</v>
      </c>
      <c r="G3100" s="972" t="s">
        <v>2248</v>
      </c>
      <c r="H3100" s="72" t="s">
        <v>2249</v>
      </c>
      <c r="I3100" s="437">
        <v>53300</v>
      </c>
      <c r="J3100" s="437">
        <v>55000</v>
      </c>
      <c r="K3100" s="428"/>
      <c r="L3100" s="437"/>
      <c r="M3100" s="65">
        <f t="shared" si="423"/>
        <v>2931500000</v>
      </c>
      <c r="N3100" s="66" t="s">
        <v>284</v>
      </c>
      <c r="O3100" s="66" t="s">
        <v>8</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s="349" customFormat="1" ht="15.75" customHeight="1">
      <c r="A3101" s="334" t="str">
        <f>IF(B3101&lt;&gt;"",IF(AND(B3101='IN-TC'!$S$4,OR(TH!N3101="1111",TH!O3101="1111")),TH!D3101,""),"")</f>
        <v/>
      </c>
      <c r="B3101" s="63">
        <f t="shared" si="421"/>
        <v>11</v>
      </c>
      <c r="C3101" s="64">
        <v>42695</v>
      </c>
      <c r="D3101" s="64" t="s">
        <v>1941</v>
      </c>
      <c r="E3101" s="64">
        <f t="shared" si="422"/>
        <v>42695</v>
      </c>
      <c r="F3101" s="72" t="s">
        <v>463</v>
      </c>
      <c r="G3101" s="972" t="s">
        <v>2370</v>
      </c>
      <c r="H3101" s="72" t="s">
        <v>2249</v>
      </c>
      <c r="I3101" s="437">
        <v>26000</v>
      </c>
      <c r="J3101" s="437">
        <v>56250</v>
      </c>
      <c r="K3101" s="428"/>
      <c r="L3101" s="437"/>
      <c r="M3101" s="65">
        <f t="shared" si="423"/>
        <v>1462500000</v>
      </c>
      <c r="N3101" s="66" t="s">
        <v>284</v>
      </c>
      <c r="O3101" s="66" t="s">
        <v>8</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s="349" customFormat="1" ht="15.75" customHeight="1">
      <c r="A3102" s="334" t="str">
        <f>IF(B3102&lt;&gt;"",IF(AND(B3102='IN-TC'!$S$4,OR(TH!N3103="1111",TH!O3103="1111")),TH!D3103,""),"")</f>
        <v/>
      </c>
      <c r="B3102" s="63">
        <f t="shared" si="421"/>
        <v>11</v>
      </c>
      <c r="C3102" s="64">
        <v>42696</v>
      </c>
      <c r="D3102" s="64" t="s">
        <v>1942</v>
      </c>
      <c r="E3102" s="64">
        <f t="shared" si="422"/>
        <v>42696</v>
      </c>
      <c r="F3102" s="72" t="s">
        <v>463</v>
      </c>
      <c r="G3102" s="972" t="s">
        <v>2373</v>
      </c>
      <c r="H3102" s="72" t="s">
        <v>2372</v>
      </c>
      <c r="I3102" s="437">
        <v>22711</v>
      </c>
      <c r="J3102" s="437">
        <v>57000</v>
      </c>
      <c r="K3102" s="428"/>
      <c r="L3102" s="437"/>
      <c r="M3102" s="65">
        <f t="shared" si="423"/>
        <v>1294527000</v>
      </c>
      <c r="N3102" s="66" t="s">
        <v>284</v>
      </c>
      <c r="O3102" s="66" t="s">
        <v>8</v>
      </c>
      <c r="P3102" s="82" t="str">
        <f>IF(AND('331-CT'!$E$7=TH!H3103,OR(N3102="331",O3102="331")),"x","")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IF(OR(TH!N3103=TH!$X$7,O3102=TH!$X$7),"x","")</f>
        <v/>
      </c>
      <c r="Y3102" s="82" t="str">
        <f>IF(AND(OR(N3102="131",O3102="131"),H3102='131-CT'!$H$9),"x","")</f>
        <v/>
      </c>
      <c r="Z3102" s="82"/>
      <c r="AA3102" s="82" t="str">
        <f>IF(AND(MONTH(E3102)='IN-NX'!$J$5,'IN-NX'!$D$7=D3102),"x","")</f>
        <v/>
      </c>
      <c r="AB3102" s="82" t="str">
        <f>IF(AND(OR(LEFT(TH!N3103,2)="15",LEFT(TH!O3103,2)="15"),LEFT(TH!O3103,3)&lt;&gt;"111",'152-CT'!$J$8=TH!F3103),"x","")</f>
        <v/>
      </c>
      <c r="AC3102" s="82" t="str">
        <f>IF(AND(OR(LEFT(TH!N3103,2)="15",LEFT(TH!O3103,2)="15"),TK!$E$7=TH!F3103),"x","")</f>
        <v/>
      </c>
      <c r="AD3102" s="82" t="str">
        <f>IF(AND(N3102="1521",MONTH(C3102)='BK-NL'!$M$11),"x","")</f>
        <v/>
      </c>
    </row>
    <row r="3103" spans="1:30" s="349" customFormat="1" ht="15.75" customHeight="1">
      <c r="A3103" s="334" t="str">
        <f>IF(B3103&lt;&gt;"",IF(AND(B3103='IN-TC'!$S$4,OR(TH!N3104="1111",TH!O3104="1111")),TH!D3104,""),"")</f>
        <v/>
      </c>
      <c r="B3103" s="63">
        <f t="shared" si="421"/>
        <v>11</v>
      </c>
      <c r="C3103" s="64">
        <v>42699</v>
      </c>
      <c r="D3103" s="64" t="s">
        <v>2375</v>
      </c>
      <c r="E3103" s="64">
        <f t="shared" si="422"/>
        <v>42699</v>
      </c>
      <c r="F3103" s="72" t="s">
        <v>463</v>
      </c>
      <c r="G3103" s="972" t="s">
        <v>2374</v>
      </c>
      <c r="H3103" s="72" t="s">
        <v>2372</v>
      </c>
      <c r="I3103" s="437">
        <v>2600</v>
      </c>
      <c r="J3103" s="437">
        <v>56400</v>
      </c>
      <c r="K3103" s="428"/>
      <c r="L3103" s="437"/>
      <c r="M3103" s="65">
        <f t="shared" si="423"/>
        <v>146640000</v>
      </c>
      <c r="N3103" s="66" t="s">
        <v>284</v>
      </c>
      <c r="O3103" s="66" t="s">
        <v>8</v>
      </c>
      <c r="P3103" s="82" t="str">
        <f>IF(AND('331-CT'!$E$7=TH!H3104,OR(N3103="331",O3103="331")),"x","")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IF(OR(TH!N3104=TH!$X$7,O3103=TH!$X$7),"x","")</f>
        <v/>
      </c>
      <c r="Y3103" s="82" t="str">
        <f>IF(AND(OR(N3103="131",O3103="131"),H3103='131-CT'!$H$9),"x","")</f>
        <v/>
      </c>
      <c r="Z3103" s="82"/>
      <c r="AA3103" s="82" t="str">
        <f>IF(AND(MONTH(E3103)='IN-NX'!$J$5,'IN-NX'!$D$7=D3103),"x","")</f>
        <v/>
      </c>
      <c r="AB3103" s="82" t="str">
        <f>IF(AND(OR(LEFT(TH!N3104,2)="15",LEFT(TH!O3104,2)="15"),LEFT(TH!O3104,3)&lt;&gt;"111",'152-CT'!$J$8=TH!F3104),"x","")</f>
        <v/>
      </c>
      <c r="AC3103" s="82" t="str">
        <f>IF(AND(OR(LEFT(TH!N3104,2)="15",LEFT(TH!O3104,2)="15"),TK!$E$7=TH!F3104),"x","")</f>
        <v/>
      </c>
      <c r="AD3103" s="82" t="str">
        <f>IF(AND(N3103="1521",MONTH(C3103)='BK-NL'!$M$11),"x","")</f>
        <v/>
      </c>
    </row>
    <row r="3104" spans="1:30" s="349" customFormat="1" ht="15.75" customHeight="1">
      <c r="A3104" s="334" t="str">
        <f>IF(B3104&lt;&gt;"",IF(AND(B3104='IN-TC'!$S$4,OR(TH!N3102="1111",TH!O3102="1111")),TH!D3102,""),"")</f>
        <v/>
      </c>
      <c r="B3104" s="63">
        <f t="shared" si="421"/>
        <v>11</v>
      </c>
      <c r="C3104" s="64">
        <v>42703</v>
      </c>
      <c r="D3104" s="64" t="s">
        <v>2376</v>
      </c>
      <c r="E3104" s="64">
        <f t="shared" si="422"/>
        <v>42703</v>
      </c>
      <c r="F3104" s="72" t="s">
        <v>463</v>
      </c>
      <c r="G3104" s="972" t="s">
        <v>2371</v>
      </c>
      <c r="H3104" s="72" t="s">
        <v>2372</v>
      </c>
      <c r="I3104" s="437">
        <v>26000</v>
      </c>
      <c r="J3104" s="437">
        <v>58000</v>
      </c>
      <c r="K3104" s="428"/>
      <c r="L3104" s="437"/>
      <c r="M3104" s="65">
        <f t="shared" si="423"/>
        <v>1508000000</v>
      </c>
      <c r="N3104" s="66" t="s">
        <v>284</v>
      </c>
      <c r="O3104" s="66" t="s">
        <v>8</v>
      </c>
      <c r="P3104" s="82" t="str">
        <f>IF(AND('331-CT'!$E$7=TH!H3102,OR(N3104="331",O3104="331")),"x","")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IF(OR(TH!N3102=TH!$X$7,O3104=TH!$X$7),"x","")</f>
        <v/>
      </c>
      <c r="Y3104" s="82" t="str">
        <f>IF(AND(OR(N3104="131",O3104="131"),H3104='131-CT'!$H$9),"x","")</f>
        <v/>
      </c>
      <c r="Z3104" s="82"/>
      <c r="AA3104" s="82" t="str">
        <f>IF(AND(MONTH(E3104)='IN-NX'!$J$5,'IN-NX'!$D$7=D3104),"x","")</f>
        <v/>
      </c>
      <c r="AB3104" s="82" t="str">
        <f>IF(AND(OR(LEFT(TH!N3102,2)="15",LEFT(TH!O3102,2)="15"),LEFT(TH!O3102,3)&lt;&gt;"111",'152-CT'!$J$8=TH!F3102),"x","")</f>
        <v/>
      </c>
      <c r="AC3104" s="82" t="str">
        <f>IF(AND(OR(LEFT(TH!N3102,2)="15",LEFT(TH!O3102,2)="15"),TK!$E$7=TH!F3102),"x","")</f>
        <v/>
      </c>
      <c r="AD3104" s="82" t="str">
        <f>IF(AND(N3104="1521",MONTH(C3104)='BK-NL'!$M$11),"x","")</f>
        <v/>
      </c>
    </row>
    <row r="3105" spans="1:30" s="349" customFormat="1" ht="15.75" customHeight="1">
      <c r="A3105" s="334" t="str">
        <f>IF(B3105&lt;&gt;"",IF(AND(B3105='IN-TC'!$S$4,OR(TH!N3105="1111",TH!O3105="1111")),TH!D3105,""),"")</f>
        <v/>
      </c>
      <c r="B3105" s="63" t="str">
        <f t="shared" ref="B3105:B3223" si="424">IF(C3105&lt;&gt;"",MONTH(C3105),"")</f>
        <v/>
      </c>
      <c r="C3105" s="64"/>
      <c r="D3105" s="64"/>
      <c r="E3105" s="64"/>
      <c r="F3105" s="72"/>
      <c r="G3105" s="67"/>
      <c r="H3105" s="72"/>
      <c r="I3105" s="437"/>
      <c r="J3105" s="437"/>
      <c r="K3105" s="428"/>
      <c r="L3105" s="437"/>
      <c r="M3105" s="65"/>
      <c r="N3105" s="66"/>
      <c r="O3105" s="66"/>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s="349" customFormat="1" ht="15.75" customHeight="1">
      <c r="A3106" s="334" t="str">
        <f>IF(B3106&lt;&gt;"",IF(AND(B3106='IN-TC'!$S$4,OR(TH!N3106="1111",TH!O3106="1111")),TH!D3106,""),"")</f>
        <v/>
      </c>
      <c r="B3106" s="63" t="str">
        <f t="shared" si="424"/>
        <v/>
      </c>
      <c r="C3106" s="64"/>
      <c r="D3106" s="64"/>
      <c r="E3106" s="64"/>
      <c r="F3106" s="72"/>
      <c r="G3106" s="67"/>
      <c r="H3106" s="72"/>
      <c r="I3106" s="437"/>
      <c r="J3106" s="437"/>
      <c r="K3106" s="428"/>
      <c r="L3106" s="437"/>
      <c r="M3106" s="65"/>
      <c r="N3106" s="66"/>
      <c r="O3106" s="66"/>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s="349" customFormat="1" ht="15.75" customHeight="1">
      <c r="A3107" s="334" t="str">
        <f>IF(B3107&lt;&gt;"",IF(AND(B3107='IN-TC'!$S$4,OR(TH!N3107="1111",TH!O3107="1111")),TH!D3107,""),"")</f>
        <v/>
      </c>
      <c r="B3107" s="63" t="str">
        <f t="shared" si="424"/>
        <v/>
      </c>
      <c r="C3107" s="64"/>
      <c r="D3107" s="64"/>
      <c r="E3107" s="64"/>
      <c r="F3107" s="72"/>
      <c r="G3107" s="67"/>
      <c r="H3107" s="72"/>
      <c r="I3107" s="437"/>
      <c r="J3107" s="437"/>
      <c r="K3107" s="428"/>
      <c r="L3107" s="437"/>
      <c r="M3107" s="65"/>
      <c r="N3107" s="66"/>
      <c r="O3107" s="66"/>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s="349" customFormat="1" ht="15.75" customHeight="1">
      <c r="A3108" s="334" t="str">
        <f>IF(B3108&lt;&gt;"",IF(AND(B3108='IN-TC'!$S$4,OR(TH!N3108="1111",TH!O3108="1111")),TH!D3108,""),"")</f>
        <v/>
      </c>
      <c r="B3108" s="63" t="str">
        <f t="shared" si="424"/>
        <v/>
      </c>
      <c r="C3108" s="64"/>
      <c r="D3108" s="64"/>
      <c r="E3108" s="64"/>
      <c r="F3108" s="72"/>
      <c r="G3108" s="67"/>
      <c r="H3108" s="72"/>
      <c r="I3108" s="437"/>
      <c r="J3108" s="437"/>
      <c r="K3108" s="428"/>
      <c r="L3108" s="437"/>
      <c r="M3108" s="65"/>
      <c r="N3108" s="66"/>
      <c r="O3108" s="66"/>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s="349" customFormat="1" ht="15.75" customHeight="1">
      <c r="A3109" s="334" t="str">
        <f>IF(B3109&lt;&gt;"",IF(AND(B3109='IN-TC'!$S$4,OR(TH!N3109="1111",TH!O3109="1111")),TH!D3109,""),"")</f>
        <v/>
      </c>
      <c r="B3109" s="63" t="str">
        <f t="shared" si="424"/>
        <v/>
      </c>
      <c r="C3109" s="64"/>
      <c r="D3109" s="64"/>
      <c r="E3109" s="64"/>
      <c r="F3109" s="72"/>
      <c r="G3109" s="67"/>
      <c r="H3109" s="72"/>
      <c r="I3109" s="437"/>
      <c r="J3109" s="437"/>
      <c r="K3109" s="428"/>
      <c r="L3109" s="437"/>
      <c r="M3109" s="65"/>
      <c r="N3109" s="66"/>
      <c r="O3109" s="66"/>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s="349" customFormat="1" ht="15.75" customHeight="1">
      <c r="A3110" s="334" t="str">
        <f>IF(B3110&lt;&gt;"",IF(AND(B3110='IN-TC'!$S$4,OR(TH!N3110="1111",TH!O3110="1111")),TH!D3110,""),"")</f>
        <v/>
      </c>
      <c r="B3110" s="63" t="str">
        <f t="shared" si="424"/>
        <v/>
      </c>
      <c r="C3110" s="64"/>
      <c r="D3110" s="64"/>
      <c r="E3110" s="64"/>
      <c r="F3110" s="72"/>
      <c r="G3110" s="67"/>
      <c r="H3110" s="72"/>
      <c r="I3110" s="437"/>
      <c r="J3110" s="437"/>
      <c r="K3110" s="428"/>
      <c r="L3110" s="437"/>
      <c r="M3110" s="65"/>
      <c r="N3110" s="66"/>
      <c r="O3110" s="66"/>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s="349" customFormat="1" ht="15.75" customHeight="1">
      <c r="A3111" s="334" t="str">
        <f>IF(B3111&lt;&gt;"",IF(AND(B3111='IN-TC'!$S$4,OR(TH!N3111="1111",TH!O3111="1111")),TH!D3111,""),"")</f>
        <v/>
      </c>
      <c r="B3111" s="63" t="str">
        <f t="shared" si="424"/>
        <v/>
      </c>
      <c r="C3111" s="64"/>
      <c r="D3111" s="64"/>
      <c r="E3111" s="64"/>
      <c r="F3111" s="72"/>
      <c r="G3111" s="67"/>
      <c r="H3111" s="72"/>
      <c r="I3111" s="437"/>
      <c r="J3111" s="437"/>
      <c r="K3111" s="428"/>
      <c r="L3111" s="437"/>
      <c r="M3111" s="65"/>
      <c r="N3111" s="66"/>
      <c r="O3111" s="66"/>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s="349" customFormat="1" ht="15.75" customHeight="1">
      <c r="A3112" s="334" t="str">
        <f>IF(B3112&lt;&gt;"",IF(AND(B3112='IN-TC'!$S$4,OR(TH!N3112="1111",TH!O3112="1111")),TH!D3112,""),"")</f>
        <v/>
      </c>
      <c r="B3112" s="63" t="str">
        <f t="shared" si="424"/>
        <v/>
      </c>
      <c r="C3112" s="64"/>
      <c r="D3112" s="64"/>
      <c r="E3112" s="64"/>
      <c r="F3112" s="72"/>
      <c r="G3112" s="67"/>
      <c r="H3112" s="72"/>
      <c r="I3112" s="437"/>
      <c r="J3112" s="437"/>
      <c r="K3112" s="428"/>
      <c r="L3112" s="437"/>
      <c r="M3112" s="65"/>
      <c r="N3112" s="66"/>
      <c r="O3112" s="66"/>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s="349" customFormat="1" ht="15.75" customHeight="1">
      <c r="A3113" s="334" t="str">
        <f>IF(B3113&lt;&gt;"",IF(AND(B3113='IN-TC'!$S$4,OR(TH!N3113="1111",TH!O3113="1111")),TH!D3113,""),"")</f>
        <v/>
      </c>
      <c r="B3113" s="63" t="str">
        <f t="shared" si="424"/>
        <v/>
      </c>
      <c r="C3113" s="64"/>
      <c r="D3113" s="64"/>
      <c r="E3113" s="64"/>
      <c r="F3113" s="72"/>
      <c r="G3113" s="67"/>
      <c r="H3113" s="72"/>
      <c r="I3113" s="437"/>
      <c r="J3113" s="437"/>
      <c r="K3113" s="428"/>
      <c r="L3113" s="437"/>
      <c r="M3113" s="65"/>
      <c r="N3113" s="66"/>
      <c r="O3113" s="66"/>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s="349" customFormat="1" ht="15.75" customHeight="1">
      <c r="A3114" s="334" t="str">
        <f>IF(B3114&lt;&gt;"",IF(AND(B3114='IN-TC'!$S$4,OR(TH!N3114="1111",TH!O3114="1111")),TH!D3114,""),"")</f>
        <v/>
      </c>
      <c r="B3114" s="63" t="str">
        <f t="shared" si="424"/>
        <v/>
      </c>
      <c r="C3114" s="64"/>
      <c r="D3114" s="64"/>
      <c r="E3114" s="64"/>
      <c r="F3114" s="72"/>
      <c r="G3114" s="67"/>
      <c r="H3114" s="72"/>
      <c r="I3114" s="437"/>
      <c r="J3114" s="437"/>
      <c r="K3114" s="428"/>
      <c r="L3114" s="437"/>
      <c r="M3114" s="65"/>
      <c r="N3114" s="66"/>
      <c r="O3114" s="66"/>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s="349" customFormat="1" ht="15.75" customHeight="1">
      <c r="A3115" s="334" t="str">
        <f>IF(B3115&lt;&gt;"",IF(AND(B3115='IN-TC'!$S$4,OR(TH!N3115="1111",TH!O3115="1111")),TH!D3115,""),"")</f>
        <v/>
      </c>
      <c r="B3115" s="63" t="str">
        <f t="shared" si="424"/>
        <v/>
      </c>
      <c r="C3115" s="64"/>
      <c r="D3115" s="64"/>
      <c r="E3115" s="64"/>
      <c r="F3115" s="72"/>
      <c r="G3115" s="67"/>
      <c r="H3115" s="72"/>
      <c r="I3115" s="437"/>
      <c r="J3115" s="437"/>
      <c r="K3115" s="428"/>
      <c r="L3115" s="437"/>
      <c r="M3115" s="65"/>
      <c r="N3115" s="66"/>
      <c r="O3115" s="66"/>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s="349" customFormat="1" ht="15.75" customHeight="1">
      <c r="A3116" s="334" t="str">
        <f>IF(B3116&lt;&gt;"",IF(AND(B3116='IN-TC'!$S$4,OR(TH!N3116="1111",TH!O3116="1111")),TH!D3116,""),"")</f>
        <v/>
      </c>
      <c r="B3116" s="63" t="str">
        <f t="shared" si="424"/>
        <v/>
      </c>
      <c r="C3116" s="64"/>
      <c r="D3116" s="64"/>
      <c r="E3116" s="64"/>
      <c r="F3116" s="72"/>
      <c r="G3116" s="67"/>
      <c r="H3116" s="72"/>
      <c r="I3116" s="437"/>
      <c r="J3116" s="437"/>
      <c r="K3116" s="428"/>
      <c r="L3116" s="437"/>
      <c r="M3116" s="65"/>
      <c r="N3116" s="66"/>
      <c r="O3116" s="66"/>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s="349" customFormat="1" ht="15.75" customHeight="1">
      <c r="A3117" s="334" t="str">
        <f>IF(B3117&lt;&gt;"",IF(AND(B3117='IN-TC'!$S$4,OR(TH!N3117="1111",TH!O3117="1111")),TH!D3117,""),"")</f>
        <v/>
      </c>
      <c r="B3117" s="63" t="str">
        <f t="shared" si="424"/>
        <v/>
      </c>
      <c r="C3117" s="64"/>
      <c r="D3117" s="64"/>
      <c r="E3117" s="64"/>
      <c r="F3117" s="72"/>
      <c r="G3117" s="67"/>
      <c r="H3117" s="72"/>
      <c r="I3117" s="437"/>
      <c r="J3117" s="437"/>
      <c r="K3117" s="428"/>
      <c r="L3117" s="437"/>
      <c r="M3117" s="65"/>
      <c r="N3117" s="66"/>
      <c r="O3117" s="66"/>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s="349" customFormat="1" ht="15.75" customHeight="1">
      <c r="A3118" s="334" t="str">
        <f>IF(B3118&lt;&gt;"",IF(AND(B3118='IN-TC'!$S$4,OR(TH!N3118="1111",TH!O3118="1111")),TH!D3118,""),"")</f>
        <v/>
      </c>
      <c r="B3118" s="63" t="str">
        <f t="shared" si="424"/>
        <v/>
      </c>
      <c r="C3118" s="64"/>
      <c r="D3118" s="64"/>
      <c r="E3118" s="64"/>
      <c r="F3118" s="72"/>
      <c r="G3118" s="67"/>
      <c r="H3118" s="72"/>
      <c r="I3118" s="437"/>
      <c r="J3118" s="437"/>
      <c r="K3118" s="428"/>
      <c r="L3118" s="437"/>
      <c r="M3118" s="65"/>
      <c r="N3118" s="66"/>
      <c r="O3118" s="66"/>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s="349" customFormat="1" ht="15.75" customHeight="1">
      <c r="A3119" s="334" t="str">
        <f>IF(B3119&lt;&gt;"",IF(AND(B3119='IN-TC'!$S$4,OR(TH!N3119="1111",TH!O3119="1111")),TH!D3119,""),"")</f>
        <v/>
      </c>
      <c r="B3119" s="63" t="str">
        <f t="shared" si="424"/>
        <v/>
      </c>
      <c r="C3119" s="64"/>
      <c r="D3119" s="64"/>
      <c r="E3119" s="64"/>
      <c r="F3119" s="72"/>
      <c r="G3119" s="67"/>
      <c r="H3119" s="72"/>
      <c r="I3119" s="437"/>
      <c r="J3119" s="437"/>
      <c r="K3119" s="428"/>
      <c r="L3119" s="437"/>
      <c r="M3119" s="65"/>
      <c r="N3119" s="66"/>
      <c r="O3119" s="66"/>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s="349" customFormat="1" ht="15.75" customHeight="1">
      <c r="A3120" s="334" t="str">
        <f>IF(B3120&lt;&gt;"",IF(AND(B3120='IN-TC'!$S$4,OR(TH!N3120="1111",TH!O3120="1111")),TH!D3120,""),"")</f>
        <v/>
      </c>
      <c r="B3120" s="63" t="str">
        <f t="shared" si="424"/>
        <v/>
      </c>
      <c r="C3120" s="64"/>
      <c r="D3120" s="64"/>
      <c r="E3120" s="64"/>
      <c r="F3120" s="72"/>
      <c r="G3120" s="67"/>
      <c r="H3120" s="72"/>
      <c r="I3120" s="437"/>
      <c r="J3120" s="437"/>
      <c r="K3120" s="428"/>
      <c r="L3120" s="437"/>
      <c r="M3120" s="65"/>
      <c r="N3120" s="66"/>
      <c r="O3120" s="66"/>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s="349" customFormat="1" ht="15.75" customHeight="1">
      <c r="A3121" s="334" t="str">
        <f>IF(B3121&lt;&gt;"",IF(AND(B3121='IN-TC'!$S$4,OR(TH!N3121="1111",TH!O3121="1111")),TH!D3121,""),"")</f>
        <v/>
      </c>
      <c r="B3121" s="63" t="str">
        <f t="shared" si="424"/>
        <v/>
      </c>
      <c r="C3121" s="64"/>
      <c r="D3121" s="64"/>
      <c r="E3121" s="64"/>
      <c r="F3121" s="72"/>
      <c r="G3121" s="67"/>
      <c r="H3121" s="72"/>
      <c r="I3121" s="437"/>
      <c r="J3121" s="437"/>
      <c r="K3121" s="428"/>
      <c r="L3121" s="437"/>
      <c r="M3121" s="65"/>
      <c r="N3121" s="66"/>
      <c r="O3121" s="66"/>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s="349" customFormat="1" ht="15.75" customHeight="1">
      <c r="A3122" s="334" t="str">
        <f>IF(B3122&lt;&gt;"",IF(AND(B3122='IN-TC'!$S$4,OR(TH!N3122="1111",TH!O3122="1111")),TH!D3122,""),"")</f>
        <v/>
      </c>
      <c r="B3122" s="63" t="str">
        <f t="shared" si="424"/>
        <v/>
      </c>
      <c r="C3122" s="64"/>
      <c r="D3122" s="64"/>
      <c r="E3122" s="64"/>
      <c r="F3122" s="72"/>
      <c r="G3122" s="67"/>
      <c r="H3122" s="72"/>
      <c r="I3122" s="437"/>
      <c r="J3122" s="437"/>
      <c r="K3122" s="428"/>
      <c r="L3122" s="437"/>
      <c r="M3122" s="65"/>
      <c r="N3122" s="66"/>
      <c r="O3122" s="66"/>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s="349" customFormat="1" ht="15.75" customHeight="1">
      <c r="A3123" s="334" t="str">
        <f>IF(B3123&lt;&gt;"",IF(AND(B3123='IN-TC'!$S$4,OR(TH!N3123="1111",TH!O3123="1111")),TH!D3123,""),"")</f>
        <v/>
      </c>
      <c r="B3123" s="63" t="str">
        <f t="shared" si="424"/>
        <v/>
      </c>
      <c r="C3123" s="64"/>
      <c r="D3123" s="64"/>
      <c r="E3123" s="64"/>
      <c r="F3123" s="72"/>
      <c r="G3123" s="67"/>
      <c r="H3123" s="72"/>
      <c r="I3123" s="437"/>
      <c r="J3123" s="437"/>
      <c r="K3123" s="428"/>
      <c r="L3123" s="437"/>
      <c r="M3123" s="65"/>
      <c r="N3123" s="66"/>
      <c r="O3123" s="66"/>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s="349" customFormat="1" ht="15.75" customHeight="1">
      <c r="A3124" s="334" t="str">
        <f>IF(B3124&lt;&gt;"",IF(AND(B3124='IN-TC'!$S$4,OR(TH!N3124="1111",TH!O3124="1111")),TH!D3124,""),"")</f>
        <v/>
      </c>
      <c r="B3124" s="63" t="str">
        <f t="shared" si="424"/>
        <v/>
      </c>
      <c r="C3124" s="64"/>
      <c r="D3124" s="64"/>
      <c r="E3124" s="64"/>
      <c r="F3124" s="72"/>
      <c r="G3124" s="67"/>
      <c r="H3124" s="72"/>
      <c r="I3124" s="437"/>
      <c r="J3124" s="437"/>
      <c r="K3124" s="428"/>
      <c r="L3124" s="437"/>
      <c r="M3124" s="65"/>
      <c r="N3124" s="66"/>
      <c r="O3124" s="66"/>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s="349" customFormat="1" ht="15.75" customHeight="1">
      <c r="A3125" s="334" t="str">
        <f>IF(B3125&lt;&gt;"",IF(AND(B3125='IN-TC'!$S$4,OR(TH!N3125="1111",TH!O3125="1111")),TH!D3125,""),"")</f>
        <v/>
      </c>
      <c r="B3125" s="63" t="str">
        <f t="shared" si="424"/>
        <v/>
      </c>
      <c r="C3125" s="64"/>
      <c r="D3125" s="64"/>
      <c r="E3125" s="64"/>
      <c r="F3125" s="72"/>
      <c r="G3125" s="67"/>
      <c r="H3125" s="72"/>
      <c r="I3125" s="437"/>
      <c r="J3125" s="437"/>
      <c r="K3125" s="428"/>
      <c r="L3125" s="437"/>
      <c r="M3125" s="65"/>
      <c r="N3125" s="66"/>
      <c r="O3125" s="66"/>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s="349" customFormat="1" ht="15.75" customHeight="1">
      <c r="A3126" s="334" t="str">
        <f>IF(B3126&lt;&gt;"",IF(AND(B3126='IN-TC'!$S$4,OR(TH!N3126="1111",TH!O3126="1111")),TH!D3126,""),"")</f>
        <v/>
      </c>
      <c r="B3126" s="63" t="str">
        <f t="shared" si="424"/>
        <v/>
      </c>
      <c r="C3126" s="64"/>
      <c r="D3126" s="64"/>
      <c r="E3126" s="64"/>
      <c r="F3126" s="72"/>
      <c r="G3126" s="67"/>
      <c r="H3126" s="72"/>
      <c r="I3126" s="437"/>
      <c r="J3126" s="437"/>
      <c r="K3126" s="428"/>
      <c r="L3126" s="437"/>
      <c r="M3126" s="65"/>
      <c r="N3126" s="66"/>
      <c r="O3126" s="66"/>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s="349" customFormat="1" ht="15.75" customHeight="1">
      <c r="A3127" s="334" t="str">
        <f>IF(B3127&lt;&gt;"",IF(AND(B3127='IN-TC'!$S$4,OR(TH!N3127="1111",TH!O3127="1111")),TH!D3127,""),"")</f>
        <v/>
      </c>
      <c r="B3127" s="63" t="str">
        <f t="shared" si="424"/>
        <v/>
      </c>
      <c r="C3127" s="64"/>
      <c r="D3127" s="64"/>
      <c r="E3127" s="64"/>
      <c r="F3127" s="72"/>
      <c r="G3127" s="67"/>
      <c r="H3127" s="72"/>
      <c r="I3127" s="437"/>
      <c r="J3127" s="437"/>
      <c r="K3127" s="428"/>
      <c r="L3127" s="437"/>
      <c r="M3127" s="65"/>
      <c r="N3127" s="66"/>
      <c r="O3127" s="66"/>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s="349" customFormat="1" ht="15.75" customHeight="1">
      <c r="A3128" s="334" t="str">
        <f>IF(B3128&lt;&gt;"",IF(AND(B3128='IN-TC'!$S$4,OR(TH!N3128="1111",TH!O3128="1111")),TH!D3128,""),"")</f>
        <v/>
      </c>
      <c r="B3128" s="63" t="str">
        <f t="shared" si="424"/>
        <v/>
      </c>
      <c r="C3128" s="64"/>
      <c r="D3128" s="64"/>
      <c r="E3128" s="64"/>
      <c r="F3128" s="72"/>
      <c r="G3128" s="67"/>
      <c r="H3128" s="72"/>
      <c r="I3128" s="437"/>
      <c r="J3128" s="437"/>
      <c r="K3128" s="428"/>
      <c r="L3128" s="437"/>
      <c r="M3128" s="65"/>
      <c r="N3128" s="66"/>
      <c r="O3128" s="66"/>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s="349" customFormat="1" ht="15.75" customHeight="1">
      <c r="A3129" s="334" t="str">
        <f>IF(B3129&lt;&gt;"",IF(AND(B3129='IN-TC'!$S$4,OR(TH!N3129="1111",TH!O3129="1111")),TH!D3129,""),"")</f>
        <v/>
      </c>
      <c r="B3129" s="63" t="str">
        <f t="shared" si="424"/>
        <v/>
      </c>
      <c r="C3129" s="64"/>
      <c r="D3129" s="64"/>
      <c r="E3129" s="64"/>
      <c r="F3129" s="72"/>
      <c r="G3129" s="67"/>
      <c r="H3129" s="72"/>
      <c r="I3129" s="437"/>
      <c r="J3129" s="437"/>
      <c r="K3129" s="428"/>
      <c r="L3129" s="437"/>
      <c r="M3129" s="65"/>
      <c r="N3129" s="66"/>
      <c r="O3129" s="66"/>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s="349" customFormat="1" ht="15.75" customHeight="1">
      <c r="A3130" s="334" t="str">
        <f>IF(B3130&lt;&gt;"",IF(AND(B3130='IN-TC'!$S$4,OR(TH!N3130="1111",TH!O3130="1111")),TH!D3130,""),"")</f>
        <v/>
      </c>
      <c r="B3130" s="63" t="str">
        <f t="shared" si="424"/>
        <v/>
      </c>
      <c r="C3130" s="64"/>
      <c r="D3130" s="64"/>
      <c r="E3130" s="64"/>
      <c r="F3130" s="72"/>
      <c r="G3130" s="67"/>
      <c r="H3130" s="72"/>
      <c r="I3130" s="437"/>
      <c r="J3130" s="437"/>
      <c r="K3130" s="428"/>
      <c r="L3130" s="437"/>
      <c r="M3130" s="65"/>
      <c r="N3130" s="66"/>
      <c r="O3130" s="66"/>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s="349" customFormat="1" ht="15.75" customHeight="1">
      <c r="A3131" s="334" t="str">
        <f>IF(B3131&lt;&gt;"",IF(AND(B3131='IN-TC'!$S$4,OR(TH!N3131="1111",TH!O3131="1111")),TH!D3131,""),"")</f>
        <v/>
      </c>
      <c r="B3131" s="63" t="str">
        <f t="shared" si="424"/>
        <v/>
      </c>
      <c r="C3131" s="64"/>
      <c r="D3131" s="64"/>
      <c r="E3131" s="64"/>
      <c r="F3131" s="72"/>
      <c r="G3131" s="67"/>
      <c r="H3131" s="72"/>
      <c r="I3131" s="437"/>
      <c r="J3131" s="437"/>
      <c r="K3131" s="428"/>
      <c r="L3131" s="437"/>
      <c r="M3131" s="65"/>
      <c r="N3131" s="66"/>
      <c r="O3131" s="66"/>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s="349" customFormat="1" ht="15.75" customHeight="1">
      <c r="A3132" s="334" t="str">
        <f>IF(B3132&lt;&gt;"",IF(AND(B3132='IN-TC'!$S$4,OR(TH!N3132="1111",TH!O3132="1111")),TH!D3132,""),"")</f>
        <v/>
      </c>
      <c r="B3132" s="63" t="str">
        <f t="shared" si="424"/>
        <v/>
      </c>
      <c r="C3132" s="64"/>
      <c r="D3132" s="64"/>
      <c r="E3132" s="64"/>
      <c r="F3132" s="72"/>
      <c r="G3132" s="67"/>
      <c r="H3132" s="72"/>
      <c r="I3132" s="437"/>
      <c r="J3132" s="437"/>
      <c r="K3132" s="428"/>
      <c r="L3132" s="437"/>
      <c r="M3132" s="65"/>
      <c r="N3132" s="66"/>
      <c r="O3132" s="66"/>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s="349" customFormat="1" ht="15.75" customHeight="1">
      <c r="A3133" s="334" t="str">
        <f>IF(B3133&lt;&gt;"",IF(AND(B3133='IN-TC'!$S$4,OR(TH!N3133="1111",TH!O3133="1111")),TH!D3133,""),"")</f>
        <v/>
      </c>
      <c r="B3133" s="63" t="str">
        <f t="shared" si="424"/>
        <v/>
      </c>
      <c r="C3133" s="64"/>
      <c r="D3133" s="64"/>
      <c r="E3133" s="64"/>
      <c r="F3133" s="72"/>
      <c r="G3133" s="67"/>
      <c r="H3133" s="72"/>
      <c r="I3133" s="437"/>
      <c r="J3133" s="437"/>
      <c r="K3133" s="428"/>
      <c r="L3133" s="437"/>
      <c r="M3133" s="65"/>
      <c r="N3133" s="66"/>
      <c r="O3133" s="66"/>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s="349" customFormat="1" ht="15.75" customHeight="1">
      <c r="A3134" s="334" t="str">
        <f>IF(B3134&lt;&gt;"",IF(AND(B3134='IN-TC'!$S$4,OR(TH!N3134="1111",TH!O3134="1111")),TH!D3134,""),"")</f>
        <v/>
      </c>
      <c r="B3134" s="63" t="str">
        <f t="shared" si="424"/>
        <v/>
      </c>
      <c r="C3134" s="64"/>
      <c r="D3134" s="64"/>
      <c r="E3134" s="64"/>
      <c r="F3134" s="72"/>
      <c r="G3134" s="67"/>
      <c r="H3134" s="72"/>
      <c r="I3134" s="437"/>
      <c r="J3134" s="437"/>
      <c r="K3134" s="428"/>
      <c r="L3134" s="437"/>
      <c r="M3134" s="65"/>
      <c r="N3134" s="66"/>
      <c r="O3134" s="66"/>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s="349" customFormat="1" ht="15.75" customHeight="1">
      <c r="A3135" s="334" t="str">
        <f>IF(B3135&lt;&gt;"",IF(AND(B3135='IN-TC'!$S$4,OR(TH!N3135="1111",TH!O3135="1111")),TH!D3135,""),"")</f>
        <v/>
      </c>
      <c r="B3135" s="63" t="str">
        <f t="shared" si="424"/>
        <v/>
      </c>
      <c r="C3135" s="64"/>
      <c r="D3135" s="64"/>
      <c r="E3135" s="64"/>
      <c r="F3135" s="72"/>
      <c r="G3135" s="67"/>
      <c r="H3135" s="72"/>
      <c r="I3135" s="437"/>
      <c r="J3135" s="437"/>
      <c r="K3135" s="428"/>
      <c r="L3135" s="437"/>
      <c r="M3135" s="65"/>
      <c r="N3135" s="66"/>
      <c r="O3135" s="66"/>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s="349" customFormat="1" ht="15.75" customHeight="1">
      <c r="A3136" s="334" t="str">
        <f>IF(B3136&lt;&gt;"",IF(AND(B3136='IN-TC'!$S$4,OR(TH!N3136="1111",TH!O3136="1111")),TH!D3136,""),"")</f>
        <v/>
      </c>
      <c r="B3136" s="63" t="str">
        <f t="shared" si="424"/>
        <v/>
      </c>
      <c r="C3136" s="64"/>
      <c r="D3136" s="64"/>
      <c r="E3136" s="64"/>
      <c r="F3136" s="72"/>
      <c r="G3136" s="67"/>
      <c r="H3136" s="72"/>
      <c r="I3136" s="437"/>
      <c r="J3136" s="437"/>
      <c r="K3136" s="428"/>
      <c r="L3136" s="437"/>
      <c r="M3136" s="65"/>
      <c r="N3136" s="66"/>
      <c r="O3136" s="66"/>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s="349" customFormat="1" ht="15.75" customHeight="1">
      <c r="A3137" s="334" t="str">
        <f>IF(B3137&lt;&gt;"",IF(AND(B3137='IN-TC'!$S$4,OR(TH!N3137="1111",TH!O3137="1111")),TH!D3137,""),"")</f>
        <v/>
      </c>
      <c r="B3137" s="63" t="str">
        <f t="shared" si="424"/>
        <v/>
      </c>
      <c r="C3137" s="64"/>
      <c r="D3137" s="64"/>
      <c r="E3137" s="64"/>
      <c r="F3137" s="72"/>
      <c r="G3137" s="67"/>
      <c r="H3137" s="72"/>
      <c r="I3137" s="437"/>
      <c r="J3137" s="437"/>
      <c r="K3137" s="428"/>
      <c r="L3137" s="437"/>
      <c r="M3137" s="65"/>
      <c r="N3137" s="66"/>
      <c r="O3137" s="66"/>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s="349" customFormat="1" ht="15.75" customHeight="1">
      <c r="A3138" s="334" t="str">
        <f>IF(B3138&lt;&gt;"",IF(AND(B3138='IN-TC'!$S$4,OR(TH!N3138="1111",TH!O3138="1111")),TH!D3138,""),"")</f>
        <v/>
      </c>
      <c r="B3138" s="63" t="str">
        <f t="shared" si="424"/>
        <v/>
      </c>
      <c r="C3138" s="64"/>
      <c r="D3138" s="64"/>
      <c r="E3138" s="64"/>
      <c r="F3138" s="72"/>
      <c r="G3138" s="67"/>
      <c r="H3138" s="72"/>
      <c r="I3138" s="437"/>
      <c r="J3138" s="437"/>
      <c r="K3138" s="428"/>
      <c r="L3138" s="437"/>
      <c r="M3138" s="65"/>
      <c r="N3138" s="66"/>
      <c r="O3138" s="66"/>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s="349" customFormat="1" ht="15.75" customHeight="1">
      <c r="A3139" s="334" t="str">
        <f>IF(B3139&lt;&gt;"",IF(AND(B3139='IN-TC'!$S$4,OR(TH!N3139="1111",TH!O3139="1111")),TH!D3139,""),"")</f>
        <v/>
      </c>
      <c r="B3139" s="63" t="str">
        <f t="shared" si="424"/>
        <v/>
      </c>
      <c r="C3139" s="64"/>
      <c r="D3139" s="64"/>
      <c r="E3139" s="64"/>
      <c r="F3139" s="72"/>
      <c r="G3139" s="67"/>
      <c r="H3139" s="72"/>
      <c r="I3139" s="437"/>
      <c r="J3139" s="437"/>
      <c r="K3139" s="428"/>
      <c r="L3139" s="437"/>
      <c r="M3139" s="65"/>
      <c r="N3139" s="66"/>
      <c r="O3139" s="66"/>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s="349" customFormat="1" ht="15.75" customHeight="1">
      <c r="A3140" s="334" t="str">
        <f>IF(B3140&lt;&gt;"",IF(AND(B3140='IN-TC'!$S$4,OR(TH!N3140="1111",TH!O3140="1111")),TH!D3140,""),"")</f>
        <v/>
      </c>
      <c r="B3140" s="63" t="str">
        <f t="shared" si="424"/>
        <v/>
      </c>
      <c r="C3140" s="64"/>
      <c r="D3140" s="64"/>
      <c r="E3140" s="64"/>
      <c r="F3140" s="72"/>
      <c r="G3140" s="67"/>
      <c r="H3140" s="72"/>
      <c r="I3140" s="437"/>
      <c r="J3140" s="437"/>
      <c r="K3140" s="428"/>
      <c r="L3140" s="437"/>
      <c r="M3140" s="65"/>
      <c r="N3140" s="66"/>
      <c r="O3140" s="66"/>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s="349" customFormat="1" ht="15.75" customHeight="1">
      <c r="A3141" s="334" t="str">
        <f>IF(B3141&lt;&gt;"",IF(AND(B3141='IN-TC'!$S$4,OR(TH!N3141="1111",TH!O3141="1111")),TH!D3141,""),"")</f>
        <v/>
      </c>
      <c r="B3141" s="63" t="str">
        <f t="shared" si="424"/>
        <v/>
      </c>
      <c r="C3141" s="64"/>
      <c r="D3141" s="64"/>
      <c r="E3141" s="64"/>
      <c r="F3141" s="72"/>
      <c r="G3141" s="67"/>
      <c r="H3141" s="72"/>
      <c r="I3141" s="437"/>
      <c r="J3141" s="437"/>
      <c r="K3141" s="428"/>
      <c r="L3141" s="437"/>
      <c r="M3141" s="65"/>
      <c r="N3141" s="66"/>
      <c r="O3141" s="66"/>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s="349" customFormat="1" ht="15.75" customHeight="1">
      <c r="A3142" s="334" t="str">
        <f>IF(B3142&lt;&gt;"",IF(AND(B3142='IN-TC'!$S$4,OR(TH!N3142="1111",TH!O3142="1111")),TH!D3142,""),"")</f>
        <v/>
      </c>
      <c r="B3142" s="63" t="str">
        <f t="shared" si="424"/>
        <v/>
      </c>
      <c r="C3142" s="64"/>
      <c r="D3142" s="64"/>
      <c r="E3142" s="64"/>
      <c r="F3142" s="72"/>
      <c r="G3142" s="67"/>
      <c r="H3142" s="72"/>
      <c r="I3142" s="437"/>
      <c r="J3142" s="437"/>
      <c r="K3142" s="428"/>
      <c r="L3142" s="437"/>
      <c r="M3142" s="65"/>
      <c r="N3142" s="66"/>
      <c r="O3142" s="66"/>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s="349" customFormat="1" ht="15.75" customHeight="1">
      <c r="A3143" s="334" t="str">
        <f>IF(B3143&lt;&gt;"",IF(AND(B3143='IN-TC'!$S$4,OR(TH!N3143="1111",TH!O3143="1111")),TH!D3143,""),"")</f>
        <v/>
      </c>
      <c r="B3143" s="63" t="str">
        <f t="shared" si="424"/>
        <v/>
      </c>
      <c r="C3143" s="64"/>
      <c r="D3143" s="64"/>
      <c r="E3143" s="64"/>
      <c r="F3143" s="72"/>
      <c r="G3143" s="67"/>
      <c r="H3143" s="72"/>
      <c r="I3143" s="437"/>
      <c r="J3143" s="437"/>
      <c r="K3143" s="428"/>
      <c r="L3143" s="437"/>
      <c r="M3143" s="65"/>
      <c r="N3143" s="66"/>
      <c r="O3143" s="66"/>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s="349" customFormat="1" ht="15.75" customHeight="1">
      <c r="A3144" s="334" t="str">
        <f>IF(B3144&lt;&gt;"",IF(AND(B3144='IN-TC'!$S$4,OR(TH!N3144="1111",TH!O3144="1111")),TH!D3144,""),"")</f>
        <v/>
      </c>
      <c r="B3144" s="63" t="str">
        <f t="shared" si="424"/>
        <v/>
      </c>
      <c r="C3144" s="64"/>
      <c r="D3144" s="64"/>
      <c r="E3144" s="64"/>
      <c r="F3144" s="72"/>
      <c r="G3144" s="67"/>
      <c r="H3144" s="72"/>
      <c r="I3144" s="437"/>
      <c r="J3144" s="437"/>
      <c r="K3144" s="428"/>
      <c r="L3144" s="437"/>
      <c r="M3144" s="65"/>
      <c r="N3144" s="66"/>
      <c r="O3144" s="66"/>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s="349" customFormat="1" ht="15.75" customHeight="1">
      <c r="A3145" s="334" t="str">
        <f>IF(B3145&lt;&gt;"",IF(AND(B3145='IN-TC'!$S$4,OR(TH!N3145="1111",TH!O3145="1111")),TH!D3145,""),"")</f>
        <v/>
      </c>
      <c r="B3145" s="63" t="str">
        <f t="shared" si="424"/>
        <v/>
      </c>
      <c r="C3145" s="64"/>
      <c r="D3145" s="64"/>
      <c r="E3145" s="64"/>
      <c r="F3145" s="72"/>
      <c r="G3145" s="67"/>
      <c r="H3145" s="72"/>
      <c r="I3145" s="437"/>
      <c r="J3145" s="437"/>
      <c r="K3145" s="428"/>
      <c r="L3145" s="437"/>
      <c r="M3145" s="65"/>
      <c r="N3145" s="66"/>
      <c r="O3145" s="66"/>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s="349" customFormat="1" ht="15.75" customHeight="1">
      <c r="A3146" s="334" t="str">
        <f>IF(B3146&lt;&gt;"",IF(AND(B3146='IN-TC'!$S$4,OR(TH!N3146="1111",TH!O3146="1111")),TH!D3146,""),"")</f>
        <v/>
      </c>
      <c r="B3146" s="63" t="str">
        <f t="shared" si="424"/>
        <v/>
      </c>
      <c r="C3146" s="64"/>
      <c r="D3146" s="64"/>
      <c r="E3146" s="64"/>
      <c r="F3146" s="72"/>
      <c r="G3146" s="67"/>
      <c r="H3146" s="72"/>
      <c r="I3146" s="437"/>
      <c r="J3146" s="437"/>
      <c r="K3146" s="428"/>
      <c r="L3146" s="437"/>
      <c r="M3146" s="65"/>
      <c r="N3146" s="66"/>
      <c r="O3146" s="66"/>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s="349" customFormat="1" ht="15.75" customHeight="1">
      <c r="A3147" s="334" t="str">
        <f>IF(B3147&lt;&gt;"",IF(AND(B3147='IN-TC'!$S$4,OR(TH!N3147="1111",TH!O3147="1111")),TH!D3147,""),"")</f>
        <v/>
      </c>
      <c r="B3147" s="63" t="str">
        <f t="shared" si="424"/>
        <v/>
      </c>
      <c r="C3147" s="64"/>
      <c r="D3147" s="64"/>
      <c r="E3147" s="64"/>
      <c r="F3147" s="72"/>
      <c r="G3147" s="67"/>
      <c r="H3147" s="72"/>
      <c r="I3147" s="437"/>
      <c r="J3147" s="437"/>
      <c r="K3147" s="428"/>
      <c r="L3147" s="437"/>
      <c r="M3147" s="65"/>
      <c r="N3147" s="66"/>
      <c r="O3147" s="66"/>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s="349" customFormat="1" ht="15.75" customHeight="1">
      <c r="A3148" s="334" t="str">
        <f>IF(B3148&lt;&gt;"",IF(AND(B3148='IN-TC'!$S$4,OR(TH!N3148="1111",TH!O3148="1111")),TH!D3148,""),"")</f>
        <v/>
      </c>
      <c r="B3148" s="63" t="str">
        <f t="shared" si="424"/>
        <v/>
      </c>
      <c r="C3148" s="64"/>
      <c r="D3148" s="64"/>
      <c r="E3148" s="64"/>
      <c r="F3148" s="72"/>
      <c r="G3148" s="67"/>
      <c r="H3148" s="72"/>
      <c r="I3148" s="437"/>
      <c r="J3148" s="437"/>
      <c r="K3148" s="428"/>
      <c r="L3148" s="437"/>
      <c r="M3148" s="65"/>
      <c r="N3148" s="66"/>
      <c r="O3148" s="66"/>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s="349" customFormat="1" ht="15.75" customHeight="1">
      <c r="A3149" s="334" t="str">
        <f>IF(B3149&lt;&gt;"",IF(AND(B3149='IN-TC'!$S$4,OR(TH!N3149="1111",TH!O3149="1111")),TH!D3149,""),"")</f>
        <v/>
      </c>
      <c r="B3149" s="63" t="str">
        <f t="shared" si="424"/>
        <v/>
      </c>
      <c r="C3149" s="64"/>
      <c r="D3149" s="64"/>
      <c r="E3149" s="64"/>
      <c r="F3149" s="72"/>
      <c r="G3149" s="67"/>
      <c r="H3149" s="72"/>
      <c r="I3149" s="437"/>
      <c r="J3149" s="437"/>
      <c r="K3149" s="428"/>
      <c r="L3149" s="437"/>
      <c r="M3149" s="65"/>
      <c r="N3149" s="66"/>
      <c r="O3149" s="66"/>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s="349" customFormat="1" ht="15.75" customHeight="1">
      <c r="A3150" s="334" t="str">
        <f>IF(B3150&lt;&gt;"",IF(AND(B3150='IN-TC'!$S$4,OR(TH!N3150="1111",TH!O3150="1111")),TH!D3150,""),"")</f>
        <v/>
      </c>
      <c r="B3150" s="63" t="str">
        <f t="shared" si="424"/>
        <v/>
      </c>
      <c r="C3150" s="64"/>
      <c r="D3150" s="64"/>
      <c r="E3150" s="64"/>
      <c r="F3150" s="72"/>
      <c r="G3150" s="67"/>
      <c r="H3150" s="72"/>
      <c r="I3150" s="437"/>
      <c r="J3150" s="437"/>
      <c r="K3150" s="428"/>
      <c r="L3150" s="437"/>
      <c r="M3150" s="65"/>
      <c r="N3150" s="66"/>
      <c r="O3150" s="66"/>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s="349" customFormat="1" ht="15.75" customHeight="1">
      <c r="A3151" s="334" t="str">
        <f>IF(B3151&lt;&gt;"",IF(AND(B3151='IN-TC'!$S$4,OR(TH!N3151="1111",TH!O3151="1111")),TH!D3151,""),"")</f>
        <v/>
      </c>
      <c r="B3151" s="63" t="str">
        <f t="shared" si="424"/>
        <v/>
      </c>
      <c r="C3151" s="64"/>
      <c r="D3151" s="64"/>
      <c r="E3151" s="64"/>
      <c r="F3151" s="72"/>
      <c r="G3151" s="67"/>
      <c r="H3151" s="72"/>
      <c r="I3151" s="437"/>
      <c r="J3151" s="437"/>
      <c r="K3151" s="428"/>
      <c r="L3151" s="437"/>
      <c r="M3151" s="65"/>
      <c r="N3151" s="66"/>
      <c r="O3151" s="66"/>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s="349" customFormat="1" ht="15.75" customHeight="1">
      <c r="A3152" s="334" t="str">
        <f>IF(B3152&lt;&gt;"",IF(AND(B3152='IN-TC'!$S$4,OR(TH!N3152="1111",TH!O3152="1111")),TH!D3152,""),"")</f>
        <v/>
      </c>
      <c r="B3152" s="63" t="str">
        <f t="shared" si="424"/>
        <v/>
      </c>
      <c r="C3152" s="64"/>
      <c r="D3152" s="64"/>
      <c r="E3152" s="64"/>
      <c r="F3152" s="72"/>
      <c r="G3152" s="67"/>
      <c r="H3152" s="72"/>
      <c r="I3152" s="437"/>
      <c r="J3152" s="437"/>
      <c r="K3152" s="428"/>
      <c r="L3152" s="437"/>
      <c r="M3152" s="65"/>
      <c r="N3152" s="66"/>
      <c r="O3152" s="66"/>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s="349" customFormat="1" ht="15.75" customHeight="1">
      <c r="A3153" s="334" t="str">
        <f>IF(B3153&lt;&gt;"",IF(AND(B3153='IN-TC'!$S$4,OR(TH!N3153="1111",TH!O3153="1111")),TH!D3153,""),"")</f>
        <v/>
      </c>
      <c r="B3153" s="63" t="str">
        <f t="shared" si="424"/>
        <v/>
      </c>
      <c r="C3153" s="64"/>
      <c r="D3153" s="64"/>
      <c r="E3153" s="64"/>
      <c r="F3153" s="72"/>
      <c r="G3153" s="67"/>
      <c r="H3153" s="72"/>
      <c r="I3153" s="437"/>
      <c r="J3153" s="437"/>
      <c r="K3153" s="428"/>
      <c r="L3153" s="437"/>
      <c r="M3153" s="65"/>
      <c r="N3153" s="66"/>
      <c r="O3153" s="66"/>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s="349" customFormat="1" ht="15.75" customHeight="1">
      <c r="A3154" s="334" t="str">
        <f>IF(B3154&lt;&gt;"",IF(AND(B3154='IN-TC'!$S$4,OR(TH!N3154="1111",TH!O3154="1111")),TH!D3154,""),"")</f>
        <v/>
      </c>
      <c r="B3154" s="63" t="str">
        <f t="shared" si="424"/>
        <v/>
      </c>
      <c r="C3154" s="64"/>
      <c r="D3154" s="64"/>
      <c r="E3154" s="64"/>
      <c r="F3154" s="72"/>
      <c r="G3154" s="67"/>
      <c r="H3154" s="72"/>
      <c r="I3154" s="437"/>
      <c r="J3154" s="437"/>
      <c r="K3154" s="428"/>
      <c r="L3154" s="437"/>
      <c r="M3154" s="65"/>
      <c r="N3154" s="66"/>
      <c r="O3154" s="66"/>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s="349" customFormat="1" ht="15.75" customHeight="1">
      <c r="A3155" s="334" t="str">
        <f>IF(B3155&lt;&gt;"",IF(AND(B3155='IN-TC'!$S$4,OR(TH!N3155="1111",TH!O3155="1111")),TH!D3155,""),"")</f>
        <v/>
      </c>
      <c r="B3155" s="63" t="str">
        <f t="shared" si="424"/>
        <v/>
      </c>
      <c r="C3155" s="64"/>
      <c r="D3155" s="64"/>
      <c r="E3155" s="64"/>
      <c r="F3155" s="72"/>
      <c r="G3155" s="67"/>
      <c r="H3155" s="72"/>
      <c r="I3155" s="437"/>
      <c r="J3155" s="437"/>
      <c r="K3155" s="428"/>
      <c r="L3155" s="437"/>
      <c r="M3155" s="65"/>
      <c r="N3155" s="66"/>
      <c r="O3155" s="66"/>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s="349" customFormat="1" ht="15.75" customHeight="1">
      <c r="A3156" s="334" t="str">
        <f>IF(B3156&lt;&gt;"",IF(AND(B3156='IN-TC'!$S$4,OR(TH!N3156="1111",TH!O3156="1111")),TH!D3156,""),"")</f>
        <v/>
      </c>
      <c r="B3156" s="63" t="str">
        <f t="shared" si="424"/>
        <v/>
      </c>
      <c r="C3156" s="64"/>
      <c r="D3156" s="64"/>
      <c r="E3156" s="64"/>
      <c r="F3156" s="72"/>
      <c r="G3156" s="67"/>
      <c r="H3156" s="72"/>
      <c r="I3156" s="437"/>
      <c r="J3156" s="437"/>
      <c r="K3156" s="428"/>
      <c r="L3156" s="437"/>
      <c r="M3156" s="65"/>
      <c r="N3156" s="66"/>
      <c r="O3156" s="66"/>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s="349" customFormat="1" ht="15.75" customHeight="1">
      <c r="A3157" s="334" t="str">
        <f>IF(B3157&lt;&gt;"",IF(AND(B3157='IN-TC'!$S$4,OR(TH!N3157="1111",TH!O3157="1111")),TH!D3157,""),"")</f>
        <v/>
      </c>
      <c r="B3157" s="63" t="str">
        <f t="shared" si="424"/>
        <v/>
      </c>
      <c r="C3157" s="64"/>
      <c r="D3157" s="64"/>
      <c r="E3157" s="64"/>
      <c r="F3157" s="72"/>
      <c r="G3157" s="67"/>
      <c r="H3157" s="72"/>
      <c r="I3157" s="437"/>
      <c r="J3157" s="437"/>
      <c r="K3157" s="428"/>
      <c r="L3157" s="437"/>
      <c r="M3157" s="65"/>
      <c r="N3157" s="66"/>
      <c r="O3157" s="66"/>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s="349" customFormat="1" ht="15.75" customHeight="1">
      <c r="A3158" s="334" t="str">
        <f>IF(B3158&lt;&gt;"",IF(AND(B3158='IN-TC'!$S$4,OR(TH!N3158="1111",TH!O3158="1111")),TH!D3158,""),"")</f>
        <v/>
      </c>
      <c r="B3158" s="63" t="str">
        <f t="shared" si="424"/>
        <v/>
      </c>
      <c r="C3158" s="64"/>
      <c r="D3158" s="64"/>
      <c r="E3158" s="64"/>
      <c r="F3158" s="72"/>
      <c r="G3158" s="67"/>
      <c r="H3158" s="72"/>
      <c r="I3158" s="437"/>
      <c r="J3158" s="437"/>
      <c r="K3158" s="428"/>
      <c r="L3158" s="437"/>
      <c r="M3158" s="65"/>
      <c r="N3158" s="66"/>
      <c r="O3158" s="66"/>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s="349" customFormat="1" ht="15.75" customHeight="1">
      <c r="A3159" s="334" t="str">
        <f>IF(B3159&lt;&gt;"",IF(AND(B3159='IN-TC'!$S$4,OR(TH!N3159="1111",TH!O3159="1111")),TH!D3159,""),"")</f>
        <v/>
      </c>
      <c r="B3159" s="63" t="str">
        <f t="shared" si="424"/>
        <v/>
      </c>
      <c r="C3159" s="64"/>
      <c r="D3159" s="64"/>
      <c r="E3159" s="64"/>
      <c r="F3159" s="72"/>
      <c r="G3159" s="67"/>
      <c r="H3159" s="72"/>
      <c r="I3159" s="437"/>
      <c r="J3159" s="437"/>
      <c r="K3159" s="428"/>
      <c r="L3159" s="437"/>
      <c r="M3159" s="65"/>
      <c r="N3159" s="66"/>
      <c r="O3159" s="66"/>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s="349" customFormat="1" ht="15.75" customHeight="1">
      <c r="A3160" s="334" t="str">
        <f>IF(B3160&lt;&gt;"",IF(AND(B3160='IN-TC'!$S$4,OR(TH!N3160="1111",TH!O3160="1111")),TH!D3160,""),"")</f>
        <v/>
      </c>
      <c r="B3160" s="63" t="str">
        <f t="shared" si="424"/>
        <v/>
      </c>
      <c r="C3160" s="64"/>
      <c r="D3160" s="64"/>
      <c r="E3160" s="64"/>
      <c r="F3160" s="72"/>
      <c r="G3160" s="67"/>
      <c r="H3160" s="72"/>
      <c r="I3160" s="437"/>
      <c r="J3160" s="437"/>
      <c r="K3160" s="428"/>
      <c r="L3160" s="437"/>
      <c r="M3160" s="65"/>
      <c r="N3160" s="66"/>
      <c r="O3160" s="66"/>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s="349" customFormat="1" ht="15.75" customHeight="1">
      <c r="A3161" s="334" t="str">
        <f>IF(B3161&lt;&gt;"",IF(AND(B3161='IN-TC'!$S$4,OR(TH!N3161="1111",TH!O3161="1111")),TH!D3161,""),"")</f>
        <v/>
      </c>
      <c r="B3161" s="63" t="str">
        <f t="shared" si="424"/>
        <v/>
      </c>
      <c r="C3161" s="64"/>
      <c r="D3161" s="64"/>
      <c r="E3161" s="64"/>
      <c r="F3161" s="72"/>
      <c r="G3161" s="67"/>
      <c r="H3161" s="72"/>
      <c r="I3161" s="437"/>
      <c r="J3161" s="437"/>
      <c r="K3161" s="428"/>
      <c r="L3161" s="437"/>
      <c r="M3161" s="65"/>
      <c r="N3161" s="66"/>
      <c r="O3161" s="66"/>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s="349" customFormat="1" ht="15.75" customHeight="1">
      <c r="A3162" s="334" t="str">
        <f>IF(B3162&lt;&gt;"",IF(AND(B3162='IN-TC'!$S$4,OR(TH!N3162="1111",TH!O3162="1111")),TH!D3162,""),"")</f>
        <v/>
      </c>
      <c r="B3162" s="63" t="str">
        <f t="shared" si="424"/>
        <v/>
      </c>
      <c r="C3162" s="64"/>
      <c r="D3162" s="64"/>
      <c r="E3162" s="64"/>
      <c r="F3162" s="72"/>
      <c r="G3162" s="67"/>
      <c r="H3162" s="72"/>
      <c r="I3162" s="437"/>
      <c r="J3162" s="437"/>
      <c r="K3162" s="428"/>
      <c r="L3162" s="437"/>
      <c r="M3162" s="65"/>
      <c r="N3162" s="66"/>
      <c r="O3162" s="66"/>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s="349" customFormat="1" ht="15.75" customHeight="1">
      <c r="A3163" s="334" t="str">
        <f>IF(B3163&lt;&gt;"",IF(AND(B3163='IN-TC'!$S$4,OR(TH!N3163="1111",TH!O3163="1111")),TH!D3163,""),"")</f>
        <v/>
      </c>
      <c r="B3163" s="63" t="str">
        <f t="shared" si="424"/>
        <v/>
      </c>
      <c r="C3163" s="64"/>
      <c r="D3163" s="64"/>
      <c r="E3163" s="64"/>
      <c r="F3163" s="72"/>
      <c r="G3163" s="67"/>
      <c r="H3163" s="72"/>
      <c r="I3163" s="437"/>
      <c r="J3163" s="437"/>
      <c r="K3163" s="428"/>
      <c r="L3163" s="437"/>
      <c r="M3163" s="65"/>
      <c r="N3163" s="66"/>
      <c r="O3163" s="66"/>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s="349" customFormat="1" ht="15.75" customHeight="1">
      <c r="A3164" s="334" t="str">
        <f>IF(B3164&lt;&gt;"",IF(AND(B3164='IN-TC'!$S$4,OR(TH!N3164="1111",TH!O3164="1111")),TH!D3164,""),"")</f>
        <v/>
      </c>
      <c r="B3164" s="63" t="str">
        <f t="shared" si="424"/>
        <v/>
      </c>
      <c r="C3164" s="64"/>
      <c r="D3164" s="64"/>
      <c r="E3164" s="64"/>
      <c r="F3164" s="72"/>
      <c r="G3164" s="67"/>
      <c r="H3164" s="72"/>
      <c r="I3164" s="437"/>
      <c r="J3164" s="437"/>
      <c r="K3164" s="428"/>
      <c r="L3164" s="437"/>
      <c r="M3164" s="65"/>
      <c r="N3164" s="66"/>
      <c r="O3164" s="66"/>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s="349" customFormat="1" ht="15.75" customHeight="1">
      <c r="A3165" s="334" t="str">
        <f>IF(B3165&lt;&gt;"",IF(AND(B3165='IN-TC'!$S$4,OR(TH!N3165="1111",TH!O3165="1111")),TH!D3165,""),"")</f>
        <v/>
      </c>
      <c r="B3165" s="63" t="str">
        <f t="shared" si="424"/>
        <v/>
      </c>
      <c r="C3165" s="64"/>
      <c r="D3165" s="64"/>
      <c r="E3165" s="64"/>
      <c r="F3165" s="72"/>
      <c r="G3165" s="67"/>
      <c r="H3165" s="72"/>
      <c r="I3165" s="437"/>
      <c r="J3165" s="437"/>
      <c r="K3165" s="428"/>
      <c r="L3165" s="437"/>
      <c r="M3165" s="65"/>
      <c r="N3165" s="66"/>
      <c r="O3165" s="66"/>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s="349" customFormat="1" ht="15.75" customHeight="1">
      <c r="A3166" s="334" t="str">
        <f>IF(B3166&lt;&gt;"",IF(AND(B3166='IN-TC'!$S$4,OR(TH!N3166="1111",TH!O3166="1111")),TH!D3166,""),"")</f>
        <v/>
      </c>
      <c r="B3166" s="63" t="str">
        <f t="shared" si="424"/>
        <v/>
      </c>
      <c r="C3166" s="64"/>
      <c r="D3166" s="64"/>
      <c r="E3166" s="64"/>
      <c r="F3166" s="72"/>
      <c r="G3166" s="67"/>
      <c r="H3166" s="72"/>
      <c r="I3166" s="437"/>
      <c r="J3166" s="437"/>
      <c r="K3166" s="428"/>
      <c r="L3166" s="437"/>
      <c r="M3166" s="65"/>
      <c r="N3166" s="66"/>
      <c r="O3166" s="66"/>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s="349" customFormat="1" ht="15.75" customHeight="1">
      <c r="A3167" s="334" t="str">
        <f>IF(B3167&lt;&gt;"",IF(AND(B3167='IN-TC'!$S$4,OR(TH!N3167="1111",TH!O3167="1111")),TH!D3167,""),"")</f>
        <v/>
      </c>
      <c r="B3167" s="63" t="str">
        <f t="shared" si="424"/>
        <v/>
      </c>
      <c r="C3167" s="64"/>
      <c r="D3167" s="64"/>
      <c r="E3167" s="64"/>
      <c r="F3167" s="72"/>
      <c r="G3167" s="67"/>
      <c r="H3167" s="72"/>
      <c r="I3167" s="437"/>
      <c r="J3167" s="437"/>
      <c r="K3167" s="428"/>
      <c r="L3167" s="437"/>
      <c r="M3167" s="65"/>
      <c r="N3167" s="66"/>
      <c r="O3167" s="66"/>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s="349" customFormat="1" ht="15.75" customHeight="1">
      <c r="A3168" s="334" t="str">
        <f>IF(B3168&lt;&gt;"",IF(AND(B3168='IN-TC'!$S$4,OR(TH!N3168="1111",TH!O3168="1111")),TH!D3168,""),"")</f>
        <v/>
      </c>
      <c r="B3168" s="63" t="str">
        <f t="shared" si="424"/>
        <v/>
      </c>
      <c r="C3168" s="64"/>
      <c r="D3168" s="64"/>
      <c r="E3168" s="64"/>
      <c r="F3168" s="72"/>
      <c r="G3168" s="67"/>
      <c r="H3168" s="72"/>
      <c r="I3168" s="437"/>
      <c r="J3168" s="437"/>
      <c r="K3168" s="428"/>
      <c r="L3168" s="437"/>
      <c r="M3168" s="65"/>
      <c r="N3168" s="66"/>
      <c r="O3168" s="66"/>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s="349" customFormat="1" ht="15.75" customHeight="1">
      <c r="A3169" s="334" t="str">
        <f>IF(B3169&lt;&gt;"",IF(AND(B3169='IN-TC'!$S$4,OR(TH!N3169="1111",TH!O3169="1111")),TH!D3169,""),"")</f>
        <v/>
      </c>
      <c r="B3169" s="63" t="str">
        <f t="shared" si="424"/>
        <v/>
      </c>
      <c r="C3169" s="64"/>
      <c r="D3169" s="64"/>
      <c r="E3169" s="64"/>
      <c r="F3169" s="72"/>
      <c r="G3169" s="67"/>
      <c r="H3169" s="72"/>
      <c r="I3169" s="437"/>
      <c r="J3169" s="437"/>
      <c r="K3169" s="428"/>
      <c r="L3169" s="437"/>
      <c r="M3169" s="65"/>
      <c r="N3169" s="66"/>
      <c r="O3169" s="66"/>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s="349" customFormat="1" ht="15.75" customHeight="1">
      <c r="A3170" s="334" t="str">
        <f>IF(B3170&lt;&gt;"",IF(AND(B3170='IN-TC'!$S$4,OR(TH!N3170="1111",TH!O3170="1111")),TH!D3170,""),"")</f>
        <v/>
      </c>
      <c r="B3170" s="63" t="str">
        <f t="shared" si="424"/>
        <v/>
      </c>
      <c r="C3170" s="64"/>
      <c r="D3170" s="64"/>
      <c r="E3170" s="64"/>
      <c r="F3170" s="72"/>
      <c r="G3170" s="67"/>
      <c r="H3170" s="72"/>
      <c r="I3170" s="437"/>
      <c r="J3170" s="437"/>
      <c r="K3170" s="428"/>
      <c r="L3170" s="437"/>
      <c r="M3170" s="65"/>
      <c r="N3170" s="66"/>
      <c r="O3170" s="66"/>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s="349" customFormat="1" ht="15.75" customHeight="1">
      <c r="A3171" s="334" t="str">
        <f>IF(B3171&lt;&gt;"",IF(AND(B3171='IN-TC'!$S$4,OR(TH!N3171="1111",TH!O3171="1111")),TH!D3171,""),"")</f>
        <v/>
      </c>
      <c r="B3171" s="63" t="str">
        <f t="shared" si="424"/>
        <v/>
      </c>
      <c r="C3171" s="64"/>
      <c r="D3171" s="64"/>
      <c r="E3171" s="64"/>
      <c r="F3171" s="72"/>
      <c r="G3171" s="67"/>
      <c r="H3171" s="72"/>
      <c r="I3171" s="437"/>
      <c r="J3171" s="437"/>
      <c r="K3171" s="428"/>
      <c r="L3171" s="437"/>
      <c r="M3171" s="65"/>
      <c r="N3171" s="66"/>
      <c r="O3171" s="66"/>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s="349" customFormat="1" ht="15.75" customHeight="1">
      <c r="A3172" s="334" t="str">
        <f>IF(B3172&lt;&gt;"",IF(AND(B3172='IN-TC'!$S$4,OR(TH!N3172="1111",TH!O3172="1111")),TH!D3172,""),"")</f>
        <v/>
      </c>
      <c r="B3172" s="63" t="str">
        <f t="shared" si="424"/>
        <v/>
      </c>
      <c r="C3172" s="64"/>
      <c r="D3172" s="64"/>
      <c r="E3172" s="64"/>
      <c r="F3172" s="72"/>
      <c r="G3172" s="67"/>
      <c r="H3172" s="72"/>
      <c r="I3172" s="437"/>
      <c r="J3172" s="437"/>
      <c r="K3172" s="428"/>
      <c r="L3172" s="437"/>
      <c r="M3172" s="65"/>
      <c r="N3172" s="66"/>
      <c r="O3172" s="66"/>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s="349" customFormat="1" ht="15.75" customHeight="1">
      <c r="A3173" s="334" t="str">
        <f>IF(B3173&lt;&gt;"",IF(AND(B3173='IN-TC'!$S$4,OR(TH!N3173="1111",TH!O3173="1111")),TH!D3173,""),"")</f>
        <v/>
      </c>
      <c r="B3173" s="63" t="str">
        <f t="shared" si="424"/>
        <v/>
      </c>
      <c r="C3173" s="64"/>
      <c r="D3173" s="64"/>
      <c r="E3173" s="64"/>
      <c r="F3173" s="72"/>
      <c r="G3173" s="67"/>
      <c r="H3173" s="72"/>
      <c r="I3173" s="437"/>
      <c r="J3173" s="437"/>
      <c r="K3173" s="428"/>
      <c r="L3173" s="437"/>
      <c r="M3173" s="65"/>
      <c r="N3173" s="66"/>
      <c r="O3173" s="66"/>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s="349" customFormat="1" ht="15.75" customHeight="1">
      <c r="A3174" s="334" t="str">
        <f>IF(B3174&lt;&gt;"",IF(AND(B3174='IN-TC'!$S$4,OR(TH!N3174="1111",TH!O3174="1111")),TH!D3174,""),"")</f>
        <v/>
      </c>
      <c r="B3174" s="63" t="str">
        <f t="shared" si="424"/>
        <v/>
      </c>
      <c r="C3174" s="64"/>
      <c r="D3174" s="64"/>
      <c r="E3174" s="64"/>
      <c r="F3174" s="72"/>
      <c r="G3174" s="67"/>
      <c r="H3174" s="72"/>
      <c r="I3174" s="437"/>
      <c r="J3174" s="437"/>
      <c r="K3174" s="428"/>
      <c r="L3174" s="437"/>
      <c r="M3174" s="65"/>
      <c r="N3174" s="66"/>
      <c r="O3174" s="66"/>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s="349" customFormat="1" ht="15.75" customHeight="1">
      <c r="A3175" s="334" t="str">
        <f>IF(B3175&lt;&gt;"",IF(AND(B3175='IN-TC'!$S$4,OR(TH!N3175="1111",TH!O3175="1111")),TH!D3175,""),"")</f>
        <v/>
      </c>
      <c r="B3175" s="63" t="str">
        <f t="shared" si="424"/>
        <v/>
      </c>
      <c r="C3175" s="64"/>
      <c r="D3175" s="64"/>
      <c r="E3175" s="64"/>
      <c r="F3175" s="72"/>
      <c r="G3175" s="67"/>
      <c r="H3175" s="72"/>
      <c r="I3175" s="437"/>
      <c r="J3175" s="437"/>
      <c r="K3175" s="428"/>
      <c r="L3175" s="437"/>
      <c r="M3175" s="65"/>
      <c r="N3175" s="66"/>
      <c r="O3175" s="66"/>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s="349" customFormat="1" ht="15.75" customHeight="1">
      <c r="A3176" s="334" t="str">
        <f>IF(B3176&lt;&gt;"",IF(AND(B3176='IN-TC'!$S$4,OR(TH!N3176="1111",TH!O3176="1111")),TH!D3176,""),"")</f>
        <v/>
      </c>
      <c r="B3176" s="63" t="str">
        <f t="shared" si="424"/>
        <v/>
      </c>
      <c r="C3176" s="64"/>
      <c r="D3176" s="64"/>
      <c r="E3176" s="64"/>
      <c r="F3176" s="72"/>
      <c r="G3176" s="67"/>
      <c r="H3176" s="72"/>
      <c r="I3176" s="437"/>
      <c r="J3176" s="437"/>
      <c r="K3176" s="428"/>
      <c r="L3176" s="437"/>
      <c r="M3176" s="65"/>
      <c r="N3176" s="66"/>
      <c r="O3176" s="66"/>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s="349" customFormat="1" ht="15.75" customHeight="1">
      <c r="A3177" s="334" t="str">
        <f>IF(B3177&lt;&gt;"",IF(AND(B3177='IN-TC'!$S$4,OR(TH!N3177="1111",TH!O3177="1111")),TH!D3177,""),"")</f>
        <v/>
      </c>
      <c r="B3177" s="63" t="str">
        <f t="shared" si="424"/>
        <v/>
      </c>
      <c r="C3177" s="64"/>
      <c r="D3177" s="64"/>
      <c r="E3177" s="64"/>
      <c r="F3177" s="72"/>
      <c r="G3177" s="67"/>
      <c r="H3177" s="72"/>
      <c r="I3177" s="437"/>
      <c r="J3177" s="437"/>
      <c r="K3177" s="428"/>
      <c r="L3177" s="437"/>
      <c r="M3177" s="65"/>
      <c r="N3177" s="66"/>
      <c r="O3177" s="66"/>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s="349" customFormat="1" ht="15.75" customHeight="1">
      <c r="A3178" s="334" t="str">
        <f>IF(B3178&lt;&gt;"",IF(AND(B3178='IN-TC'!$S$4,OR(TH!N3178="1111",TH!O3178="1111")),TH!D3178,""),"")</f>
        <v/>
      </c>
      <c r="B3178" s="63" t="str">
        <f t="shared" si="424"/>
        <v/>
      </c>
      <c r="C3178" s="64"/>
      <c r="D3178" s="64"/>
      <c r="E3178" s="64"/>
      <c r="F3178" s="72"/>
      <c r="G3178" s="67"/>
      <c r="H3178" s="72"/>
      <c r="I3178" s="437"/>
      <c r="J3178" s="437"/>
      <c r="K3178" s="428"/>
      <c r="L3178" s="437"/>
      <c r="M3178" s="65"/>
      <c r="N3178" s="66"/>
      <c r="O3178" s="66"/>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s="349" customFormat="1" ht="15.75" customHeight="1">
      <c r="A3179" s="334" t="str">
        <f>IF(B3179&lt;&gt;"",IF(AND(B3179='IN-TC'!$S$4,OR(TH!N3179="1111",TH!O3179="1111")),TH!D3179,""),"")</f>
        <v/>
      </c>
      <c r="B3179" s="63" t="str">
        <f t="shared" si="424"/>
        <v/>
      </c>
      <c r="C3179" s="64"/>
      <c r="D3179" s="64"/>
      <c r="E3179" s="64"/>
      <c r="F3179" s="72"/>
      <c r="G3179" s="67"/>
      <c r="H3179" s="72"/>
      <c r="I3179" s="437"/>
      <c r="J3179" s="437"/>
      <c r="K3179" s="428"/>
      <c r="L3179" s="437"/>
      <c r="M3179" s="65"/>
      <c r="N3179" s="66"/>
      <c r="O3179" s="66"/>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s="349" customFormat="1" ht="15.75" customHeight="1">
      <c r="A3180" s="334" t="str">
        <f>IF(B3180&lt;&gt;"",IF(AND(B3180='IN-TC'!$S$4,OR(TH!N3180="1111",TH!O3180="1111")),TH!D3180,""),"")</f>
        <v/>
      </c>
      <c r="B3180" s="63" t="str">
        <f t="shared" si="424"/>
        <v/>
      </c>
      <c r="C3180" s="64"/>
      <c r="D3180" s="64"/>
      <c r="E3180" s="64"/>
      <c r="F3180" s="72"/>
      <c r="G3180" s="67"/>
      <c r="H3180" s="72"/>
      <c r="I3180" s="437"/>
      <c r="J3180" s="437"/>
      <c r="K3180" s="428"/>
      <c r="L3180" s="437"/>
      <c r="M3180" s="65"/>
      <c r="N3180" s="66"/>
      <c r="O3180" s="66"/>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s="349" customFormat="1" ht="15.75" customHeight="1">
      <c r="A3181" s="334" t="str">
        <f>IF(B3181&lt;&gt;"",IF(AND(B3181='IN-TC'!$S$4,OR(TH!N3181="1111",TH!O3181="1111")),TH!D3181,""),"")</f>
        <v/>
      </c>
      <c r="B3181" s="63" t="str">
        <f t="shared" si="424"/>
        <v/>
      </c>
      <c r="C3181" s="64"/>
      <c r="D3181" s="64"/>
      <c r="E3181" s="64"/>
      <c r="F3181" s="72"/>
      <c r="G3181" s="67"/>
      <c r="H3181" s="72"/>
      <c r="I3181" s="437"/>
      <c r="J3181" s="437"/>
      <c r="K3181" s="428"/>
      <c r="L3181" s="437"/>
      <c r="M3181" s="65"/>
      <c r="N3181" s="66"/>
      <c r="O3181" s="66"/>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s="349" customFormat="1" ht="15.75" customHeight="1">
      <c r="A3182" s="334" t="str">
        <f>IF(B3182&lt;&gt;"",IF(AND(B3182='IN-TC'!$S$4,OR(TH!N3182="1111",TH!O3182="1111")),TH!D3182,""),"")</f>
        <v/>
      </c>
      <c r="B3182" s="63" t="str">
        <f t="shared" si="424"/>
        <v/>
      </c>
      <c r="C3182" s="64"/>
      <c r="D3182" s="64"/>
      <c r="E3182" s="64"/>
      <c r="F3182" s="72"/>
      <c r="G3182" s="67"/>
      <c r="H3182" s="72"/>
      <c r="I3182" s="437"/>
      <c r="J3182" s="437"/>
      <c r="K3182" s="428"/>
      <c r="L3182" s="437"/>
      <c r="M3182" s="65"/>
      <c r="N3182" s="66"/>
      <c r="O3182" s="66"/>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s="349" customFormat="1" ht="15.75" customHeight="1">
      <c r="A3183" s="334" t="str">
        <f>IF(B3183&lt;&gt;"",IF(AND(B3183='IN-TC'!$S$4,OR(TH!N3183="1111",TH!O3183="1111")),TH!D3183,""),"")</f>
        <v/>
      </c>
      <c r="B3183" s="63" t="str">
        <f t="shared" si="424"/>
        <v/>
      </c>
      <c r="C3183" s="64"/>
      <c r="D3183" s="64"/>
      <c r="E3183" s="64"/>
      <c r="F3183" s="72"/>
      <c r="G3183" s="67"/>
      <c r="H3183" s="72"/>
      <c r="I3183" s="437"/>
      <c r="J3183" s="437"/>
      <c r="K3183" s="428"/>
      <c r="L3183" s="437"/>
      <c r="M3183" s="65"/>
      <c r="N3183" s="66"/>
      <c r="O3183" s="66"/>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s="349" customFormat="1" ht="15.75" customHeight="1">
      <c r="A3184" s="334" t="str">
        <f>IF(B3184&lt;&gt;"",IF(AND(B3184='IN-TC'!$S$4,OR(TH!N3184="1111",TH!O3184="1111")),TH!D3184,""),"")</f>
        <v/>
      </c>
      <c r="B3184" s="63" t="str">
        <f t="shared" si="424"/>
        <v/>
      </c>
      <c r="C3184" s="64"/>
      <c r="D3184" s="64"/>
      <c r="E3184" s="64"/>
      <c r="F3184" s="72"/>
      <c r="G3184" s="67"/>
      <c r="H3184" s="72"/>
      <c r="I3184" s="437"/>
      <c r="J3184" s="437"/>
      <c r="K3184" s="428"/>
      <c r="L3184" s="437"/>
      <c r="M3184" s="65"/>
      <c r="N3184" s="66"/>
      <c r="O3184" s="66"/>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s="349" customFormat="1" ht="15.75" customHeight="1">
      <c r="A3185" s="334" t="str">
        <f>IF(B3185&lt;&gt;"",IF(AND(B3185='IN-TC'!$S$4,OR(TH!N3185="1111",TH!O3185="1111")),TH!D3185,""),"")</f>
        <v/>
      </c>
      <c r="B3185" s="63" t="str">
        <f t="shared" si="424"/>
        <v/>
      </c>
      <c r="C3185" s="64"/>
      <c r="D3185" s="64"/>
      <c r="E3185" s="64"/>
      <c r="F3185" s="72"/>
      <c r="G3185" s="67"/>
      <c r="H3185" s="72"/>
      <c r="I3185" s="437"/>
      <c r="J3185" s="437"/>
      <c r="K3185" s="428"/>
      <c r="L3185" s="437"/>
      <c r="M3185" s="65"/>
      <c r="N3185" s="66"/>
      <c r="O3185" s="66"/>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s="349" customFormat="1" ht="15.75" customHeight="1">
      <c r="A3186" s="334" t="str">
        <f>IF(B3186&lt;&gt;"",IF(AND(B3186='IN-TC'!$S$4,OR(TH!N3186="1111",TH!O3186="1111")),TH!D3186,""),"")</f>
        <v/>
      </c>
      <c r="B3186" s="63" t="str">
        <f t="shared" si="424"/>
        <v/>
      </c>
      <c r="C3186" s="64"/>
      <c r="D3186" s="64"/>
      <c r="E3186" s="64"/>
      <c r="F3186" s="72"/>
      <c r="G3186" s="67"/>
      <c r="H3186" s="72"/>
      <c r="I3186" s="437"/>
      <c r="J3186" s="437"/>
      <c r="K3186" s="428"/>
      <c r="L3186" s="437"/>
      <c r="M3186" s="65"/>
      <c r="N3186" s="66"/>
      <c r="O3186" s="66"/>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s="349" customFormat="1" ht="15.75" customHeight="1">
      <c r="A3187" s="334" t="str">
        <f>IF(B3187&lt;&gt;"",IF(AND(B3187='IN-TC'!$S$4,OR(TH!N3187="1111",TH!O3187="1111")),TH!D3187,""),"")</f>
        <v/>
      </c>
      <c r="B3187" s="63" t="str">
        <f t="shared" si="424"/>
        <v/>
      </c>
      <c r="C3187" s="64"/>
      <c r="D3187" s="64"/>
      <c r="E3187" s="64"/>
      <c r="F3187" s="72"/>
      <c r="G3187" s="67"/>
      <c r="H3187" s="72"/>
      <c r="I3187" s="437"/>
      <c r="J3187" s="437"/>
      <c r="K3187" s="428"/>
      <c r="L3187" s="437"/>
      <c r="M3187" s="65"/>
      <c r="N3187" s="66"/>
      <c r="O3187" s="66"/>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s="349" customFormat="1" ht="15.75" customHeight="1">
      <c r="A3188" s="334" t="str">
        <f>IF(B3188&lt;&gt;"",IF(AND(B3188='IN-TC'!$S$4,OR(TH!N3188="1111",TH!O3188="1111")),TH!D3188,""),"")</f>
        <v/>
      </c>
      <c r="B3188" s="63" t="str">
        <f t="shared" si="424"/>
        <v/>
      </c>
      <c r="C3188" s="64"/>
      <c r="D3188" s="64"/>
      <c r="E3188" s="64"/>
      <c r="F3188" s="72"/>
      <c r="G3188" s="67"/>
      <c r="H3188" s="72"/>
      <c r="I3188" s="437"/>
      <c r="J3188" s="437"/>
      <c r="K3188" s="428"/>
      <c r="L3188" s="437"/>
      <c r="M3188" s="65"/>
      <c r="N3188" s="66"/>
      <c r="O3188" s="66"/>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s="349" customFormat="1" ht="15.75" customHeight="1">
      <c r="A3189" s="334" t="str">
        <f>IF(B3189&lt;&gt;"",IF(AND(B3189='IN-TC'!$S$4,OR(TH!N3189="1111",TH!O3189="1111")),TH!D3189,""),"")</f>
        <v/>
      </c>
      <c r="B3189" s="63" t="str">
        <f t="shared" si="424"/>
        <v/>
      </c>
      <c r="C3189" s="64"/>
      <c r="D3189" s="64"/>
      <c r="E3189" s="64"/>
      <c r="F3189" s="72"/>
      <c r="G3189" s="67"/>
      <c r="H3189" s="72"/>
      <c r="I3189" s="437"/>
      <c r="J3189" s="437"/>
      <c r="K3189" s="428"/>
      <c r="L3189" s="437"/>
      <c r="M3189" s="65"/>
      <c r="N3189" s="66"/>
      <c r="O3189" s="66"/>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s="349" customFormat="1" ht="15.75" customHeight="1">
      <c r="A3190" s="334" t="str">
        <f>IF(B3190&lt;&gt;"",IF(AND(B3190='IN-TC'!$S$4,OR(TH!N3190="1111",TH!O3190="1111")),TH!D3190,""),"")</f>
        <v/>
      </c>
      <c r="B3190" s="63" t="str">
        <f t="shared" si="424"/>
        <v/>
      </c>
      <c r="C3190" s="64"/>
      <c r="D3190" s="64"/>
      <c r="E3190" s="64"/>
      <c r="F3190" s="72"/>
      <c r="G3190" s="67"/>
      <c r="H3190" s="72"/>
      <c r="I3190" s="437"/>
      <c r="J3190" s="437"/>
      <c r="K3190" s="428"/>
      <c r="L3190" s="437"/>
      <c r="M3190" s="65"/>
      <c r="N3190" s="66"/>
      <c r="O3190" s="66"/>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s="349" customFormat="1" ht="15.75" customHeight="1">
      <c r="A3191" s="334" t="str">
        <f>IF(B3191&lt;&gt;"",IF(AND(B3191='IN-TC'!$S$4,OR(TH!N3191="1111",TH!O3191="1111")),TH!D3191,""),"")</f>
        <v/>
      </c>
      <c r="B3191" s="63" t="str">
        <f t="shared" si="424"/>
        <v/>
      </c>
      <c r="C3191" s="64"/>
      <c r="D3191" s="64"/>
      <c r="E3191" s="64"/>
      <c r="F3191" s="72"/>
      <c r="G3191" s="67"/>
      <c r="H3191" s="72"/>
      <c r="I3191" s="437"/>
      <c r="J3191" s="437"/>
      <c r="K3191" s="428"/>
      <c r="L3191" s="437"/>
      <c r="M3191" s="65"/>
      <c r="N3191" s="66"/>
      <c r="O3191" s="66"/>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s="349" customFormat="1" ht="15.75" customHeight="1">
      <c r="A3192" s="334" t="str">
        <f>IF(B3192&lt;&gt;"",IF(AND(B3192='IN-TC'!$S$4,OR(TH!N3192="1111",TH!O3192="1111")),TH!D3192,""),"")</f>
        <v/>
      </c>
      <c r="B3192" s="63" t="str">
        <f t="shared" si="424"/>
        <v/>
      </c>
      <c r="C3192" s="64"/>
      <c r="D3192" s="64"/>
      <c r="E3192" s="64"/>
      <c r="F3192" s="72"/>
      <c r="G3192" s="67"/>
      <c r="H3192" s="72"/>
      <c r="I3192" s="437"/>
      <c r="J3192" s="437"/>
      <c r="K3192" s="428"/>
      <c r="L3192" s="437"/>
      <c r="M3192" s="65"/>
      <c r="N3192" s="66"/>
      <c r="O3192" s="66"/>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s="349" customFormat="1" ht="15.75" customHeight="1">
      <c r="A3193" s="334" t="str">
        <f>IF(B3193&lt;&gt;"",IF(AND(B3193='IN-TC'!$S$4,OR(TH!N3193="1111",TH!O3193="1111")),TH!D3193,""),"")</f>
        <v/>
      </c>
      <c r="B3193" s="63" t="str">
        <f t="shared" si="424"/>
        <v/>
      </c>
      <c r="C3193" s="64"/>
      <c r="D3193" s="64"/>
      <c r="E3193" s="64"/>
      <c r="F3193" s="72"/>
      <c r="G3193" s="67"/>
      <c r="H3193" s="72"/>
      <c r="I3193" s="437"/>
      <c r="J3193" s="437"/>
      <c r="K3193" s="428"/>
      <c r="L3193" s="437"/>
      <c r="M3193" s="65"/>
      <c r="N3193" s="66"/>
      <c r="O3193" s="66"/>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s="349" customFormat="1" ht="15.75" customHeight="1">
      <c r="A3194" s="334" t="str">
        <f>IF(B3194&lt;&gt;"",IF(AND(B3194='IN-TC'!$S$4,OR(TH!N3194="1111",TH!O3194="1111")),TH!D3194,""),"")</f>
        <v/>
      </c>
      <c r="B3194" s="63" t="str">
        <f t="shared" si="424"/>
        <v/>
      </c>
      <c r="C3194" s="64"/>
      <c r="D3194" s="64"/>
      <c r="E3194" s="64"/>
      <c r="F3194" s="72"/>
      <c r="G3194" s="67"/>
      <c r="H3194" s="72"/>
      <c r="I3194" s="437"/>
      <c r="J3194" s="437"/>
      <c r="K3194" s="428"/>
      <c r="L3194" s="437"/>
      <c r="M3194" s="65"/>
      <c r="N3194" s="66"/>
      <c r="O3194" s="66"/>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s="349" customFormat="1" ht="15.75" customHeight="1">
      <c r="A3195" s="334" t="str">
        <f>IF(B3195&lt;&gt;"",IF(AND(B3195='IN-TC'!$S$4,OR(TH!N3195="1111",TH!O3195="1111")),TH!D3195,""),"")</f>
        <v/>
      </c>
      <c r="B3195" s="63" t="str">
        <f t="shared" si="424"/>
        <v/>
      </c>
      <c r="C3195" s="64"/>
      <c r="D3195" s="64"/>
      <c r="E3195" s="64"/>
      <c r="F3195" s="72"/>
      <c r="G3195" s="67"/>
      <c r="H3195" s="72"/>
      <c r="I3195" s="437"/>
      <c r="J3195" s="437"/>
      <c r="K3195" s="428"/>
      <c r="L3195" s="437"/>
      <c r="M3195" s="65"/>
      <c r="N3195" s="66"/>
      <c r="O3195" s="66"/>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s="349" customFormat="1" ht="15.75" customHeight="1">
      <c r="A3196" s="334" t="str">
        <f>IF(B3196&lt;&gt;"",IF(AND(B3196='IN-TC'!$S$4,OR(TH!N3196="1111",TH!O3196="1111")),TH!D3196,""),"")</f>
        <v/>
      </c>
      <c r="B3196" s="63" t="str">
        <f t="shared" si="424"/>
        <v/>
      </c>
      <c r="C3196" s="64"/>
      <c r="D3196" s="64"/>
      <c r="E3196" s="64"/>
      <c r="F3196" s="72"/>
      <c r="G3196" s="67"/>
      <c r="H3196" s="72"/>
      <c r="I3196" s="437"/>
      <c r="J3196" s="437"/>
      <c r="K3196" s="428"/>
      <c r="L3196" s="437"/>
      <c r="M3196" s="65"/>
      <c r="N3196" s="66"/>
      <c r="O3196" s="66"/>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s="349" customFormat="1" ht="15.75" customHeight="1">
      <c r="A3197" s="334" t="str">
        <f>IF(B3197&lt;&gt;"",IF(AND(B3197='IN-TC'!$S$4,OR(TH!N3197="1111",TH!O3197="1111")),TH!D3197,""),"")</f>
        <v/>
      </c>
      <c r="B3197" s="63" t="str">
        <f t="shared" si="424"/>
        <v/>
      </c>
      <c r="C3197" s="64"/>
      <c r="D3197" s="64"/>
      <c r="E3197" s="64"/>
      <c r="F3197" s="72"/>
      <c r="G3197" s="67"/>
      <c r="H3197" s="72"/>
      <c r="I3197" s="437"/>
      <c r="J3197" s="437"/>
      <c r="K3197" s="428"/>
      <c r="L3197" s="437"/>
      <c r="M3197" s="65"/>
      <c r="N3197" s="66"/>
      <c r="O3197" s="66"/>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s="349" customFormat="1" ht="15.75" customHeight="1">
      <c r="A3198" s="334" t="str">
        <f>IF(B3198&lt;&gt;"",IF(AND(B3198='IN-TC'!$S$4,OR(TH!N3198="1111",TH!O3198="1111")),TH!D3198,""),"")</f>
        <v/>
      </c>
      <c r="B3198" s="63" t="str">
        <f t="shared" si="424"/>
        <v/>
      </c>
      <c r="C3198" s="64"/>
      <c r="D3198" s="64"/>
      <c r="E3198" s="64"/>
      <c r="F3198" s="72"/>
      <c r="G3198" s="67"/>
      <c r="H3198" s="72"/>
      <c r="I3198" s="437"/>
      <c r="J3198" s="437"/>
      <c r="K3198" s="428"/>
      <c r="L3198" s="437"/>
      <c r="M3198" s="65"/>
      <c r="N3198" s="66"/>
      <c r="O3198" s="66"/>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s="349" customFormat="1" ht="15.75" customHeight="1">
      <c r="A3199" s="334" t="str">
        <f>IF(B3199&lt;&gt;"",IF(AND(B3199='IN-TC'!$S$4,OR(TH!N3199="1111",TH!O3199="1111")),TH!D3199,""),"")</f>
        <v/>
      </c>
      <c r="B3199" s="63" t="str">
        <f t="shared" si="424"/>
        <v/>
      </c>
      <c r="C3199" s="64"/>
      <c r="D3199" s="64"/>
      <c r="E3199" s="64"/>
      <c r="F3199" s="72"/>
      <c r="G3199" s="67"/>
      <c r="H3199" s="72"/>
      <c r="I3199" s="437"/>
      <c r="J3199" s="437"/>
      <c r="K3199" s="428"/>
      <c r="L3199" s="437"/>
      <c r="M3199" s="65"/>
      <c r="N3199" s="66"/>
      <c r="O3199" s="66"/>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s="349" customFormat="1" ht="15.75" customHeight="1">
      <c r="A3200" s="334" t="str">
        <f>IF(B3200&lt;&gt;"",IF(AND(B3200='IN-TC'!$S$4,OR(TH!N3200="1111",TH!O3200="1111")),TH!D3200,""),"")</f>
        <v/>
      </c>
      <c r="B3200" s="63" t="str">
        <f t="shared" si="424"/>
        <v/>
      </c>
      <c r="C3200" s="64"/>
      <c r="D3200" s="64"/>
      <c r="E3200" s="64"/>
      <c r="F3200" s="72"/>
      <c r="G3200" s="67"/>
      <c r="H3200" s="72"/>
      <c r="I3200" s="437"/>
      <c r="J3200" s="437"/>
      <c r="K3200" s="428"/>
      <c r="L3200" s="437"/>
      <c r="M3200" s="65"/>
      <c r="N3200" s="66"/>
      <c r="O3200" s="66"/>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s="349" customFormat="1" ht="15.75" customHeight="1">
      <c r="A3201" s="334" t="str">
        <f>IF(B3201&lt;&gt;"",IF(AND(B3201='IN-TC'!$S$4,OR(TH!N3201="1111",TH!O3201="1111")),TH!D3201,""),"")</f>
        <v/>
      </c>
      <c r="B3201" s="63" t="str">
        <f t="shared" si="424"/>
        <v/>
      </c>
      <c r="C3201" s="64"/>
      <c r="D3201" s="64"/>
      <c r="E3201" s="64"/>
      <c r="F3201" s="72"/>
      <c r="G3201" s="67"/>
      <c r="H3201" s="72"/>
      <c r="I3201" s="437"/>
      <c r="J3201" s="437"/>
      <c r="K3201" s="428"/>
      <c r="L3201" s="437"/>
      <c r="M3201" s="65"/>
      <c r="N3201" s="66"/>
      <c r="O3201" s="66"/>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s="349" customFormat="1" ht="15.75" customHeight="1">
      <c r="A3202" s="334" t="str">
        <f>IF(B3202&lt;&gt;"",IF(AND(B3202='IN-TC'!$S$4,OR(TH!N3202="1111",TH!O3202="1111")),TH!D3202,""),"")</f>
        <v/>
      </c>
      <c r="B3202" s="63" t="str">
        <f t="shared" si="424"/>
        <v/>
      </c>
      <c r="C3202" s="64"/>
      <c r="D3202" s="64"/>
      <c r="E3202" s="64"/>
      <c r="F3202" s="72"/>
      <c r="G3202" s="67"/>
      <c r="H3202" s="72"/>
      <c r="I3202" s="437"/>
      <c r="J3202" s="437"/>
      <c r="K3202" s="428"/>
      <c r="L3202" s="437"/>
      <c r="M3202" s="65"/>
      <c r="N3202" s="66"/>
      <c r="O3202" s="66"/>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s="349" customFormat="1" ht="15.75" customHeight="1">
      <c r="A3203" s="334" t="str">
        <f>IF(B3203&lt;&gt;"",IF(AND(B3203='IN-TC'!$S$4,OR(TH!N3203="1111",TH!O3203="1111")),TH!D3203,""),"")</f>
        <v/>
      </c>
      <c r="B3203" s="63" t="str">
        <f t="shared" si="424"/>
        <v/>
      </c>
      <c r="C3203" s="64"/>
      <c r="D3203" s="64"/>
      <c r="E3203" s="64"/>
      <c r="F3203" s="72"/>
      <c r="G3203" s="67"/>
      <c r="H3203" s="72"/>
      <c r="I3203" s="437"/>
      <c r="J3203" s="437"/>
      <c r="K3203" s="428"/>
      <c r="L3203" s="437"/>
      <c r="M3203" s="65"/>
      <c r="N3203" s="66"/>
      <c r="O3203" s="66"/>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s="349" customFormat="1" ht="15.75" customHeight="1">
      <c r="A3204" s="334" t="str">
        <f>IF(B3204&lt;&gt;"",IF(AND(B3204='IN-TC'!$S$4,OR(TH!N3204="1111",TH!O3204="1111")),TH!D3204,""),"")</f>
        <v/>
      </c>
      <c r="B3204" s="63" t="str">
        <f t="shared" si="424"/>
        <v/>
      </c>
      <c r="C3204" s="64"/>
      <c r="D3204" s="64"/>
      <c r="E3204" s="64"/>
      <c r="F3204" s="72"/>
      <c r="G3204" s="67"/>
      <c r="H3204" s="72"/>
      <c r="I3204" s="437"/>
      <c r="J3204" s="437"/>
      <c r="K3204" s="428"/>
      <c r="L3204" s="437"/>
      <c r="M3204" s="65"/>
      <c r="N3204" s="66"/>
      <c r="O3204" s="66"/>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s="349" customFormat="1" ht="15.75" customHeight="1">
      <c r="A3205" s="334" t="str">
        <f>IF(B3205&lt;&gt;"",IF(AND(B3205='IN-TC'!$S$4,OR(TH!N3205="1111",TH!O3205="1111")),TH!D3205,""),"")</f>
        <v/>
      </c>
      <c r="B3205" s="63" t="str">
        <f t="shared" si="424"/>
        <v/>
      </c>
      <c r="C3205" s="64"/>
      <c r="D3205" s="64"/>
      <c r="E3205" s="64"/>
      <c r="F3205" s="72"/>
      <c r="G3205" s="67"/>
      <c r="H3205" s="72"/>
      <c r="I3205" s="437"/>
      <c r="J3205" s="437"/>
      <c r="K3205" s="428"/>
      <c r="L3205" s="437"/>
      <c r="M3205" s="65"/>
      <c r="N3205" s="66"/>
      <c r="O3205" s="66"/>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s="349" customFormat="1" ht="15.75" customHeight="1">
      <c r="A3206" s="334" t="str">
        <f>IF(B3206&lt;&gt;"",IF(AND(B3206='IN-TC'!$S$4,OR(TH!N3206="1111",TH!O3206="1111")),TH!D3206,""),"")</f>
        <v/>
      </c>
      <c r="B3206" s="63" t="str">
        <f t="shared" si="424"/>
        <v/>
      </c>
      <c r="C3206" s="64"/>
      <c r="D3206" s="64"/>
      <c r="E3206" s="64"/>
      <c r="F3206" s="72"/>
      <c r="G3206" s="67"/>
      <c r="H3206" s="72"/>
      <c r="I3206" s="437"/>
      <c r="J3206" s="437"/>
      <c r="K3206" s="428"/>
      <c r="L3206" s="437"/>
      <c r="M3206" s="65"/>
      <c r="N3206" s="66"/>
      <c r="O3206" s="66"/>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s="349" customFormat="1" ht="15.75" customHeight="1">
      <c r="A3207" s="334" t="str">
        <f>IF(B3207&lt;&gt;"",IF(AND(B3207='IN-TC'!$S$4,OR(TH!N3207="1111",TH!O3207="1111")),TH!D3207,""),"")</f>
        <v/>
      </c>
      <c r="B3207" s="63" t="str">
        <f t="shared" si="424"/>
        <v/>
      </c>
      <c r="C3207" s="64"/>
      <c r="D3207" s="64"/>
      <c r="E3207" s="64"/>
      <c r="F3207" s="72"/>
      <c r="G3207" s="67"/>
      <c r="H3207" s="72"/>
      <c r="I3207" s="437"/>
      <c r="J3207" s="437"/>
      <c r="K3207" s="428"/>
      <c r="L3207" s="437"/>
      <c r="M3207" s="65"/>
      <c r="N3207" s="66"/>
      <c r="O3207" s="66"/>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s="349" customFormat="1" ht="15.75" customHeight="1">
      <c r="A3208" s="334" t="str">
        <f>IF(B3208&lt;&gt;"",IF(AND(B3208='IN-TC'!$S$4,OR(TH!N3208="1111",TH!O3208="1111")),TH!D3208,""),"")</f>
        <v/>
      </c>
      <c r="B3208" s="63" t="str">
        <f t="shared" si="424"/>
        <v/>
      </c>
      <c r="C3208" s="64"/>
      <c r="D3208" s="64"/>
      <c r="E3208" s="64"/>
      <c r="F3208" s="72"/>
      <c r="G3208" s="67"/>
      <c r="H3208" s="72"/>
      <c r="I3208" s="437"/>
      <c r="J3208" s="437"/>
      <c r="K3208" s="428"/>
      <c r="L3208" s="437"/>
      <c r="M3208" s="65"/>
      <c r="N3208" s="66"/>
      <c r="O3208" s="66"/>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s="349" customFormat="1" ht="15.75" customHeight="1">
      <c r="A3209" s="334" t="str">
        <f>IF(B3209&lt;&gt;"",IF(AND(B3209='IN-TC'!$S$4,OR(TH!N3209="1111",TH!O3209="1111")),TH!D3209,""),"")</f>
        <v/>
      </c>
      <c r="B3209" s="63" t="str">
        <f t="shared" si="424"/>
        <v/>
      </c>
      <c r="C3209" s="64"/>
      <c r="D3209" s="64"/>
      <c r="E3209" s="64"/>
      <c r="F3209" s="72"/>
      <c r="G3209" s="67"/>
      <c r="H3209" s="72"/>
      <c r="I3209" s="437"/>
      <c r="J3209" s="437"/>
      <c r="K3209" s="428"/>
      <c r="L3209" s="437"/>
      <c r="M3209" s="65"/>
      <c r="N3209" s="66"/>
      <c r="O3209" s="66"/>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s="349" customFormat="1" ht="15.75" customHeight="1">
      <c r="A3210" s="334" t="str">
        <f>IF(B3210&lt;&gt;"",IF(AND(B3210='IN-TC'!$S$4,OR(TH!N3210="1111",TH!O3210="1111")),TH!D3210,""),"")</f>
        <v/>
      </c>
      <c r="B3210" s="63" t="str">
        <f t="shared" si="424"/>
        <v/>
      </c>
      <c r="C3210" s="64"/>
      <c r="D3210" s="64"/>
      <c r="E3210" s="64"/>
      <c r="F3210" s="72"/>
      <c r="G3210" s="67"/>
      <c r="H3210" s="72"/>
      <c r="I3210" s="437"/>
      <c r="J3210" s="437"/>
      <c r="K3210" s="428"/>
      <c r="L3210" s="437"/>
      <c r="M3210" s="65"/>
      <c r="N3210" s="66"/>
      <c r="O3210" s="66"/>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s="349" customFormat="1" ht="15.75" customHeight="1">
      <c r="A3211" s="334" t="str">
        <f>IF(B3211&lt;&gt;"",IF(AND(B3211='IN-TC'!$S$4,OR(TH!N3211="1111",TH!O3211="1111")),TH!D3211,""),"")</f>
        <v/>
      </c>
      <c r="B3211" s="63" t="str">
        <f t="shared" si="424"/>
        <v/>
      </c>
      <c r="C3211" s="64"/>
      <c r="D3211" s="64"/>
      <c r="E3211" s="64"/>
      <c r="F3211" s="72"/>
      <c r="G3211" s="67"/>
      <c r="H3211" s="72"/>
      <c r="I3211" s="437"/>
      <c r="J3211" s="437"/>
      <c r="K3211" s="428"/>
      <c r="L3211" s="437"/>
      <c r="M3211" s="65"/>
      <c r="N3211" s="66"/>
      <c r="O3211" s="66"/>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s="349" customFormat="1" ht="15.75" customHeight="1">
      <c r="A3212" s="334" t="str">
        <f>IF(B3212&lt;&gt;"",IF(AND(B3212='IN-TC'!$S$4,OR(TH!N3212="1111",TH!O3212="1111")),TH!D3212,""),"")</f>
        <v/>
      </c>
      <c r="B3212" s="63" t="str">
        <f t="shared" si="424"/>
        <v/>
      </c>
      <c r="C3212" s="64"/>
      <c r="D3212" s="64"/>
      <c r="E3212" s="64"/>
      <c r="F3212" s="72"/>
      <c r="G3212" s="67"/>
      <c r="H3212" s="72"/>
      <c r="I3212" s="437"/>
      <c r="J3212" s="437"/>
      <c r="K3212" s="428"/>
      <c r="L3212" s="437"/>
      <c r="M3212" s="65"/>
      <c r="N3212" s="66"/>
      <c r="O3212" s="66"/>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s="349" customFormat="1" ht="15.75" customHeight="1">
      <c r="A3213" s="334" t="str">
        <f>IF(B3213&lt;&gt;"",IF(AND(B3213='IN-TC'!$S$4,OR(TH!N3213="1111",TH!O3213="1111")),TH!D3213,""),"")</f>
        <v/>
      </c>
      <c r="B3213" s="63" t="str">
        <f t="shared" si="424"/>
        <v/>
      </c>
      <c r="C3213" s="64"/>
      <c r="D3213" s="64"/>
      <c r="E3213" s="64"/>
      <c r="F3213" s="72"/>
      <c r="G3213" s="67"/>
      <c r="H3213" s="72"/>
      <c r="I3213" s="437"/>
      <c r="J3213" s="437"/>
      <c r="K3213" s="428"/>
      <c r="L3213" s="437"/>
      <c r="M3213" s="65"/>
      <c r="N3213" s="66"/>
      <c r="O3213" s="66"/>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s="349" customFormat="1" ht="15.75" customHeight="1">
      <c r="A3214" s="334" t="str">
        <f>IF(B3214&lt;&gt;"",IF(AND(B3214='IN-TC'!$S$4,OR(TH!N3214="1111",TH!O3214="1111")),TH!D3214,""),"")</f>
        <v/>
      </c>
      <c r="B3214" s="63" t="str">
        <f t="shared" si="424"/>
        <v/>
      </c>
      <c r="C3214" s="64"/>
      <c r="D3214" s="64"/>
      <c r="E3214" s="64"/>
      <c r="F3214" s="72"/>
      <c r="G3214" s="67"/>
      <c r="H3214" s="72"/>
      <c r="I3214" s="437"/>
      <c r="J3214" s="437"/>
      <c r="K3214" s="428"/>
      <c r="L3214" s="437"/>
      <c r="M3214" s="65"/>
      <c r="N3214" s="66"/>
      <c r="O3214" s="66"/>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s="349" customFormat="1" ht="15.75" customHeight="1">
      <c r="A3215" s="334" t="str">
        <f>IF(B3215&lt;&gt;"",IF(AND(B3215='IN-TC'!$S$4,OR(TH!N3215="1111",TH!O3215="1111")),TH!D3215,""),"")</f>
        <v/>
      </c>
      <c r="B3215" s="63" t="str">
        <f t="shared" si="424"/>
        <v/>
      </c>
      <c r="C3215" s="64"/>
      <c r="D3215" s="64"/>
      <c r="E3215" s="64"/>
      <c r="F3215" s="72"/>
      <c r="G3215" s="67"/>
      <c r="H3215" s="72"/>
      <c r="I3215" s="437"/>
      <c r="J3215" s="437"/>
      <c r="K3215" s="428"/>
      <c r="L3215" s="437"/>
      <c r="M3215" s="65"/>
      <c r="N3215" s="66"/>
      <c r="O3215" s="66"/>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s="349" customFormat="1" ht="15.75" customHeight="1">
      <c r="A3216" s="334" t="str">
        <f>IF(B3216&lt;&gt;"",IF(AND(B3216='IN-TC'!$S$4,OR(TH!N3216="1111",TH!O3216="1111")),TH!D3216,""),"")</f>
        <v/>
      </c>
      <c r="B3216" s="63" t="str">
        <f t="shared" si="424"/>
        <v/>
      </c>
      <c r="C3216" s="64"/>
      <c r="D3216" s="64"/>
      <c r="E3216" s="64"/>
      <c r="F3216" s="72"/>
      <c r="G3216" s="67"/>
      <c r="H3216" s="72"/>
      <c r="I3216" s="437"/>
      <c r="J3216" s="437"/>
      <c r="K3216" s="428"/>
      <c r="L3216" s="437"/>
      <c r="M3216" s="65"/>
      <c r="N3216" s="66"/>
      <c r="O3216" s="66"/>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s="349" customFormat="1" ht="15.75" customHeight="1">
      <c r="A3217" s="334" t="str">
        <f>IF(B3217&lt;&gt;"",IF(AND(B3217='IN-TC'!$S$4,OR(TH!N3217="1111",TH!O3217="1111")),TH!D3217,""),"")</f>
        <v/>
      </c>
      <c r="B3217" s="63" t="str">
        <f t="shared" si="424"/>
        <v/>
      </c>
      <c r="C3217" s="64"/>
      <c r="D3217" s="64"/>
      <c r="E3217" s="64"/>
      <c r="F3217" s="72"/>
      <c r="G3217" s="67"/>
      <c r="H3217" s="72"/>
      <c r="I3217" s="437"/>
      <c r="J3217" s="437"/>
      <c r="K3217" s="428"/>
      <c r="L3217" s="437"/>
      <c r="M3217" s="65"/>
      <c r="N3217" s="66"/>
      <c r="O3217" s="66"/>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s="349" customFormat="1" ht="15.75" customHeight="1">
      <c r="A3218" s="334" t="str">
        <f>IF(B3218&lt;&gt;"",IF(AND(B3218='IN-TC'!$S$4,OR(TH!N3218="1111",TH!O3218="1111")),TH!D3218,""),"")</f>
        <v/>
      </c>
      <c r="B3218" s="63" t="str">
        <f t="shared" si="424"/>
        <v/>
      </c>
      <c r="C3218" s="64"/>
      <c r="D3218" s="64"/>
      <c r="E3218" s="64"/>
      <c r="F3218" s="72"/>
      <c r="G3218" s="67"/>
      <c r="H3218" s="72"/>
      <c r="I3218" s="437"/>
      <c r="J3218" s="437"/>
      <c r="K3218" s="428"/>
      <c r="L3218" s="437"/>
      <c r="M3218" s="65"/>
      <c r="N3218" s="66"/>
      <c r="O3218" s="66"/>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s="349" customFormat="1" ht="15.75" customHeight="1">
      <c r="A3219" s="334" t="str">
        <f>IF(B3219&lt;&gt;"",IF(AND(B3219='IN-TC'!$S$4,OR(TH!N3219="1111",TH!O3219="1111")),TH!D3219,""),"")</f>
        <v/>
      </c>
      <c r="B3219" s="63" t="str">
        <f t="shared" si="424"/>
        <v/>
      </c>
      <c r="C3219" s="64"/>
      <c r="D3219" s="64"/>
      <c r="E3219" s="64"/>
      <c r="F3219" s="72"/>
      <c r="G3219" s="67"/>
      <c r="H3219" s="72"/>
      <c r="I3219" s="437"/>
      <c r="J3219" s="437"/>
      <c r="K3219" s="428"/>
      <c r="L3219" s="437"/>
      <c r="M3219" s="65"/>
      <c r="N3219" s="66"/>
      <c r="O3219" s="66"/>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s="349" customFormat="1" ht="15.75" customHeight="1">
      <c r="A3220" s="334" t="str">
        <f>IF(B3220&lt;&gt;"",IF(AND(B3220='IN-TC'!$S$4,OR(TH!N3220="1111",TH!O3220="1111")),TH!D3220,""),"")</f>
        <v/>
      </c>
      <c r="B3220" s="63" t="str">
        <f t="shared" si="424"/>
        <v/>
      </c>
      <c r="C3220" s="64"/>
      <c r="D3220" s="64"/>
      <c r="E3220" s="64"/>
      <c r="F3220" s="72"/>
      <c r="G3220" s="67"/>
      <c r="H3220" s="72"/>
      <c r="I3220" s="437"/>
      <c r="J3220" s="437"/>
      <c r="K3220" s="428"/>
      <c r="L3220" s="437"/>
      <c r="M3220" s="65"/>
      <c r="N3220" s="66"/>
      <c r="O3220" s="66"/>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s="349" customFormat="1" ht="15.75" customHeight="1">
      <c r="A3221" s="334" t="str">
        <f>IF(B3221&lt;&gt;"",IF(AND(B3221='IN-TC'!$S$4,OR(TH!N3221="1111",TH!O3221="1111")),TH!D3221,""),"")</f>
        <v/>
      </c>
      <c r="B3221" s="63" t="str">
        <f t="shared" si="424"/>
        <v/>
      </c>
      <c r="C3221" s="64"/>
      <c r="D3221" s="64"/>
      <c r="E3221" s="64"/>
      <c r="F3221" s="72"/>
      <c r="G3221" s="67"/>
      <c r="H3221" s="72"/>
      <c r="I3221" s="437"/>
      <c r="J3221" s="437"/>
      <c r="K3221" s="428"/>
      <c r="L3221" s="437"/>
      <c r="M3221" s="65"/>
      <c r="N3221" s="66"/>
      <c r="O3221" s="66"/>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s="349" customFormat="1" ht="15.75" customHeight="1">
      <c r="A3222" s="334" t="str">
        <f>IF(B3222&lt;&gt;"",IF(AND(B3222='IN-TC'!$S$4,OR(TH!N3222="1111",TH!O3222="1111")),TH!D3222,""),"")</f>
        <v/>
      </c>
      <c r="B3222" s="63" t="str">
        <f t="shared" si="424"/>
        <v/>
      </c>
      <c r="C3222" s="64"/>
      <c r="D3222" s="64"/>
      <c r="E3222" s="64"/>
      <c r="F3222" s="72"/>
      <c r="G3222" s="67"/>
      <c r="H3222" s="72"/>
      <c r="I3222" s="437"/>
      <c r="J3222" s="437"/>
      <c r="K3222" s="428"/>
      <c r="L3222" s="437"/>
      <c r="M3222" s="65"/>
      <c r="N3222" s="66"/>
      <c r="O3222" s="66"/>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s="349" customFormat="1" ht="15.75" customHeight="1">
      <c r="A3223" s="334" t="str">
        <f>IF(B3223&lt;&gt;"",IF(AND(B3223='IN-TC'!$S$4,OR(TH!N3223="1111",TH!O3223="1111")),TH!D3223,""),"")</f>
        <v/>
      </c>
      <c r="B3223" s="63" t="str">
        <f t="shared" si="424"/>
        <v/>
      </c>
      <c r="C3223" s="64"/>
      <c r="D3223" s="64"/>
      <c r="E3223" s="64"/>
      <c r="F3223" s="72"/>
      <c r="G3223" s="67"/>
      <c r="H3223" s="72"/>
      <c r="I3223" s="437"/>
      <c r="J3223" s="437"/>
      <c r="K3223" s="428"/>
      <c r="L3223" s="437"/>
      <c r="M3223" s="65"/>
      <c r="N3223" s="66"/>
      <c r="O3223" s="66"/>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s="349" customFormat="1" ht="15.75" customHeight="1">
      <c r="A3224" s="334" t="str">
        <f>IF(B3224&lt;&gt;"",IF(AND(B3224='IN-TC'!$S$4,OR(TH!N3224="1111",TH!O3224="1111")),TH!D3224,""),"")</f>
        <v/>
      </c>
      <c r="B3224" s="63" t="str">
        <f t="shared" ref="B3224:B3255" si="425">IF(C3224&lt;&gt;"",MONTH(C3224),"")</f>
        <v/>
      </c>
      <c r="C3224" s="64"/>
      <c r="D3224" s="64"/>
      <c r="E3224" s="64"/>
      <c r="F3224" s="72"/>
      <c r="G3224" s="67"/>
      <c r="H3224" s="72"/>
      <c r="I3224" s="437"/>
      <c r="J3224" s="437"/>
      <c r="K3224" s="428"/>
      <c r="L3224" s="437"/>
      <c r="M3224" s="65"/>
      <c r="N3224" s="66"/>
      <c r="O3224" s="66"/>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s="349" customFormat="1" ht="15.75" customHeight="1">
      <c r="A3225" s="334" t="str">
        <f>IF(B3225&lt;&gt;"",IF(AND(B3225='IN-TC'!$S$4,OR(TH!N3225="1111",TH!O3225="1111")),TH!D3225,""),"")</f>
        <v/>
      </c>
      <c r="B3225" s="63" t="str">
        <f t="shared" si="425"/>
        <v/>
      </c>
      <c r="C3225" s="64"/>
      <c r="D3225" s="64"/>
      <c r="E3225" s="64"/>
      <c r="F3225" s="72"/>
      <c r="G3225" s="67"/>
      <c r="H3225" s="72"/>
      <c r="I3225" s="437"/>
      <c r="J3225" s="437"/>
      <c r="K3225" s="428"/>
      <c r="L3225" s="437"/>
      <c r="M3225" s="65"/>
      <c r="N3225" s="66"/>
      <c r="O3225" s="66"/>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s="349" customFormat="1" ht="15.75" customHeight="1">
      <c r="A3226" s="334" t="str">
        <f>IF(B3226&lt;&gt;"",IF(AND(B3226='IN-TC'!$S$4,OR(TH!N3226="1111",TH!O3226="1111")),TH!D3226,""),"")</f>
        <v/>
      </c>
      <c r="B3226" s="63" t="str">
        <f t="shared" si="425"/>
        <v/>
      </c>
      <c r="C3226" s="64"/>
      <c r="D3226" s="64"/>
      <c r="E3226" s="64"/>
      <c r="F3226" s="72"/>
      <c r="G3226" s="67"/>
      <c r="H3226" s="72"/>
      <c r="I3226" s="437"/>
      <c r="J3226" s="437"/>
      <c r="K3226" s="428"/>
      <c r="L3226" s="437"/>
      <c r="M3226" s="65"/>
      <c r="N3226" s="66"/>
      <c r="O3226" s="66"/>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s="349" customFormat="1" ht="15.75" customHeight="1">
      <c r="A3227" s="334" t="str">
        <f>IF(B3227&lt;&gt;"",IF(AND(B3227='IN-TC'!$S$4,OR(TH!N3227="1111",TH!O3227="1111")),TH!D3227,""),"")</f>
        <v/>
      </c>
      <c r="B3227" s="63" t="str">
        <f t="shared" si="425"/>
        <v/>
      </c>
      <c r="C3227" s="64"/>
      <c r="D3227" s="64"/>
      <c r="E3227" s="64"/>
      <c r="F3227" s="72"/>
      <c r="G3227" s="67"/>
      <c r="H3227" s="72"/>
      <c r="I3227" s="437"/>
      <c r="J3227" s="437"/>
      <c r="K3227" s="428"/>
      <c r="L3227" s="437"/>
      <c r="M3227" s="65"/>
      <c r="N3227" s="66"/>
      <c r="O3227" s="66"/>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s="349" customFormat="1" ht="15.75" customHeight="1">
      <c r="A3228" s="334" t="str">
        <f>IF(B3228&lt;&gt;"",IF(AND(B3228='IN-TC'!$S$4,OR(TH!N3228="1111",TH!O3228="1111")),TH!D3228,""),"")</f>
        <v/>
      </c>
      <c r="B3228" s="63" t="str">
        <f t="shared" si="425"/>
        <v/>
      </c>
      <c r="C3228" s="64"/>
      <c r="D3228" s="64"/>
      <c r="E3228" s="64"/>
      <c r="F3228" s="72"/>
      <c r="G3228" s="67"/>
      <c r="H3228" s="72"/>
      <c r="I3228" s="437"/>
      <c r="J3228" s="437"/>
      <c r="K3228" s="428"/>
      <c r="L3228" s="437"/>
      <c r="M3228" s="65"/>
      <c r="N3228" s="66"/>
      <c r="O3228" s="66"/>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s="349" customFormat="1" ht="15.75" customHeight="1">
      <c r="A3229" s="334" t="str">
        <f>IF(B3229&lt;&gt;"",IF(AND(B3229='IN-TC'!$S$4,OR(TH!N3229="1111",TH!O3229="1111")),TH!D3229,""),"")</f>
        <v/>
      </c>
      <c r="B3229" s="63" t="str">
        <f t="shared" si="425"/>
        <v/>
      </c>
      <c r="C3229" s="64"/>
      <c r="D3229" s="64"/>
      <c r="E3229" s="64"/>
      <c r="F3229" s="72"/>
      <c r="G3229" s="67"/>
      <c r="H3229" s="72"/>
      <c r="I3229" s="437"/>
      <c r="J3229" s="437"/>
      <c r="K3229" s="428"/>
      <c r="L3229" s="437"/>
      <c r="M3229" s="65"/>
      <c r="N3229" s="66"/>
      <c r="O3229" s="66"/>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s="349" customFormat="1" ht="15.75" customHeight="1">
      <c r="A3230" s="334" t="str">
        <f>IF(B3230&lt;&gt;"",IF(AND(B3230='IN-TC'!$S$4,OR(TH!N3230="1111",TH!O3230="1111")),TH!D3230,""),"")</f>
        <v/>
      </c>
      <c r="B3230" s="63" t="str">
        <f t="shared" si="425"/>
        <v/>
      </c>
      <c r="C3230" s="64"/>
      <c r="D3230" s="64"/>
      <c r="E3230" s="64"/>
      <c r="F3230" s="72"/>
      <c r="G3230" s="67"/>
      <c r="H3230" s="72"/>
      <c r="I3230" s="437"/>
      <c r="J3230" s="437"/>
      <c r="K3230" s="428"/>
      <c r="L3230" s="437"/>
      <c r="M3230" s="65"/>
      <c r="N3230" s="66"/>
      <c r="O3230" s="66"/>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s="349" customFormat="1" ht="15.75" customHeight="1">
      <c r="A3231" s="334" t="str">
        <f>IF(B3231&lt;&gt;"",IF(AND(B3231='IN-TC'!$S$4,OR(TH!N3231="1111",TH!O3231="1111")),TH!D3231,""),"")</f>
        <v/>
      </c>
      <c r="B3231" s="63" t="str">
        <f t="shared" si="425"/>
        <v/>
      </c>
      <c r="C3231" s="64"/>
      <c r="D3231" s="64"/>
      <c r="E3231" s="64"/>
      <c r="F3231" s="72"/>
      <c r="G3231" s="67"/>
      <c r="H3231" s="72"/>
      <c r="I3231" s="437"/>
      <c r="J3231" s="437"/>
      <c r="K3231" s="428"/>
      <c r="L3231" s="437"/>
      <c r="M3231" s="65"/>
      <c r="N3231" s="66"/>
      <c r="O3231" s="66"/>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s="349" customFormat="1" ht="15.75" customHeight="1">
      <c r="A3232" s="334" t="str">
        <f>IF(B3232&lt;&gt;"",IF(AND(B3232='IN-TC'!$S$4,OR(TH!N3232="1111",TH!O3232="1111")),TH!D3232,""),"")</f>
        <v/>
      </c>
      <c r="B3232" s="63" t="str">
        <f t="shared" si="425"/>
        <v/>
      </c>
      <c r="C3232" s="64"/>
      <c r="D3232" s="64"/>
      <c r="E3232" s="64"/>
      <c r="F3232" s="72"/>
      <c r="G3232" s="67"/>
      <c r="H3232" s="72"/>
      <c r="I3232" s="437"/>
      <c r="J3232" s="437"/>
      <c r="K3232" s="428"/>
      <c r="L3232" s="437"/>
      <c r="M3232" s="65"/>
      <c r="N3232" s="66"/>
      <c r="O3232" s="66"/>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s="349" customFormat="1" ht="15.75" customHeight="1">
      <c r="A3233" s="334" t="str">
        <f>IF(B3233&lt;&gt;"",IF(AND(B3233='IN-TC'!$S$4,OR(TH!N3233="1111",TH!O3233="1111")),TH!D3233,""),"")</f>
        <v/>
      </c>
      <c r="B3233" s="63" t="str">
        <f t="shared" si="425"/>
        <v/>
      </c>
      <c r="C3233" s="64"/>
      <c r="D3233" s="64"/>
      <c r="E3233" s="64"/>
      <c r="F3233" s="72"/>
      <c r="G3233" s="67"/>
      <c r="H3233" s="72"/>
      <c r="I3233" s="437"/>
      <c r="J3233" s="437"/>
      <c r="K3233" s="428"/>
      <c r="L3233" s="437"/>
      <c r="M3233" s="65"/>
      <c r="N3233" s="66"/>
      <c r="O3233" s="66"/>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s="349" customFormat="1" ht="15.75" customHeight="1">
      <c r="A3234" s="334" t="str">
        <f>IF(B3234&lt;&gt;"",IF(AND(B3234='IN-TC'!$S$4,OR(TH!N3234="1111",TH!O3234="1111")),TH!D3234,""),"")</f>
        <v/>
      </c>
      <c r="B3234" s="63" t="str">
        <f t="shared" si="425"/>
        <v/>
      </c>
      <c r="C3234" s="64"/>
      <c r="D3234" s="64"/>
      <c r="E3234" s="64"/>
      <c r="F3234" s="72"/>
      <c r="G3234" s="67"/>
      <c r="H3234" s="72"/>
      <c r="I3234" s="437"/>
      <c r="J3234" s="437"/>
      <c r="K3234" s="428"/>
      <c r="L3234" s="437"/>
      <c r="M3234" s="65"/>
      <c r="N3234" s="66"/>
      <c r="O3234" s="66"/>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s="349" customFormat="1" ht="15.75" customHeight="1">
      <c r="A3235" s="334" t="str">
        <f>IF(B3235&lt;&gt;"",IF(AND(B3235='IN-TC'!$S$4,OR(TH!N3235="1111",TH!O3235="1111")),TH!D3235,""),"")</f>
        <v/>
      </c>
      <c r="B3235" s="63" t="str">
        <f t="shared" si="425"/>
        <v/>
      </c>
      <c r="C3235" s="64"/>
      <c r="D3235" s="64"/>
      <c r="E3235" s="64"/>
      <c r="F3235" s="72"/>
      <c r="G3235" s="67"/>
      <c r="H3235" s="72"/>
      <c r="I3235" s="437"/>
      <c r="J3235" s="437"/>
      <c r="K3235" s="428"/>
      <c r="L3235" s="437"/>
      <c r="M3235" s="65"/>
      <c r="N3235" s="66"/>
      <c r="O3235" s="66"/>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s="349" customFormat="1" ht="15.75" customHeight="1">
      <c r="A3236" s="334" t="str">
        <f>IF(B3236&lt;&gt;"",IF(AND(B3236='IN-TC'!$S$4,OR(TH!N3236="1111",TH!O3236="1111")),TH!D3236,""),"")</f>
        <v/>
      </c>
      <c r="B3236" s="63" t="str">
        <f t="shared" si="425"/>
        <v/>
      </c>
      <c r="C3236" s="64"/>
      <c r="D3236" s="64"/>
      <c r="E3236" s="64"/>
      <c r="F3236" s="72"/>
      <c r="G3236" s="67"/>
      <c r="H3236" s="72"/>
      <c r="I3236" s="437"/>
      <c r="J3236" s="437"/>
      <c r="K3236" s="428"/>
      <c r="L3236" s="437"/>
      <c r="M3236" s="65"/>
      <c r="N3236" s="66"/>
      <c r="O3236" s="66"/>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s="349" customFormat="1" ht="15.75" customHeight="1">
      <c r="A3237" s="334" t="str">
        <f>IF(B3237&lt;&gt;"",IF(AND(B3237='IN-TC'!$S$4,OR(TH!N3237="1111",TH!O3237="1111")),TH!D3237,""),"")</f>
        <v/>
      </c>
      <c r="B3237" s="63" t="str">
        <f t="shared" si="425"/>
        <v/>
      </c>
      <c r="C3237" s="64"/>
      <c r="D3237" s="64"/>
      <c r="E3237" s="64"/>
      <c r="F3237" s="72"/>
      <c r="G3237" s="67"/>
      <c r="H3237" s="72"/>
      <c r="I3237" s="437"/>
      <c r="J3237" s="437"/>
      <c r="K3237" s="428"/>
      <c r="L3237" s="437"/>
      <c r="M3237" s="65"/>
      <c r="N3237" s="66"/>
      <c r="O3237" s="66"/>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s="349" customFormat="1" ht="15.75" customHeight="1">
      <c r="A3238" s="334" t="str">
        <f>IF(B3238&lt;&gt;"",IF(AND(B3238='IN-TC'!$S$4,OR(TH!N3238="1111",TH!O3238="1111")),TH!D3238,""),"")</f>
        <v/>
      </c>
      <c r="B3238" s="63" t="str">
        <f t="shared" si="425"/>
        <v/>
      </c>
      <c r="C3238" s="64"/>
      <c r="D3238" s="64"/>
      <c r="E3238" s="64"/>
      <c r="F3238" s="72"/>
      <c r="G3238" s="67"/>
      <c r="H3238" s="72"/>
      <c r="I3238" s="437"/>
      <c r="J3238" s="437"/>
      <c r="K3238" s="428"/>
      <c r="L3238" s="437"/>
      <c r="M3238" s="65"/>
      <c r="N3238" s="66"/>
      <c r="O3238" s="66"/>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s="349" customFormat="1" ht="15.75" customHeight="1">
      <c r="A3239" s="334" t="str">
        <f>IF(B3239&lt;&gt;"",IF(AND(B3239='IN-TC'!$S$4,OR(TH!N3239="1111",TH!O3239="1111")),TH!D3239,""),"")</f>
        <v/>
      </c>
      <c r="B3239" s="63" t="str">
        <f t="shared" si="425"/>
        <v/>
      </c>
      <c r="C3239" s="64"/>
      <c r="D3239" s="64"/>
      <c r="E3239" s="64"/>
      <c r="F3239" s="72"/>
      <c r="G3239" s="67"/>
      <c r="H3239" s="72"/>
      <c r="I3239" s="437"/>
      <c r="J3239" s="437"/>
      <c r="K3239" s="428"/>
      <c r="L3239" s="437"/>
      <c r="M3239" s="65"/>
      <c r="N3239" s="66"/>
      <c r="O3239" s="66"/>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s="349" customFormat="1" ht="15.75" customHeight="1">
      <c r="A3240" s="334" t="str">
        <f>IF(B3240&lt;&gt;"",IF(AND(B3240='IN-TC'!$S$4,OR(TH!N3240="1111",TH!O3240="1111")),TH!D3240,""),"")</f>
        <v/>
      </c>
      <c r="B3240" s="63" t="str">
        <f t="shared" si="425"/>
        <v/>
      </c>
      <c r="C3240" s="64"/>
      <c r="D3240" s="64"/>
      <c r="E3240" s="64"/>
      <c r="F3240" s="72"/>
      <c r="G3240" s="67"/>
      <c r="H3240" s="72"/>
      <c r="I3240" s="437"/>
      <c r="J3240" s="437"/>
      <c r="K3240" s="428"/>
      <c r="L3240" s="437"/>
      <c r="M3240" s="65"/>
      <c r="N3240" s="66"/>
      <c r="O3240" s="66"/>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s="349" customFormat="1" ht="15.75" customHeight="1">
      <c r="A3241" s="334" t="str">
        <f>IF(B3241&lt;&gt;"",IF(AND(B3241='IN-TC'!$S$4,OR(TH!N3241="1111",TH!O3241="1111")),TH!D3241,""),"")</f>
        <v/>
      </c>
      <c r="B3241" s="63" t="str">
        <f t="shared" si="425"/>
        <v/>
      </c>
      <c r="C3241" s="64"/>
      <c r="D3241" s="64"/>
      <c r="E3241" s="64"/>
      <c r="F3241" s="72"/>
      <c r="G3241" s="67"/>
      <c r="H3241" s="72"/>
      <c r="I3241" s="437"/>
      <c r="J3241" s="437"/>
      <c r="K3241" s="428"/>
      <c r="L3241" s="437"/>
      <c r="M3241" s="65"/>
      <c r="N3241" s="66"/>
      <c r="O3241" s="66"/>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s="349" customFormat="1" ht="15.75" customHeight="1">
      <c r="A3242" s="334" t="str">
        <f>IF(B3242&lt;&gt;"",IF(AND(B3242='IN-TC'!$S$4,OR(TH!N3242="1111",TH!O3242="1111")),TH!D3242,""),"")</f>
        <v/>
      </c>
      <c r="B3242" s="63" t="str">
        <f t="shared" si="425"/>
        <v/>
      </c>
      <c r="C3242" s="64"/>
      <c r="D3242" s="64"/>
      <c r="E3242" s="64"/>
      <c r="F3242" s="72"/>
      <c r="G3242" s="67"/>
      <c r="H3242" s="72"/>
      <c r="I3242" s="437"/>
      <c r="J3242" s="437"/>
      <c r="K3242" s="428"/>
      <c r="L3242" s="437"/>
      <c r="M3242" s="65"/>
      <c r="N3242" s="66"/>
      <c r="O3242" s="66"/>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s="349" customFormat="1" ht="15.75" customHeight="1">
      <c r="A3243" s="334" t="str">
        <f>IF(B3243&lt;&gt;"",IF(AND(B3243='IN-TC'!$S$4,OR(TH!N3243="1111",TH!O3243="1111")),TH!D3243,""),"")</f>
        <v/>
      </c>
      <c r="B3243" s="63" t="str">
        <f t="shared" si="425"/>
        <v/>
      </c>
      <c r="C3243" s="64"/>
      <c r="D3243" s="64"/>
      <c r="E3243" s="64"/>
      <c r="F3243" s="72"/>
      <c r="G3243" s="67"/>
      <c r="H3243" s="72"/>
      <c r="I3243" s="437"/>
      <c r="J3243" s="437"/>
      <c r="K3243" s="428"/>
      <c r="L3243" s="437"/>
      <c r="M3243" s="65"/>
      <c r="N3243" s="66"/>
      <c r="O3243" s="66"/>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s="349" customFormat="1" ht="15.75" customHeight="1">
      <c r="A3244" s="334" t="str">
        <f>IF(B3244&lt;&gt;"",IF(AND(B3244='IN-TC'!$S$4,OR(TH!N3244="1111",TH!O3244="1111")),TH!D3244,""),"")</f>
        <v/>
      </c>
      <c r="B3244" s="63" t="str">
        <f t="shared" si="425"/>
        <v/>
      </c>
      <c r="C3244" s="64"/>
      <c r="D3244" s="64"/>
      <c r="E3244" s="64"/>
      <c r="F3244" s="72"/>
      <c r="G3244" s="67"/>
      <c r="H3244" s="72"/>
      <c r="I3244" s="437"/>
      <c r="J3244" s="437"/>
      <c r="K3244" s="428"/>
      <c r="L3244" s="437"/>
      <c r="M3244" s="65"/>
      <c r="N3244" s="66"/>
      <c r="O3244" s="66"/>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s="349" customFormat="1" ht="15.75" customHeight="1">
      <c r="A3245" s="334" t="str">
        <f>IF(B3245&lt;&gt;"",IF(AND(B3245='IN-TC'!$S$4,OR(TH!N3245="1111",TH!O3245="1111")),TH!D3245,""),"")</f>
        <v/>
      </c>
      <c r="B3245" s="63" t="str">
        <f t="shared" si="425"/>
        <v/>
      </c>
      <c r="C3245" s="64"/>
      <c r="D3245" s="64"/>
      <c r="E3245" s="64"/>
      <c r="F3245" s="72"/>
      <c r="G3245" s="67"/>
      <c r="H3245" s="72"/>
      <c r="I3245" s="437"/>
      <c r="J3245" s="437"/>
      <c r="K3245" s="428"/>
      <c r="L3245" s="437"/>
      <c r="M3245" s="65"/>
      <c r="N3245" s="66"/>
      <c r="O3245" s="66"/>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s="349" customFormat="1" ht="15.75" customHeight="1">
      <c r="A3246" s="334" t="str">
        <f>IF(B3246&lt;&gt;"",IF(AND(B3246='IN-TC'!$S$4,OR(TH!N3246="1111",TH!O3246="1111")),TH!D3246,""),"")</f>
        <v/>
      </c>
      <c r="B3246" s="63" t="str">
        <f t="shared" si="425"/>
        <v/>
      </c>
      <c r="C3246" s="64"/>
      <c r="D3246" s="64"/>
      <c r="E3246" s="64"/>
      <c r="F3246" s="72"/>
      <c r="G3246" s="67"/>
      <c r="H3246" s="72"/>
      <c r="I3246" s="437"/>
      <c r="J3246" s="437"/>
      <c r="K3246" s="428"/>
      <c r="L3246" s="437"/>
      <c r="M3246" s="65"/>
      <c r="N3246" s="66"/>
      <c r="O3246" s="66"/>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s="349" customFormat="1" ht="15.75" customHeight="1">
      <c r="A3247" s="334" t="str">
        <f>IF(B3247&lt;&gt;"",IF(AND(B3247='IN-TC'!$S$4,OR(TH!N3247="1111",TH!O3247="1111")),TH!D3247,""),"")</f>
        <v/>
      </c>
      <c r="B3247" s="63" t="str">
        <f t="shared" si="425"/>
        <v/>
      </c>
      <c r="C3247" s="64"/>
      <c r="D3247" s="64"/>
      <c r="E3247" s="64"/>
      <c r="F3247" s="72"/>
      <c r="G3247" s="67"/>
      <c r="H3247" s="72"/>
      <c r="I3247" s="437"/>
      <c r="J3247" s="437"/>
      <c r="K3247" s="428"/>
      <c r="L3247" s="437"/>
      <c r="M3247" s="65"/>
      <c r="N3247" s="66"/>
      <c r="O3247" s="66"/>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s="349" customFormat="1" ht="15.75" customHeight="1">
      <c r="A3248" s="334" t="str">
        <f>IF(B3248&lt;&gt;"",IF(AND(B3248='IN-TC'!$S$4,OR(TH!N3248="1111",TH!O3248="1111")),TH!D3248,""),"")</f>
        <v/>
      </c>
      <c r="B3248" s="63" t="str">
        <f t="shared" si="425"/>
        <v/>
      </c>
      <c r="C3248" s="64"/>
      <c r="D3248" s="64"/>
      <c r="E3248" s="64"/>
      <c r="F3248" s="72"/>
      <c r="G3248" s="67"/>
      <c r="H3248" s="72"/>
      <c r="I3248" s="437"/>
      <c r="J3248" s="437"/>
      <c r="K3248" s="428"/>
      <c r="L3248" s="437"/>
      <c r="M3248" s="65"/>
      <c r="N3248" s="66"/>
      <c r="O3248" s="66"/>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s="349" customFormat="1" ht="15.75" customHeight="1">
      <c r="A3249" s="334" t="str">
        <f>IF(B3249&lt;&gt;"",IF(AND(B3249='IN-TC'!$S$4,OR(TH!N3249="1111",TH!O3249="1111")),TH!D3249,""),"")</f>
        <v/>
      </c>
      <c r="B3249" s="63" t="str">
        <f t="shared" si="425"/>
        <v/>
      </c>
      <c r="C3249" s="64"/>
      <c r="D3249" s="64"/>
      <c r="E3249" s="64"/>
      <c r="F3249" s="72"/>
      <c r="G3249" s="67"/>
      <c r="H3249" s="72"/>
      <c r="I3249" s="437"/>
      <c r="J3249" s="437"/>
      <c r="K3249" s="428"/>
      <c r="L3249" s="437"/>
      <c r="M3249" s="65"/>
      <c r="N3249" s="66"/>
      <c r="O3249" s="66"/>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s="349" customFormat="1" ht="15.75" customHeight="1">
      <c r="A3250" s="334" t="str">
        <f>IF(B3250&lt;&gt;"",IF(AND(B3250='IN-TC'!$S$4,OR(TH!N3250="1111",TH!O3250="1111")),TH!D3250,""),"")</f>
        <v/>
      </c>
      <c r="B3250" s="63" t="str">
        <f t="shared" si="425"/>
        <v/>
      </c>
      <c r="C3250" s="64"/>
      <c r="D3250" s="64"/>
      <c r="E3250" s="64"/>
      <c r="F3250" s="72"/>
      <c r="G3250" s="67"/>
      <c r="H3250" s="72"/>
      <c r="I3250" s="437"/>
      <c r="J3250" s="437"/>
      <c r="K3250" s="428"/>
      <c r="L3250" s="437"/>
      <c r="M3250" s="65"/>
      <c r="N3250" s="66"/>
      <c r="O3250" s="66"/>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s="349" customFormat="1" ht="15.75" customHeight="1">
      <c r="A3251" s="334" t="str">
        <f>IF(B3251&lt;&gt;"",IF(AND(B3251='IN-TC'!$S$4,OR(TH!N3251="1111",TH!O3251="1111")),TH!D3251,""),"")</f>
        <v/>
      </c>
      <c r="B3251" s="63" t="str">
        <f t="shared" si="425"/>
        <v/>
      </c>
      <c r="C3251" s="64"/>
      <c r="D3251" s="64"/>
      <c r="E3251" s="64"/>
      <c r="F3251" s="72"/>
      <c r="G3251" s="67"/>
      <c r="H3251" s="72"/>
      <c r="I3251" s="437"/>
      <c r="J3251" s="437"/>
      <c r="K3251" s="428"/>
      <c r="L3251" s="437"/>
      <c r="M3251" s="65"/>
      <c r="N3251" s="66"/>
      <c r="O3251" s="66"/>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s="349" customFormat="1" ht="15.75" customHeight="1">
      <c r="A3252" s="334" t="str">
        <f>IF(B3252&lt;&gt;"",IF(AND(B3252='IN-TC'!$S$4,OR(TH!N3252="1111",TH!O3252="1111")),TH!D3252,""),"")</f>
        <v/>
      </c>
      <c r="B3252" s="63" t="str">
        <f t="shared" si="425"/>
        <v/>
      </c>
      <c r="C3252" s="64"/>
      <c r="D3252" s="64"/>
      <c r="E3252" s="64"/>
      <c r="F3252" s="72"/>
      <c r="G3252" s="67"/>
      <c r="H3252" s="72"/>
      <c r="I3252" s="437"/>
      <c r="J3252" s="437"/>
      <c r="K3252" s="428"/>
      <c r="L3252" s="437"/>
      <c r="M3252" s="65"/>
      <c r="N3252" s="66"/>
      <c r="O3252" s="66"/>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s="349" customFormat="1" ht="15.75" customHeight="1">
      <c r="A3253" s="334" t="str">
        <f>IF(B3253&lt;&gt;"",IF(AND(B3253='IN-TC'!$S$4,OR(TH!N3253="1111",TH!O3253="1111")),TH!D3253,""),"")</f>
        <v/>
      </c>
      <c r="B3253" s="63" t="str">
        <f t="shared" si="425"/>
        <v/>
      </c>
      <c r="C3253" s="64"/>
      <c r="D3253" s="64"/>
      <c r="E3253" s="64"/>
      <c r="F3253" s="72"/>
      <c r="G3253" s="67"/>
      <c r="H3253" s="72"/>
      <c r="I3253" s="437"/>
      <c r="J3253" s="437"/>
      <c r="K3253" s="428"/>
      <c r="L3253" s="437"/>
      <c r="M3253" s="65"/>
      <c r="N3253" s="66"/>
      <c r="O3253" s="66"/>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s="349" customFormat="1" ht="15.75" customHeight="1">
      <c r="A3254" s="334" t="str">
        <f>IF(B3254&lt;&gt;"",IF(AND(B3254='IN-TC'!$S$4,OR(TH!N3254="1111",TH!O3254="1111")),TH!D3254,""),"")</f>
        <v/>
      </c>
      <c r="B3254" s="63" t="str">
        <f t="shared" si="425"/>
        <v/>
      </c>
      <c r="C3254" s="64"/>
      <c r="D3254" s="64"/>
      <c r="E3254" s="64"/>
      <c r="F3254" s="72"/>
      <c r="G3254" s="67"/>
      <c r="H3254" s="72"/>
      <c r="I3254" s="437"/>
      <c r="J3254" s="437"/>
      <c r="K3254" s="428"/>
      <c r="L3254" s="437"/>
      <c r="M3254" s="65"/>
      <c r="N3254" s="66"/>
      <c r="O3254" s="66"/>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s="349" customFormat="1" ht="15.75" customHeight="1">
      <c r="A3255" s="334" t="str">
        <f>IF(B3255&lt;&gt;"",IF(AND(B3255='IN-TC'!$S$4,OR(TH!N3255="1111",TH!O3255="1111")),TH!D3255,""),"")</f>
        <v/>
      </c>
      <c r="B3255" s="63" t="str">
        <f t="shared" si="425"/>
        <v/>
      </c>
      <c r="C3255" s="64"/>
      <c r="D3255" s="64"/>
      <c r="E3255" s="64"/>
      <c r="F3255" s="72"/>
      <c r="G3255" s="67"/>
      <c r="H3255" s="72"/>
      <c r="I3255" s="437"/>
      <c r="J3255" s="437"/>
      <c r="K3255" s="428"/>
      <c r="L3255" s="437"/>
      <c r="M3255" s="65"/>
      <c r="N3255" s="66"/>
      <c r="O3255" s="66"/>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s="349" customFormat="1" ht="15.75" customHeight="1">
      <c r="A3256" s="334" t="str">
        <f>IF(B3256&lt;&gt;"",IF(AND(B3256='IN-TC'!$S$4,OR(TH!N3256="1111",TH!O3256="1111")),TH!D3256,""),"")</f>
        <v/>
      </c>
      <c r="B3256" s="63" t="str">
        <f t="shared" ref="B3256:B3287" si="426">IF(C3256&lt;&gt;"",MONTH(C3256),"")</f>
        <v/>
      </c>
      <c r="C3256" s="64"/>
      <c r="D3256" s="64"/>
      <c r="E3256" s="64"/>
      <c r="F3256" s="72"/>
      <c r="G3256" s="67"/>
      <c r="H3256" s="72"/>
      <c r="I3256" s="437"/>
      <c r="J3256" s="437"/>
      <c r="K3256" s="428"/>
      <c r="L3256" s="437"/>
      <c r="M3256" s="65"/>
      <c r="N3256" s="66"/>
      <c r="O3256" s="66"/>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s="349" customFormat="1" ht="15.75" customHeight="1">
      <c r="A3257" s="334" t="str">
        <f>IF(B3257&lt;&gt;"",IF(AND(B3257='IN-TC'!$S$4,OR(TH!N3257="1111",TH!O3257="1111")),TH!D3257,""),"")</f>
        <v/>
      </c>
      <c r="B3257" s="63" t="str">
        <f t="shared" si="426"/>
        <v/>
      </c>
      <c r="C3257" s="64"/>
      <c r="D3257" s="64"/>
      <c r="E3257" s="64"/>
      <c r="F3257" s="72"/>
      <c r="G3257" s="67"/>
      <c r="H3257" s="72"/>
      <c r="I3257" s="437"/>
      <c r="J3257" s="437"/>
      <c r="K3257" s="428"/>
      <c r="L3257" s="437"/>
      <c r="M3257" s="65"/>
      <c r="N3257" s="66"/>
      <c r="O3257" s="66"/>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s="349" customFormat="1" ht="15.75" customHeight="1">
      <c r="A3258" s="334" t="str">
        <f>IF(B3258&lt;&gt;"",IF(AND(B3258='IN-TC'!$S$4,OR(TH!N3258="1111",TH!O3258="1111")),TH!D3258,""),"")</f>
        <v/>
      </c>
      <c r="B3258" s="63" t="str">
        <f t="shared" si="426"/>
        <v/>
      </c>
      <c r="C3258" s="64"/>
      <c r="D3258" s="64"/>
      <c r="E3258" s="64"/>
      <c r="F3258" s="72"/>
      <c r="G3258" s="67"/>
      <c r="H3258" s="72"/>
      <c r="I3258" s="437"/>
      <c r="J3258" s="437"/>
      <c r="K3258" s="428"/>
      <c r="L3258" s="437"/>
      <c r="M3258" s="65"/>
      <c r="N3258" s="66"/>
      <c r="O3258" s="66"/>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s="349" customFormat="1" ht="15.75" customHeight="1">
      <c r="A3259" s="334" t="str">
        <f>IF(B3259&lt;&gt;"",IF(AND(B3259='IN-TC'!$S$4,OR(TH!N3259="1111",TH!O3259="1111")),TH!D3259,""),"")</f>
        <v/>
      </c>
      <c r="B3259" s="63" t="str">
        <f t="shared" si="426"/>
        <v/>
      </c>
      <c r="C3259" s="64"/>
      <c r="D3259" s="64"/>
      <c r="E3259" s="64"/>
      <c r="F3259" s="72"/>
      <c r="G3259" s="67"/>
      <c r="H3259" s="72"/>
      <c r="I3259" s="437"/>
      <c r="J3259" s="437"/>
      <c r="K3259" s="428"/>
      <c r="L3259" s="437"/>
      <c r="M3259" s="65"/>
      <c r="N3259" s="66"/>
      <c r="O3259" s="66"/>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s="349" customFormat="1" ht="15.75" customHeight="1">
      <c r="A3260" s="334" t="str">
        <f>IF(B3260&lt;&gt;"",IF(AND(B3260='IN-TC'!$S$4,OR(TH!N3260="1111",TH!O3260="1111")),TH!D3260,""),"")</f>
        <v/>
      </c>
      <c r="B3260" s="63" t="str">
        <f t="shared" si="426"/>
        <v/>
      </c>
      <c r="C3260" s="64"/>
      <c r="D3260" s="64"/>
      <c r="E3260" s="64"/>
      <c r="F3260" s="72"/>
      <c r="G3260" s="67"/>
      <c r="H3260" s="72"/>
      <c r="I3260" s="437"/>
      <c r="J3260" s="437"/>
      <c r="K3260" s="428"/>
      <c r="L3260" s="437"/>
      <c r="M3260" s="65"/>
      <c r="N3260" s="66"/>
      <c r="O3260" s="66"/>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s="349" customFormat="1" ht="15.75" customHeight="1">
      <c r="A3261" s="334" t="str">
        <f>IF(B3261&lt;&gt;"",IF(AND(B3261='IN-TC'!$S$4,OR(TH!N3261="1111",TH!O3261="1111")),TH!D3261,""),"")</f>
        <v/>
      </c>
      <c r="B3261" s="63" t="str">
        <f t="shared" si="426"/>
        <v/>
      </c>
      <c r="C3261" s="64"/>
      <c r="D3261" s="64"/>
      <c r="E3261" s="64"/>
      <c r="F3261" s="72"/>
      <c r="G3261" s="67"/>
      <c r="H3261" s="72"/>
      <c r="I3261" s="437"/>
      <c r="J3261" s="437"/>
      <c r="K3261" s="428"/>
      <c r="L3261" s="437"/>
      <c r="M3261" s="65"/>
      <c r="N3261" s="66"/>
      <c r="O3261" s="66"/>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s="349" customFormat="1" ht="15.75" customHeight="1">
      <c r="A3262" s="334" t="str">
        <f>IF(B3262&lt;&gt;"",IF(AND(B3262='IN-TC'!$S$4,OR(TH!N3262="1111",TH!O3262="1111")),TH!D3262,""),"")</f>
        <v/>
      </c>
      <c r="B3262" s="63" t="str">
        <f t="shared" si="426"/>
        <v/>
      </c>
      <c r="C3262" s="64"/>
      <c r="D3262" s="64"/>
      <c r="E3262" s="64"/>
      <c r="F3262" s="72"/>
      <c r="G3262" s="67"/>
      <c r="H3262" s="72"/>
      <c r="I3262" s="437"/>
      <c r="J3262" s="437"/>
      <c r="K3262" s="428"/>
      <c r="L3262" s="437"/>
      <c r="M3262" s="65"/>
      <c r="N3262" s="66"/>
      <c r="O3262" s="66"/>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s="349" customFormat="1" ht="15.75" customHeight="1">
      <c r="A3263" s="334" t="str">
        <f>IF(B3263&lt;&gt;"",IF(AND(B3263='IN-TC'!$S$4,OR(TH!N3263="1111",TH!O3263="1111")),TH!D3263,""),"")</f>
        <v/>
      </c>
      <c r="B3263" s="63" t="str">
        <f t="shared" si="426"/>
        <v/>
      </c>
      <c r="C3263" s="64"/>
      <c r="D3263" s="64"/>
      <c r="E3263" s="64"/>
      <c r="F3263" s="72"/>
      <c r="G3263" s="67"/>
      <c r="H3263" s="72"/>
      <c r="I3263" s="437"/>
      <c r="J3263" s="437"/>
      <c r="K3263" s="428"/>
      <c r="L3263" s="437"/>
      <c r="M3263" s="65"/>
      <c r="N3263" s="66"/>
      <c r="O3263" s="66"/>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s="349" customFormat="1" ht="15.75" customHeight="1">
      <c r="A3264" s="334" t="str">
        <f>IF(B3264&lt;&gt;"",IF(AND(B3264='IN-TC'!$S$4,OR(TH!N3264="1111",TH!O3264="1111")),TH!D3264,""),"")</f>
        <v/>
      </c>
      <c r="B3264" s="63" t="str">
        <f t="shared" si="426"/>
        <v/>
      </c>
      <c r="C3264" s="64"/>
      <c r="D3264" s="64"/>
      <c r="E3264" s="64"/>
      <c r="F3264" s="72"/>
      <c r="G3264" s="67"/>
      <c r="H3264" s="72"/>
      <c r="I3264" s="437"/>
      <c r="J3264" s="437"/>
      <c r="K3264" s="428"/>
      <c r="L3264" s="437"/>
      <c r="M3264" s="65"/>
      <c r="N3264" s="66"/>
      <c r="O3264" s="66"/>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s="349" customFormat="1" ht="15.75" customHeight="1">
      <c r="A3265" s="334" t="str">
        <f>IF(B3265&lt;&gt;"",IF(AND(B3265='IN-TC'!$S$4,OR(TH!N3265="1111",TH!O3265="1111")),TH!D3265,""),"")</f>
        <v/>
      </c>
      <c r="B3265" s="63" t="str">
        <f t="shared" si="426"/>
        <v/>
      </c>
      <c r="C3265" s="64"/>
      <c r="D3265" s="64"/>
      <c r="E3265" s="64"/>
      <c r="F3265" s="72"/>
      <c r="G3265" s="67"/>
      <c r="H3265" s="72"/>
      <c r="I3265" s="437"/>
      <c r="J3265" s="437"/>
      <c r="K3265" s="428"/>
      <c r="L3265" s="437"/>
      <c r="M3265" s="65"/>
      <c r="N3265" s="66"/>
      <c r="O3265" s="66"/>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s="349" customFormat="1" ht="15.75" customHeight="1">
      <c r="A3266" s="334" t="str">
        <f>IF(B3266&lt;&gt;"",IF(AND(B3266='IN-TC'!$S$4,OR(TH!N3266="1111",TH!O3266="1111")),TH!D3266,""),"")</f>
        <v/>
      </c>
      <c r="B3266" s="63" t="str">
        <f t="shared" si="426"/>
        <v/>
      </c>
      <c r="C3266" s="64"/>
      <c r="D3266" s="64"/>
      <c r="E3266" s="64"/>
      <c r="F3266" s="72"/>
      <c r="G3266" s="67"/>
      <c r="H3266" s="72"/>
      <c r="I3266" s="437"/>
      <c r="J3266" s="437"/>
      <c r="K3266" s="428"/>
      <c r="L3266" s="437"/>
      <c r="M3266" s="65"/>
      <c r="N3266" s="66"/>
      <c r="O3266" s="66"/>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s="349" customFormat="1" ht="15.75" customHeight="1">
      <c r="A3267" s="334" t="str">
        <f>IF(B3267&lt;&gt;"",IF(AND(B3267='IN-TC'!$S$4,OR(TH!N3267="1111",TH!O3267="1111")),TH!D3267,""),"")</f>
        <v/>
      </c>
      <c r="B3267" s="63" t="str">
        <f t="shared" si="426"/>
        <v/>
      </c>
      <c r="C3267" s="64"/>
      <c r="D3267" s="64"/>
      <c r="E3267" s="64"/>
      <c r="F3267" s="72"/>
      <c r="G3267" s="67"/>
      <c r="H3267" s="72"/>
      <c r="I3267" s="437"/>
      <c r="J3267" s="437"/>
      <c r="K3267" s="428"/>
      <c r="L3267" s="437"/>
      <c r="M3267" s="65"/>
      <c r="N3267" s="66"/>
      <c r="O3267" s="66"/>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s="349" customFormat="1" ht="15.75" customHeight="1">
      <c r="A3268" s="334" t="str">
        <f>IF(B3268&lt;&gt;"",IF(AND(B3268='IN-TC'!$S$4,OR(TH!N3268="1111",TH!O3268="1111")),TH!D3268,""),"")</f>
        <v/>
      </c>
      <c r="B3268" s="63" t="str">
        <f t="shared" si="426"/>
        <v/>
      </c>
      <c r="C3268" s="64"/>
      <c r="D3268" s="64"/>
      <c r="E3268" s="64"/>
      <c r="F3268" s="72"/>
      <c r="G3268" s="67"/>
      <c r="H3268" s="72"/>
      <c r="I3268" s="437"/>
      <c r="J3268" s="437"/>
      <c r="K3268" s="428"/>
      <c r="L3268" s="437"/>
      <c r="M3268" s="65"/>
      <c r="N3268" s="66"/>
      <c r="O3268" s="66"/>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s="349" customFormat="1" ht="15.75" customHeight="1">
      <c r="A3269" s="334" t="str">
        <f>IF(B3269&lt;&gt;"",IF(AND(B3269='IN-TC'!$S$4,OR(TH!N3269="1111",TH!O3269="1111")),TH!D3269,""),"")</f>
        <v/>
      </c>
      <c r="B3269" s="63" t="str">
        <f t="shared" si="426"/>
        <v/>
      </c>
      <c r="C3269" s="64"/>
      <c r="D3269" s="64"/>
      <c r="E3269" s="64"/>
      <c r="F3269" s="72"/>
      <c r="G3269" s="67"/>
      <c r="H3269" s="72"/>
      <c r="I3269" s="437"/>
      <c r="J3269" s="437"/>
      <c r="K3269" s="428"/>
      <c r="L3269" s="437"/>
      <c r="M3269" s="65"/>
      <c r="N3269" s="66"/>
      <c r="O3269" s="66"/>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s="349" customFormat="1" ht="15.75" customHeight="1">
      <c r="A3270" s="334" t="str">
        <f>IF(B3270&lt;&gt;"",IF(AND(B3270='IN-TC'!$S$4,OR(TH!N3270="1111",TH!O3270="1111")),TH!D3270,""),"")</f>
        <v/>
      </c>
      <c r="B3270" s="63" t="str">
        <f t="shared" si="426"/>
        <v/>
      </c>
      <c r="C3270" s="64"/>
      <c r="D3270" s="64"/>
      <c r="E3270" s="64"/>
      <c r="F3270" s="72"/>
      <c r="G3270" s="67"/>
      <c r="H3270" s="72"/>
      <c r="I3270" s="437"/>
      <c r="J3270" s="437"/>
      <c r="K3270" s="428"/>
      <c r="L3270" s="437"/>
      <c r="M3270" s="65"/>
      <c r="N3270" s="66"/>
      <c r="O3270" s="66"/>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s="349" customFormat="1" ht="15.75" customHeight="1">
      <c r="A3271" s="334" t="str">
        <f>IF(B3271&lt;&gt;"",IF(AND(B3271='IN-TC'!$S$4,OR(TH!N3271="1111",TH!O3271="1111")),TH!D3271,""),"")</f>
        <v/>
      </c>
      <c r="B3271" s="63" t="str">
        <f t="shared" si="426"/>
        <v/>
      </c>
      <c r="C3271" s="64"/>
      <c r="D3271" s="64"/>
      <c r="E3271" s="64"/>
      <c r="F3271" s="72"/>
      <c r="G3271" s="67"/>
      <c r="H3271" s="72"/>
      <c r="I3271" s="437"/>
      <c r="J3271" s="437"/>
      <c r="K3271" s="428"/>
      <c r="L3271" s="437"/>
      <c r="M3271" s="65"/>
      <c r="N3271" s="66"/>
      <c r="O3271" s="66"/>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s="349" customFormat="1" ht="15.75" customHeight="1">
      <c r="A3272" s="334" t="str">
        <f>IF(B3272&lt;&gt;"",IF(AND(B3272='IN-TC'!$S$4,OR(TH!N3272="1111",TH!O3272="1111")),TH!D3272,""),"")</f>
        <v/>
      </c>
      <c r="B3272" s="63" t="str">
        <f t="shared" si="426"/>
        <v/>
      </c>
      <c r="C3272" s="64"/>
      <c r="D3272" s="64"/>
      <c r="E3272" s="64"/>
      <c r="F3272" s="72"/>
      <c r="G3272" s="67"/>
      <c r="H3272" s="72"/>
      <c r="I3272" s="437"/>
      <c r="J3272" s="437"/>
      <c r="K3272" s="428"/>
      <c r="L3272" s="437"/>
      <c r="M3272" s="65"/>
      <c r="N3272" s="66"/>
      <c r="O3272" s="66"/>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s="349" customFormat="1" ht="15.75" customHeight="1">
      <c r="A3273" s="334" t="str">
        <f>IF(B3273&lt;&gt;"",IF(AND(B3273='IN-TC'!$S$4,OR(TH!N3273="1111",TH!O3273="1111")),TH!D3273,""),"")</f>
        <v/>
      </c>
      <c r="B3273" s="63" t="str">
        <f t="shared" si="426"/>
        <v/>
      </c>
      <c r="C3273" s="64"/>
      <c r="D3273" s="64"/>
      <c r="E3273" s="64"/>
      <c r="F3273" s="72"/>
      <c r="G3273" s="67"/>
      <c r="H3273" s="72"/>
      <c r="I3273" s="437"/>
      <c r="J3273" s="437"/>
      <c r="K3273" s="428"/>
      <c r="L3273" s="437"/>
      <c r="M3273" s="65"/>
      <c r="N3273" s="66"/>
      <c r="O3273" s="66"/>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s="349" customFormat="1" ht="15.75" customHeight="1">
      <c r="A3274" s="334" t="str">
        <f>IF(B3274&lt;&gt;"",IF(AND(B3274='IN-TC'!$S$4,OR(TH!N3274="1111",TH!O3274="1111")),TH!D3274,""),"")</f>
        <v/>
      </c>
      <c r="B3274" s="63" t="str">
        <f t="shared" si="426"/>
        <v/>
      </c>
      <c r="C3274" s="64"/>
      <c r="D3274" s="64"/>
      <c r="E3274" s="64"/>
      <c r="F3274" s="72"/>
      <c r="G3274" s="67"/>
      <c r="H3274" s="72"/>
      <c r="I3274" s="437"/>
      <c r="J3274" s="437"/>
      <c r="K3274" s="428"/>
      <c r="L3274" s="437"/>
      <c r="M3274" s="65"/>
      <c r="N3274" s="66"/>
      <c r="O3274" s="66"/>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s="349" customFormat="1" ht="15.75" customHeight="1">
      <c r="A3275" s="334" t="str">
        <f>IF(B3275&lt;&gt;"",IF(AND(B3275='IN-TC'!$S$4,OR(TH!N3275="1111",TH!O3275="1111")),TH!D3275,""),"")</f>
        <v/>
      </c>
      <c r="B3275" s="63" t="str">
        <f t="shared" si="426"/>
        <v/>
      </c>
      <c r="C3275" s="64"/>
      <c r="D3275" s="64"/>
      <c r="E3275" s="64"/>
      <c r="F3275" s="72"/>
      <c r="G3275" s="67"/>
      <c r="H3275" s="72"/>
      <c r="I3275" s="437"/>
      <c r="J3275" s="437"/>
      <c r="K3275" s="428"/>
      <c r="L3275" s="437"/>
      <c r="M3275" s="65"/>
      <c r="N3275" s="66"/>
      <c r="O3275" s="66"/>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s="349" customFormat="1" ht="15.75" customHeight="1">
      <c r="A3276" s="334" t="str">
        <f>IF(B3276&lt;&gt;"",IF(AND(B3276='IN-TC'!$S$4,OR(TH!N3276="1111",TH!O3276="1111")),TH!D3276,""),"")</f>
        <v/>
      </c>
      <c r="B3276" s="63" t="str">
        <f t="shared" si="426"/>
        <v/>
      </c>
      <c r="C3276" s="64"/>
      <c r="D3276" s="64"/>
      <c r="E3276" s="64"/>
      <c r="F3276" s="72"/>
      <c r="G3276" s="67"/>
      <c r="H3276" s="72"/>
      <c r="I3276" s="437"/>
      <c r="J3276" s="437"/>
      <c r="K3276" s="428"/>
      <c r="L3276" s="437"/>
      <c r="M3276" s="65"/>
      <c r="N3276" s="66"/>
      <c r="O3276" s="66"/>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s="349" customFormat="1" ht="15.75" customHeight="1">
      <c r="A3277" s="334" t="str">
        <f>IF(B3277&lt;&gt;"",IF(AND(B3277='IN-TC'!$S$4,OR(TH!N3277="1111",TH!O3277="1111")),TH!D3277,""),"")</f>
        <v/>
      </c>
      <c r="B3277" s="63" t="str">
        <f t="shared" si="426"/>
        <v/>
      </c>
      <c r="C3277" s="64"/>
      <c r="D3277" s="64"/>
      <c r="E3277" s="64"/>
      <c r="F3277" s="72"/>
      <c r="G3277" s="67"/>
      <c r="H3277" s="72"/>
      <c r="I3277" s="437"/>
      <c r="J3277" s="437"/>
      <c r="K3277" s="428"/>
      <c r="L3277" s="437"/>
      <c r="M3277" s="65"/>
      <c r="N3277" s="66"/>
      <c r="O3277" s="66"/>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s="349" customFormat="1" ht="15.75" customHeight="1">
      <c r="A3278" s="334" t="str">
        <f>IF(B3278&lt;&gt;"",IF(AND(B3278='IN-TC'!$S$4,OR(TH!N3278="1111",TH!O3278="1111")),TH!D3278,""),"")</f>
        <v/>
      </c>
      <c r="B3278" s="63" t="str">
        <f t="shared" si="426"/>
        <v/>
      </c>
      <c r="C3278" s="64"/>
      <c r="D3278" s="64"/>
      <c r="E3278" s="64"/>
      <c r="F3278" s="72"/>
      <c r="G3278" s="67"/>
      <c r="H3278" s="72"/>
      <c r="I3278" s="437"/>
      <c r="J3278" s="437"/>
      <c r="K3278" s="428"/>
      <c r="L3278" s="437"/>
      <c r="M3278" s="65"/>
      <c r="N3278" s="66"/>
      <c r="O3278" s="66"/>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s="349" customFormat="1" ht="15.75" customHeight="1">
      <c r="A3279" s="334" t="str">
        <f>IF(B3279&lt;&gt;"",IF(AND(B3279='IN-TC'!$S$4,OR(TH!N3279="1111",TH!O3279="1111")),TH!D3279,""),"")</f>
        <v/>
      </c>
      <c r="B3279" s="63" t="str">
        <f t="shared" si="426"/>
        <v/>
      </c>
      <c r="C3279" s="64"/>
      <c r="D3279" s="64"/>
      <c r="E3279" s="64"/>
      <c r="F3279" s="72"/>
      <c r="G3279" s="67"/>
      <c r="H3279" s="72"/>
      <c r="I3279" s="437"/>
      <c r="J3279" s="437"/>
      <c r="K3279" s="428"/>
      <c r="L3279" s="437"/>
      <c r="M3279" s="65"/>
      <c r="N3279" s="66"/>
      <c r="O3279" s="66"/>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s="349" customFormat="1" ht="15.75" customHeight="1">
      <c r="A3280" s="334" t="str">
        <f>IF(B3280&lt;&gt;"",IF(AND(B3280='IN-TC'!$S$4,OR(TH!N3280="1111",TH!O3280="1111")),TH!D3280,""),"")</f>
        <v/>
      </c>
      <c r="B3280" s="63" t="str">
        <f t="shared" si="426"/>
        <v/>
      </c>
      <c r="C3280" s="64"/>
      <c r="D3280" s="64"/>
      <c r="E3280" s="64"/>
      <c r="F3280" s="72"/>
      <c r="G3280" s="67"/>
      <c r="H3280" s="72"/>
      <c r="I3280" s="437"/>
      <c r="J3280" s="437"/>
      <c r="K3280" s="428"/>
      <c r="L3280" s="437"/>
      <c r="M3280" s="65"/>
      <c r="N3280" s="66"/>
      <c r="O3280" s="66"/>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s="349" customFormat="1" ht="15.75" customHeight="1">
      <c r="A3281" s="334" t="str">
        <f>IF(B3281&lt;&gt;"",IF(AND(B3281='IN-TC'!$S$4,OR(TH!N3281="1111",TH!O3281="1111")),TH!D3281,""),"")</f>
        <v/>
      </c>
      <c r="B3281" s="63" t="str">
        <f t="shared" si="426"/>
        <v/>
      </c>
      <c r="C3281" s="64"/>
      <c r="D3281" s="64"/>
      <c r="E3281" s="64"/>
      <c r="F3281" s="72"/>
      <c r="G3281" s="67"/>
      <c r="H3281" s="72"/>
      <c r="I3281" s="437"/>
      <c r="J3281" s="437"/>
      <c r="K3281" s="428"/>
      <c r="L3281" s="437"/>
      <c r="M3281" s="65"/>
      <c r="N3281" s="66"/>
      <c r="O3281" s="66"/>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s="349" customFormat="1" ht="15.75" customHeight="1">
      <c r="A3282" s="334" t="str">
        <f>IF(B3282&lt;&gt;"",IF(AND(B3282='IN-TC'!$S$4,OR(TH!N3282="1111",TH!O3282="1111")),TH!D3282,""),"")</f>
        <v/>
      </c>
      <c r="B3282" s="63" t="str">
        <f t="shared" si="426"/>
        <v/>
      </c>
      <c r="C3282" s="64"/>
      <c r="D3282" s="64"/>
      <c r="E3282" s="64"/>
      <c r="F3282" s="72"/>
      <c r="G3282" s="67"/>
      <c r="H3282" s="72"/>
      <c r="I3282" s="437"/>
      <c r="J3282" s="437"/>
      <c r="K3282" s="428"/>
      <c r="L3282" s="437"/>
      <c r="M3282" s="65"/>
      <c r="N3282" s="66"/>
      <c r="O3282" s="66"/>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s="349" customFormat="1" ht="15.75" customHeight="1">
      <c r="A3283" s="334" t="str">
        <f>IF(B3283&lt;&gt;"",IF(AND(B3283='IN-TC'!$S$4,OR(TH!N3283="1111",TH!O3283="1111")),TH!D3283,""),"")</f>
        <v/>
      </c>
      <c r="B3283" s="63" t="str">
        <f t="shared" si="426"/>
        <v/>
      </c>
      <c r="C3283" s="64"/>
      <c r="D3283" s="64"/>
      <c r="E3283" s="64"/>
      <c r="F3283" s="72"/>
      <c r="G3283" s="67"/>
      <c r="H3283" s="72"/>
      <c r="I3283" s="437"/>
      <c r="J3283" s="437"/>
      <c r="K3283" s="428"/>
      <c r="L3283" s="437"/>
      <c r="M3283" s="65"/>
      <c r="N3283" s="66"/>
      <c r="O3283" s="66"/>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s="349" customFormat="1" ht="15.75" customHeight="1">
      <c r="A3284" s="334" t="str">
        <f>IF(B3284&lt;&gt;"",IF(AND(B3284='IN-TC'!$S$4,OR(TH!N3284="1111",TH!O3284="1111")),TH!D3284,""),"")</f>
        <v/>
      </c>
      <c r="B3284" s="63" t="str">
        <f t="shared" si="426"/>
        <v/>
      </c>
      <c r="C3284" s="64"/>
      <c r="D3284" s="64"/>
      <c r="E3284" s="64"/>
      <c r="F3284" s="72"/>
      <c r="G3284" s="67"/>
      <c r="H3284" s="72"/>
      <c r="I3284" s="437"/>
      <c r="J3284" s="437"/>
      <c r="K3284" s="428"/>
      <c r="L3284" s="437"/>
      <c r="M3284" s="65"/>
      <c r="N3284" s="66"/>
      <c r="O3284" s="66"/>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s="349" customFormat="1" ht="15.75" customHeight="1">
      <c r="A3285" s="334" t="str">
        <f>IF(B3285&lt;&gt;"",IF(AND(B3285='IN-TC'!$S$4,OR(TH!N3285="1111",TH!O3285="1111")),TH!D3285,""),"")</f>
        <v/>
      </c>
      <c r="B3285" s="63" t="str">
        <f t="shared" si="426"/>
        <v/>
      </c>
      <c r="C3285" s="64"/>
      <c r="D3285" s="64"/>
      <c r="E3285" s="64"/>
      <c r="F3285" s="72"/>
      <c r="G3285" s="67"/>
      <c r="H3285" s="72"/>
      <c r="I3285" s="437"/>
      <c r="J3285" s="437"/>
      <c r="K3285" s="428"/>
      <c r="L3285" s="437"/>
      <c r="M3285" s="65"/>
      <c r="N3285" s="66"/>
      <c r="O3285" s="66"/>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s="349" customFormat="1" ht="15.75" customHeight="1">
      <c r="A3286" s="334" t="str">
        <f>IF(B3286&lt;&gt;"",IF(AND(B3286='IN-TC'!$S$4,OR(TH!N3286="1111",TH!O3286="1111")),TH!D3286,""),"")</f>
        <v/>
      </c>
      <c r="B3286" s="63" t="str">
        <f t="shared" si="426"/>
        <v/>
      </c>
      <c r="C3286" s="64"/>
      <c r="D3286" s="64"/>
      <c r="E3286" s="64"/>
      <c r="F3286" s="72"/>
      <c r="G3286" s="67"/>
      <c r="H3286" s="72"/>
      <c r="I3286" s="437"/>
      <c r="J3286" s="437"/>
      <c r="K3286" s="428"/>
      <c r="L3286" s="437"/>
      <c r="M3286" s="65"/>
      <c r="N3286" s="66"/>
      <c r="O3286" s="66"/>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s="349" customFormat="1" ht="15.75" customHeight="1">
      <c r="A3287" s="334" t="str">
        <f>IF(B3287&lt;&gt;"",IF(AND(B3287='IN-TC'!$S$4,OR(TH!N3287="1111",TH!O3287="1111")),TH!D3287,""),"")</f>
        <v/>
      </c>
      <c r="B3287" s="63" t="str">
        <f t="shared" si="426"/>
        <v/>
      </c>
      <c r="C3287" s="64"/>
      <c r="D3287" s="64"/>
      <c r="E3287" s="64"/>
      <c r="F3287" s="72"/>
      <c r="G3287" s="67"/>
      <c r="H3287" s="72"/>
      <c r="I3287" s="437"/>
      <c r="J3287" s="437"/>
      <c r="K3287" s="428"/>
      <c r="L3287" s="437"/>
      <c r="M3287" s="65"/>
      <c r="N3287" s="66"/>
      <c r="O3287" s="66"/>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s="349" customFormat="1" ht="15.75" customHeight="1">
      <c r="A3288" s="334" t="str">
        <f>IF(B3288&lt;&gt;"",IF(AND(B3288='IN-TC'!$S$4,OR(TH!N3288="1111",TH!O3288="1111")),TH!D3288,""),"")</f>
        <v/>
      </c>
      <c r="B3288" s="63" t="str">
        <f t="shared" ref="B3288:B3351" si="427">IF(C3288&lt;&gt;"",MONTH(C3288),"")</f>
        <v/>
      </c>
      <c r="C3288" s="64"/>
      <c r="D3288" s="64"/>
      <c r="E3288" s="64"/>
      <c r="F3288" s="72"/>
      <c r="G3288" s="67"/>
      <c r="H3288" s="72"/>
      <c r="I3288" s="437"/>
      <c r="J3288" s="437"/>
      <c r="K3288" s="428"/>
      <c r="L3288" s="437"/>
      <c r="M3288" s="65"/>
      <c r="N3288" s="66"/>
      <c r="O3288" s="66"/>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s="349" customFormat="1" ht="15.75" customHeight="1">
      <c r="A3289" s="334" t="str">
        <f>IF(B3289&lt;&gt;"",IF(AND(B3289='IN-TC'!$S$4,OR(TH!N3289="1111",TH!O3289="1111")),TH!D3289,""),"")</f>
        <v/>
      </c>
      <c r="B3289" s="63" t="str">
        <f t="shared" si="427"/>
        <v/>
      </c>
      <c r="C3289" s="64"/>
      <c r="D3289" s="64"/>
      <c r="E3289" s="64"/>
      <c r="F3289" s="72"/>
      <c r="G3289" s="67"/>
      <c r="H3289" s="72"/>
      <c r="I3289" s="437"/>
      <c r="J3289" s="437"/>
      <c r="K3289" s="428"/>
      <c r="L3289" s="437"/>
      <c r="M3289" s="65"/>
      <c r="N3289" s="66"/>
      <c r="O3289" s="66"/>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s="349" customFormat="1" ht="15.75" customHeight="1">
      <c r="A3290" s="334" t="str">
        <f>IF(B3290&lt;&gt;"",IF(AND(B3290='IN-TC'!$S$4,OR(TH!N3290="1111",TH!O3290="1111")),TH!D3290,""),"")</f>
        <v/>
      </c>
      <c r="B3290" s="63" t="str">
        <f t="shared" si="427"/>
        <v/>
      </c>
      <c r="C3290" s="64"/>
      <c r="D3290" s="64"/>
      <c r="E3290" s="64"/>
      <c r="F3290" s="72"/>
      <c r="G3290" s="67"/>
      <c r="H3290" s="72"/>
      <c r="I3290" s="437"/>
      <c r="J3290" s="437"/>
      <c r="K3290" s="428"/>
      <c r="L3290" s="437"/>
      <c r="M3290" s="65"/>
      <c r="N3290" s="66"/>
      <c r="O3290" s="66"/>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s="349" customFormat="1" ht="15.75" customHeight="1">
      <c r="A3291" s="334" t="str">
        <f>IF(B3291&lt;&gt;"",IF(AND(B3291='IN-TC'!$S$4,OR(TH!N3291="1111",TH!O3291="1111")),TH!D3291,""),"")</f>
        <v/>
      </c>
      <c r="B3291" s="63" t="str">
        <f t="shared" si="427"/>
        <v/>
      </c>
      <c r="C3291" s="64"/>
      <c r="D3291" s="64"/>
      <c r="E3291" s="64"/>
      <c r="F3291" s="72"/>
      <c r="G3291" s="67"/>
      <c r="H3291" s="72"/>
      <c r="I3291" s="437"/>
      <c r="J3291" s="437"/>
      <c r="K3291" s="428"/>
      <c r="L3291" s="437"/>
      <c r="M3291" s="65"/>
      <c r="N3291" s="66"/>
      <c r="O3291" s="66"/>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s="349" customFormat="1" ht="15.75" customHeight="1">
      <c r="A3292" s="334" t="str">
        <f>IF(B3292&lt;&gt;"",IF(AND(B3292='IN-TC'!$S$4,OR(TH!N3292="1111",TH!O3292="1111")),TH!D3292,""),"")</f>
        <v/>
      </c>
      <c r="B3292" s="63" t="str">
        <f t="shared" si="427"/>
        <v/>
      </c>
      <c r="C3292" s="64"/>
      <c r="D3292" s="64"/>
      <c r="E3292" s="64"/>
      <c r="F3292" s="72"/>
      <c r="G3292" s="67"/>
      <c r="H3292" s="72"/>
      <c r="I3292" s="437"/>
      <c r="J3292" s="437"/>
      <c r="K3292" s="428"/>
      <c r="L3292" s="437"/>
      <c r="M3292" s="65"/>
      <c r="N3292" s="66"/>
      <c r="O3292" s="66"/>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s="349" customFormat="1" ht="15.75" customHeight="1">
      <c r="A3293" s="334" t="str">
        <f>IF(B3293&lt;&gt;"",IF(AND(B3293='IN-TC'!$S$4,OR(TH!N3293="1111",TH!O3293="1111")),TH!D3293,""),"")</f>
        <v/>
      </c>
      <c r="B3293" s="63" t="str">
        <f t="shared" si="427"/>
        <v/>
      </c>
      <c r="C3293" s="64"/>
      <c r="D3293" s="64"/>
      <c r="E3293" s="64"/>
      <c r="F3293" s="72"/>
      <c r="G3293" s="67"/>
      <c r="H3293" s="72"/>
      <c r="I3293" s="437"/>
      <c r="J3293" s="437"/>
      <c r="K3293" s="428"/>
      <c r="L3293" s="437"/>
      <c r="M3293" s="65"/>
      <c r="N3293" s="66"/>
      <c r="O3293" s="66"/>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s="349" customFormat="1" ht="15.75" customHeight="1">
      <c r="A3294" s="334" t="str">
        <f>IF(B3294&lt;&gt;"",IF(AND(B3294='IN-TC'!$S$4,OR(TH!N3294="1111",TH!O3294="1111")),TH!D3294,""),"")</f>
        <v/>
      </c>
      <c r="B3294" s="63" t="str">
        <f t="shared" si="427"/>
        <v/>
      </c>
      <c r="C3294" s="64"/>
      <c r="D3294" s="64"/>
      <c r="E3294" s="64"/>
      <c r="F3294" s="72"/>
      <c r="G3294" s="67"/>
      <c r="H3294" s="72"/>
      <c r="I3294" s="437"/>
      <c r="J3294" s="437"/>
      <c r="K3294" s="428"/>
      <c r="L3294" s="437"/>
      <c r="M3294" s="65"/>
      <c r="N3294" s="66"/>
      <c r="O3294" s="66"/>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s="349" customFormat="1" ht="15.75" customHeight="1">
      <c r="A3295" s="334" t="str">
        <f>IF(B3295&lt;&gt;"",IF(AND(B3295='IN-TC'!$S$4,OR(TH!N3295="1111",TH!O3295="1111")),TH!D3295,""),"")</f>
        <v/>
      </c>
      <c r="B3295" s="63" t="str">
        <f t="shared" si="427"/>
        <v/>
      </c>
      <c r="C3295" s="64"/>
      <c r="D3295" s="64"/>
      <c r="E3295" s="64"/>
      <c r="F3295" s="72"/>
      <c r="G3295" s="67"/>
      <c r="H3295" s="72"/>
      <c r="I3295" s="437"/>
      <c r="J3295" s="437"/>
      <c r="K3295" s="428"/>
      <c r="L3295" s="437"/>
      <c r="M3295" s="65"/>
      <c r="N3295" s="66"/>
      <c r="O3295" s="66"/>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s="349" customFormat="1" ht="15.75" customHeight="1">
      <c r="A3296" s="334" t="str">
        <f>IF(B3296&lt;&gt;"",IF(AND(B3296='IN-TC'!$S$4,OR(TH!N3296="1111",TH!O3296="1111")),TH!D3296,""),"")</f>
        <v/>
      </c>
      <c r="B3296" s="63" t="str">
        <f t="shared" si="427"/>
        <v/>
      </c>
      <c r="C3296" s="64"/>
      <c r="D3296" s="64"/>
      <c r="E3296" s="64"/>
      <c r="F3296" s="72"/>
      <c r="G3296" s="67"/>
      <c r="H3296" s="72"/>
      <c r="I3296" s="437"/>
      <c r="J3296" s="437"/>
      <c r="K3296" s="428"/>
      <c r="L3296" s="437"/>
      <c r="M3296" s="65"/>
      <c r="N3296" s="66"/>
      <c r="O3296" s="66"/>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s="349" customFormat="1" ht="15.75" customHeight="1">
      <c r="A3297" s="334" t="str">
        <f>IF(B3297&lt;&gt;"",IF(AND(B3297='IN-TC'!$S$4,OR(TH!N3297="1111",TH!O3297="1111")),TH!D3297,""),"")</f>
        <v/>
      </c>
      <c r="B3297" s="63" t="str">
        <f t="shared" si="427"/>
        <v/>
      </c>
      <c r="C3297" s="64"/>
      <c r="D3297" s="64"/>
      <c r="E3297" s="64"/>
      <c r="F3297" s="72"/>
      <c r="G3297" s="67"/>
      <c r="H3297" s="72"/>
      <c r="I3297" s="437"/>
      <c r="J3297" s="437"/>
      <c r="K3297" s="428"/>
      <c r="L3297" s="437"/>
      <c r="M3297" s="65"/>
      <c r="N3297" s="66"/>
      <c r="O3297" s="66"/>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s="349" customFormat="1" ht="15.75" customHeight="1">
      <c r="A3298" s="334" t="str">
        <f>IF(B3298&lt;&gt;"",IF(AND(B3298='IN-TC'!$S$4,OR(TH!N3298="1111",TH!O3298="1111")),TH!D3298,""),"")</f>
        <v/>
      </c>
      <c r="B3298" s="63" t="str">
        <f t="shared" si="427"/>
        <v/>
      </c>
      <c r="C3298" s="64"/>
      <c r="D3298" s="64"/>
      <c r="E3298" s="64"/>
      <c r="F3298" s="72"/>
      <c r="G3298" s="67"/>
      <c r="H3298" s="72"/>
      <c r="I3298" s="437"/>
      <c r="J3298" s="437"/>
      <c r="K3298" s="428"/>
      <c r="L3298" s="437"/>
      <c r="M3298" s="65"/>
      <c r="N3298" s="66"/>
      <c r="O3298" s="66"/>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s="349" customFormat="1" ht="15.75" customHeight="1">
      <c r="A3299" s="334" t="str">
        <f>IF(B3299&lt;&gt;"",IF(AND(B3299='IN-TC'!$S$4,OR(TH!N3299="1111",TH!O3299="1111")),TH!D3299,""),"")</f>
        <v/>
      </c>
      <c r="B3299" s="63" t="str">
        <f t="shared" si="427"/>
        <v/>
      </c>
      <c r="C3299" s="64"/>
      <c r="D3299" s="64"/>
      <c r="E3299" s="64"/>
      <c r="F3299" s="72"/>
      <c r="G3299" s="67"/>
      <c r="H3299" s="72"/>
      <c r="I3299" s="437"/>
      <c r="J3299" s="437"/>
      <c r="K3299" s="428"/>
      <c r="L3299" s="437"/>
      <c r="M3299" s="65"/>
      <c r="N3299" s="66"/>
      <c r="O3299" s="66"/>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s="349" customFormat="1" ht="15.75" customHeight="1">
      <c r="A3300" s="334" t="str">
        <f>IF(B3300&lt;&gt;"",IF(AND(B3300='IN-TC'!$S$4,OR(TH!N3300="1111",TH!O3300="1111")),TH!D3300,""),"")</f>
        <v/>
      </c>
      <c r="B3300" s="63" t="str">
        <f t="shared" si="427"/>
        <v/>
      </c>
      <c r="C3300" s="64"/>
      <c r="D3300" s="64"/>
      <c r="E3300" s="64"/>
      <c r="F3300" s="72"/>
      <c r="G3300" s="67"/>
      <c r="H3300" s="72"/>
      <c r="I3300" s="437"/>
      <c r="J3300" s="437"/>
      <c r="K3300" s="428"/>
      <c r="L3300" s="437"/>
      <c r="M3300" s="65"/>
      <c r="N3300" s="66"/>
      <c r="O3300" s="66"/>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s="349" customFormat="1" ht="15.75" customHeight="1">
      <c r="A3301" s="334" t="str">
        <f>IF(B3301&lt;&gt;"",IF(AND(B3301='IN-TC'!$S$4,OR(TH!N3301="1111",TH!O3301="1111")),TH!D3301,""),"")</f>
        <v/>
      </c>
      <c r="B3301" s="63" t="str">
        <f t="shared" si="427"/>
        <v/>
      </c>
      <c r="C3301" s="64"/>
      <c r="D3301" s="64"/>
      <c r="E3301" s="64"/>
      <c r="F3301" s="72"/>
      <c r="G3301" s="67"/>
      <c r="H3301" s="72"/>
      <c r="I3301" s="437"/>
      <c r="J3301" s="437"/>
      <c r="K3301" s="428"/>
      <c r="L3301" s="437"/>
      <c r="M3301" s="65"/>
      <c r="N3301" s="66"/>
      <c r="O3301" s="66"/>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s="349" customFormat="1" ht="15.75" customHeight="1">
      <c r="A3302" s="334" t="str">
        <f>IF(B3302&lt;&gt;"",IF(AND(B3302='IN-TC'!$S$4,OR(TH!N3302="1111",TH!O3302="1111")),TH!D3302,""),"")</f>
        <v/>
      </c>
      <c r="B3302" s="63" t="str">
        <f t="shared" si="427"/>
        <v/>
      </c>
      <c r="C3302" s="64"/>
      <c r="D3302" s="64"/>
      <c r="E3302" s="64"/>
      <c r="F3302" s="72"/>
      <c r="G3302" s="67"/>
      <c r="H3302" s="72"/>
      <c r="I3302" s="437"/>
      <c r="J3302" s="437"/>
      <c r="K3302" s="428"/>
      <c r="L3302" s="437"/>
      <c r="M3302" s="65"/>
      <c r="N3302" s="66"/>
      <c r="O3302" s="66"/>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s="349" customFormat="1" ht="15.75" customHeight="1">
      <c r="A3303" s="334" t="str">
        <f>IF(B3303&lt;&gt;"",IF(AND(B3303='IN-TC'!$S$4,OR(TH!N3303="1111",TH!O3303="1111")),TH!D3303,""),"")</f>
        <v/>
      </c>
      <c r="B3303" s="63" t="str">
        <f t="shared" si="427"/>
        <v/>
      </c>
      <c r="C3303" s="64"/>
      <c r="D3303" s="64"/>
      <c r="E3303" s="64"/>
      <c r="F3303" s="72"/>
      <c r="G3303" s="67"/>
      <c r="H3303" s="72"/>
      <c r="I3303" s="437"/>
      <c r="J3303" s="437"/>
      <c r="K3303" s="428"/>
      <c r="L3303" s="437"/>
      <c r="M3303" s="65"/>
      <c r="N3303" s="66"/>
      <c r="O3303" s="66"/>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s="349" customFormat="1" ht="15.75" customHeight="1">
      <c r="A3304" s="334" t="str">
        <f>IF(B3304&lt;&gt;"",IF(AND(B3304='IN-TC'!$S$4,OR(TH!N3304="1111",TH!O3304="1111")),TH!D3304,""),"")</f>
        <v/>
      </c>
      <c r="B3304" s="63" t="str">
        <f t="shared" si="427"/>
        <v/>
      </c>
      <c r="C3304" s="64"/>
      <c r="D3304" s="64"/>
      <c r="E3304" s="64"/>
      <c r="F3304" s="72"/>
      <c r="G3304" s="67"/>
      <c r="H3304" s="72"/>
      <c r="I3304" s="437"/>
      <c r="J3304" s="437"/>
      <c r="K3304" s="428"/>
      <c r="L3304" s="437"/>
      <c r="M3304" s="65"/>
      <c r="N3304" s="66"/>
      <c r="O3304" s="66"/>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s="349" customFormat="1" ht="15.75" customHeight="1">
      <c r="A3305" s="334" t="str">
        <f>IF(B3305&lt;&gt;"",IF(AND(B3305='IN-TC'!$S$4,OR(TH!N3305="1111",TH!O3305="1111")),TH!D3305,""),"")</f>
        <v/>
      </c>
      <c r="B3305" s="63" t="str">
        <f t="shared" si="427"/>
        <v/>
      </c>
      <c r="C3305" s="64"/>
      <c r="D3305" s="64"/>
      <c r="E3305" s="64"/>
      <c r="F3305" s="72"/>
      <c r="G3305" s="67"/>
      <c r="H3305" s="72"/>
      <c r="I3305" s="437"/>
      <c r="J3305" s="437"/>
      <c r="K3305" s="428"/>
      <c r="L3305" s="437"/>
      <c r="M3305" s="65"/>
      <c r="N3305" s="66"/>
      <c r="O3305" s="66"/>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s="349" customFormat="1" ht="15.75" customHeight="1">
      <c r="A3306" s="334" t="str">
        <f>IF(B3306&lt;&gt;"",IF(AND(B3306='IN-TC'!$S$4,OR(TH!N3306="1111",TH!O3306="1111")),TH!D3306,""),"")</f>
        <v/>
      </c>
      <c r="B3306" s="63" t="str">
        <f t="shared" si="427"/>
        <v/>
      </c>
      <c r="C3306" s="64"/>
      <c r="D3306" s="64"/>
      <c r="E3306" s="64"/>
      <c r="F3306" s="72"/>
      <c r="G3306" s="67"/>
      <c r="H3306" s="72"/>
      <c r="I3306" s="437"/>
      <c r="J3306" s="437"/>
      <c r="K3306" s="428"/>
      <c r="L3306" s="437"/>
      <c r="M3306" s="65"/>
      <c r="N3306" s="66"/>
      <c r="O3306" s="66"/>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s="349" customFormat="1" ht="15.75" customHeight="1">
      <c r="A3307" s="334" t="str">
        <f>IF(B3307&lt;&gt;"",IF(AND(B3307='IN-TC'!$S$4,OR(TH!N3307="1111",TH!O3307="1111")),TH!D3307,""),"")</f>
        <v/>
      </c>
      <c r="B3307" s="63" t="str">
        <f t="shared" si="427"/>
        <v/>
      </c>
      <c r="C3307" s="64"/>
      <c r="D3307" s="64"/>
      <c r="E3307" s="64"/>
      <c r="F3307" s="72"/>
      <c r="G3307" s="67"/>
      <c r="H3307" s="72"/>
      <c r="I3307" s="437"/>
      <c r="J3307" s="437"/>
      <c r="K3307" s="428"/>
      <c r="L3307" s="437"/>
      <c r="M3307" s="65"/>
      <c r="N3307" s="66"/>
      <c r="O3307" s="66"/>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s="349" customFormat="1" ht="15.75" customHeight="1">
      <c r="A3308" s="334" t="str">
        <f>IF(B3308&lt;&gt;"",IF(AND(B3308='IN-TC'!$S$4,OR(TH!N3308="1111",TH!O3308="1111")),TH!D3308,""),"")</f>
        <v/>
      </c>
      <c r="B3308" s="63" t="str">
        <f t="shared" si="427"/>
        <v/>
      </c>
      <c r="C3308" s="64"/>
      <c r="D3308" s="64"/>
      <c r="E3308" s="64"/>
      <c r="F3308" s="72"/>
      <c r="G3308" s="67"/>
      <c r="H3308" s="72"/>
      <c r="I3308" s="437"/>
      <c r="J3308" s="437"/>
      <c r="K3308" s="428"/>
      <c r="L3308" s="437"/>
      <c r="M3308" s="65"/>
      <c r="N3308" s="66"/>
      <c r="O3308" s="66"/>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s="349" customFormat="1" ht="15.75" customHeight="1">
      <c r="A3309" s="334" t="str">
        <f>IF(B3309&lt;&gt;"",IF(AND(B3309='IN-TC'!$S$4,OR(TH!N3309="1111",TH!O3309="1111")),TH!D3309,""),"")</f>
        <v/>
      </c>
      <c r="B3309" s="63" t="str">
        <f t="shared" si="427"/>
        <v/>
      </c>
      <c r="C3309" s="64"/>
      <c r="D3309" s="64"/>
      <c r="E3309" s="64"/>
      <c r="F3309" s="72"/>
      <c r="G3309" s="67"/>
      <c r="H3309" s="72"/>
      <c r="I3309" s="437"/>
      <c r="J3309" s="437"/>
      <c r="K3309" s="428"/>
      <c r="L3309" s="437"/>
      <c r="M3309" s="65"/>
      <c r="N3309" s="66"/>
      <c r="O3309" s="66"/>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s="349" customFormat="1" ht="15.75" customHeight="1">
      <c r="A3310" s="334" t="str">
        <f>IF(B3310&lt;&gt;"",IF(AND(B3310='IN-TC'!$S$4,OR(TH!N3310="1111",TH!O3310="1111")),TH!D3310,""),"")</f>
        <v/>
      </c>
      <c r="B3310" s="63" t="str">
        <f t="shared" si="427"/>
        <v/>
      </c>
      <c r="C3310" s="64"/>
      <c r="D3310" s="64"/>
      <c r="E3310" s="64"/>
      <c r="F3310" s="72"/>
      <c r="G3310" s="67"/>
      <c r="H3310" s="72"/>
      <c r="I3310" s="437"/>
      <c r="J3310" s="437"/>
      <c r="K3310" s="428"/>
      <c r="L3310" s="437"/>
      <c r="M3310" s="65"/>
      <c r="N3310" s="66"/>
      <c r="O3310" s="66"/>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s="349" customFormat="1" ht="15.75" customHeight="1">
      <c r="A3311" s="334" t="str">
        <f>IF(B3311&lt;&gt;"",IF(AND(B3311='IN-TC'!$S$4,OR(TH!N3311="1111",TH!O3311="1111")),TH!D3311,""),"")</f>
        <v/>
      </c>
      <c r="B3311" s="63" t="str">
        <f t="shared" si="427"/>
        <v/>
      </c>
      <c r="C3311" s="64"/>
      <c r="D3311" s="64"/>
      <c r="E3311" s="64"/>
      <c r="F3311" s="72"/>
      <c r="G3311" s="67"/>
      <c r="H3311" s="72"/>
      <c r="I3311" s="437"/>
      <c r="J3311" s="437"/>
      <c r="K3311" s="428"/>
      <c r="L3311" s="437"/>
      <c r="M3311" s="65"/>
      <c r="N3311" s="66"/>
      <c r="O3311" s="66"/>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s="349" customFormat="1" ht="15.75" customHeight="1">
      <c r="A3312" s="334" t="str">
        <f>IF(B3312&lt;&gt;"",IF(AND(B3312='IN-TC'!$S$4,OR(TH!N3312="1111",TH!O3312="1111")),TH!D3312,""),"")</f>
        <v/>
      </c>
      <c r="B3312" s="63" t="str">
        <f t="shared" si="427"/>
        <v/>
      </c>
      <c r="C3312" s="64"/>
      <c r="D3312" s="64"/>
      <c r="E3312" s="64"/>
      <c r="F3312" s="72"/>
      <c r="G3312" s="67"/>
      <c r="H3312" s="72"/>
      <c r="I3312" s="437"/>
      <c r="J3312" s="437"/>
      <c r="K3312" s="428"/>
      <c r="L3312" s="437"/>
      <c r="M3312" s="65"/>
      <c r="N3312" s="66"/>
      <c r="O3312" s="66"/>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s="349" customFormat="1" ht="15.75" customHeight="1">
      <c r="A3313" s="334" t="str">
        <f>IF(B3313&lt;&gt;"",IF(AND(B3313='IN-TC'!$S$4,OR(TH!N3313="1111",TH!O3313="1111")),TH!D3313,""),"")</f>
        <v/>
      </c>
      <c r="B3313" s="63" t="str">
        <f t="shared" si="427"/>
        <v/>
      </c>
      <c r="C3313" s="64"/>
      <c r="D3313" s="64"/>
      <c r="E3313" s="64"/>
      <c r="F3313" s="72"/>
      <c r="G3313" s="67"/>
      <c r="H3313" s="72"/>
      <c r="I3313" s="437"/>
      <c r="J3313" s="437"/>
      <c r="K3313" s="428"/>
      <c r="L3313" s="437"/>
      <c r="M3313" s="65"/>
      <c r="N3313" s="66"/>
      <c r="O3313" s="66"/>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s="349" customFormat="1" ht="15.75" customHeight="1">
      <c r="A3314" s="334" t="str">
        <f>IF(B3314&lt;&gt;"",IF(AND(B3314='IN-TC'!$S$4,OR(TH!N3314="1111",TH!O3314="1111")),TH!D3314,""),"")</f>
        <v/>
      </c>
      <c r="B3314" s="63" t="str">
        <f t="shared" si="427"/>
        <v/>
      </c>
      <c r="C3314" s="64"/>
      <c r="D3314" s="64"/>
      <c r="E3314" s="64"/>
      <c r="F3314" s="72"/>
      <c r="G3314" s="67"/>
      <c r="H3314" s="72"/>
      <c r="I3314" s="437"/>
      <c r="J3314" s="437"/>
      <c r="K3314" s="428"/>
      <c r="L3314" s="437"/>
      <c r="M3314" s="65"/>
      <c r="N3314" s="66"/>
      <c r="O3314" s="66"/>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s="349" customFormat="1" ht="15.75" customHeight="1">
      <c r="A3315" s="334" t="str">
        <f>IF(B3315&lt;&gt;"",IF(AND(B3315='IN-TC'!$S$4,OR(TH!N3315="1111",TH!O3315="1111")),TH!D3315,""),"")</f>
        <v/>
      </c>
      <c r="B3315" s="63" t="str">
        <f t="shared" si="427"/>
        <v/>
      </c>
      <c r="C3315" s="64"/>
      <c r="D3315" s="64"/>
      <c r="E3315" s="64"/>
      <c r="F3315" s="72"/>
      <c r="G3315" s="67"/>
      <c r="H3315" s="72"/>
      <c r="I3315" s="437"/>
      <c r="J3315" s="437"/>
      <c r="K3315" s="428"/>
      <c r="L3315" s="437"/>
      <c r="M3315" s="65"/>
      <c r="N3315" s="66"/>
      <c r="O3315" s="66"/>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s="349" customFormat="1" ht="15.75" customHeight="1">
      <c r="A3316" s="334" t="str">
        <f>IF(B3316&lt;&gt;"",IF(AND(B3316='IN-TC'!$S$4,OR(TH!N3316="1111",TH!O3316="1111")),TH!D3316,""),"")</f>
        <v/>
      </c>
      <c r="B3316" s="63" t="str">
        <f t="shared" si="427"/>
        <v/>
      </c>
      <c r="C3316" s="64"/>
      <c r="D3316" s="64"/>
      <c r="E3316" s="64"/>
      <c r="F3316" s="72"/>
      <c r="G3316" s="67"/>
      <c r="H3316" s="72"/>
      <c r="I3316" s="437"/>
      <c r="J3316" s="437"/>
      <c r="K3316" s="428"/>
      <c r="L3316" s="437"/>
      <c r="M3316" s="65"/>
      <c r="N3316" s="66"/>
      <c r="O3316" s="66"/>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s="349" customFormat="1" ht="15.75" customHeight="1">
      <c r="A3317" s="334" t="str">
        <f>IF(B3317&lt;&gt;"",IF(AND(B3317='IN-TC'!$S$4,OR(TH!N3317="1111",TH!O3317="1111")),TH!D3317,""),"")</f>
        <v/>
      </c>
      <c r="B3317" s="63" t="str">
        <f t="shared" si="427"/>
        <v/>
      </c>
      <c r="C3317" s="64"/>
      <c r="D3317" s="64"/>
      <c r="E3317" s="64"/>
      <c r="F3317" s="72"/>
      <c r="G3317" s="67"/>
      <c r="H3317" s="72"/>
      <c r="I3317" s="437"/>
      <c r="J3317" s="437"/>
      <c r="K3317" s="428"/>
      <c r="L3317" s="437"/>
      <c r="M3317" s="65"/>
      <c r="N3317" s="66"/>
      <c r="O3317" s="66"/>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s="349" customFormat="1" ht="15.75" customHeight="1">
      <c r="A3318" s="334" t="str">
        <f>IF(B3318&lt;&gt;"",IF(AND(B3318='IN-TC'!$S$4,OR(TH!N3318="1111",TH!O3318="1111")),TH!D3318,""),"")</f>
        <v/>
      </c>
      <c r="B3318" s="63" t="str">
        <f t="shared" si="427"/>
        <v/>
      </c>
      <c r="C3318" s="64"/>
      <c r="D3318" s="64"/>
      <c r="E3318" s="64"/>
      <c r="F3318" s="72"/>
      <c r="G3318" s="67"/>
      <c r="H3318" s="72"/>
      <c r="I3318" s="437"/>
      <c r="J3318" s="437"/>
      <c r="K3318" s="428"/>
      <c r="L3318" s="437"/>
      <c r="M3318" s="65"/>
      <c r="N3318" s="66"/>
      <c r="O3318" s="66"/>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s="349" customFormat="1" ht="15.75" customHeight="1">
      <c r="A3319" s="334" t="str">
        <f>IF(B3319&lt;&gt;"",IF(AND(B3319='IN-TC'!$S$4,OR(TH!N3319="1111",TH!O3319="1111")),TH!D3319,""),"")</f>
        <v/>
      </c>
      <c r="B3319" s="63" t="str">
        <f t="shared" si="427"/>
        <v/>
      </c>
      <c r="C3319" s="64"/>
      <c r="D3319" s="64"/>
      <c r="E3319" s="64"/>
      <c r="F3319" s="72"/>
      <c r="G3319" s="67"/>
      <c r="H3319" s="72"/>
      <c r="I3319" s="437"/>
      <c r="J3319" s="437"/>
      <c r="K3319" s="428"/>
      <c r="L3319" s="437"/>
      <c r="M3319" s="65"/>
      <c r="N3319" s="66"/>
      <c r="O3319" s="66"/>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s="349" customFormat="1" ht="15.75" customHeight="1">
      <c r="A3320" s="334" t="str">
        <f>IF(B3320&lt;&gt;"",IF(AND(B3320='IN-TC'!$S$4,OR(TH!N3320="1111",TH!O3320="1111")),TH!D3320,""),"")</f>
        <v/>
      </c>
      <c r="B3320" s="63" t="str">
        <f t="shared" si="427"/>
        <v/>
      </c>
      <c r="C3320" s="64"/>
      <c r="D3320" s="64"/>
      <c r="E3320" s="64"/>
      <c r="F3320" s="72"/>
      <c r="G3320" s="67"/>
      <c r="H3320" s="72"/>
      <c r="I3320" s="437"/>
      <c r="J3320" s="437"/>
      <c r="K3320" s="428"/>
      <c r="L3320" s="437"/>
      <c r="M3320" s="65"/>
      <c r="N3320" s="66"/>
      <c r="O3320" s="66"/>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s="349" customFormat="1" ht="15.75" customHeight="1">
      <c r="A3321" s="334" t="str">
        <f>IF(B3321&lt;&gt;"",IF(AND(B3321='IN-TC'!$S$4,OR(TH!N3321="1111",TH!O3321="1111")),TH!D3321,""),"")</f>
        <v/>
      </c>
      <c r="B3321" s="63" t="str">
        <f t="shared" si="427"/>
        <v/>
      </c>
      <c r="C3321" s="64"/>
      <c r="D3321" s="64"/>
      <c r="E3321" s="64"/>
      <c r="F3321" s="72"/>
      <c r="G3321" s="67"/>
      <c r="H3321" s="72"/>
      <c r="I3321" s="437"/>
      <c r="J3321" s="437"/>
      <c r="K3321" s="428"/>
      <c r="L3321" s="437"/>
      <c r="M3321" s="65"/>
      <c r="N3321" s="66"/>
      <c r="O3321" s="66"/>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s="349" customFormat="1" ht="15.75" customHeight="1">
      <c r="A3322" s="334" t="str">
        <f>IF(B3322&lt;&gt;"",IF(AND(B3322='IN-TC'!$S$4,OR(TH!N3322="1111",TH!O3322="1111")),TH!D3322,""),"")</f>
        <v/>
      </c>
      <c r="B3322" s="63" t="str">
        <f t="shared" si="427"/>
        <v/>
      </c>
      <c r="C3322" s="64"/>
      <c r="D3322" s="64"/>
      <c r="E3322" s="64"/>
      <c r="F3322" s="72"/>
      <c r="G3322" s="67"/>
      <c r="H3322" s="72"/>
      <c r="I3322" s="437"/>
      <c r="J3322" s="437"/>
      <c r="K3322" s="428"/>
      <c r="L3322" s="437"/>
      <c r="M3322" s="65"/>
      <c r="N3322" s="66"/>
      <c r="O3322" s="66"/>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s="349" customFormat="1" ht="15.75" customHeight="1">
      <c r="A3323" s="334" t="str">
        <f>IF(B3323&lt;&gt;"",IF(AND(B3323='IN-TC'!$S$4,OR(TH!N3323="1111",TH!O3323="1111")),TH!D3323,""),"")</f>
        <v/>
      </c>
      <c r="B3323" s="63" t="str">
        <f t="shared" si="427"/>
        <v/>
      </c>
      <c r="C3323" s="64"/>
      <c r="D3323" s="64"/>
      <c r="E3323" s="64"/>
      <c r="F3323" s="72"/>
      <c r="G3323" s="67"/>
      <c r="H3323" s="72"/>
      <c r="I3323" s="437"/>
      <c r="J3323" s="437"/>
      <c r="K3323" s="428"/>
      <c r="L3323" s="437"/>
      <c r="M3323" s="65"/>
      <c r="N3323" s="66"/>
      <c r="O3323" s="66"/>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s="349" customFormat="1" ht="15.75" customHeight="1">
      <c r="A3324" s="334" t="str">
        <f>IF(B3324&lt;&gt;"",IF(AND(B3324='IN-TC'!$S$4,OR(TH!N3324="1111",TH!O3324="1111")),TH!D3324,""),"")</f>
        <v/>
      </c>
      <c r="B3324" s="63" t="str">
        <f t="shared" si="427"/>
        <v/>
      </c>
      <c r="C3324" s="64"/>
      <c r="D3324" s="64"/>
      <c r="E3324" s="64"/>
      <c r="F3324" s="72"/>
      <c r="G3324" s="67"/>
      <c r="H3324" s="72"/>
      <c r="I3324" s="437"/>
      <c r="J3324" s="437"/>
      <c r="K3324" s="428"/>
      <c r="L3324" s="437"/>
      <c r="M3324" s="65"/>
      <c r="N3324" s="66"/>
      <c r="O3324" s="66"/>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s="349" customFormat="1" ht="15.75" customHeight="1">
      <c r="A3325" s="334" t="str">
        <f>IF(B3325&lt;&gt;"",IF(AND(B3325='IN-TC'!$S$4,OR(TH!N3325="1111",TH!O3325="1111")),TH!D3325,""),"")</f>
        <v/>
      </c>
      <c r="B3325" s="63" t="str">
        <f t="shared" si="427"/>
        <v/>
      </c>
      <c r="C3325" s="64"/>
      <c r="D3325" s="64"/>
      <c r="E3325" s="64"/>
      <c r="F3325" s="72"/>
      <c r="G3325" s="67"/>
      <c r="H3325" s="72"/>
      <c r="I3325" s="437"/>
      <c r="J3325" s="437"/>
      <c r="K3325" s="428"/>
      <c r="L3325" s="437"/>
      <c r="M3325" s="65"/>
      <c r="N3325" s="66"/>
      <c r="O3325" s="66"/>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s="349" customFormat="1" ht="15.75" customHeight="1">
      <c r="A3326" s="334" t="str">
        <f>IF(B3326&lt;&gt;"",IF(AND(B3326='IN-TC'!$S$4,OR(TH!N3326="1111",TH!O3326="1111")),TH!D3326,""),"")</f>
        <v/>
      </c>
      <c r="B3326" s="63" t="str">
        <f t="shared" si="427"/>
        <v/>
      </c>
      <c r="C3326" s="64"/>
      <c r="D3326" s="64"/>
      <c r="E3326" s="64"/>
      <c r="F3326" s="72"/>
      <c r="G3326" s="67"/>
      <c r="H3326" s="72"/>
      <c r="I3326" s="437"/>
      <c r="J3326" s="437"/>
      <c r="K3326" s="428"/>
      <c r="L3326" s="437"/>
      <c r="M3326" s="65"/>
      <c r="N3326" s="66"/>
      <c r="O3326" s="66"/>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s="349" customFormat="1" ht="15.75" customHeight="1">
      <c r="A3327" s="334" t="str">
        <f>IF(B3327&lt;&gt;"",IF(AND(B3327='IN-TC'!$S$4,OR(TH!N3327="1111",TH!O3327="1111")),TH!D3327,""),"")</f>
        <v/>
      </c>
      <c r="B3327" s="63" t="str">
        <f t="shared" si="427"/>
        <v/>
      </c>
      <c r="C3327" s="64"/>
      <c r="D3327" s="64"/>
      <c r="E3327" s="64"/>
      <c r="F3327" s="72"/>
      <c r="G3327" s="67"/>
      <c r="H3327" s="72"/>
      <c r="I3327" s="437"/>
      <c r="J3327" s="437"/>
      <c r="K3327" s="428"/>
      <c r="L3327" s="437"/>
      <c r="M3327" s="65"/>
      <c r="N3327" s="66"/>
      <c r="O3327" s="66"/>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s="349" customFormat="1" ht="15.75" customHeight="1">
      <c r="A3328" s="334" t="str">
        <f>IF(B3328&lt;&gt;"",IF(AND(B3328='IN-TC'!$S$4,OR(TH!N3328="1111",TH!O3328="1111")),TH!D3328,""),"")</f>
        <v/>
      </c>
      <c r="B3328" s="63" t="str">
        <f t="shared" si="427"/>
        <v/>
      </c>
      <c r="C3328" s="64"/>
      <c r="D3328" s="64"/>
      <c r="E3328" s="64"/>
      <c r="F3328" s="72"/>
      <c r="G3328" s="67"/>
      <c r="H3328" s="72"/>
      <c r="I3328" s="437"/>
      <c r="J3328" s="437"/>
      <c r="K3328" s="428"/>
      <c r="L3328" s="437"/>
      <c r="M3328" s="65"/>
      <c r="N3328" s="66"/>
      <c r="O3328" s="66"/>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s="349" customFormat="1" ht="15.75" customHeight="1">
      <c r="A3329" s="334" t="str">
        <f>IF(B3329&lt;&gt;"",IF(AND(B3329='IN-TC'!$S$4,OR(TH!N3329="1111",TH!O3329="1111")),TH!D3329,""),"")</f>
        <v/>
      </c>
      <c r="B3329" s="63" t="str">
        <f t="shared" si="427"/>
        <v/>
      </c>
      <c r="C3329" s="64"/>
      <c r="D3329" s="64"/>
      <c r="E3329" s="64"/>
      <c r="F3329" s="72"/>
      <c r="G3329" s="67"/>
      <c r="H3329" s="72"/>
      <c r="I3329" s="437"/>
      <c r="J3329" s="437"/>
      <c r="K3329" s="428"/>
      <c r="L3329" s="437"/>
      <c r="M3329" s="65"/>
      <c r="N3329" s="66"/>
      <c r="O3329" s="66"/>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s="349" customFormat="1" ht="15.75" customHeight="1">
      <c r="A3330" s="334" t="str">
        <f>IF(B3330&lt;&gt;"",IF(AND(B3330='IN-TC'!$S$4,OR(TH!N3330="1111",TH!O3330="1111")),TH!D3330,""),"")</f>
        <v/>
      </c>
      <c r="B3330" s="63" t="str">
        <f t="shared" si="427"/>
        <v/>
      </c>
      <c r="C3330" s="64"/>
      <c r="D3330" s="64"/>
      <c r="E3330" s="64"/>
      <c r="F3330" s="72"/>
      <c r="G3330" s="67"/>
      <c r="H3330" s="72"/>
      <c r="I3330" s="437"/>
      <c r="J3330" s="437"/>
      <c r="K3330" s="428"/>
      <c r="L3330" s="437"/>
      <c r="M3330" s="65"/>
      <c r="N3330" s="66"/>
      <c r="O3330" s="66"/>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s="349" customFormat="1" ht="15.75" customHeight="1">
      <c r="A3331" s="334" t="str">
        <f>IF(B3331&lt;&gt;"",IF(AND(B3331='IN-TC'!$S$4,OR(TH!N3331="1111",TH!O3331="1111")),TH!D3331,""),"")</f>
        <v/>
      </c>
      <c r="B3331" s="63" t="str">
        <f t="shared" si="427"/>
        <v/>
      </c>
      <c r="C3331" s="64"/>
      <c r="D3331" s="64"/>
      <c r="E3331" s="64"/>
      <c r="F3331" s="72"/>
      <c r="G3331" s="67"/>
      <c r="H3331" s="72"/>
      <c r="I3331" s="437"/>
      <c r="J3331" s="437"/>
      <c r="K3331" s="428"/>
      <c r="L3331" s="437"/>
      <c r="M3331" s="65"/>
      <c r="N3331" s="66"/>
      <c r="O3331" s="66"/>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s="349" customFormat="1" ht="15.75" customHeight="1">
      <c r="A3332" s="334" t="str">
        <f>IF(B3332&lt;&gt;"",IF(AND(B3332='IN-TC'!$S$4,OR(TH!N3332="1111",TH!O3332="1111")),TH!D3332,""),"")</f>
        <v/>
      </c>
      <c r="B3332" s="63" t="str">
        <f t="shared" si="427"/>
        <v/>
      </c>
      <c r="C3332" s="64"/>
      <c r="D3332" s="64"/>
      <c r="E3332" s="64"/>
      <c r="F3332" s="72"/>
      <c r="G3332" s="67"/>
      <c r="H3332" s="72"/>
      <c r="I3332" s="437"/>
      <c r="J3332" s="437"/>
      <c r="K3332" s="428"/>
      <c r="L3332" s="437"/>
      <c r="M3332" s="65"/>
      <c r="N3332" s="66"/>
      <c r="O3332" s="66"/>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s="349" customFormat="1" ht="15.75" customHeight="1">
      <c r="A3333" s="334" t="str">
        <f>IF(B3333&lt;&gt;"",IF(AND(B3333='IN-TC'!$S$4,OR(TH!N3333="1111",TH!O3333="1111")),TH!D3333,""),"")</f>
        <v/>
      </c>
      <c r="B3333" s="63" t="str">
        <f t="shared" si="427"/>
        <v/>
      </c>
      <c r="C3333" s="64"/>
      <c r="D3333" s="64"/>
      <c r="E3333" s="64"/>
      <c r="F3333" s="72"/>
      <c r="G3333" s="67"/>
      <c r="H3333" s="72"/>
      <c r="I3333" s="437"/>
      <c r="J3333" s="437"/>
      <c r="K3333" s="428"/>
      <c r="L3333" s="437"/>
      <c r="M3333" s="65"/>
      <c r="N3333" s="66"/>
      <c r="O3333" s="66"/>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s="349" customFormat="1" ht="15.75" customHeight="1">
      <c r="A3334" s="334" t="str">
        <f>IF(B3334&lt;&gt;"",IF(AND(B3334='IN-TC'!$S$4,OR(TH!N3334="1111",TH!O3334="1111")),TH!D3334,""),"")</f>
        <v/>
      </c>
      <c r="B3334" s="63" t="str">
        <f t="shared" si="427"/>
        <v/>
      </c>
      <c r="C3334" s="64"/>
      <c r="D3334" s="64"/>
      <c r="E3334" s="64"/>
      <c r="F3334" s="72"/>
      <c r="G3334" s="67"/>
      <c r="H3334" s="72"/>
      <c r="I3334" s="437"/>
      <c r="J3334" s="437"/>
      <c r="K3334" s="428"/>
      <c r="L3334" s="437"/>
      <c r="M3334" s="65"/>
      <c r="N3334" s="66"/>
      <c r="O3334" s="66"/>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s="349" customFormat="1" ht="15.75" customHeight="1">
      <c r="A3335" s="334" t="str">
        <f>IF(B3335&lt;&gt;"",IF(AND(B3335='IN-TC'!$S$4,OR(TH!N3335="1111",TH!O3335="1111")),TH!D3335,""),"")</f>
        <v/>
      </c>
      <c r="B3335" s="63" t="str">
        <f t="shared" si="427"/>
        <v/>
      </c>
      <c r="C3335" s="64"/>
      <c r="D3335" s="64"/>
      <c r="E3335" s="64"/>
      <c r="F3335" s="72"/>
      <c r="G3335" s="67"/>
      <c r="H3335" s="72"/>
      <c r="I3335" s="437"/>
      <c r="J3335" s="437"/>
      <c r="K3335" s="428"/>
      <c r="L3335" s="437"/>
      <c r="M3335" s="65"/>
      <c r="N3335" s="66"/>
      <c r="O3335" s="66"/>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s="349" customFormat="1" ht="15.75" customHeight="1">
      <c r="A3336" s="334" t="str">
        <f>IF(B3336&lt;&gt;"",IF(AND(B3336='IN-TC'!$S$4,OR(TH!N3336="1111",TH!O3336="1111")),TH!D3336,""),"")</f>
        <v/>
      </c>
      <c r="B3336" s="63" t="str">
        <f t="shared" si="427"/>
        <v/>
      </c>
      <c r="C3336" s="64"/>
      <c r="D3336" s="64"/>
      <c r="E3336" s="64"/>
      <c r="F3336" s="72"/>
      <c r="G3336" s="67"/>
      <c r="H3336" s="72"/>
      <c r="I3336" s="437"/>
      <c r="J3336" s="437"/>
      <c r="K3336" s="428"/>
      <c r="L3336" s="437"/>
      <c r="M3336" s="65"/>
      <c r="N3336" s="66"/>
      <c r="O3336" s="66"/>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s="349" customFormat="1" ht="15.75" customHeight="1">
      <c r="A3337" s="334" t="str">
        <f>IF(B3337&lt;&gt;"",IF(AND(B3337='IN-TC'!$S$4,OR(TH!N3337="1111",TH!O3337="1111")),TH!D3337,""),"")</f>
        <v/>
      </c>
      <c r="B3337" s="63" t="str">
        <f t="shared" si="427"/>
        <v/>
      </c>
      <c r="C3337" s="64"/>
      <c r="D3337" s="64"/>
      <c r="E3337" s="64"/>
      <c r="F3337" s="72"/>
      <c r="G3337" s="67"/>
      <c r="H3337" s="72"/>
      <c r="I3337" s="437"/>
      <c r="J3337" s="437"/>
      <c r="K3337" s="428"/>
      <c r="L3337" s="437"/>
      <c r="M3337" s="65"/>
      <c r="N3337" s="66"/>
      <c r="O3337" s="66"/>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s="349" customFormat="1" ht="15.75" customHeight="1">
      <c r="A3338" s="334" t="str">
        <f>IF(B3338&lt;&gt;"",IF(AND(B3338='IN-TC'!$S$4,OR(TH!N3338="1111",TH!O3338="1111")),TH!D3338,""),"")</f>
        <v/>
      </c>
      <c r="B3338" s="63" t="str">
        <f t="shared" si="427"/>
        <v/>
      </c>
      <c r="C3338" s="64"/>
      <c r="D3338" s="64"/>
      <c r="E3338" s="64"/>
      <c r="F3338" s="72"/>
      <c r="G3338" s="67"/>
      <c r="H3338" s="72"/>
      <c r="I3338" s="437"/>
      <c r="J3338" s="437"/>
      <c r="K3338" s="428"/>
      <c r="L3338" s="437"/>
      <c r="M3338" s="65"/>
      <c r="N3338" s="66"/>
      <c r="O3338" s="66"/>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s="349" customFormat="1" ht="15.75" customHeight="1">
      <c r="A3339" s="334" t="str">
        <f>IF(B3339&lt;&gt;"",IF(AND(B3339='IN-TC'!$S$4,OR(TH!N3339="1111",TH!O3339="1111")),TH!D3339,""),"")</f>
        <v/>
      </c>
      <c r="B3339" s="63" t="str">
        <f t="shared" si="427"/>
        <v/>
      </c>
      <c r="C3339" s="64"/>
      <c r="D3339" s="64"/>
      <c r="E3339" s="64"/>
      <c r="F3339" s="72"/>
      <c r="G3339" s="67"/>
      <c r="H3339" s="72"/>
      <c r="I3339" s="437"/>
      <c r="J3339" s="437"/>
      <c r="K3339" s="428"/>
      <c r="L3339" s="437"/>
      <c r="M3339" s="65"/>
      <c r="N3339" s="66"/>
      <c r="O3339" s="66"/>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s="349" customFormat="1" ht="15.75" customHeight="1">
      <c r="A3340" s="334" t="str">
        <f>IF(B3340&lt;&gt;"",IF(AND(B3340='IN-TC'!$S$4,OR(TH!N3340="1111",TH!O3340="1111")),TH!D3340,""),"")</f>
        <v/>
      </c>
      <c r="B3340" s="63" t="str">
        <f t="shared" si="427"/>
        <v/>
      </c>
      <c r="C3340" s="64"/>
      <c r="D3340" s="64"/>
      <c r="E3340" s="64"/>
      <c r="F3340" s="72"/>
      <c r="G3340" s="67"/>
      <c r="H3340" s="72"/>
      <c r="I3340" s="437"/>
      <c r="J3340" s="437"/>
      <c r="K3340" s="428"/>
      <c r="L3340" s="437"/>
      <c r="M3340" s="65"/>
      <c r="N3340" s="66"/>
      <c r="O3340" s="66"/>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s="349" customFormat="1" ht="15.75" customHeight="1">
      <c r="A3341" s="334" t="str">
        <f>IF(B3341&lt;&gt;"",IF(AND(B3341='IN-TC'!$S$4,OR(TH!N3341="1111",TH!O3341="1111")),TH!D3341,""),"")</f>
        <v/>
      </c>
      <c r="B3341" s="63" t="str">
        <f t="shared" si="427"/>
        <v/>
      </c>
      <c r="C3341" s="64"/>
      <c r="D3341" s="64"/>
      <c r="E3341" s="64"/>
      <c r="F3341" s="72"/>
      <c r="G3341" s="67"/>
      <c r="H3341" s="72"/>
      <c r="I3341" s="437"/>
      <c r="J3341" s="437"/>
      <c r="K3341" s="428"/>
      <c r="L3341" s="437"/>
      <c r="M3341" s="65"/>
      <c r="N3341" s="66"/>
      <c r="O3341" s="66"/>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s="349" customFormat="1" ht="15.75" customHeight="1">
      <c r="A3342" s="334" t="str">
        <f>IF(B3342&lt;&gt;"",IF(AND(B3342='IN-TC'!$S$4,OR(TH!N3342="1111",TH!O3342="1111")),TH!D3342,""),"")</f>
        <v/>
      </c>
      <c r="B3342" s="63" t="str">
        <f t="shared" si="427"/>
        <v/>
      </c>
      <c r="C3342" s="64"/>
      <c r="D3342" s="64"/>
      <c r="E3342" s="64"/>
      <c r="F3342" s="72"/>
      <c r="G3342" s="67"/>
      <c r="H3342" s="72"/>
      <c r="I3342" s="437"/>
      <c r="J3342" s="437"/>
      <c r="K3342" s="428"/>
      <c r="L3342" s="437"/>
      <c r="M3342" s="65"/>
      <c r="N3342" s="66"/>
      <c r="O3342" s="66"/>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s="349" customFormat="1" ht="15.75" customHeight="1">
      <c r="A3343" s="334" t="str">
        <f>IF(B3343&lt;&gt;"",IF(AND(B3343='IN-TC'!$S$4,OR(TH!N3343="1111",TH!O3343="1111")),TH!D3343,""),"")</f>
        <v/>
      </c>
      <c r="B3343" s="63" t="str">
        <f t="shared" si="427"/>
        <v/>
      </c>
      <c r="C3343" s="64"/>
      <c r="D3343" s="64"/>
      <c r="E3343" s="64"/>
      <c r="F3343" s="72"/>
      <c r="G3343" s="67"/>
      <c r="H3343" s="72"/>
      <c r="I3343" s="437"/>
      <c r="J3343" s="437"/>
      <c r="K3343" s="428"/>
      <c r="L3343" s="437"/>
      <c r="M3343" s="65"/>
      <c r="N3343" s="66"/>
      <c r="O3343" s="66"/>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s="349" customFormat="1" ht="15.75" customHeight="1">
      <c r="A3344" s="334" t="str">
        <f>IF(B3344&lt;&gt;"",IF(AND(B3344='IN-TC'!$S$4,OR(TH!N3344="1111",TH!O3344="1111")),TH!D3344,""),"")</f>
        <v/>
      </c>
      <c r="B3344" s="63" t="str">
        <f t="shared" si="427"/>
        <v/>
      </c>
      <c r="C3344" s="64"/>
      <c r="D3344" s="64"/>
      <c r="E3344" s="64"/>
      <c r="F3344" s="72"/>
      <c r="G3344" s="67"/>
      <c r="H3344" s="72"/>
      <c r="I3344" s="437"/>
      <c r="J3344" s="437"/>
      <c r="K3344" s="428"/>
      <c r="L3344" s="437"/>
      <c r="M3344" s="65"/>
      <c r="N3344" s="66"/>
      <c r="O3344" s="66"/>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1" s="349" customFormat="1" ht="15.75" customHeight="1">
      <c r="A3345" s="334" t="str">
        <f>IF(B3345&lt;&gt;"",IF(AND(B3345='IN-TC'!$S$4,OR(TH!N3345="1111",TH!O3345="1111")),TH!D3345,""),"")</f>
        <v/>
      </c>
      <c r="B3345" s="63" t="str">
        <f t="shared" si="427"/>
        <v/>
      </c>
      <c r="C3345" s="64"/>
      <c r="D3345" s="64"/>
      <c r="E3345" s="64"/>
      <c r="F3345" s="72"/>
      <c r="G3345" s="67"/>
      <c r="H3345" s="72"/>
      <c r="I3345" s="437"/>
      <c r="J3345" s="437"/>
      <c r="K3345" s="428"/>
      <c r="L3345" s="437"/>
      <c r="M3345" s="65"/>
      <c r="N3345" s="66"/>
      <c r="O3345" s="66"/>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1" s="349" customFormat="1" ht="15.75" customHeight="1">
      <c r="A3346" s="334" t="str">
        <f>IF(B3346&lt;&gt;"",IF(AND(B3346='IN-TC'!$S$4,OR(TH!N3346="1111",TH!O3346="1111")),TH!D3346,""),"")</f>
        <v/>
      </c>
      <c r="B3346" s="63" t="str">
        <f t="shared" si="427"/>
        <v/>
      </c>
      <c r="C3346" s="64"/>
      <c r="D3346" s="64"/>
      <c r="E3346" s="64"/>
      <c r="F3346" s="72"/>
      <c r="G3346" s="67"/>
      <c r="H3346" s="72"/>
      <c r="I3346" s="437"/>
      <c r="J3346" s="437"/>
      <c r="K3346" s="428"/>
      <c r="L3346" s="437"/>
      <c r="M3346" s="65"/>
      <c r="N3346" s="66"/>
      <c r="O3346" s="66"/>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1" s="349" customFormat="1" ht="15.75" customHeight="1">
      <c r="A3347" s="334" t="str">
        <f>IF(B3347&lt;&gt;"",IF(AND(B3347='IN-TC'!$S$4,OR(TH!N3347="1111",TH!O3347="1111")),TH!D3347,""),"")</f>
        <v/>
      </c>
      <c r="B3347" s="63" t="str">
        <f t="shared" si="427"/>
        <v/>
      </c>
      <c r="C3347" s="64"/>
      <c r="D3347" s="64"/>
      <c r="E3347" s="64"/>
      <c r="F3347" s="72"/>
      <c r="G3347" s="67"/>
      <c r="H3347" s="72"/>
      <c r="I3347" s="437"/>
      <c r="J3347" s="437"/>
      <c r="K3347" s="428"/>
      <c r="L3347" s="437"/>
      <c r="M3347" s="65"/>
      <c r="N3347" s="66"/>
      <c r="O3347" s="66"/>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1" s="349" customFormat="1" ht="15.75" customHeight="1">
      <c r="A3348" s="334" t="str">
        <f>IF(B3348&lt;&gt;"",IF(AND(B3348='IN-TC'!$S$4,OR(TH!N3348="1111",TH!O3348="1111")),TH!D3348,""),"")</f>
        <v/>
      </c>
      <c r="B3348" s="63" t="str">
        <f t="shared" si="427"/>
        <v/>
      </c>
      <c r="C3348" s="64"/>
      <c r="D3348" s="64"/>
      <c r="E3348" s="64"/>
      <c r="F3348" s="72"/>
      <c r="G3348" s="67"/>
      <c r="H3348" s="72"/>
      <c r="I3348" s="437"/>
      <c r="J3348" s="437"/>
      <c r="K3348" s="428"/>
      <c r="L3348" s="437"/>
      <c r="M3348" s="65"/>
      <c r="N3348" s="66"/>
      <c r="O3348" s="66"/>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1" s="349" customFormat="1" ht="15.75" customHeight="1">
      <c r="A3349" s="334" t="str">
        <f>IF(B3349&lt;&gt;"",IF(AND(B3349='IN-TC'!$S$4,OR(TH!N3349="1111",TH!O3349="1111")),TH!D3349,""),"")</f>
        <v/>
      </c>
      <c r="B3349" s="63" t="str">
        <f t="shared" si="427"/>
        <v/>
      </c>
      <c r="C3349" s="64"/>
      <c r="D3349" s="64"/>
      <c r="E3349" s="64"/>
      <c r="F3349" s="72"/>
      <c r="G3349" s="67"/>
      <c r="H3349" s="72"/>
      <c r="I3349" s="437"/>
      <c r="J3349" s="437"/>
      <c r="K3349" s="428"/>
      <c r="L3349" s="437"/>
      <c r="M3349" s="65"/>
      <c r="N3349" s="66"/>
      <c r="O3349" s="66"/>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1" s="349" customFormat="1" ht="15.75" customHeight="1">
      <c r="A3350" s="334" t="str">
        <f>IF(B3350&lt;&gt;"",IF(AND(B3350='IN-TC'!$S$4,OR(TH!N3350="1111",TH!O3350="1111")),TH!D3350,""),"")</f>
        <v/>
      </c>
      <c r="B3350" s="63" t="str">
        <f t="shared" si="427"/>
        <v/>
      </c>
      <c r="C3350" s="64"/>
      <c r="D3350" s="64"/>
      <c r="E3350" s="64"/>
      <c r="F3350" s="72"/>
      <c r="G3350" s="67"/>
      <c r="H3350" s="72"/>
      <c r="I3350" s="437"/>
      <c r="J3350" s="437"/>
      <c r="K3350" s="428"/>
      <c r="L3350" s="437"/>
      <c r="M3350" s="65"/>
      <c r="N3350" s="66"/>
      <c r="O3350" s="66"/>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1" s="349" customFormat="1" ht="15.75" customHeight="1">
      <c r="A3351" s="334" t="str">
        <f>IF(B3351&lt;&gt;"",IF(AND(B3351='IN-TC'!$S$4,OR(TH!N3351="1111",TH!O3351="1111")),TH!D3351,""),"")</f>
        <v/>
      </c>
      <c r="B3351" s="63" t="str">
        <f t="shared" si="427"/>
        <v/>
      </c>
      <c r="C3351" s="64"/>
      <c r="D3351" s="64"/>
      <c r="E3351" s="64"/>
      <c r="F3351" s="72"/>
      <c r="G3351" s="67"/>
      <c r="H3351" s="72"/>
      <c r="I3351" s="437"/>
      <c r="J3351" s="437"/>
      <c r="K3351" s="428"/>
      <c r="L3351" s="437"/>
      <c r="M3351" s="65"/>
      <c r="N3351" s="66"/>
      <c r="O3351" s="66"/>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1" s="349" customFormat="1" ht="15.75" customHeight="1">
      <c r="A3352" s="334" t="str">
        <f>IF(B3352&lt;&gt;"",IF(AND(B3352='IN-TC'!$S$4,OR(TH!N3352="1111",TH!O3352="1111")),TH!D3352,""),"")</f>
        <v/>
      </c>
      <c r="B3352" s="63" t="str">
        <f>IF(C3352&lt;&gt;"",MONTH(C3352),"")</f>
        <v/>
      </c>
      <c r="C3352" s="64"/>
      <c r="D3352" s="64"/>
      <c r="E3352" s="64"/>
      <c r="F3352" s="72"/>
      <c r="G3352" s="67"/>
      <c r="H3352" s="72"/>
      <c r="I3352" s="437"/>
      <c r="J3352" s="437"/>
      <c r="K3352" s="428"/>
      <c r="L3352" s="437"/>
      <c r="M3352" s="65"/>
      <c r="N3352" s="66"/>
      <c r="O3352" s="66"/>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1" s="349" customFormat="1" ht="15.75" customHeight="1">
      <c r="A3353" s="334" t="str">
        <f>IF(B3353&lt;&gt;"",IF(AND(B3353='IN-TC'!$S$4,OR(TH!N3353="1111",TH!O3353="1111")),TH!D3353,""),"")</f>
        <v/>
      </c>
      <c r="B3353" s="63" t="str">
        <f>IF(C3353&lt;&gt;"",MONTH(C3353),"")</f>
        <v/>
      </c>
      <c r="C3353" s="64"/>
      <c r="D3353" s="64"/>
      <c r="E3353" s="64"/>
      <c r="F3353" s="72"/>
      <c r="G3353" s="67"/>
      <c r="H3353" s="72"/>
      <c r="I3353" s="437"/>
      <c r="J3353" s="437"/>
      <c r="K3353" s="428"/>
      <c r="L3353" s="437"/>
      <c r="M3353" s="65"/>
      <c r="N3353" s="66"/>
      <c r="O3353" s="66"/>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1" s="349" customFormat="1" ht="15.75" customHeight="1">
      <c r="A3354" s="334" t="str">
        <f>IF(B3354&lt;&gt;"",IF(AND(B3354='IN-TC'!$S$4,OR(TH!N3354="1111",TH!O3354="1111")),TH!D3354,""),"")</f>
        <v/>
      </c>
      <c r="B3354" s="63" t="str">
        <f>IF(C3354&lt;&gt;"",MONTH(C3354),"")</f>
        <v/>
      </c>
      <c r="C3354" s="64"/>
      <c r="D3354" s="64"/>
      <c r="E3354" s="64"/>
      <c r="F3354" s="72"/>
      <c r="G3354" s="67"/>
      <c r="H3354" s="72"/>
      <c r="I3354" s="437"/>
      <c r="J3354" s="437"/>
      <c r="K3354" s="428"/>
      <c r="L3354" s="437"/>
      <c r="M3354" s="65"/>
      <c r="N3354" s="66"/>
      <c r="O3354" s="66"/>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1" s="349" customFormat="1" ht="15.75" customHeight="1">
      <c r="A3355" s="334" t="str">
        <f>IF(B3355&lt;&gt;"",IF(AND(B3355='IN-TC'!$S$4,OR(TH!N3355="1111",TH!O3355="1111")),TH!D3355,""),"")</f>
        <v/>
      </c>
      <c r="B3355" s="63" t="str">
        <f>IF(C3355&lt;&gt;"",MONTH(C3355),"")</f>
        <v/>
      </c>
      <c r="C3355" s="64"/>
      <c r="D3355" s="64"/>
      <c r="E3355" s="64"/>
      <c r="F3355" s="72"/>
      <c r="G3355" s="67"/>
      <c r="H3355" s="72"/>
      <c r="I3355" s="437"/>
      <c r="J3355" s="437"/>
      <c r="K3355" s="428"/>
      <c r="L3355" s="437"/>
      <c r="M3355" s="65"/>
      <c r="N3355" s="66"/>
      <c r="O3355" s="66"/>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1" s="349" customFormat="1" ht="15.75" customHeight="1">
      <c r="A3356" s="334" t="str">
        <f>IF(B3356&lt;&gt;"",IF(AND(B3356='IN-TC'!$S$4,OR(TH!N3356="1111",TH!O3356="1111")),TH!D3356,""),"")</f>
        <v/>
      </c>
      <c r="B3356" s="63" t="str">
        <f>IF(C3356&lt;&gt;"",MONTH(C3356),"")</f>
        <v/>
      </c>
      <c r="C3356" s="64"/>
      <c r="D3356" s="64"/>
      <c r="E3356" s="64"/>
      <c r="F3356" s="72"/>
      <c r="G3356" s="67"/>
      <c r="H3356" s="72"/>
      <c r="I3356" s="437"/>
      <c r="J3356" s="437"/>
      <c r="K3356" s="428"/>
      <c r="L3356" s="437"/>
      <c r="M3356" s="65"/>
      <c r="N3356" s="66"/>
      <c r="O3356" s="66"/>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1" s="349" customFormat="1" ht="15.75" customHeight="1">
      <c r="A3357" s="1198"/>
      <c r="B3357" s="1199"/>
      <c r="C3357" s="1200"/>
      <c r="D3357" s="1200"/>
      <c r="E3357" s="1200"/>
      <c r="F3357" s="72"/>
      <c r="G3357" s="1201"/>
      <c r="H3357" s="1202"/>
      <c r="I3357" s="1203"/>
      <c r="J3357" s="1203"/>
      <c r="K3357" s="1204"/>
      <c r="L3357" s="1203"/>
      <c r="M3357" s="1205"/>
      <c r="N3357" s="1206"/>
      <c r="O3357" s="1206"/>
      <c r="P3357" s="1207"/>
      <c r="Q3357" s="1207"/>
      <c r="R3357" s="1207"/>
      <c r="S3357" s="1207"/>
      <c r="T3357" s="1207"/>
      <c r="U3357" s="1207"/>
      <c r="V3357" s="1207"/>
      <c r="W3357" s="1207"/>
      <c r="X3357" s="1207"/>
      <c r="Y3357" s="1207"/>
      <c r="Z3357" s="1207"/>
      <c r="AA3357" s="1207"/>
      <c r="AB3357" s="1207"/>
      <c r="AC3357" s="1207"/>
      <c r="AD3357" s="1207"/>
    </row>
    <row r="3358" spans="1:31" s="349" customFormat="1" ht="15.75" customHeight="1">
      <c r="A3358" s="1198"/>
      <c r="B3358" s="1199"/>
      <c r="C3358" s="1200"/>
      <c r="D3358" s="1200"/>
      <c r="E3358" s="1200"/>
      <c r="F3358" s="1201"/>
      <c r="G3358" s="1201"/>
      <c r="H3358" s="1202"/>
      <c r="I3358" s="1203"/>
      <c r="J3358" s="1203"/>
      <c r="K3358" s="1204"/>
      <c r="L3358" s="1203"/>
      <c r="M3358" s="1205"/>
      <c r="N3358" s="1206"/>
      <c r="O3358" s="1206"/>
      <c r="P3358" s="1207"/>
      <c r="Q3358" s="1207"/>
      <c r="R3358" s="1207"/>
      <c r="S3358" s="1207"/>
      <c r="T3358" s="1207"/>
      <c r="U3358" s="1207"/>
      <c r="V3358" s="1207"/>
      <c r="W3358" s="1207"/>
      <c r="X3358" s="1207"/>
      <c r="Y3358" s="1207"/>
      <c r="Z3358" s="1207"/>
      <c r="AA3358" s="1207"/>
      <c r="AB3358" s="1207"/>
      <c r="AC3358" s="1207"/>
      <c r="AD3358" s="1207"/>
    </row>
    <row r="3359" spans="1:31" ht="18.75" customHeight="1">
      <c r="M3359" s="1208">
        <f>SUBTOTAL(9,$M$10:$M$3356)</f>
        <v>834301543561.20007</v>
      </c>
      <c r="N3359" s="1208"/>
      <c r="O3359" s="1208"/>
      <c r="P3359" s="1208">
        <f t="shared" ref="P3359:AD3359" si="428">SUBTOTAL(9,$M$10:$M$3356)</f>
        <v>834301543561.20007</v>
      </c>
      <c r="Q3359" s="1208">
        <f t="shared" si="428"/>
        <v>834301543561.20007</v>
      </c>
      <c r="R3359" s="1208">
        <f t="shared" si="428"/>
        <v>834301543561.20007</v>
      </c>
      <c r="S3359" s="1208">
        <f t="shared" si="428"/>
        <v>834301543561.20007</v>
      </c>
      <c r="T3359" s="1208">
        <f t="shared" si="428"/>
        <v>834301543561.20007</v>
      </c>
      <c r="U3359" s="1208">
        <f t="shared" si="428"/>
        <v>834301543561.20007</v>
      </c>
      <c r="V3359" s="1208">
        <f t="shared" si="428"/>
        <v>834301543561.20007</v>
      </c>
      <c r="W3359" s="1208">
        <f t="shared" si="428"/>
        <v>834301543561.20007</v>
      </c>
      <c r="X3359" s="1208">
        <f t="shared" si="428"/>
        <v>834301543561.20007</v>
      </c>
      <c r="Y3359" s="1208">
        <f t="shared" si="428"/>
        <v>834301543561.20007</v>
      </c>
      <c r="Z3359" s="1208">
        <f t="shared" si="428"/>
        <v>834301543561.20007</v>
      </c>
      <c r="AA3359" s="1208">
        <f t="shared" si="428"/>
        <v>834301543561.20007</v>
      </c>
      <c r="AB3359" s="1208">
        <f t="shared" si="428"/>
        <v>834301543561.20007</v>
      </c>
      <c r="AC3359" s="1208">
        <f t="shared" si="428"/>
        <v>834301543561.20007</v>
      </c>
      <c r="AD3359" s="1208">
        <f t="shared" si="428"/>
        <v>834301543561.20007</v>
      </c>
      <c r="AE3359" s="1208"/>
    </row>
    <row r="3360" spans="1:31">
      <c r="M3360" s="1196"/>
    </row>
    <row r="3361" spans="6:14">
      <c r="M3361" s="1196"/>
    </row>
    <row r="3362" spans="6:14">
      <c r="M3362" s="1196"/>
      <c r="N3362" s="1258"/>
    </row>
    <row r="3363" spans="6:14">
      <c r="J3363" s="1178"/>
      <c r="M3363" s="1196"/>
    </row>
    <row r="3364" spans="6:14">
      <c r="M3364" s="1196"/>
    </row>
    <row r="3365" spans="6:14">
      <c r="M3365" s="1196"/>
    </row>
    <row r="3366" spans="6:14">
      <c r="M3366" s="1196"/>
    </row>
    <row r="3367" spans="6:14">
      <c r="H3367" s="1181"/>
      <c r="M3367" s="1196"/>
    </row>
    <row r="3368" spans="6:14">
      <c r="G3368" s="1183"/>
      <c r="H3368" s="1221" t="s">
        <v>2067</v>
      </c>
      <c r="M3368" s="1196"/>
    </row>
    <row r="3369" spans="6:14">
      <c r="G3369" s="1183"/>
      <c r="H3369" s="1181"/>
      <c r="M3369" s="1196"/>
    </row>
    <row r="3370" spans="6:14">
      <c r="G3370" s="1183"/>
      <c r="H3370" s="1181"/>
      <c r="M3370" s="1196"/>
    </row>
    <row r="3371" spans="6:14">
      <c r="G3371" s="1183"/>
      <c r="H3371" s="1181"/>
      <c r="M3371" s="1196"/>
    </row>
    <row r="3372" spans="6:14">
      <c r="G3372" s="1183"/>
      <c r="H3372" s="1181"/>
      <c r="M3372" s="1196"/>
    </row>
    <row r="3373" spans="6:14">
      <c r="G3373" s="1183"/>
      <c r="H3373" s="1181"/>
      <c r="M3373" s="1196"/>
    </row>
    <row r="3374" spans="6:14">
      <c r="F3374" s="1257"/>
      <c r="G3374" s="1182"/>
      <c r="H3374" s="1180"/>
      <c r="M3374" s="1196"/>
    </row>
    <row r="3375" spans="6:14">
      <c r="F3375" s="1257"/>
      <c r="G3375" s="1182"/>
      <c r="H3375" s="1180"/>
    </row>
    <row r="3376" spans="6:14">
      <c r="F3376" s="1257"/>
      <c r="G3376" s="1182"/>
      <c r="H3376" s="1180"/>
    </row>
    <row r="3377" spans="6:13">
      <c r="F3377" s="1257"/>
      <c r="G3377" s="1182"/>
      <c r="H3377" s="1180"/>
    </row>
    <row r="3378" spans="6:13">
      <c r="H3378" s="1181"/>
    </row>
    <row r="3379" spans="6:13">
      <c r="H3379" s="1181"/>
    </row>
    <row r="3380" spans="6:13">
      <c r="H3380" s="1181"/>
    </row>
    <row r="3381" spans="6:13">
      <c r="H3381" s="1181"/>
    </row>
    <row r="3384" spans="6:13">
      <c r="M3384" s="1196"/>
    </row>
    <row r="3385" spans="6:13">
      <c r="M3385" s="1196"/>
    </row>
    <row r="3386" spans="6:13">
      <c r="M3386" s="1196"/>
    </row>
    <row r="3387" spans="6:13">
      <c r="M3387" s="1196"/>
    </row>
    <row r="3388" spans="6:13">
      <c r="M3388" s="1196"/>
    </row>
    <row r="3389" spans="6:13">
      <c r="M3389" s="1196"/>
    </row>
    <row r="3390" spans="6:13">
      <c r="M3390" s="1196"/>
    </row>
    <row r="3391" spans="6:13">
      <c r="M3391" s="1196"/>
    </row>
    <row r="3395" spans="13:13">
      <c r="M3395" s="1196"/>
    </row>
    <row r="3396" spans="13:13">
      <c r="M3396" s="1196"/>
    </row>
    <row r="3397" spans="13:13">
      <c r="M3397" s="1196"/>
    </row>
    <row r="3398" spans="13:13">
      <c r="M3398" s="1196"/>
    </row>
    <row r="3399" spans="13:13">
      <c r="M3399" s="1196"/>
    </row>
    <row r="3400" spans="13:13">
      <c r="M3400" s="1196"/>
    </row>
  </sheetData>
  <autoFilter ref="A9:AF3356">
    <filterColumn colId="1"/>
    <filterColumn colId="5"/>
    <filterColumn colId="7"/>
    <filterColumn colId="13"/>
    <filterColumn colId="14"/>
  </autoFilter>
  <sortState ref="A3097:AF3103">
    <sortCondition ref="C3097:C3103"/>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3" customWidth="1"/>
    <col min="2" max="2" width="8.5703125" style="253" customWidth="1"/>
    <col min="3" max="3" width="7.42578125" style="253" customWidth="1"/>
    <col min="4" max="4" width="9" style="253" customWidth="1"/>
    <col min="5" max="5" width="40" style="253" customWidth="1"/>
    <col min="6" max="6" width="14.140625" style="253" customWidth="1"/>
    <col min="7" max="8" width="5.85546875" style="254" customWidth="1"/>
    <col min="9" max="9" width="4.85546875" style="253" customWidth="1"/>
    <col min="10" max="10" width="13" style="253" customWidth="1"/>
    <col min="11" max="11" width="12" style="253" customWidth="1"/>
    <col min="12" max="12" width="13.28515625" style="253" customWidth="1"/>
    <col min="13" max="13" width="13.5703125" style="253" customWidth="1"/>
    <col min="14" max="14" width="13.28515625" style="253" customWidth="1"/>
    <col min="15" max="15" width="13.5703125" style="253" customWidth="1"/>
    <col min="16" max="16" width="11.7109375" style="253" customWidth="1"/>
    <col min="17" max="17" width="6.140625" style="253" customWidth="1"/>
    <col min="18" max="18" width="8.140625" style="253" customWidth="1"/>
    <col min="19" max="19" width="7.28515625" style="253" customWidth="1"/>
    <col min="20" max="20" width="12.7109375" style="253" customWidth="1"/>
    <col min="21" max="21" width="7.140625" style="253" customWidth="1"/>
    <col min="22" max="22" width="13.85546875" style="253" customWidth="1"/>
    <col min="23" max="23" width="5.85546875" style="253" customWidth="1"/>
    <col min="24" max="24" width="7.140625" style="253" customWidth="1"/>
    <col min="25" max="25" width="6" style="253" customWidth="1"/>
    <col min="26" max="26" width="11.28515625" style="253" customWidth="1"/>
    <col min="27" max="28" width="11.5703125" style="253" customWidth="1"/>
    <col min="29" max="29" width="12" style="253" customWidth="1"/>
    <col min="30" max="30" width="6.5703125" style="253" customWidth="1"/>
    <col min="31" max="31" width="15.7109375" style="253" customWidth="1"/>
    <col min="32" max="32" width="13" style="253" customWidth="1"/>
    <col min="33" max="33" width="6.42578125" style="253" customWidth="1"/>
    <col min="34" max="34" width="6.28515625" style="253" customWidth="1"/>
    <col min="35" max="36" width="12.5703125" style="253" customWidth="1"/>
    <col min="37" max="37" width="6.28515625" style="253" customWidth="1"/>
    <col min="38" max="38" width="14.42578125" style="253" customWidth="1"/>
    <col min="39" max="39" width="7" style="253" customWidth="1"/>
    <col min="40" max="40" width="12.5703125" style="253" customWidth="1"/>
    <col min="41" max="41" width="6.140625" style="253" customWidth="1"/>
    <col min="42" max="42" width="5.28515625" style="253" customWidth="1"/>
    <col min="43" max="43" width="12.5703125" style="253" customWidth="1"/>
    <col min="44" max="44" width="4.85546875" style="253" customWidth="1"/>
    <col min="45" max="45" width="12.5703125" style="253" customWidth="1"/>
    <col min="46" max="46" width="10.140625" style="253" customWidth="1"/>
    <col min="47" max="47" width="11.85546875" style="253" customWidth="1"/>
    <col min="48" max="48" width="9.140625" style="253" customWidth="1"/>
    <col min="49" max="49" width="10.7109375" style="253" customWidth="1"/>
    <col min="50" max="53" width="7.28515625" style="253" customWidth="1"/>
    <col min="54" max="71" width="9.140625" style="253"/>
    <col min="72" max="72" width="5.5703125" style="253" customWidth="1"/>
    <col min="73" max="73" width="12.5703125" style="253" customWidth="1"/>
    <col min="74" max="74" width="5.5703125" style="253" customWidth="1"/>
    <col min="75" max="75" width="12.5703125" style="253" customWidth="1"/>
    <col min="76" max="76" width="6.42578125" style="253" customWidth="1"/>
    <col min="77" max="77" width="13" style="253" customWidth="1"/>
    <col min="78" max="103" width="9.140625" style="253"/>
    <col min="104" max="105" width="12.85546875" style="253" customWidth="1"/>
    <col min="106" max="16384" width="9.140625" style="253"/>
  </cols>
  <sheetData>
    <row r="1" spans="1:105" ht="12.75" customHeight="1">
      <c r="A1" s="249"/>
      <c r="B1" s="250" t="s">
        <v>121</v>
      </c>
      <c r="C1" s="251"/>
      <c r="D1" s="251"/>
      <c r="E1" s="252"/>
      <c r="I1" s="251"/>
      <c r="M1" s="1310" t="s">
        <v>190</v>
      </c>
      <c r="N1" s="1310"/>
      <c r="O1" s="1310"/>
      <c r="P1" s="1310"/>
      <c r="Q1" s="1310"/>
      <c r="R1" s="1310"/>
      <c r="S1" s="1310"/>
      <c r="X1" s="251"/>
      <c r="Y1" s="251"/>
      <c r="Z1" s="252"/>
      <c r="AA1" s="252"/>
      <c r="AB1" s="252"/>
      <c r="AC1" s="252"/>
      <c r="AD1" s="252"/>
      <c r="AE1" s="252"/>
      <c r="AF1" s="252"/>
      <c r="AG1" s="252"/>
      <c r="AH1" s="252"/>
      <c r="AI1" s="252"/>
      <c r="AJ1" s="252"/>
      <c r="AK1" s="252"/>
      <c r="AL1" s="252"/>
      <c r="AM1" s="252"/>
      <c r="AN1" s="252"/>
      <c r="AO1" s="252"/>
      <c r="AP1" s="252"/>
      <c r="AQ1" s="252"/>
      <c r="AR1" s="252"/>
      <c r="AS1" s="252"/>
      <c r="AT1" s="251"/>
      <c r="AU1" s="251"/>
      <c r="AV1" s="251"/>
      <c r="AW1" s="251"/>
      <c r="AX1" s="251"/>
      <c r="AY1" s="251"/>
      <c r="AZ1" s="251"/>
      <c r="BA1" s="251"/>
    </row>
    <row r="2" spans="1:105" ht="12.75" customHeight="1">
      <c r="A2" s="249"/>
      <c r="B2" s="250" t="s">
        <v>179</v>
      </c>
      <c r="C2" s="251"/>
      <c r="D2" s="251"/>
      <c r="E2" s="251"/>
      <c r="I2" s="255"/>
      <c r="M2" s="1311" t="s">
        <v>144</v>
      </c>
      <c r="N2" s="1311"/>
      <c r="O2" s="1311"/>
      <c r="P2" s="1311"/>
      <c r="Q2" s="1311"/>
      <c r="R2" s="1311"/>
      <c r="S2" s="1311"/>
      <c r="X2" s="255"/>
      <c r="Y2" s="255"/>
      <c r="Z2" s="256"/>
      <c r="AA2" s="256"/>
      <c r="AB2" s="256"/>
      <c r="AC2" s="256"/>
      <c r="AD2" s="256"/>
      <c r="AE2" s="256"/>
      <c r="AF2" s="256"/>
      <c r="AG2" s="256"/>
      <c r="AH2" s="256"/>
      <c r="AI2" s="256"/>
      <c r="AJ2" s="256"/>
      <c r="AK2" s="256"/>
      <c r="AL2" s="256"/>
      <c r="AM2" s="256"/>
      <c r="AN2" s="256"/>
      <c r="AO2" s="256"/>
      <c r="AP2" s="256"/>
      <c r="AQ2" s="256"/>
      <c r="AR2" s="256"/>
      <c r="AS2" s="256"/>
      <c r="AT2" s="255"/>
      <c r="AU2" s="255"/>
      <c r="AV2" s="255"/>
      <c r="AW2" s="255"/>
      <c r="AX2" s="255"/>
      <c r="AY2" s="255"/>
      <c r="AZ2" s="255"/>
      <c r="BA2" s="255"/>
    </row>
    <row r="3" spans="1:105" ht="10.5" customHeight="1">
      <c r="A3" s="251"/>
      <c r="B3" s="251"/>
      <c r="C3" s="251"/>
      <c r="D3" s="251"/>
      <c r="E3" s="251"/>
      <c r="F3" s="255"/>
      <c r="G3" s="257"/>
      <c r="H3" s="257"/>
      <c r="I3" s="255"/>
      <c r="M3" s="1311"/>
      <c r="N3" s="1311"/>
      <c r="O3" s="1311"/>
      <c r="P3" s="1311"/>
      <c r="Q3" s="1311"/>
      <c r="R3" s="1311"/>
      <c r="S3" s="1311"/>
      <c r="X3" s="255"/>
      <c r="Y3" s="255"/>
      <c r="Z3" s="256"/>
      <c r="AA3" s="256"/>
      <c r="AB3" s="256"/>
      <c r="AC3" s="256"/>
      <c r="AD3" s="256"/>
      <c r="AE3" s="256"/>
      <c r="AF3" s="256"/>
      <c r="AG3" s="256"/>
      <c r="AH3" s="256"/>
      <c r="AI3" s="256"/>
      <c r="AJ3" s="256"/>
      <c r="AK3" s="256"/>
      <c r="AL3" s="256"/>
      <c r="AM3" s="256"/>
      <c r="AN3" s="256"/>
      <c r="AO3" s="256"/>
      <c r="AP3" s="256"/>
      <c r="AQ3" s="256"/>
      <c r="AR3" s="256"/>
      <c r="AS3" s="256"/>
      <c r="AT3" s="255"/>
      <c r="AU3" s="255"/>
      <c r="AV3" s="255"/>
      <c r="AW3" s="255"/>
      <c r="AX3" s="255"/>
      <c r="AY3" s="255"/>
      <c r="AZ3" s="255"/>
      <c r="BA3" s="255"/>
    </row>
    <row r="4" spans="1:105" ht="19.5" customHeight="1">
      <c r="B4" s="1312" t="s">
        <v>112</v>
      </c>
      <c r="C4" s="1312"/>
      <c r="D4" s="1312"/>
      <c r="E4" s="1312"/>
      <c r="F4" s="1312"/>
      <c r="G4" s="1312"/>
      <c r="H4" s="1312"/>
      <c r="I4" s="1312"/>
      <c r="J4" s="1312"/>
      <c r="K4" s="1312"/>
      <c r="L4" s="1312"/>
      <c r="M4" s="1312"/>
      <c r="N4" s="1312"/>
      <c r="O4" s="1312"/>
      <c r="P4" s="1312"/>
      <c r="Q4" s="1312"/>
      <c r="R4" s="1312"/>
      <c r="S4" s="258"/>
      <c r="T4" s="258"/>
      <c r="U4" s="258"/>
      <c r="V4" s="258"/>
      <c r="W4" s="258"/>
      <c r="X4" s="259"/>
      <c r="Y4" s="259"/>
      <c r="Z4" s="258"/>
      <c r="AA4" s="258"/>
      <c r="AB4" s="258"/>
      <c r="AC4" s="258"/>
      <c r="AD4" s="258"/>
      <c r="AE4" s="258"/>
      <c r="AF4" s="258"/>
      <c r="AG4" s="258"/>
      <c r="AH4" s="258"/>
      <c r="AI4" s="258"/>
      <c r="AJ4" s="258"/>
      <c r="AK4" s="258"/>
      <c r="AL4" s="258"/>
      <c r="AM4" s="258"/>
      <c r="AN4" s="258"/>
      <c r="AO4" s="258"/>
      <c r="AP4" s="258"/>
      <c r="AQ4" s="258"/>
      <c r="AR4" s="258"/>
      <c r="AS4" s="258"/>
      <c r="AT4" s="260"/>
      <c r="AU4" s="260"/>
      <c r="AV4" s="260"/>
      <c r="AW4" s="260"/>
      <c r="AX4" s="260"/>
      <c r="AY4" s="260"/>
      <c r="AZ4" s="260"/>
      <c r="BA4" s="260"/>
    </row>
    <row r="5" spans="1:105" ht="15">
      <c r="B5" s="1313" t="s">
        <v>191</v>
      </c>
      <c r="C5" s="1313"/>
      <c r="D5" s="1313"/>
      <c r="E5" s="1313"/>
      <c r="F5" s="1313"/>
      <c r="G5" s="1313"/>
      <c r="H5" s="1313"/>
      <c r="I5" s="1313"/>
      <c r="J5" s="1313"/>
      <c r="K5" s="1313"/>
      <c r="L5" s="1313"/>
      <c r="M5" s="1313"/>
      <c r="N5" s="1313"/>
      <c r="O5" s="1313"/>
      <c r="P5" s="1313"/>
      <c r="Q5" s="1313"/>
      <c r="R5" s="1313"/>
      <c r="S5" s="261"/>
      <c r="T5" s="261"/>
      <c r="U5" s="261"/>
      <c r="V5" s="261"/>
      <c r="W5" s="261"/>
      <c r="X5" s="262"/>
      <c r="Y5" s="262"/>
      <c r="Z5" s="261"/>
      <c r="AA5" s="261"/>
      <c r="AB5" s="261"/>
      <c r="AC5" s="261"/>
      <c r="AD5" s="261"/>
      <c r="AE5" s="261"/>
      <c r="AF5" s="261"/>
      <c r="AG5" s="261"/>
      <c r="AH5" s="261"/>
      <c r="AI5" s="261"/>
      <c r="AJ5" s="261"/>
      <c r="AK5" s="261"/>
      <c r="AL5" s="261"/>
      <c r="AM5" s="261"/>
      <c r="AN5" s="261"/>
      <c r="AO5" s="261"/>
      <c r="AP5" s="261"/>
      <c r="AQ5" s="261"/>
      <c r="AR5" s="261"/>
      <c r="AS5" s="261"/>
    </row>
    <row r="6" spans="1:105">
      <c r="P6" s="253" t="s">
        <v>148</v>
      </c>
    </row>
    <row r="7" spans="1:105" ht="13.5" customHeight="1">
      <c r="A7" s="1314" t="s">
        <v>37</v>
      </c>
      <c r="B7" s="1308" t="s">
        <v>22</v>
      </c>
      <c r="C7" s="1316" t="s">
        <v>1</v>
      </c>
      <c r="D7" s="1317"/>
      <c r="E7" s="1308" t="s">
        <v>0</v>
      </c>
      <c r="F7" s="1308" t="s">
        <v>113</v>
      </c>
      <c r="G7" s="1318" t="s">
        <v>114</v>
      </c>
      <c r="H7" s="1318"/>
      <c r="I7" s="1309" t="s">
        <v>37</v>
      </c>
      <c r="J7" s="1308" t="s">
        <v>192</v>
      </c>
      <c r="K7" s="1308"/>
      <c r="L7" s="1308" t="s">
        <v>193</v>
      </c>
      <c r="M7" s="1308"/>
      <c r="N7" s="1308" t="s">
        <v>268</v>
      </c>
      <c r="O7" s="1308"/>
      <c r="P7" s="1308" t="s">
        <v>966</v>
      </c>
      <c r="Q7" s="1308"/>
      <c r="R7" s="1308" t="s">
        <v>194</v>
      </c>
      <c r="S7" s="1308"/>
      <c r="T7" s="1308" t="s">
        <v>195</v>
      </c>
      <c r="U7" s="1308"/>
      <c r="V7" s="1308" t="s">
        <v>967</v>
      </c>
      <c r="W7" s="1308"/>
      <c r="X7" s="1308" t="s">
        <v>968</v>
      </c>
      <c r="Y7" s="1308"/>
      <c r="Z7" s="1308" t="s">
        <v>969</v>
      </c>
      <c r="AA7" s="1308"/>
      <c r="AB7" s="1308" t="s">
        <v>970</v>
      </c>
      <c r="AC7" s="1308"/>
      <c r="AD7" s="1308" t="s">
        <v>971</v>
      </c>
      <c r="AE7" s="1308"/>
      <c r="AF7" s="1308" t="s">
        <v>972</v>
      </c>
      <c r="AG7" s="1308"/>
      <c r="AH7" s="1308" t="s">
        <v>973</v>
      </c>
      <c r="AI7" s="1308"/>
      <c r="AJ7" s="1308" t="s">
        <v>974</v>
      </c>
      <c r="AK7" s="1308"/>
      <c r="AL7" s="1308" t="s">
        <v>975</v>
      </c>
      <c r="AM7" s="1308"/>
      <c r="AN7" s="1308" t="s">
        <v>976</v>
      </c>
      <c r="AO7" s="1308"/>
      <c r="AP7" s="1308" t="s">
        <v>977</v>
      </c>
      <c r="AQ7" s="1308"/>
      <c r="AR7" s="1308" t="s">
        <v>978</v>
      </c>
      <c r="AS7" s="1308"/>
      <c r="AT7" s="1308" t="s">
        <v>196</v>
      </c>
      <c r="AU7" s="1308"/>
      <c r="AV7" s="1308" t="s">
        <v>197</v>
      </c>
      <c r="AW7" s="1308"/>
      <c r="AX7" s="1308" t="s">
        <v>979</v>
      </c>
      <c r="AY7" s="1308"/>
      <c r="AZ7" s="1308" t="s">
        <v>980</v>
      </c>
      <c r="BA7" s="1308"/>
      <c r="BB7" s="1308" t="s">
        <v>981</v>
      </c>
      <c r="BC7" s="1308"/>
      <c r="BD7" s="1308" t="s">
        <v>198</v>
      </c>
      <c r="BE7" s="1308"/>
      <c r="BF7" s="1308" t="s">
        <v>982</v>
      </c>
      <c r="BG7" s="1308"/>
      <c r="BH7" s="1308" t="s">
        <v>199</v>
      </c>
      <c r="BI7" s="1308"/>
      <c r="BJ7" s="1308" t="s">
        <v>983</v>
      </c>
      <c r="BK7" s="1308"/>
      <c r="BL7" s="1308" t="s">
        <v>984</v>
      </c>
      <c r="BM7" s="1308"/>
      <c r="BN7" s="1308" t="s">
        <v>985</v>
      </c>
      <c r="BO7" s="1308"/>
      <c r="BP7" s="1308" t="s">
        <v>986</v>
      </c>
      <c r="BQ7" s="1308"/>
      <c r="BR7" s="1308" t="s">
        <v>200</v>
      </c>
      <c r="BS7" s="1308"/>
      <c r="BT7" s="1308" t="s">
        <v>201</v>
      </c>
      <c r="BU7" s="1308"/>
      <c r="BV7" s="1308" t="s">
        <v>263</v>
      </c>
      <c r="BW7" s="1308"/>
      <c r="BX7" s="1308" t="s">
        <v>202</v>
      </c>
      <c r="BY7" s="1308"/>
      <c r="BZ7" s="1308" t="s">
        <v>203</v>
      </c>
      <c r="CA7" s="1308"/>
      <c r="CB7" s="1308" t="s">
        <v>204</v>
      </c>
      <c r="CC7" s="1308"/>
      <c r="CD7" s="1308" t="s">
        <v>987</v>
      </c>
      <c r="CE7" s="1308"/>
      <c r="CF7" s="1308" t="s">
        <v>988</v>
      </c>
      <c r="CG7" s="1308"/>
      <c r="CH7" s="1308" t="s">
        <v>205</v>
      </c>
      <c r="CI7" s="1308"/>
      <c r="CJ7" s="1308" t="s">
        <v>989</v>
      </c>
      <c r="CK7" s="1308"/>
      <c r="CL7" s="1308" t="s">
        <v>990</v>
      </c>
      <c r="CM7" s="1308"/>
      <c r="CN7" s="1308" t="s">
        <v>206</v>
      </c>
      <c r="CO7" s="1308"/>
      <c r="CP7" s="1308" t="s">
        <v>991</v>
      </c>
      <c r="CQ7" s="1308"/>
      <c r="CR7" s="1308" t="s">
        <v>207</v>
      </c>
      <c r="CS7" s="1308"/>
      <c r="CT7" s="1308" t="s">
        <v>208</v>
      </c>
      <c r="CU7" s="1308"/>
      <c r="CV7" s="1308" t="s">
        <v>209</v>
      </c>
      <c r="CW7" s="1308"/>
      <c r="CX7" s="1308" t="s">
        <v>210</v>
      </c>
      <c r="CY7" s="1308"/>
      <c r="CZ7" s="1308" t="s">
        <v>211</v>
      </c>
      <c r="DA7" s="1308"/>
    </row>
    <row r="8" spans="1:105" ht="22.5" customHeight="1">
      <c r="A8" s="1315"/>
      <c r="B8" s="1308"/>
      <c r="C8" s="944" t="s">
        <v>17</v>
      </c>
      <c r="D8" s="943" t="s">
        <v>34</v>
      </c>
      <c r="E8" s="1308"/>
      <c r="F8" s="1308"/>
      <c r="G8" s="945" t="s">
        <v>24</v>
      </c>
      <c r="H8" s="945" t="s">
        <v>25</v>
      </c>
      <c r="I8" s="1309"/>
      <c r="J8" s="943" t="s">
        <v>24</v>
      </c>
      <c r="K8" s="943" t="s">
        <v>25</v>
      </c>
      <c r="L8" s="943" t="s">
        <v>24</v>
      </c>
      <c r="M8" s="943" t="s">
        <v>25</v>
      </c>
      <c r="N8" s="943" t="s">
        <v>24</v>
      </c>
      <c r="O8" s="943" t="s">
        <v>25</v>
      </c>
      <c r="P8" s="943" t="s">
        <v>24</v>
      </c>
      <c r="Q8" s="943" t="s">
        <v>25</v>
      </c>
      <c r="R8" s="943" t="s">
        <v>24</v>
      </c>
      <c r="S8" s="943" t="s">
        <v>25</v>
      </c>
      <c r="T8" s="943" t="s">
        <v>24</v>
      </c>
      <c r="U8" s="943" t="s">
        <v>25</v>
      </c>
      <c r="V8" s="943" t="s">
        <v>24</v>
      </c>
      <c r="W8" s="943" t="s">
        <v>25</v>
      </c>
      <c r="X8" s="943" t="s">
        <v>24</v>
      </c>
      <c r="Y8" s="943" t="s">
        <v>25</v>
      </c>
      <c r="Z8" s="943" t="s">
        <v>24</v>
      </c>
      <c r="AA8" s="943" t="s">
        <v>25</v>
      </c>
      <c r="AB8" s="943" t="s">
        <v>24</v>
      </c>
      <c r="AC8" s="943" t="s">
        <v>25</v>
      </c>
      <c r="AD8" s="943" t="s">
        <v>24</v>
      </c>
      <c r="AE8" s="943" t="s">
        <v>25</v>
      </c>
      <c r="AF8" s="943" t="s">
        <v>24</v>
      </c>
      <c r="AG8" s="943" t="s">
        <v>25</v>
      </c>
      <c r="AH8" s="943" t="s">
        <v>24</v>
      </c>
      <c r="AI8" s="943" t="s">
        <v>25</v>
      </c>
      <c r="AJ8" s="943" t="s">
        <v>24</v>
      </c>
      <c r="AK8" s="943" t="s">
        <v>25</v>
      </c>
      <c r="AL8" s="943" t="s">
        <v>24</v>
      </c>
      <c r="AM8" s="943" t="s">
        <v>25</v>
      </c>
      <c r="AN8" s="943" t="s">
        <v>24</v>
      </c>
      <c r="AO8" s="943" t="s">
        <v>25</v>
      </c>
      <c r="AP8" s="943" t="s">
        <v>24</v>
      </c>
      <c r="AQ8" s="943" t="s">
        <v>25</v>
      </c>
      <c r="AR8" s="943" t="s">
        <v>24</v>
      </c>
      <c r="AS8" s="943" t="s">
        <v>25</v>
      </c>
      <c r="AT8" s="943" t="s">
        <v>24</v>
      </c>
      <c r="AU8" s="943" t="s">
        <v>25</v>
      </c>
      <c r="AV8" s="943" t="s">
        <v>24</v>
      </c>
      <c r="AW8" s="943" t="s">
        <v>25</v>
      </c>
      <c r="AX8" s="943" t="s">
        <v>24</v>
      </c>
      <c r="AY8" s="943" t="s">
        <v>25</v>
      </c>
      <c r="AZ8" s="943" t="s">
        <v>24</v>
      </c>
      <c r="BA8" s="943" t="s">
        <v>25</v>
      </c>
      <c r="BB8" s="943" t="s">
        <v>24</v>
      </c>
      <c r="BC8" s="943" t="s">
        <v>25</v>
      </c>
      <c r="BD8" s="943" t="s">
        <v>24</v>
      </c>
      <c r="BE8" s="943" t="s">
        <v>25</v>
      </c>
      <c r="BF8" s="943" t="s">
        <v>24</v>
      </c>
      <c r="BG8" s="943" t="s">
        <v>25</v>
      </c>
      <c r="BH8" s="943" t="s">
        <v>24</v>
      </c>
      <c r="BI8" s="943" t="s">
        <v>25</v>
      </c>
      <c r="BJ8" s="943" t="s">
        <v>24</v>
      </c>
      <c r="BK8" s="943" t="s">
        <v>25</v>
      </c>
      <c r="BL8" s="943" t="s">
        <v>24</v>
      </c>
      <c r="BM8" s="943" t="s">
        <v>25</v>
      </c>
      <c r="BN8" s="943" t="s">
        <v>24</v>
      </c>
      <c r="BO8" s="943" t="s">
        <v>25</v>
      </c>
      <c r="BP8" s="943" t="s">
        <v>24</v>
      </c>
      <c r="BQ8" s="943" t="s">
        <v>25</v>
      </c>
      <c r="BR8" s="943" t="s">
        <v>24</v>
      </c>
      <c r="BS8" s="943" t="s">
        <v>25</v>
      </c>
      <c r="BT8" s="943" t="s">
        <v>24</v>
      </c>
      <c r="BU8" s="943" t="s">
        <v>25</v>
      </c>
      <c r="BV8" s="943" t="s">
        <v>24</v>
      </c>
      <c r="BW8" s="943" t="s">
        <v>25</v>
      </c>
      <c r="BX8" s="943" t="s">
        <v>24</v>
      </c>
      <c r="BY8" s="943" t="s">
        <v>25</v>
      </c>
      <c r="BZ8" s="943" t="s">
        <v>24</v>
      </c>
      <c r="CA8" s="943" t="s">
        <v>25</v>
      </c>
      <c r="CB8" s="943" t="s">
        <v>24</v>
      </c>
      <c r="CC8" s="943" t="s">
        <v>25</v>
      </c>
      <c r="CD8" s="943" t="s">
        <v>24</v>
      </c>
      <c r="CE8" s="943" t="s">
        <v>25</v>
      </c>
      <c r="CF8" s="943" t="s">
        <v>24</v>
      </c>
      <c r="CG8" s="943" t="s">
        <v>25</v>
      </c>
      <c r="CH8" s="943" t="s">
        <v>24</v>
      </c>
      <c r="CI8" s="943" t="s">
        <v>25</v>
      </c>
      <c r="CJ8" s="943" t="s">
        <v>24</v>
      </c>
      <c r="CK8" s="943" t="s">
        <v>25</v>
      </c>
      <c r="CL8" s="943" t="s">
        <v>24</v>
      </c>
      <c r="CM8" s="943" t="s">
        <v>25</v>
      </c>
      <c r="CN8" s="943" t="s">
        <v>24</v>
      </c>
      <c r="CO8" s="943" t="s">
        <v>25</v>
      </c>
      <c r="CP8" s="943" t="s">
        <v>24</v>
      </c>
      <c r="CQ8" s="943" t="s">
        <v>25</v>
      </c>
      <c r="CR8" s="943" t="s">
        <v>24</v>
      </c>
      <c r="CS8" s="943" t="s">
        <v>25</v>
      </c>
      <c r="CT8" s="943" t="s">
        <v>24</v>
      </c>
      <c r="CU8" s="943" t="s">
        <v>25</v>
      </c>
      <c r="CV8" s="943" t="s">
        <v>24</v>
      </c>
      <c r="CW8" s="943" t="s">
        <v>25</v>
      </c>
      <c r="CX8" s="943" t="s">
        <v>24</v>
      </c>
      <c r="CY8" s="943" t="s">
        <v>25</v>
      </c>
      <c r="CZ8" s="943" t="s">
        <v>24</v>
      </c>
      <c r="DA8" s="943"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CDPS!C10</f>
        <v>3705039095</v>
      </c>
      <c r="K10" s="271">
        <f>CDPS!D10</f>
        <v>0</v>
      </c>
      <c r="L10" s="271">
        <f>CDPS!C12</f>
        <v>19829295</v>
      </c>
      <c r="M10" s="271">
        <f>CDPS!D12</f>
        <v>0</v>
      </c>
      <c r="N10" s="271">
        <f>CDPS!C13</f>
        <v>2236796790</v>
      </c>
      <c r="O10" s="271">
        <f>CDPS!D13</f>
        <v>0</v>
      </c>
      <c r="P10" s="271">
        <f>CDPS!C15</f>
        <v>3343381600</v>
      </c>
      <c r="Q10" s="271">
        <f>CDPS!D15</f>
        <v>0</v>
      </c>
      <c r="R10" s="271">
        <f>CDPS!C16</f>
        <v>162420936</v>
      </c>
      <c r="S10" s="271">
        <f>CDPS!D16</f>
        <v>0</v>
      </c>
      <c r="T10" s="271">
        <f>CDPS!C18</f>
        <v>1500000000</v>
      </c>
      <c r="U10" s="271">
        <f>CDPS!D18</f>
        <v>0</v>
      </c>
      <c r="V10" s="271">
        <f>CDPS!C20</f>
        <v>0</v>
      </c>
      <c r="W10" s="271">
        <f>CDPS!D20</f>
        <v>0</v>
      </c>
      <c r="X10" s="271">
        <f>CDPS!C21</f>
        <v>2772400000</v>
      </c>
      <c r="Y10" s="271">
        <f>CDPS!D21</f>
        <v>0</v>
      </c>
      <c r="Z10" s="271">
        <f>CDPS!C22</f>
        <v>526519887</v>
      </c>
      <c r="AA10" s="271">
        <f>CDPS!D22</f>
        <v>0</v>
      </c>
      <c r="AB10" s="271">
        <f>CDPS!C24</f>
        <v>0</v>
      </c>
      <c r="AC10" s="271">
        <f>CDPS!D24</f>
        <v>0</v>
      </c>
      <c r="AD10" s="271">
        <f>CDPS!C25</f>
        <v>0</v>
      </c>
      <c r="AE10" s="271">
        <f>CDPS!D25</f>
        <v>0</v>
      </c>
      <c r="AF10" s="271">
        <f>CDPS!C26</f>
        <v>9386323824</v>
      </c>
      <c r="AG10" s="271">
        <f>CDPS!D26</f>
        <v>0</v>
      </c>
      <c r="AH10" s="271">
        <f>CDPS!C27</f>
        <v>7490743648</v>
      </c>
      <c r="AI10" s="271">
        <f>CDPS!D27</f>
        <v>0</v>
      </c>
      <c r="AJ10" s="271">
        <f>CDPS!C28</f>
        <v>3807898863</v>
      </c>
      <c r="AK10" s="271">
        <f>CDPS!D28</f>
        <v>0</v>
      </c>
      <c r="AL10" s="271">
        <f>CDPS!C29</f>
        <v>3790918485</v>
      </c>
      <c r="AM10" s="271">
        <f>CDPS!D29</f>
        <v>0</v>
      </c>
      <c r="AN10" s="271">
        <f>CDPS!C31</f>
        <v>5405781300</v>
      </c>
      <c r="AO10" s="271">
        <f>CDPS!D31</f>
        <v>0</v>
      </c>
      <c r="AP10" s="271">
        <f>CDPS!C33</f>
        <v>0</v>
      </c>
      <c r="AQ10" s="271">
        <f>CDPS!D33</f>
        <v>9132359256</v>
      </c>
      <c r="AR10" s="271">
        <f>CDPS!C34</f>
        <v>0</v>
      </c>
      <c r="AS10" s="271">
        <f>CDPS!D34</f>
        <v>600642360</v>
      </c>
      <c r="AT10" s="271">
        <f>CDPS!C36</f>
        <v>0</v>
      </c>
      <c r="AU10" s="271">
        <f>CDPS!D36</f>
        <v>0</v>
      </c>
      <c r="AV10" s="271">
        <f>CDPS!C38</f>
        <v>0</v>
      </c>
      <c r="AW10" s="271">
        <f>CDPS!D38</f>
        <v>476953252</v>
      </c>
      <c r="AX10" s="271"/>
      <c r="AY10" s="271"/>
      <c r="AZ10" s="271"/>
      <c r="BA10" s="271"/>
      <c r="BB10" s="271"/>
      <c r="BC10" s="271"/>
      <c r="BD10" s="271">
        <f>CDPS!C42</f>
        <v>0</v>
      </c>
      <c r="BE10" s="271">
        <f>CDPS!D42</f>
        <v>3313435</v>
      </c>
      <c r="BF10" s="271">
        <f>CDPS!C43</f>
        <v>3389804</v>
      </c>
      <c r="BG10" s="271">
        <f>CDPS!D43</f>
        <v>0</v>
      </c>
      <c r="BH10" s="271">
        <f>CDPS!C44</f>
        <v>0</v>
      </c>
      <c r="BI10" s="271">
        <f>CDPS!D44</f>
        <v>0</v>
      </c>
      <c r="BJ10" s="271">
        <f>CDPS!C47</f>
        <v>0</v>
      </c>
      <c r="BK10" s="271">
        <f>CDPS!D47</f>
        <v>0</v>
      </c>
      <c r="BL10" s="271">
        <f>CDPS!C49</f>
        <v>0</v>
      </c>
      <c r="BM10" s="271">
        <f>CDPS!D49</f>
        <v>40272309</v>
      </c>
      <c r="BN10" s="271">
        <f>CDPS!C50</f>
        <v>0</v>
      </c>
      <c r="BO10" s="271">
        <f>CDPS!D50</f>
        <v>6403142</v>
      </c>
      <c r="BP10" s="271">
        <f>CDPS!C51</f>
        <v>0</v>
      </c>
      <c r="BQ10" s="271">
        <f>CDPS!D51</f>
        <v>2761373</v>
      </c>
      <c r="BR10" s="271">
        <f>CDPS!C52</f>
        <v>0</v>
      </c>
      <c r="BS10" s="271">
        <f>CDPS!D52</f>
        <v>0</v>
      </c>
      <c r="BT10" s="271">
        <f>CDPS!C54</f>
        <v>0</v>
      </c>
      <c r="BU10" s="271">
        <f>CDPS!D54</f>
        <v>2169121879</v>
      </c>
      <c r="BV10" s="271">
        <f>CDPS!C55</f>
        <v>0</v>
      </c>
      <c r="BW10" s="271">
        <f>CDPS!D55</f>
        <v>21202920500</v>
      </c>
      <c r="BX10" s="271">
        <f>CDPS!C57</f>
        <v>0</v>
      </c>
      <c r="BY10" s="271">
        <f>CDPS!D57</f>
        <v>10000000000</v>
      </c>
      <c r="BZ10" s="271">
        <f>CDPS!C59</f>
        <v>0</v>
      </c>
      <c r="CA10" s="271">
        <f>CDPS!D59</f>
        <v>486535137</v>
      </c>
      <c r="CB10" s="271">
        <f>CDPS!C60</f>
        <v>0</v>
      </c>
      <c r="CC10" s="271">
        <f>CDPS!D60</f>
        <v>30160884.000000477</v>
      </c>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row>
    <row r="11" spans="1:105" s="272" customFormat="1" ht="12.75" customHeight="1">
      <c r="A11" s="63">
        <f t="array" aca="1" ref="A11" ca="1">IF(C11&lt;&gt;0,SUM(($C$11:C11&lt;&gt;0)*1),"")</f>
        <v>1</v>
      </c>
      <c r="B11" s="273" t="str">
        <f ca="1">IF(ROWS($1:1)&gt;COUNT(Dong6),"",OFFSET(TH!C$1,SMALL(Dong6,ROWS($1:1)),))</f>
        <v/>
      </c>
      <c r="C11" s="273" t="str">
        <f ca="1">IF(ROWS($1:1)&gt;COUNT(Dong6),"",OFFSET(TH!D$1,SMALL(Dong6,ROWS($1:1)),))</f>
        <v/>
      </c>
      <c r="D11" s="273" t="str">
        <f ca="1">IF(ROWS($1:1)&gt;COUNT(Dong6),"",OFFSET(TH!E$1,SMALL(Dong6,ROWS($1:1)),))</f>
        <v/>
      </c>
      <c r="E11" s="323" t="str">
        <f ca="1">IF(ROWS($1:1)&gt;COUNT(Dong6),"",OFFSET(TH!F$1,SMALL(Dong6,ROWS($1:1)),))</f>
        <v/>
      </c>
      <c r="F11" s="324" t="str">
        <f ca="1">IF(ROWS($1:1)&gt;COUNT(Dong6),"",OFFSET(TH!M$1,SMALL(Dong6,ROWS($1:1)),))</f>
        <v/>
      </c>
      <c r="G11" s="325" t="str">
        <f ca="1">IF(ROWS($1:1)&gt;COUNT(Dong6),"",OFFSET(TH!N$1,SMALL(Dong6,ROWS($1:1)),))</f>
        <v/>
      </c>
      <c r="H11" s="325" t="str">
        <f ca="1">IF(ROWS($1:1)&gt;COUNT(Dong6),"",OFFSET(TH!O$1,SMALL(Dong6,ROWS($1:1)),))</f>
        <v/>
      </c>
      <c r="I11" s="63">
        <f t="shared" ref="I11:I34" ca="1" si="0">A11</f>
        <v>1</v>
      </c>
      <c r="J11" s="275">
        <f ca="1">IF($G11="1111",$F11,0)</f>
        <v>0</v>
      </c>
      <c r="K11" s="275">
        <f ca="1">IF($H11="1111",$F11,0)</f>
        <v>0</v>
      </c>
      <c r="L11" s="275">
        <f t="shared" ref="L11:L51" ca="1" si="1">IF($G11="1121",$F11,0)</f>
        <v>0</v>
      </c>
      <c r="M11" s="275">
        <f t="shared" ref="M11:M51" ca="1" si="2">IF($H11="1121",$F11,0)</f>
        <v>0</v>
      </c>
      <c r="N11" s="275">
        <f t="shared" ref="N11:N51" ca="1" si="3">IF($G11="1122",$F11,0)</f>
        <v>0</v>
      </c>
      <c r="O11" s="275">
        <f t="shared" ref="O11:O51" ca="1" si="4">IF($H11="1122",$F11,0)</f>
        <v>0</v>
      </c>
      <c r="P11" s="275">
        <f t="shared" ref="P11:P51" ca="1" si="5">IF($G11="131",$F11,0)</f>
        <v>0</v>
      </c>
      <c r="Q11" s="275">
        <f t="shared" ref="Q11:Q51" ca="1" si="6">IF($H11="131",$F11,0)</f>
        <v>0</v>
      </c>
      <c r="R11" s="275">
        <f t="shared" ref="R11:R51" ca="1" si="7">IF($G11="1331",$F11,0)</f>
        <v>0</v>
      </c>
      <c r="S11" s="275">
        <f t="shared" ref="S11:S51" ca="1" si="8">IF($H11="1331",$F11,0)</f>
        <v>0</v>
      </c>
      <c r="T11" s="275">
        <f t="shared" ref="T11:T51" ca="1" si="9">IF($G11="1388",$F11,0)</f>
        <v>0</v>
      </c>
      <c r="U11" s="275">
        <f t="shared" ref="U11:U51" ca="1" si="10">IF($H11="1388",$F11,0)</f>
        <v>0</v>
      </c>
      <c r="V11" s="275">
        <f t="shared" ref="V11:V51" ca="1" si="11">IF($G11="141",$F11,0)</f>
        <v>0</v>
      </c>
      <c r="W11" s="275">
        <f t="shared" ref="W11:W51" ca="1" si="12">IF($H11="141",$F11,0)</f>
        <v>0</v>
      </c>
      <c r="X11" s="275">
        <f t="shared" ref="X11:X51" ca="1" si="13">IF($G11="1521",$F11,0)</f>
        <v>0</v>
      </c>
      <c r="Y11" s="275">
        <f t="shared" ref="Y11:Y51" ca="1" si="14">IF($H11="1521",$F11,0)</f>
        <v>0</v>
      </c>
      <c r="Z11" s="275">
        <f t="shared" ref="Z11:Z51" ca="1" si="15">IF($G11="1522",$F11,0)</f>
        <v>0</v>
      </c>
      <c r="AA11" s="275">
        <f t="shared" ref="AA11:AA51" ca="1" si="16">IF($H11="1522",$F11,0)</f>
        <v>0</v>
      </c>
      <c r="AB11" s="275">
        <f ca="1">IF($G11="153",$F11,0)</f>
        <v>0</v>
      </c>
      <c r="AC11" s="275">
        <f ca="1">IF($H11="153",$F11,0)</f>
        <v>0</v>
      </c>
      <c r="AD11" s="275">
        <f t="shared" ref="AD11:AD51" ca="1" si="17">IF($G11="154",$F11,0)</f>
        <v>0</v>
      </c>
      <c r="AE11" s="275">
        <f t="shared" ref="AE11:AE51" ca="1" si="18">IF($H11="154",$F11,0)</f>
        <v>0</v>
      </c>
      <c r="AF11" s="275">
        <f t="shared" ref="AF11:AF51" ca="1" si="19">IF($G11="155",$F11,0)</f>
        <v>0</v>
      </c>
      <c r="AG11" s="275">
        <f t="shared" ref="AG11:AG51"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1" ca="1" si="21">IF($G11="2141",$F11,0)</f>
        <v>0</v>
      </c>
      <c r="AQ11" s="275">
        <f t="shared" ref="AQ11:AQ51" ca="1" si="22">IF($H11="2141",$F11,0)</f>
        <v>0</v>
      </c>
      <c r="AR11" s="275">
        <f t="shared" ref="AR11:AR51" ca="1" si="23">IF($G11="2143",$F11,0)</f>
        <v>0</v>
      </c>
      <c r="AS11" s="275">
        <f t="shared" ref="AS11:AS51" ca="1" si="24">IF($H11="2143",$F11,0)</f>
        <v>0</v>
      </c>
      <c r="AT11" s="275">
        <f ca="1">IF($G11="2412",$F11,0)</f>
        <v>0</v>
      </c>
      <c r="AU11" s="275">
        <f ca="1">IF($H11="2412",$F11,0)</f>
        <v>0</v>
      </c>
      <c r="AV11" s="275">
        <f t="shared" ref="AV11:AV51" ca="1" si="25">IF($G11="331",$F11,0)</f>
        <v>0</v>
      </c>
      <c r="AW11" s="275">
        <f t="shared" ref="AW11:AW51" ca="1" si="26">IF($H11="331",$F11,0)</f>
        <v>0</v>
      </c>
      <c r="AX11" s="275">
        <f t="shared" ref="AX11:AX51" ca="1" si="27">IF($G11="33311",$F11,0)</f>
        <v>0</v>
      </c>
      <c r="AY11" s="275">
        <f t="shared" ref="AY11:AY51" ca="1" si="28">IF($H11="33311",$F11,0)</f>
        <v>0</v>
      </c>
      <c r="AZ11" s="275">
        <f t="shared" ref="AZ11:AZ51" ca="1" si="29">IF($G11="33312",$F11,0)</f>
        <v>0</v>
      </c>
      <c r="BA11" s="275">
        <f t="shared" ref="BA11:BA51" ca="1" si="30">IF($H11="33312",$F11,0)</f>
        <v>0</v>
      </c>
      <c r="BB11" s="275">
        <f t="shared" ref="BB11:BB51" ca="1" si="31">IF($G11="3333",$F11,0)</f>
        <v>0</v>
      </c>
      <c r="BC11" s="275">
        <f t="shared" ref="BC11:BC51" ca="1" si="32">IF($H11="3333",$F11,0)</f>
        <v>0</v>
      </c>
      <c r="BD11" s="275">
        <f t="shared" ref="BD11:BD51" ca="1" si="33">IF($G11="3334",$F11,0)</f>
        <v>0</v>
      </c>
      <c r="BE11" s="275">
        <f t="shared" ref="BE11:BE51" ca="1" si="34">IF($H11="3334",$F11,0)</f>
        <v>0</v>
      </c>
      <c r="BF11" s="275">
        <f t="shared" ref="BF11:BF51" ca="1" si="35">IF($G11="3335",$F11,0)</f>
        <v>0</v>
      </c>
      <c r="BG11" s="275">
        <f t="shared" ref="BG11:BG51" ca="1" si="36">IF($H11="3335",$F11,0)</f>
        <v>0</v>
      </c>
      <c r="BH11" s="275">
        <f ca="1">IF($G11="33382",$F11,0)</f>
        <v>0</v>
      </c>
      <c r="BI11" s="275">
        <f ca="1">IF($H11="33382",$F11,0)</f>
        <v>0</v>
      </c>
      <c r="BJ11" s="275">
        <f t="shared" ref="BJ11:BJ51" ca="1" si="37">IF($G11="3341",$F11,0)</f>
        <v>0</v>
      </c>
      <c r="BK11" s="275">
        <f t="shared" ref="BK11:BK51" ca="1" si="38">IF($H11="3341",$F11,0)</f>
        <v>0</v>
      </c>
      <c r="BL11" s="275">
        <f t="shared" ref="BL11:BL51" ca="1" si="39">IF($G11="3383",$F11,0)</f>
        <v>0</v>
      </c>
      <c r="BM11" s="275">
        <f t="shared" ref="BM11:BM51" ca="1" si="40">IF($H11="3383",$F11,0)</f>
        <v>0</v>
      </c>
      <c r="BN11" s="275">
        <f t="shared" ref="BN11:BN51" ca="1" si="41">IF($G11="3384",$F11,0)</f>
        <v>0</v>
      </c>
      <c r="BO11" s="275">
        <f t="shared" ref="BO11:BO51" ca="1" si="42">IF($H11="3384",$F11,0)</f>
        <v>0</v>
      </c>
      <c r="BP11" s="275">
        <f ca="1">IF($G11="3386",$F11,0)</f>
        <v>0</v>
      </c>
      <c r="BQ11" s="275">
        <f ca="1">IF($H11="3386",$F11,0)</f>
        <v>0</v>
      </c>
      <c r="BR11" s="275">
        <f t="shared" ref="BR11:BR51" ca="1" si="43">IF($G11="3388",$F11,0)</f>
        <v>0</v>
      </c>
      <c r="BS11" s="275">
        <f t="shared" ref="BS11:BS51" ca="1" si="44">IF($H11="3388",$F11,0)</f>
        <v>0</v>
      </c>
      <c r="BT11" s="275">
        <f ca="1">IF($G11="3411",$F11,0)</f>
        <v>0</v>
      </c>
      <c r="BU11" s="275">
        <f ca="1">IF($H11="3411",$F11,0)</f>
        <v>0</v>
      </c>
      <c r="BV11" s="275">
        <f ca="1">IF($G11="3412",$F11,0)</f>
        <v>0</v>
      </c>
      <c r="BW11" s="275">
        <f ca="1">IF($H11="3412",$F11,0)</f>
        <v>0</v>
      </c>
      <c r="BX11" s="275">
        <f t="shared" ref="BX11:BX51" ca="1" si="45">IF($G11="4111",$F11,0)</f>
        <v>0</v>
      </c>
      <c r="BY11" s="275">
        <f t="shared" ref="BY11:BY51" ca="1" si="46">IF($H11="4111",$F11,0)</f>
        <v>0</v>
      </c>
      <c r="BZ11" s="275">
        <f t="shared" ref="BZ11:BZ51" ca="1" si="47">IF($G11="4211",$F11,0)</f>
        <v>0</v>
      </c>
      <c r="CA11" s="275">
        <f t="shared" ref="CA11:CA51" ca="1" si="48">IF($H11="4211",$F11,0)</f>
        <v>0</v>
      </c>
      <c r="CB11" s="275">
        <f t="shared" ref="CB11:CB51" ca="1" si="49">IF($G11="4212",$F11,0)</f>
        <v>0</v>
      </c>
      <c r="CC11" s="275">
        <f t="shared" ref="CC11:CC51" ca="1" si="50">IF($H11="4212",$F11,0)</f>
        <v>0</v>
      </c>
      <c r="CD11" s="275">
        <f ca="1">IF($G11="5112N",$F11,0)</f>
        <v>0</v>
      </c>
      <c r="CE11" s="275">
        <f ca="1">IF($H11="5112N",$F11,0)</f>
        <v>0</v>
      </c>
      <c r="CF11" s="275">
        <f ca="1">IF($G11="5112X",$F11,0)</f>
        <v>0</v>
      </c>
      <c r="CG11" s="275">
        <f ca="1">IF($H11="5112X",$F11,0)</f>
        <v>0</v>
      </c>
      <c r="CH11" s="275">
        <f t="shared" ref="CH11:CH51" ca="1" si="51">IF($G11="515",$F11,0)</f>
        <v>0</v>
      </c>
      <c r="CI11" s="275">
        <f t="shared" ref="CI11:CI51" ca="1" si="52">IF($H11="515",$F11,0)</f>
        <v>0</v>
      </c>
      <c r="CJ11" s="275">
        <f ca="1">IF($G11="5213",$F11,0)</f>
        <v>0</v>
      </c>
      <c r="CK11" s="275">
        <f ca="1">IF($H11="5213",$F11,0)</f>
        <v>0</v>
      </c>
      <c r="CL11" s="275">
        <f t="shared" ref="CL11:CL51" ca="1" si="53">IF($G11="632",$F11,0)</f>
        <v>0</v>
      </c>
      <c r="CM11" s="275">
        <f t="shared" ref="CM11:CM51" ca="1" si="54">IF($H11="632",$F11,0)</f>
        <v>0</v>
      </c>
      <c r="CN11" s="275">
        <f t="shared" ref="CN11:CN51" ca="1" si="55">IF($G11="635",$F11,0)</f>
        <v>0</v>
      </c>
      <c r="CO11" s="275">
        <f t="shared" ref="CO11:CO51" ca="1" si="56">IF($H11="635",$F11,0)</f>
        <v>0</v>
      </c>
      <c r="CP11" s="275">
        <f ca="1">IF($G11="641",$F11,0)</f>
        <v>0</v>
      </c>
      <c r="CQ11" s="275">
        <f ca="1">IF($H11="641",$F11,0)</f>
        <v>0</v>
      </c>
      <c r="CR11" s="275">
        <f ca="1">IF($G11="642",$F11,0)</f>
        <v>0</v>
      </c>
      <c r="CS11" s="275">
        <f ca="1">IF($H11="642",$F11,0)</f>
        <v>0</v>
      </c>
      <c r="CT11" s="275">
        <f t="shared" ref="CT11:CT51" ca="1" si="57">IF($G11="711",$F11,0)</f>
        <v>0</v>
      </c>
      <c r="CU11" s="275">
        <f t="shared" ref="CU11:CU51" ca="1" si="58">IF($H11="711",$F11,0)</f>
        <v>0</v>
      </c>
      <c r="CV11" s="275">
        <f t="shared" ref="CV11:CV51" ca="1" si="59">IF($G11="811",$F11,0)</f>
        <v>0</v>
      </c>
      <c r="CW11" s="275">
        <f t="shared" ref="CW11:CW51" ca="1" si="60">IF($H11="811",$F11,0)</f>
        <v>0</v>
      </c>
      <c r="CX11" s="275">
        <f ca="1">IF($G11="821",$F11,0)</f>
        <v>0</v>
      </c>
      <c r="CY11" s="275">
        <f ca="1">IF($H11="821",$F11,0)</f>
        <v>0</v>
      </c>
      <c r="CZ11" s="275">
        <f ca="1">IF($G11="911",$F11,0)</f>
        <v>0</v>
      </c>
      <c r="DA11" s="275">
        <f ca="1">IF($H11="911",$F11,0)</f>
        <v>0</v>
      </c>
    </row>
    <row r="12" spans="1:105" s="272" customFormat="1" ht="15" customHeight="1">
      <c r="A12" s="63">
        <f t="array" aca="1" ref="A12" ca="1">IF(C12&lt;&gt;0,SUM(($C$11:C12&lt;&gt;0)*1),"")</f>
        <v>2</v>
      </c>
      <c r="B12" s="273" t="str">
        <f ca="1">IF(ROWS($1:2)&gt;COUNT(Dong6),"",OFFSET(TH!C$1,SMALL(Dong6,ROWS($1:2)),))</f>
        <v/>
      </c>
      <c r="C12" s="273" t="str">
        <f ca="1">IF(ROWS($1:2)&gt;COUNT(Dong6),"",OFFSET(TH!D$1,SMALL(Dong6,ROWS($1:2)),))</f>
        <v/>
      </c>
      <c r="D12" s="273" t="str">
        <f ca="1">IF(ROWS($1:2)&gt;COUNT(Dong6),"",OFFSET(TH!E$1,SMALL(Dong6,ROWS($1:2)),))</f>
        <v/>
      </c>
      <c r="E12" s="323" t="str">
        <f ca="1">IF(ROWS($1:2)&gt;COUNT(Dong6),"",OFFSET(TH!F$1,SMALL(Dong6,ROWS($1:2)),))</f>
        <v/>
      </c>
      <c r="F12" s="324" t="str">
        <f ca="1">IF(ROWS($1:2)&gt;COUNT(Dong6),"",OFFSET(TH!M$1,SMALL(Dong6,ROWS($1:2)),))</f>
        <v/>
      </c>
      <c r="G12" s="325" t="str">
        <f ca="1">IF(ROWS($1:2)&gt;COUNT(Dong6),"",OFFSET(TH!N$1,SMALL(Dong6,ROWS($1:2)),))</f>
        <v/>
      </c>
      <c r="H12" s="325" t="str">
        <f ca="1">IF(ROWS($1:2)&gt;COUNT(Dong6),"",OFFSET(TH!O$1,SMALL(Dong6,ROWS($1:2)),))</f>
        <v/>
      </c>
      <c r="I12" s="63">
        <f t="shared" ca="1" si="0"/>
        <v>2</v>
      </c>
      <c r="J12" s="275">
        <f t="shared" ref="J12:J51" ca="1" si="61">IF($G12="1111",$F12,0)</f>
        <v>0</v>
      </c>
      <c r="K12" s="275">
        <f t="shared" ref="K12:K51" ca="1" si="62">IF($H12="1111",$F12,0)</f>
        <v>0</v>
      </c>
      <c r="L12" s="275">
        <f t="shared" ca="1" si="1"/>
        <v>0</v>
      </c>
      <c r="M12" s="275">
        <f t="shared" ca="1" si="2"/>
        <v>0</v>
      </c>
      <c r="N12" s="275">
        <f t="shared" ca="1" si="3"/>
        <v>0</v>
      </c>
      <c r="O12" s="275">
        <f t="shared" ca="1" si="4"/>
        <v>0</v>
      </c>
      <c r="P12" s="275">
        <f t="shared" ca="1" si="5"/>
        <v>0</v>
      </c>
      <c r="Q12" s="275">
        <f t="shared" ca="1" si="6"/>
        <v>0</v>
      </c>
      <c r="R12" s="275">
        <f t="shared" ca="1" si="7"/>
        <v>0</v>
      </c>
      <c r="S12" s="275">
        <f t="shared" ca="1" si="8"/>
        <v>0</v>
      </c>
      <c r="T12" s="275">
        <f t="shared" ca="1" si="9"/>
        <v>0</v>
      </c>
      <c r="U12" s="275">
        <f t="shared" ca="1" si="10"/>
        <v>0</v>
      </c>
      <c r="V12" s="275">
        <f t="shared" ca="1" si="11"/>
        <v>0</v>
      </c>
      <c r="W12" s="275">
        <f t="shared" ca="1" si="12"/>
        <v>0</v>
      </c>
      <c r="X12" s="275">
        <f t="shared" ca="1" si="13"/>
        <v>0</v>
      </c>
      <c r="Y12" s="275">
        <f t="shared" ca="1" si="14"/>
        <v>0</v>
      </c>
      <c r="Z12" s="275">
        <f t="shared" ca="1" si="15"/>
        <v>0</v>
      </c>
      <c r="AA12" s="275">
        <f t="shared" ca="1" si="16"/>
        <v>0</v>
      </c>
      <c r="AB12" s="275">
        <f t="shared" ref="AB12:AB51" ca="1" si="63">IF($G12="153",$F12,0)</f>
        <v>0</v>
      </c>
      <c r="AC12" s="275">
        <f t="shared" ref="AC12:AC51" ca="1" si="64">IF($H12="153",$F12,0)</f>
        <v>0</v>
      </c>
      <c r="AD12" s="275">
        <f t="shared" ca="1" si="17"/>
        <v>0</v>
      </c>
      <c r="AE12" s="275">
        <f t="shared" ca="1" si="18"/>
        <v>0</v>
      </c>
      <c r="AF12" s="275">
        <f t="shared" ca="1" si="19"/>
        <v>0</v>
      </c>
      <c r="AG12" s="275">
        <f t="shared" ca="1" si="20"/>
        <v>0</v>
      </c>
      <c r="AH12" s="275">
        <f t="shared" ref="AH12:AH51" ca="1" si="65">IF($G12="2111",$F12,0)</f>
        <v>0</v>
      </c>
      <c r="AI12" s="275">
        <f t="shared" ref="AI12:AI51" ca="1" si="66">IF($H12="2111",$F12,0)</f>
        <v>0</v>
      </c>
      <c r="AJ12" s="275">
        <f t="shared" ref="AJ12:AJ51" ca="1" si="67">IF($G12="2112",$F12,0)</f>
        <v>0</v>
      </c>
      <c r="AK12" s="275">
        <f t="shared" ref="AK12:AK51" ca="1" si="68">IF($H12="2112",$F12,0)</f>
        <v>0</v>
      </c>
      <c r="AL12" s="275">
        <f t="shared" ref="AL12:AL51" ca="1" si="69">IF($G12="2113",$F12,0)</f>
        <v>0</v>
      </c>
      <c r="AM12" s="275">
        <f t="shared" ref="AM12:AM51" ca="1" si="70">IF($H12="2113",$F12,0)</f>
        <v>0</v>
      </c>
      <c r="AN12" s="275">
        <f t="shared" ref="AN12:AN51" ca="1" si="71">IF($G12="2131",$F12,0)</f>
        <v>0</v>
      </c>
      <c r="AO12" s="275">
        <f t="shared" ref="AO12:AO51" ca="1" si="72">IF($H12="2131",$F12,0)</f>
        <v>0</v>
      </c>
      <c r="AP12" s="275">
        <f t="shared" ca="1" si="21"/>
        <v>0</v>
      </c>
      <c r="AQ12" s="275">
        <f t="shared" ca="1" si="22"/>
        <v>0</v>
      </c>
      <c r="AR12" s="275">
        <f t="shared" ca="1" si="23"/>
        <v>0</v>
      </c>
      <c r="AS12" s="275">
        <f t="shared" ca="1" si="24"/>
        <v>0</v>
      </c>
      <c r="AT12" s="275">
        <f t="shared" ref="AT12:AT38" ca="1" si="73">IF($G12="2412",$F12,0)</f>
        <v>0</v>
      </c>
      <c r="AU12" s="275">
        <f t="shared" ref="AU12:AU38" ca="1" si="74">IF($H12="2412",$F12,0)</f>
        <v>0</v>
      </c>
      <c r="AV12" s="275">
        <f t="shared" ca="1" si="25"/>
        <v>0</v>
      </c>
      <c r="AW12" s="275">
        <f t="shared" ca="1" si="26"/>
        <v>0</v>
      </c>
      <c r="AX12" s="275">
        <f t="shared" ca="1" si="27"/>
        <v>0</v>
      </c>
      <c r="AY12" s="275">
        <f t="shared" ca="1" si="28"/>
        <v>0</v>
      </c>
      <c r="AZ12" s="275">
        <f t="shared" ca="1" si="29"/>
        <v>0</v>
      </c>
      <c r="BA12" s="275">
        <f t="shared" ca="1" si="30"/>
        <v>0</v>
      </c>
      <c r="BB12" s="275">
        <f t="shared" ca="1" si="31"/>
        <v>0</v>
      </c>
      <c r="BC12" s="275">
        <f t="shared" ca="1" si="32"/>
        <v>0</v>
      </c>
      <c r="BD12" s="275">
        <f t="shared" ca="1" si="33"/>
        <v>0</v>
      </c>
      <c r="BE12" s="275">
        <f t="shared" ca="1" si="34"/>
        <v>0</v>
      </c>
      <c r="BF12" s="275">
        <f t="shared" ca="1" si="35"/>
        <v>0</v>
      </c>
      <c r="BG12" s="275">
        <f t="shared" ca="1" si="36"/>
        <v>0</v>
      </c>
      <c r="BH12" s="275">
        <f t="shared" ref="BH12:BH51" ca="1" si="75">IF($G12="33382",$F12,0)</f>
        <v>0</v>
      </c>
      <c r="BI12" s="275">
        <f t="shared" ref="BI12:BI51" ca="1" si="76">IF($H12="33382",$F12,0)</f>
        <v>0</v>
      </c>
      <c r="BJ12" s="275">
        <f t="shared" ca="1" si="37"/>
        <v>0</v>
      </c>
      <c r="BK12" s="275">
        <f t="shared" ca="1" si="38"/>
        <v>0</v>
      </c>
      <c r="BL12" s="275">
        <f t="shared" ca="1" si="39"/>
        <v>0</v>
      </c>
      <c r="BM12" s="275">
        <f t="shared" ca="1" si="40"/>
        <v>0</v>
      </c>
      <c r="BN12" s="275">
        <f t="shared" ca="1" si="41"/>
        <v>0</v>
      </c>
      <c r="BO12" s="275">
        <f t="shared" ca="1" si="42"/>
        <v>0</v>
      </c>
      <c r="BP12" s="275">
        <f t="shared" ref="BP12:BP51" ca="1" si="77">IF($G12="3386",$F12,0)</f>
        <v>0</v>
      </c>
      <c r="BQ12" s="275">
        <f t="shared" ref="BQ12:BQ51" ca="1" si="78">IF($H12="3386",$F12,0)</f>
        <v>0</v>
      </c>
      <c r="BR12" s="275">
        <f t="shared" ca="1" si="43"/>
        <v>0</v>
      </c>
      <c r="BS12" s="275">
        <f t="shared" ca="1" si="44"/>
        <v>0</v>
      </c>
      <c r="BT12" s="275">
        <f t="shared" ref="BT12:BT51" ca="1" si="79">IF($G12="3411",$F12,0)</f>
        <v>0</v>
      </c>
      <c r="BU12" s="275">
        <f t="shared" ref="BU12:BU51" ca="1" si="80">IF($H12="3411",$F12,0)</f>
        <v>0</v>
      </c>
      <c r="BV12" s="275">
        <f t="shared" ref="BV12:BV38" ca="1" si="81">IF($G12="3412",$F12,0)</f>
        <v>0</v>
      </c>
      <c r="BW12" s="275">
        <f t="shared" ref="BW12:BW38" ca="1" si="82">IF($H12="3412",$F12,0)</f>
        <v>0</v>
      </c>
      <c r="BX12" s="275">
        <f t="shared" ca="1" si="45"/>
        <v>0</v>
      </c>
      <c r="BY12" s="275">
        <f t="shared" ca="1" si="46"/>
        <v>0</v>
      </c>
      <c r="BZ12" s="275">
        <f t="shared" ca="1" si="47"/>
        <v>0</v>
      </c>
      <c r="CA12" s="275">
        <f t="shared" ca="1" si="48"/>
        <v>0</v>
      </c>
      <c r="CB12" s="275">
        <f t="shared" ca="1" si="49"/>
        <v>0</v>
      </c>
      <c r="CC12" s="275">
        <f t="shared" ca="1" si="50"/>
        <v>0</v>
      </c>
      <c r="CD12" s="275">
        <f t="shared" ref="CD12:CD51" ca="1" si="83">IF($G12="5112N",$F12,0)</f>
        <v>0</v>
      </c>
      <c r="CE12" s="275">
        <f t="shared" ref="CE12:CE51" ca="1" si="84">IF($H12="5112N",$F12,0)</f>
        <v>0</v>
      </c>
      <c r="CF12" s="275">
        <f t="shared" ref="CF12:CF51" ca="1" si="85">IF($G12="5112X",$F12,0)</f>
        <v>0</v>
      </c>
      <c r="CG12" s="275">
        <f t="shared" ref="CG12:CG51" ca="1" si="86">IF($H12="5112X",$F12,0)</f>
        <v>0</v>
      </c>
      <c r="CH12" s="275">
        <f t="shared" ca="1" si="51"/>
        <v>0</v>
      </c>
      <c r="CI12" s="275">
        <f t="shared" ca="1" si="52"/>
        <v>0</v>
      </c>
      <c r="CJ12" s="275">
        <f t="shared" ref="CJ12:CJ51" ca="1" si="87">IF($G12="5213",$F12,0)</f>
        <v>0</v>
      </c>
      <c r="CK12" s="275">
        <f t="shared" ref="CK12:CK51" ca="1" si="88">IF($H12="5213",$F12,0)</f>
        <v>0</v>
      </c>
      <c r="CL12" s="275">
        <f t="shared" ca="1" si="53"/>
        <v>0</v>
      </c>
      <c r="CM12" s="275">
        <f t="shared" ca="1" si="54"/>
        <v>0</v>
      </c>
      <c r="CN12" s="275">
        <f t="shared" ca="1" si="55"/>
        <v>0</v>
      </c>
      <c r="CO12" s="275">
        <f t="shared" ca="1" si="56"/>
        <v>0</v>
      </c>
      <c r="CP12" s="275">
        <f t="shared" ref="CP12:CP51" ca="1" si="89">IF($G12="641",$F12,0)</f>
        <v>0</v>
      </c>
      <c r="CQ12" s="275">
        <f t="shared" ref="CQ12:CQ51" ca="1" si="90">IF($H12="641",$F12,0)</f>
        <v>0</v>
      </c>
      <c r="CR12" s="275">
        <f t="shared" ref="CR12:CR51" ca="1" si="91">IF($G12="642",$F12,0)</f>
        <v>0</v>
      </c>
      <c r="CS12" s="275">
        <f t="shared" ref="CS12:CS51" ca="1" si="92">IF($H12="642",$F12,0)</f>
        <v>0</v>
      </c>
      <c r="CT12" s="275">
        <f t="shared" ca="1" si="57"/>
        <v>0</v>
      </c>
      <c r="CU12" s="275">
        <f t="shared" ca="1" si="58"/>
        <v>0</v>
      </c>
      <c r="CV12" s="275">
        <f t="shared" ca="1" si="59"/>
        <v>0</v>
      </c>
      <c r="CW12" s="275">
        <f t="shared" ca="1" si="60"/>
        <v>0</v>
      </c>
      <c r="CX12" s="275">
        <f t="shared" ref="CX12:CX51" ca="1" si="93">IF($G12="821",$F12,0)</f>
        <v>0</v>
      </c>
      <c r="CY12" s="275">
        <f t="shared" ref="CY12:CY51" ca="1" si="94">IF($H12="821",$F12,0)</f>
        <v>0</v>
      </c>
      <c r="CZ12" s="275">
        <f t="shared" ref="CZ12:CZ51" ca="1" si="95">IF($G12="911",$F12,0)</f>
        <v>0</v>
      </c>
      <c r="DA12" s="275">
        <f t="shared" ref="DA12:DA51" ca="1" si="96">IF($H12="911",$F12,0)</f>
        <v>0</v>
      </c>
    </row>
    <row r="13" spans="1:105" s="272" customFormat="1" ht="15" customHeight="1">
      <c r="A13" s="63">
        <f t="array" aca="1" ref="A13" ca="1">IF(C13&lt;&gt;0,SUM(($C$11:C13&lt;&gt;0)*1),"")</f>
        <v>3</v>
      </c>
      <c r="B13" s="273" t="str">
        <f ca="1">IF(ROWS($1:3)&gt;COUNT(Dong6),"",OFFSET(TH!C$1,SMALL(Dong6,ROWS($1:3)),))</f>
        <v/>
      </c>
      <c r="C13" s="273" t="str">
        <f ca="1">IF(ROWS($1:3)&gt;COUNT(Dong6),"",OFFSET(TH!D$1,SMALL(Dong6,ROWS($1:3)),))</f>
        <v/>
      </c>
      <c r="D13" s="273" t="str">
        <f ca="1">IF(ROWS($1:3)&gt;COUNT(Dong6),"",OFFSET(TH!E$1,SMALL(Dong6,ROWS($1:3)),))</f>
        <v/>
      </c>
      <c r="E13" s="323" t="str">
        <f ca="1">IF(ROWS($1:3)&gt;COUNT(Dong6),"",OFFSET(TH!F$1,SMALL(Dong6,ROWS($1:3)),))</f>
        <v/>
      </c>
      <c r="F13" s="324" t="str">
        <f ca="1">IF(ROWS($1:3)&gt;COUNT(Dong6),"",OFFSET(TH!M$1,SMALL(Dong6,ROWS($1:3)),))</f>
        <v/>
      </c>
      <c r="G13" s="325" t="str">
        <f ca="1">IF(ROWS($1:3)&gt;COUNT(Dong6),"",OFFSET(TH!N$1,SMALL(Dong6,ROWS($1:3)),))</f>
        <v/>
      </c>
      <c r="H13" s="325" t="str">
        <f ca="1">IF(ROWS($1:3)&gt;COUNT(Dong6),"",OFFSET(TH!O$1,SMALL(Dong6,ROWS($1:3)),))</f>
        <v/>
      </c>
      <c r="I13" s="63">
        <f t="shared" ca="1" si="0"/>
        <v>3</v>
      </c>
      <c r="J13" s="275">
        <f t="shared" ca="1" si="61"/>
        <v>0</v>
      </c>
      <c r="K13" s="275">
        <f t="shared" ca="1" si="62"/>
        <v>0</v>
      </c>
      <c r="L13" s="275">
        <f t="shared" ca="1" si="1"/>
        <v>0</v>
      </c>
      <c r="M13" s="275">
        <f t="shared" ca="1" si="2"/>
        <v>0</v>
      </c>
      <c r="N13" s="275">
        <f t="shared" ca="1" si="3"/>
        <v>0</v>
      </c>
      <c r="O13" s="275">
        <f t="shared" ca="1" si="4"/>
        <v>0</v>
      </c>
      <c r="P13" s="275">
        <f t="shared" ca="1" si="5"/>
        <v>0</v>
      </c>
      <c r="Q13" s="275">
        <f t="shared" ca="1" si="6"/>
        <v>0</v>
      </c>
      <c r="R13" s="275">
        <f t="shared" ca="1" si="7"/>
        <v>0</v>
      </c>
      <c r="S13" s="275">
        <f t="shared" ca="1" si="8"/>
        <v>0</v>
      </c>
      <c r="T13" s="275">
        <f t="shared" ca="1" si="9"/>
        <v>0</v>
      </c>
      <c r="U13" s="275">
        <f t="shared" ca="1" si="10"/>
        <v>0</v>
      </c>
      <c r="V13" s="275">
        <f t="shared" ca="1" si="11"/>
        <v>0</v>
      </c>
      <c r="W13" s="275">
        <f t="shared" ca="1" si="12"/>
        <v>0</v>
      </c>
      <c r="X13" s="275">
        <f t="shared" ca="1" si="13"/>
        <v>0</v>
      </c>
      <c r="Y13" s="275">
        <f t="shared" ca="1" si="14"/>
        <v>0</v>
      </c>
      <c r="Z13" s="275">
        <f t="shared" ca="1" si="15"/>
        <v>0</v>
      </c>
      <c r="AA13" s="275">
        <f t="shared" ca="1" si="16"/>
        <v>0</v>
      </c>
      <c r="AB13" s="275">
        <f t="shared" ca="1" si="63"/>
        <v>0</v>
      </c>
      <c r="AC13" s="275">
        <f t="shared" ca="1" si="64"/>
        <v>0</v>
      </c>
      <c r="AD13" s="275">
        <f t="shared" ca="1" si="17"/>
        <v>0</v>
      </c>
      <c r="AE13" s="275">
        <f t="shared" ca="1" si="18"/>
        <v>0</v>
      </c>
      <c r="AF13" s="275">
        <f t="shared" ca="1" si="19"/>
        <v>0</v>
      </c>
      <c r="AG13" s="275">
        <f t="shared" ca="1" si="20"/>
        <v>0</v>
      </c>
      <c r="AH13" s="275">
        <f t="shared" ca="1" si="65"/>
        <v>0</v>
      </c>
      <c r="AI13" s="275">
        <f t="shared" ca="1" si="66"/>
        <v>0</v>
      </c>
      <c r="AJ13" s="275">
        <f t="shared" ca="1" si="67"/>
        <v>0</v>
      </c>
      <c r="AK13" s="275">
        <f t="shared" ca="1" si="68"/>
        <v>0</v>
      </c>
      <c r="AL13" s="275">
        <f t="shared" ca="1" si="69"/>
        <v>0</v>
      </c>
      <c r="AM13" s="275">
        <f t="shared" ca="1" si="70"/>
        <v>0</v>
      </c>
      <c r="AN13" s="275">
        <f t="shared" ca="1" si="71"/>
        <v>0</v>
      </c>
      <c r="AO13" s="275">
        <f t="shared" ca="1" si="72"/>
        <v>0</v>
      </c>
      <c r="AP13" s="275">
        <f t="shared" ca="1" si="21"/>
        <v>0</v>
      </c>
      <c r="AQ13" s="275">
        <f t="shared" ca="1" si="22"/>
        <v>0</v>
      </c>
      <c r="AR13" s="275">
        <f t="shared" ca="1" si="23"/>
        <v>0</v>
      </c>
      <c r="AS13" s="275">
        <f t="shared" ca="1" si="24"/>
        <v>0</v>
      </c>
      <c r="AT13" s="275">
        <f t="shared" ca="1" si="73"/>
        <v>0</v>
      </c>
      <c r="AU13" s="275">
        <f t="shared" ca="1" si="74"/>
        <v>0</v>
      </c>
      <c r="AV13" s="275">
        <f t="shared" ca="1" si="25"/>
        <v>0</v>
      </c>
      <c r="AW13" s="275">
        <f t="shared" ca="1" si="26"/>
        <v>0</v>
      </c>
      <c r="AX13" s="275">
        <f t="shared" ca="1" si="27"/>
        <v>0</v>
      </c>
      <c r="AY13" s="275">
        <f t="shared" ca="1" si="28"/>
        <v>0</v>
      </c>
      <c r="AZ13" s="275">
        <f t="shared" ca="1" si="29"/>
        <v>0</v>
      </c>
      <c r="BA13" s="275">
        <f t="shared" ca="1" si="30"/>
        <v>0</v>
      </c>
      <c r="BB13" s="275">
        <f t="shared" ca="1" si="31"/>
        <v>0</v>
      </c>
      <c r="BC13" s="275">
        <f t="shared" ca="1" si="32"/>
        <v>0</v>
      </c>
      <c r="BD13" s="275">
        <f t="shared" ca="1" si="33"/>
        <v>0</v>
      </c>
      <c r="BE13" s="275">
        <f t="shared" ca="1" si="34"/>
        <v>0</v>
      </c>
      <c r="BF13" s="275">
        <f t="shared" ca="1" si="35"/>
        <v>0</v>
      </c>
      <c r="BG13" s="275">
        <f t="shared" ca="1" si="36"/>
        <v>0</v>
      </c>
      <c r="BH13" s="275">
        <f t="shared" ca="1" si="75"/>
        <v>0</v>
      </c>
      <c r="BI13" s="275">
        <f t="shared" ca="1" si="76"/>
        <v>0</v>
      </c>
      <c r="BJ13" s="275">
        <f t="shared" ca="1" si="37"/>
        <v>0</v>
      </c>
      <c r="BK13" s="275">
        <f t="shared" ca="1" si="38"/>
        <v>0</v>
      </c>
      <c r="BL13" s="275">
        <f t="shared" ca="1" si="39"/>
        <v>0</v>
      </c>
      <c r="BM13" s="275">
        <f t="shared" ca="1" si="40"/>
        <v>0</v>
      </c>
      <c r="BN13" s="275">
        <f t="shared" ca="1" si="41"/>
        <v>0</v>
      </c>
      <c r="BO13" s="275">
        <f t="shared" ca="1" si="42"/>
        <v>0</v>
      </c>
      <c r="BP13" s="275">
        <f t="shared" ca="1" si="77"/>
        <v>0</v>
      </c>
      <c r="BQ13" s="275">
        <f t="shared" ca="1" si="78"/>
        <v>0</v>
      </c>
      <c r="BR13" s="275">
        <f t="shared" ca="1" si="43"/>
        <v>0</v>
      </c>
      <c r="BS13" s="275">
        <f t="shared" ca="1" si="44"/>
        <v>0</v>
      </c>
      <c r="BT13" s="275">
        <f t="shared" ca="1" si="79"/>
        <v>0</v>
      </c>
      <c r="BU13" s="275">
        <f t="shared" ca="1" si="80"/>
        <v>0</v>
      </c>
      <c r="BV13" s="275">
        <f t="shared" ca="1" si="81"/>
        <v>0</v>
      </c>
      <c r="BW13" s="275">
        <f t="shared" ca="1" si="82"/>
        <v>0</v>
      </c>
      <c r="BX13" s="275">
        <f t="shared" ca="1" si="45"/>
        <v>0</v>
      </c>
      <c r="BY13" s="275">
        <f t="shared" ca="1" si="46"/>
        <v>0</v>
      </c>
      <c r="BZ13" s="275">
        <f t="shared" ca="1" si="47"/>
        <v>0</v>
      </c>
      <c r="CA13" s="275">
        <f t="shared" ca="1" si="48"/>
        <v>0</v>
      </c>
      <c r="CB13" s="275">
        <f t="shared" ca="1" si="49"/>
        <v>0</v>
      </c>
      <c r="CC13" s="275">
        <f t="shared" ca="1" si="50"/>
        <v>0</v>
      </c>
      <c r="CD13" s="275">
        <f t="shared" ca="1" si="83"/>
        <v>0</v>
      </c>
      <c r="CE13" s="275">
        <f t="shared" ca="1" si="84"/>
        <v>0</v>
      </c>
      <c r="CF13" s="275">
        <f t="shared" ca="1" si="85"/>
        <v>0</v>
      </c>
      <c r="CG13" s="275">
        <f t="shared" ca="1" si="86"/>
        <v>0</v>
      </c>
      <c r="CH13" s="275">
        <f t="shared" ca="1" si="51"/>
        <v>0</v>
      </c>
      <c r="CI13" s="275">
        <f t="shared" ca="1" si="52"/>
        <v>0</v>
      </c>
      <c r="CJ13" s="275">
        <f t="shared" ca="1" si="87"/>
        <v>0</v>
      </c>
      <c r="CK13" s="275">
        <f t="shared" ca="1" si="88"/>
        <v>0</v>
      </c>
      <c r="CL13" s="275">
        <f t="shared" ca="1" si="53"/>
        <v>0</v>
      </c>
      <c r="CM13" s="275">
        <f t="shared" ca="1" si="54"/>
        <v>0</v>
      </c>
      <c r="CN13" s="275">
        <f t="shared" ca="1" si="55"/>
        <v>0</v>
      </c>
      <c r="CO13" s="275">
        <f t="shared" ca="1" si="56"/>
        <v>0</v>
      </c>
      <c r="CP13" s="275">
        <f t="shared" ca="1" si="89"/>
        <v>0</v>
      </c>
      <c r="CQ13" s="275">
        <f t="shared" ca="1" si="90"/>
        <v>0</v>
      </c>
      <c r="CR13" s="275">
        <f t="shared" ca="1" si="91"/>
        <v>0</v>
      </c>
      <c r="CS13" s="275">
        <f t="shared" ca="1" si="92"/>
        <v>0</v>
      </c>
      <c r="CT13" s="275">
        <f t="shared" ca="1" si="57"/>
        <v>0</v>
      </c>
      <c r="CU13" s="275">
        <f t="shared" ca="1" si="58"/>
        <v>0</v>
      </c>
      <c r="CV13" s="275">
        <f t="shared" ca="1" si="59"/>
        <v>0</v>
      </c>
      <c r="CW13" s="275">
        <f t="shared" ca="1" si="60"/>
        <v>0</v>
      </c>
      <c r="CX13" s="275">
        <f t="shared" ca="1" si="93"/>
        <v>0</v>
      </c>
      <c r="CY13" s="275">
        <f t="shared" ca="1" si="94"/>
        <v>0</v>
      </c>
      <c r="CZ13" s="275">
        <f t="shared" ca="1" si="95"/>
        <v>0</v>
      </c>
      <c r="DA13" s="275">
        <f t="shared" ca="1" si="96"/>
        <v>0</v>
      </c>
    </row>
    <row r="14" spans="1:105" s="272" customFormat="1" ht="15" customHeight="1">
      <c r="A14" s="63">
        <f t="array" aca="1" ref="A14" ca="1">IF(C14&lt;&gt;0,SUM(($C$11:C14&lt;&gt;0)*1),"")</f>
        <v>4</v>
      </c>
      <c r="B14" s="273" t="str">
        <f ca="1">IF(ROWS($1:4)&gt;COUNT(Dong6),"",OFFSET(TH!C$1,SMALL(Dong6,ROWS($1:4)),))</f>
        <v/>
      </c>
      <c r="C14" s="273" t="str">
        <f ca="1">IF(ROWS($1:4)&gt;COUNT(Dong6),"",OFFSET(TH!D$1,SMALL(Dong6,ROWS($1:4)),))</f>
        <v/>
      </c>
      <c r="D14" s="273" t="str">
        <f ca="1">IF(ROWS($1:4)&gt;COUNT(Dong6),"",OFFSET(TH!E$1,SMALL(Dong6,ROWS($1:4)),))</f>
        <v/>
      </c>
      <c r="E14" s="323" t="str">
        <f ca="1">IF(ROWS($1:4)&gt;COUNT(Dong6),"",OFFSET(TH!F$1,SMALL(Dong6,ROWS($1:4)),))</f>
        <v/>
      </c>
      <c r="F14" s="324" t="str">
        <f ca="1">IF(ROWS($1:4)&gt;COUNT(Dong6),"",OFFSET(TH!M$1,SMALL(Dong6,ROWS($1:4)),))</f>
        <v/>
      </c>
      <c r="G14" s="325" t="str">
        <f ca="1">IF(ROWS($1:4)&gt;COUNT(Dong6),"",OFFSET(TH!N$1,SMALL(Dong6,ROWS($1:4)),))</f>
        <v/>
      </c>
      <c r="H14" s="325" t="str">
        <f ca="1">IF(ROWS($1:4)&gt;COUNT(Dong6),"",OFFSET(TH!O$1,SMALL(Dong6,ROWS($1:4)),))</f>
        <v/>
      </c>
      <c r="I14" s="63">
        <f t="shared" ca="1" si="0"/>
        <v>4</v>
      </c>
      <c r="J14" s="275">
        <f t="shared" ca="1" si="61"/>
        <v>0</v>
      </c>
      <c r="K14" s="275">
        <f t="shared" ca="1" si="62"/>
        <v>0</v>
      </c>
      <c r="L14" s="275">
        <f t="shared" ca="1" si="1"/>
        <v>0</v>
      </c>
      <c r="M14" s="275">
        <f t="shared" ca="1" si="2"/>
        <v>0</v>
      </c>
      <c r="N14" s="275">
        <f t="shared" ca="1" si="3"/>
        <v>0</v>
      </c>
      <c r="O14" s="275">
        <f t="shared" ca="1" si="4"/>
        <v>0</v>
      </c>
      <c r="P14" s="275">
        <f t="shared" ca="1" si="5"/>
        <v>0</v>
      </c>
      <c r="Q14" s="275">
        <f t="shared" ca="1" si="6"/>
        <v>0</v>
      </c>
      <c r="R14" s="275">
        <f t="shared" ca="1" si="7"/>
        <v>0</v>
      </c>
      <c r="S14" s="275">
        <f t="shared" ca="1" si="8"/>
        <v>0</v>
      </c>
      <c r="T14" s="275">
        <f t="shared" ca="1" si="9"/>
        <v>0</v>
      </c>
      <c r="U14" s="275">
        <f t="shared" ca="1" si="10"/>
        <v>0</v>
      </c>
      <c r="V14" s="275">
        <f t="shared" ca="1" si="11"/>
        <v>0</v>
      </c>
      <c r="W14" s="275">
        <f t="shared" ca="1" si="12"/>
        <v>0</v>
      </c>
      <c r="X14" s="275">
        <f t="shared" ca="1" si="13"/>
        <v>0</v>
      </c>
      <c r="Y14" s="275">
        <f t="shared" ca="1" si="14"/>
        <v>0</v>
      </c>
      <c r="Z14" s="275">
        <f t="shared" ca="1" si="15"/>
        <v>0</v>
      </c>
      <c r="AA14" s="275">
        <f t="shared" ca="1" si="16"/>
        <v>0</v>
      </c>
      <c r="AB14" s="275">
        <f t="shared" ca="1" si="63"/>
        <v>0</v>
      </c>
      <c r="AC14" s="275">
        <f t="shared" ca="1" si="64"/>
        <v>0</v>
      </c>
      <c r="AD14" s="275">
        <f t="shared" ca="1" si="17"/>
        <v>0</v>
      </c>
      <c r="AE14" s="275">
        <f t="shared" ca="1" si="18"/>
        <v>0</v>
      </c>
      <c r="AF14" s="275">
        <f t="shared" ca="1" si="19"/>
        <v>0</v>
      </c>
      <c r="AG14" s="275">
        <f t="shared" ca="1" si="20"/>
        <v>0</v>
      </c>
      <c r="AH14" s="275">
        <f t="shared" ca="1" si="65"/>
        <v>0</v>
      </c>
      <c r="AI14" s="275">
        <f t="shared" ca="1" si="66"/>
        <v>0</v>
      </c>
      <c r="AJ14" s="275">
        <f t="shared" ca="1" si="67"/>
        <v>0</v>
      </c>
      <c r="AK14" s="275">
        <f t="shared" ca="1" si="68"/>
        <v>0</v>
      </c>
      <c r="AL14" s="275">
        <f t="shared" ca="1" si="69"/>
        <v>0</v>
      </c>
      <c r="AM14" s="275">
        <f t="shared" ca="1" si="70"/>
        <v>0</v>
      </c>
      <c r="AN14" s="275">
        <f t="shared" ca="1" si="71"/>
        <v>0</v>
      </c>
      <c r="AO14" s="275">
        <f t="shared" ca="1" si="72"/>
        <v>0</v>
      </c>
      <c r="AP14" s="275">
        <f t="shared" ca="1" si="21"/>
        <v>0</v>
      </c>
      <c r="AQ14" s="275">
        <f t="shared" ca="1" si="22"/>
        <v>0</v>
      </c>
      <c r="AR14" s="275">
        <f t="shared" ca="1" si="23"/>
        <v>0</v>
      </c>
      <c r="AS14" s="275">
        <f t="shared" ca="1" si="24"/>
        <v>0</v>
      </c>
      <c r="AT14" s="275">
        <f t="shared" ca="1" si="73"/>
        <v>0</v>
      </c>
      <c r="AU14" s="275">
        <f t="shared" ca="1" si="74"/>
        <v>0</v>
      </c>
      <c r="AV14" s="275">
        <f t="shared" ca="1" si="25"/>
        <v>0</v>
      </c>
      <c r="AW14" s="275">
        <f t="shared" ca="1" si="26"/>
        <v>0</v>
      </c>
      <c r="AX14" s="275">
        <f t="shared" ca="1" si="27"/>
        <v>0</v>
      </c>
      <c r="AY14" s="275">
        <f t="shared" ca="1" si="28"/>
        <v>0</v>
      </c>
      <c r="AZ14" s="275">
        <f t="shared" ca="1" si="29"/>
        <v>0</v>
      </c>
      <c r="BA14" s="275">
        <f t="shared" ca="1" si="30"/>
        <v>0</v>
      </c>
      <c r="BB14" s="275">
        <f t="shared" ca="1" si="31"/>
        <v>0</v>
      </c>
      <c r="BC14" s="275">
        <f t="shared" ca="1" si="32"/>
        <v>0</v>
      </c>
      <c r="BD14" s="275">
        <f t="shared" ca="1" si="33"/>
        <v>0</v>
      </c>
      <c r="BE14" s="275">
        <f t="shared" ca="1" si="34"/>
        <v>0</v>
      </c>
      <c r="BF14" s="275">
        <f t="shared" ca="1" si="35"/>
        <v>0</v>
      </c>
      <c r="BG14" s="275">
        <f t="shared" ca="1" si="36"/>
        <v>0</v>
      </c>
      <c r="BH14" s="275">
        <f t="shared" ca="1" si="75"/>
        <v>0</v>
      </c>
      <c r="BI14" s="275">
        <f t="shared" ca="1" si="76"/>
        <v>0</v>
      </c>
      <c r="BJ14" s="275">
        <f t="shared" ca="1" si="37"/>
        <v>0</v>
      </c>
      <c r="BK14" s="275">
        <f t="shared" ca="1" si="38"/>
        <v>0</v>
      </c>
      <c r="BL14" s="275">
        <f t="shared" ca="1" si="39"/>
        <v>0</v>
      </c>
      <c r="BM14" s="275">
        <f t="shared" ca="1" si="40"/>
        <v>0</v>
      </c>
      <c r="BN14" s="275">
        <f t="shared" ca="1" si="41"/>
        <v>0</v>
      </c>
      <c r="BO14" s="275">
        <f t="shared" ca="1" si="42"/>
        <v>0</v>
      </c>
      <c r="BP14" s="275">
        <f t="shared" ca="1" si="77"/>
        <v>0</v>
      </c>
      <c r="BQ14" s="275">
        <f t="shared" ca="1" si="78"/>
        <v>0</v>
      </c>
      <c r="BR14" s="275">
        <f t="shared" ca="1" si="43"/>
        <v>0</v>
      </c>
      <c r="BS14" s="275">
        <f t="shared" ca="1" si="44"/>
        <v>0</v>
      </c>
      <c r="BT14" s="275">
        <f t="shared" ca="1" si="79"/>
        <v>0</v>
      </c>
      <c r="BU14" s="275">
        <f t="shared" ca="1" si="80"/>
        <v>0</v>
      </c>
      <c r="BV14" s="275">
        <f t="shared" ca="1" si="81"/>
        <v>0</v>
      </c>
      <c r="BW14" s="275">
        <f t="shared" ca="1" si="82"/>
        <v>0</v>
      </c>
      <c r="BX14" s="275">
        <f t="shared" ca="1" si="45"/>
        <v>0</v>
      </c>
      <c r="BY14" s="275">
        <f t="shared" ca="1" si="46"/>
        <v>0</v>
      </c>
      <c r="BZ14" s="275">
        <f t="shared" ca="1" si="47"/>
        <v>0</v>
      </c>
      <c r="CA14" s="275">
        <f t="shared" ca="1" si="48"/>
        <v>0</v>
      </c>
      <c r="CB14" s="275">
        <f t="shared" ca="1" si="49"/>
        <v>0</v>
      </c>
      <c r="CC14" s="275">
        <f t="shared" ca="1" si="50"/>
        <v>0</v>
      </c>
      <c r="CD14" s="275">
        <f t="shared" ca="1" si="83"/>
        <v>0</v>
      </c>
      <c r="CE14" s="275">
        <f t="shared" ca="1" si="84"/>
        <v>0</v>
      </c>
      <c r="CF14" s="275">
        <f t="shared" ca="1" si="85"/>
        <v>0</v>
      </c>
      <c r="CG14" s="275">
        <f t="shared" ca="1" si="86"/>
        <v>0</v>
      </c>
      <c r="CH14" s="275">
        <f t="shared" ca="1" si="51"/>
        <v>0</v>
      </c>
      <c r="CI14" s="275">
        <f t="shared" ca="1" si="52"/>
        <v>0</v>
      </c>
      <c r="CJ14" s="275">
        <f t="shared" ca="1" si="87"/>
        <v>0</v>
      </c>
      <c r="CK14" s="275">
        <f t="shared" ca="1" si="88"/>
        <v>0</v>
      </c>
      <c r="CL14" s="275">
        <f t="shared" ca="1" si="53"/>
        <v>0</v>
      </c>
      <c r="CM14" s="275">
        <f t="shared" ca="1" si="54"/>
        <v>0</v>
      </c>
      <c r="CN14" s="275">
        <f t="shared" ca="1" si="55"/>
        <v>0</v>
      </c>
      <c r="CO14" s="275">
        <f t="shared" ca="1" si="56"/>
        <v>0</v>
      </c>
      <c r="CP14" s="275">
        <f t="shared" ca="1" si="89"/>
        <v>0</v>
      </c>
      <c r="CQ14" s="275">
        <f t="shared" ca="1" si="90"/>
        <v>0</v>
      </c>
      <c r="CR14" s="275">
        <f t="shared" ca="1" si="91"/>
        <v>0</v>
      </c>
      <c r="CS14" s="275">
        <f t="shared" ca="1" si="92"/>
        <v>0</v>
      </c>
      <c r="CT14" s="275">
        <f t="shared" ca="1" si="57"/>
        <v>0</v>
      </c>
      <c r="CU14" s="275">
        <f t="shared" ca="1" si="58"/>
        <v>0</v>
      </c>
      <c r="CV14" s="275">
        <f t="shared" ca="1" si="59"/>
        <v>0</v>
      </c>
      <c r="CW14" s="275">
        <f t="shared" ca="1" si="60"/>
        <v>0</v>
      </c>
      <c r="CX14" s="275">
        <f t="shared" ca="1" si="93"/>
        <v>0</v>
      </c>
      <c r="CY14" s="275">
        <f t="shared" ca="1" si="94"/>
        <v>0</v>
      </c>
      <c r="CZ14" s="275">
        <f t="shared" ca="1" si="95"/>
        <v>0</v>
      </c>
      <c r="DA14" s="275">
        <f t="shared" ca="1" si="96"/>
        <v>0</v>
      </c>
    </row>
    <row r="15" spans="1:105" s="272" customFormat="1" ht="15" customHeight="1">
      <c r="A15" s="63">
        <f t="array" aca="1" ref="A15" ca="1">IF(C15&lt;&gt;0,SUM(($C$11:C15&lt;&gt;0)*1),"")</f>
        <v>5</v>
      </c>
      <c r="B15" s="273" t="str">
        <f ca="1">IF(ROWS($1:5)&gt;COUNT(Dong6),"",OFFSET(TH!C$1,SMALL(Dong6,ROWS($1:5)),))</f>
        <v/>
      </c>
      <c r="C15" s="273" t="str">
        <f ca="1">IF(ROWS($1:5)&gt;COUNT(Dong6),"",OFFSET(TH!D$1,SMALL(Dong6,ROWS($1:5)),))</f>
        <v/>
      </c>
      <c r="D15" s="273" t="str">
        <f ca="1">IF(ROWS($1:5)&gt;COUNT(Dong6),"",OFFSET(TH!E$1,SMALL(Dong6,ROWS($1:5)),))</f>
        <v/>
      </c>
      <c r="E15" s="323" t="str">
        <f ca="1">IF(ROWS($1:5)&gt;COUNT(Dong6),"",OFFSET(TH!F$1,SMALL(Dong6,ROWS($1:5)),))</f>
        <v/>
      </c>
      <c r="F15" s="324" t="str">
        <f ca="1">IF(ROWS($1:5)&gt;COUNT(Dong6),"",OFFSET(TH!M$1,SMALL(Dong6,ROWS($1:5)),))</f>
        <v/>
      </c>
      <c r="G15" s="325" t="str">
        <f ca="1">IF(ROWS($1:5)&gt;COUNT(Dong6),"",OFFSET(TH!N$1,SMALL(Dong6,ROWS($1:5)),))</f>
        <v/>
      </c>
      <c r="H15" s="325" t="str">
        <f ca="1">IF(ROWS($1:5)&gt;COUNT(Dong6),"",OFFSET(TH!O$1,SMALL(Dong6,ROWS($1:5)),))</f>
        <v/>
      </c>
      <c r="I15" s="63">
        <f t="shared" ca="1" si="0"/>
        <v>5</v>
      </c>
      <c r="J15" s="275">
        <f t="shared" ca="1" si="61"/>
        <v>0</v>
      </c>
      <c r="K15" s="275">
        <f t="shared" ca="1" si="62"/>
        <v>0</v>
      </c>
      <c r="L15" s="275">
        <f t="shared" ca="1" si="1"/>
        <v>0</v>
      </c>
      <c r="M15" s="275">
        <f t="shared" ca="1" si="2"/>
        <v>0</v>
      </c>
      <c r="N15" s="275">
        <f t="shared" ca="1" si="3"/>
        <v>0</v>
      </c>
      <c r="O15" s="275">
        <f t="shared" ca="1" si="4"/>
        <v>0</v>
      </c>
      <c r="P15" s="275">
        <f t="shared" ca="1" si="5"/>
        <v>0</v>
      </c>
      <c r="Q15" s="275">
        <f t="shared" ca="1" si="6"/>
        <v>0</v>
      </c>
      <c r="R15" s="275">
        <f t="shared" ca="1" si="7"/>
        <v>0</v>
      </c>
      <c r="S15" s="275">
        <f t="shared" ca="1" si="8"/>
        <v>0</v>
      </c>
      <c r="T15" s="275">
        <f t="shared" ca="1" si="9"/>
        <v>0</v>
      </c>
      <c r="U15" s="275">
        <f t="shared" ca="1" si="10"/>
        <v>0</v>
      </c>
      <c r="V15" s="275">
        <f t="shared" ca="1" si="11"/>
        <v>0</v>
      </c>
      <c r="W15" s="275">
        <f t="shared" ca="1" si="12"/>
        <v>0</v>
      </c>
      <c r="X15" s="275">
        <f t="shared" ca="1" si="13"/>
        <v>0</v>
      </c>
      <c r="Y15" s="275">
        <f t="shared" ca="1" si="14"/>
        <v>0</v>
      </c>
      <c r="Z15" s="275">
        <f t="shared" ca="1" si="15"/>
        <v>0</v>
      </c>
      <c r="AA15" s="275">
        <f t="shared" ca="1" si="16"/>
        <v>0</v>
      </c>
      <c r="AB15" s="275">
        <f t="shared" ca="1" si="63"/>
        <v>0</v>
      </c>
      <c r="AC15" s="275">
        <f t="shared" ca="1" si="64"/>
        <v>0</v>
      </c>
      <c r="AD15" s="275">
        <f t="shared" ca="1" si="17"/>
        <v>0</v>
      </c>
      <c r="AE15" s="275">
        <f t="shared" ca="1" si="18"/>
        <v>0</v>
      </c>
      <c r="AF15" s="275">
        <f t="shared" ca="1" si="19"/>
        <v>0</v>
      </c>
      <c r="AG15" s="275">
        <f t="shared" ca="1" si="20"/>
        <v>0</v>
      </c>
      <c r="AH15" s="275">
        <f t="shared" ca="1" si="65"/>
        <v>0</v>
      </c>
      <c r="AI15" s="275">
        <f t="shared" ca="1" si="66"/>
        <v>0</v>
      </c>
      <c r="AJ15" s="275">
        <f t="shared" ca="1" si="67"/>
        <v>0</v>
      </c>
      <c r="AK15" s="275">
        <f t="shared" ca="1" si="68"/>
        <v>0</v>
      </c>
      <c r="AL15" s="275">
        <f t="shared" ca="1" si="69"/>
        <v>0</v>
      </c>
      <c r="AM15" s="275">
        <f t="shared" ca="1" si="70"/>
        <v>0</v>
      </c>
      <c r="AN15" s="275">
        <f t="shared" ca="1" si="71"/>
        <v>0</v>
      </c>
      <c r="AO15" s="275">
        <f t="shared" ca="1" si="72"/>
        <v>0</v>
      </c>
      <c r="AP15" s="275">
        <f t="shared" ca="1" si="21"/>
        <v>0</v>
      </c>
      <c r="AQ15" s="275">
        <f t="shared" ca="1" si="22"/>
        <v>0</v>
      </c>
      <c r="AR15" s="275">
        <f t="shared" ca="1" si="23"/>
        <v>0</v>
      </c>
      <c r="AS15" s="275">
        <f t="shared" ca="1" si="24"/>
        <v>0</v>
      </c>
      <c r="AT15" s="275">
        <f t="shared" ca="1" si="73"/>
        <v>0</v>
      </c>
      <c r="AU15" s="275">
        <f t="shared" ca="1" si="74"/>
        <v>0</v>
      </c>
      <c r="AV15" s="275">
        <f t="shared" ca="1" si="25"/>
        <v>0</v>
      </c>
      <c r="AW15" s="275">
        <f t="shared" ca="1" si="26"/>
        <v>0</v>
      </c>
      <c r="AX15" s="275">
        <f t="shared" ca="1" si="27"/>
        <v>0</v>
      </c>
      <c r="AY15" s="275">
        <f t="shared" ca="1" si="28"/>
        <v>0</v>
      </c>
      <c r="AZ15" s="275">
        <f t="shared" ca="1" si="29"/>
        <v>0</v>
      </c>
      <c r="BA15" s="275">
        <f t="shared" ca="1" si="30"/>
        <v>0</v>
      </c>
      <c r="BB15" s="275">
        <f t="shared" ca="1" si="31"/>
        <v>0</v>
      </c>
      <c r="BC15" s="275">
        <f t="shared" ca="1" si="32"/>
        <v>0</v>
      </c>
      <c r="BD15" s="275">
        <f t="shared" ca="1" si="33"/>
        <v>0</v>
      </c>
      <c r="BE15" s="275">
        <f t="shared" ca="1" si="34"/>
        <v>0</v>
      </c>
      <c r="BF15" s="275">
        <f t="shared" ca="1" si="35"/>
        <v>0</v>
      </c>
      <c r="BG15" s="275">
        <f t="shared" ca="1" si="36"/>
        <v>0</v>
      </c>
      <c r="BH15" s="275">
        <f t="shared" ca="1" si="75"/>
        <v>0</v>
      </c>
      <c r="BI15" s="275">
        <f t="shared" ca="1" si="76"/>
        <v>0</v>
      </c>
      <c r="BJ15" s="275">
        <f t="shared" ca="1" si="37"/>
        <v>0</v>
      </c>
      <c r="BK15" s="275">
        <f t="shared" ca="1" si="38"/>
        <v>0</v>
      </c>
      <c r="BL15" s="275">
        <f t="shared" ca="1" si="39"/>
        <v>0</v>
      </c>
      <c r="BM15" s="275">
        <f t="shared" ca="1" si="40"/>
        <v>0</v>
      </c>
      <c r="BN15" s="275">
        <f t="shared" ca="1" si="41"/>
        <v>0</v>
      </c>
      <c r="BO15" s="275">
        <f t="shared" ca="1" si="42"/>
        <v>0</v>
      </c>
      <c r="BP15" s="275">
        <f t="shared" ca="1" si="77"/>
        <v>0</v>
      </c>
      <c r="BQ15" s="275">
        <f t="shared" ca="1" si="78"/>
        <v>0</v>
      </c>
      <c r="BR15" s="275">
        <f t="shared" ca="1" si="43"/>
        <v>0</v>
      </c>
      <c r="BS15" s="275">
        <f t="shared" ca="1" si="44"/>
        <v>0</v>
      </c>
      <c r="BT15" s="275">
        <f t="shared" ca="1" si="79"/>
        <v>0</v>
      </c>
      <c r="BU15" s="275">
        <f t="shared" ca="1" si="80"/>
        <v>0</v>
      </c>
      <c r="BV15" s="275">
        <f t="shared" ca="1" si="81"/>
        <v>0</v>
      </c>
      <c r="BW15" s="275">
        <f t="shared" ca="1" si="82"/>
        <v>0</v>
      </c>
      <c r="BX15" s="275">
        <f t="shared" ca="1" si="45"/>
        <v>0</v>
      </c>
      <c r="BY15" s="275">
        <f t="shared" ca="1" si="46"/>
        <v>0</v>
      </c>
      <c r="BZ15" s="275">
        <f t="shared" ca="1" si="47"/>
        <v>0</v>
      </c>
      <c r="CA15" s="275">
        <f t="shared" ca="1" si="48"/>
        <v>0</v>
      </c>
      <c r="CB15" s="275">
        <f t="shared" ca="1" si="49"/>
        <v>0</v>
      </c>
      <c r="CC15" s="275">
        <f t="shared" ca="1" si="50"/>
        <v>0</v>
      </c>
      <c r="CD15" s="275">
        <f t="shared" ca="1" si="83"/>
        <v>0</v>
      </c>
      <c r="CE15" s="275">
        <f t="shared" ca="1" si="84"/>
        <v>0</v>
      </c>
      <c r="CF15" s="275">
        <f t="shared" ca="1" si="85"/>
        <v>0</v>
      </c>
      <c r="CG15" s="275">
        <f t="shared" ca="1" si="86"/>
        <v>0</v>
      </c>
      <c r="CH15" s="275">
        <f t="shared" ca="1" si="51"/>
        <v>0</v>
      </c>
      <c r="CI15" s="275">
        <f t="shared" ca="1" si="52"/>
        <v>0</v>
      </c>
      <c r="CJ15" s="275">
        <f t="shared" ca="1" si="87"/>
        <v>0</v>
      </c>
      <c r="CK15" s="275">
        <f t="shared" ca="1" si="88"/>
        <v>0</v>
      </c>
      <c r="CL15" s="275">
        <f t="shared" ca="1" si="53"/>
        <v>0</v>
      </c>
      <c r="CM15" s="275">
        <f t="shared" ca="1" si="54"/>
        <v>0</v>
      </c>
      <c r="CN15" s="275">
        <f t="shared" ca="1" si="55"/>
        <v>0</v>
      </c>
      <c r="CO15" s="275">
        <f t="shared" ca="1" si="56"/>
        <v>0</v>
      </c>
      <c r="CP15" s="275">
        <f t="shared" ca="1" si="89"/>
        <v>0</v>
      </c>
      <c r="CQ15" s="275">
        <f t="shared" ca="1" si="90"/>
        <v>0</v>
      </c>
      <c r="CR15" s="275">
        <f t="shared" ca="1" si="91"/>
        <v>0</v>
      </c>
      <c r="CS15" s="275">
        <f t="shared" ca="1" si="92"/>
        <v>0</v>
      </c>
      <c r="CT15" s="275">
        <f t="shared" ca="1" si="57"/>
        <v>0</v>
      </c>
      <c r="CU15" s="275">
        <f t="shared" ca="1" si="58"/>
        <v>0</v>
      </c>
      <c r="CV15" s="275">
        <f t="shared" ca="1" si="59"/>
        <v>0</v>
      </c>
      <c r="CW15" s="275">
        <f t="shared" ca="1" si="60"/>
        <v>0</v>
      </c>
      <c r="CX15" s="275">
        <f t="shared" ca="1" si="93"/>
        <v>0</v>
      </c>
      <c r="CY15" s="275">
        <f t="shared" ca="1" si="94"/>
        <v>0</v>
      </c>
      <c r="CZ15" s="275">
        <f t="shared" ca="1" si="95"/>
        <v>0</v>
      </c>
      <c r="DA15" s="275">
        <f t="shared" ca="1" si="96"/>
        <v>0</v>
      </c>
    </row>
    <row r="16" spans="1:105" s="272" customFormat="1" ht="15" customHeight="1">
      <c r="A16" s="63">
        <f t="array" aca="1" ref="A16" ca="1">IF(C16&lt;&gt;0,SUM(($C$11:C16&lt;&gt;0)*1),"")</f>
        <v>6</v>
      </c>
      <c r="B16" s="273" t="str">
        <f ca="1">IF(ROWS($1:6)&gt;COUNT(Dong6),"",OFFSET(TH!C$1,SMALL(Dong6,ROWS($1:6)),))</f>
        <v/>
      </c>
      <c r="C16" s="273" t="str">
        <f ca="1">IF(ROWS($1:6)&gt;COUNT(Dong6),"",OFFSET(TH!D$1,SMALL(Dong6,ROWS($1:6)),))</f>
        <v/>
      </c>
      <c r="D16" s="273" t="str">
        <f ca="1">IF(ROWS($1:6)&gt;COUNT(Dong6),"",OFFSET(TH!E$1,SMALL(Dong6,ROWS($1:6)),))</f>
        <v/>
      </c>
      <c r="E16" s="323" t="str">
        <f ca="1">IF(ROWS($1:6)&gt;COUNT(Dong6),"",OFFSET(TH!F$1,SMALL(Dong6,ROWS($1:6)),))</f>
        <v/>
      </c>
      <c r="F16" s="324" t="str">
        <f ca="1">IF(ROWS($1:6)&gt;COUNT(Dong6),"",OFFSET(TH!M$1,SMALL(Dong6,ROWS($1:6)),))</f>
        <v/>
      </c>
      <c r="G16" s="325" t="str">
        <f ca="1">IF(ROWS($1:6)&gt;COUNT(Dong6),"",OFFSET(TH!N$1,SMALL(Dong6,ROWS($1:6)),))</f>
        <v/>
      </c>
      <c r="H16" s="325" t="str">
        <f ca="1">IF(ROWS($1:6)&gt;COUNT(Dong6),"",OFFSET(TH!O$1,SMALL(Dong6,ROWS($1:6)),))</f>
        <v/>
      </c>
      <c r="I16" s="63">
        <f t="shared" ca="1" si="0"/>
        <v>6</v>
      </c>
      <c r="J16" s="275">
        <f t="shared" ca="1" si="61"/>
        <v>0</v>
      </c>
      <c r="K16" s="275">
        <f t="shared" ca="1" si="62"/>
        <v>0</v>
      </c>
      <c r="L16" s="275">
        <f t="shared" ca="1" si="1"/>
        <v>0</v>
      </c>
      <c r="M16" s="275">
        <f t="shared" ca="1" si="2"/>
        <v>0</v>
      </c>
      <c r="N16" s="275">
        <f t="shared" ca="1" si="3"/>
        <v>0</v>
      </c>
      <c r="O16" s="275">
        <f t="shared" ca="1" si="4"/>
        <v>0</v>
      </c>
      <c r="P16" s="275">
        <f t="shared" ca="1" si="5"/>
        <v>0</v>
      </c>
      <c r="Q16" s="275">
        <f t="shared" ca="1" si="6"/>
        <v>0</v>
      </c>
      <c r="R16" s="275">
        <f t="shared" ca="1" si="7"/>
        <v>0</v>
      </c>
      <c r="S16" s="275">
        <f t="shared" ca="1" si="8"/>
        <v>0</v>
      </c>
      <c r="T16" s="275">
        <f t="shared" ca="1" si="9"/>
        <v>0</v>
      </c>
      <c r="U16" s="275">
        <f t="shared" ca="1" si="10"/>
        <v>0</v>
      </c>
      <c r="V16" s="275">
        <f t="shared" ca="1" si="11"/>
        <v>0</v>
      </c>
      <c r="W16" s="275">
        <f t="shared" ca="1" si="12"/>
        <v>0</v>
      </c>
      <c r="X16" s="275">
        <f t="shared" ca="1" si="13"/>
        <v>0</v>
      </c>
      <c r="Y16" s="275">
        <f t="shared" ca="1" si="14"/>
        <v>0</v>
      </c>
      <c r="Z16" s="275">
        <f t="shared" ca="1" si="15"/>
        <v>0</v>
      </c>
      <c r="AA16" s="275">
        <f t="shared" ca="1" si="16"/>
        <v>0</v>
      </c>
      <c r="AB16" s="275">
        <f t="shared" ca="1" si="63"/>
        <v>0</v>
      </c>
      <c r="AC16" s="275">
        <f t="shared" ca="1" si="64"/>
        <v>0</v>
      </c>
      <c r="AD16" s="275">
        <f t="shared" ca="1" si="17"/>
        <v>0</v>
      </c>
      <c r="AE16" s="275">
        <f t="shared" ca="1" si="18"/>
        <v>0</v>
      </c>
      <c r="AF16" s="275">
        <f t="shared" ca="1" si="19"/>
        <v>0</v>
      </c>
      <c r="AG16" s="275">
        <f t="shared" ca="1" si="20"/>
        <v>0</v>
      </c>
      <c r="AH16" s="275">
        <f t="shared" ca="1" si="65"/>
        <v>0</v>
      </c>
      <c r="AI16" s="275">
        <f t="shared" ca="1" si="66"/>
        <v>0</v>
      </c>
      <c r="AJ16" s="275">
        <f t="shared" ca="1" si="67"/>
        <v>0</v>
      </c>
      <c r="AK16" s="275">
        <f t="shared" ca="1" si="68"/>
        <v>0</v>
      </c>
      <c r="AL16" s="275">
        <f t="shared" ca="1" si="69"/>
        <v>0</v>
      </c>
      <c r="AM16" s="275">
        <f t="shared" ca="1" si="70"/>
        <v>0</v>
      </c>
      <c r="AN16" s="275">
        <f t="shared" ca="1" si="71"/>
        <v>0</v>
      </c>
      <c r="AO16" s="275">
        <f t="shared" ca="1" si="72"/>
        <v>0</v>
      </c>
      <c r="AP16" s="275">
        <f t="shared" ca="1" si="21"/>
        <v>0</v>
      </c>
      <c r="AQ16" s="275">
        <f t="shared" ca="1" si="22"/>
        <v>0</v>
      </c>
      <c r="AR16" s="275">
        <f t="shared" ca="1" si="23"/>
        <v>0</v>
      </c>
      <c r="AS16" s="275">
        <f t="shared" ca="1" si="24"/>
        <v>0</v>
      </c>
      <c r="AT16" s="275">
        <f t="shared" ca="1" si="73"/>
        <v>0</v>
      </c>
      <c r="AU16" s="275">
        <f t="shared" ca="1" si="74"/>
        <v>0</v>
      </c>
      <c r="AV16" s="275">
        <f t="shared" ca="1" si="25"/>
        <v>0</v>
      </c>
      <c r="AW16" s="275">
        <f t="shared" ca="1" si="26"/>
        <v>0</v>
      </c>
      <c r="AX16" s="275">
        <f t="shared" ca="1" si="27"/>
        <v>0</v>
      </c>
      <c r="AY16" s="275">
        <f t="shared" ca="1" si="28"/>
        <v>0</v>
      </c>
      <c r="AZ16" s="275">
        <f t="shared" ca="1" si="29"/>
        <v>0</v>
      </c>
      <c r="BA16" s="275">
        <f t="shared" ca="1" si="30"/>
        <v>0</v>
      </c>
      <c r="BB16" s="275">
        <f t="shared" ca="1" si="31"/>
        <v>0</v>
      </c>
      <c r="BC16" s="275">
        <f t="shared" ca="1" si="32"/>
        <v>0</v>
      </c>
      <c r="BD16" s="275">
        <f t="shared" ca="1" si="33"/>
        <v>0</v>
      </c>
      <c r="BE16" s="275">
        <f t="shared" ca="1" si="34"/>
        <v>0</v>
      </c>
      <c r="BF16" s="275">
        <f t="shared" ca="1" si="35"/>
        <v>0</v>
      </c>
      <c r="BG16" s="275">
        <f t="shared" ca="1" si="36"/>
        <v>0</v>
      </c>
      <c r="BH16" s="275">
        <f t="shared" ca="1" si="75"/>
        <v>0</v>
      </c>
      <c r="BI16" s="275">
        <f t="shared" ca="1" si="76"/>
        <v>0</v>
      </c>
      <c r="BJ16" s="275">
        <f t="shared" ca="1" si="37"/>
        <v>0</v>
      </c>
      <c r="BK16" s="275">
        <f t="shared" ca="1" si="38"/>
        <v>0</v>
      </c>
      <c r="BL16" s="275">
        <f t="shared" ca="1" si="39"/>
        <v>0</v>
      </c>
      <c r="BM16" s="275">
        <f t="shared" ca="1" si="40"/>
        <v>0</v>
      </c>
      <c r="BN16" s="275">
        <f t="shared" ca="1" si="41"/>
        <v>0</v>
      </c>
      <c r="BO16" s="275">
        <f t="shared" ca="1" si="42"/>
        <v>0</v>
      </c>
      <c r="BP16" s="275">
        <f t="shared" ca="1" si="77"/>
        <v>0</v>
      </c>
      <c r="BQ16" s="275">
        <f t="shared" ca="1" si="78"/>
        <v>0</v>
      </c>
      <c r="BR16" s="275">
        <f t="shared" ca="1" si="43"/>
        <v>0</v>
      </c>
      <c r="BS16" s="275">
        <f t="shared" ca="1" si="44"/>
        <v>0</v>
      </c>
      <c r="BT16" s="275">
        <f t="shared" ca="1" si="79"/>
        <v>0</v>
      </c>
      <c r="BU16" s="275">
        <f t="shared" ca="1" si="80"/>
        <v>0</v>
      </c>
      <c r="BV16" s="275">
        <f t="shared" ca="1" si="81"/>
        <v>0</v>
      </c>
      <c r="BW16" s="275">
        <f t="shared" ca="1" si="82"/>
        <v>0</v>
      </c>
      <c r="BX16" s="275">
        <f t="shared" ca="1" si="45"/>
        <v>0</v>
      </c>
      <c r="BY16" s="275">
        <f t="shared" ca="1" si="46"/>
        <v>0</v>
      </c>
      <c r="BZ16" s="275">
        <f t="shared" ca="1" si="47"/>
        <v>0</v>
      </c>
      <c r="CA16" s="275">
        <f t="shared" ca="1" si="48"/>
        <v>0</v>
      </c>
      <c r="CB16" s="275">
        <f t="shared" ca="1" si="49"/>
        <v>0</v>
      </c>
      <c r="CC16" s="275">
        <f t="shared" ca="1" si="50"/>
        <v>0</v>
      </c>
      <c r="CD16" s="275">
        <f t="shared" ca="1" si="83"/>
        <v>0</v>
      </c>
      <c r="CE16" s="275">
        <f t="shared" ca="1" si="84"/>
        <v>0</v>
      </c>
      <c r="CF16" s="275">
        <f t="shared" ca="1" si="85"/>
        <v>0</v>
      </c>
      <c r="CG16" s="275">
        <f t="shared" ca="1" si="86"/>
        <v>0</v>
      </c>
      <c r="CH16" s="275">
        <f t="shared" ca="1" si="51"/>
        <v>0</v>
      </c>
      <c r="CI16" s="275">
        <f t="shared" ca="1" si="52"/>
        <v>0</v>
      </c>
      <c r="CJ16" s="275">
        <f t="shared" ca="1" si="87"/>
        <v>0</v>
      </c>
      <c r="CK16" s="275">
        <f t="shared" ca="1" si="88"/>
        <v>0</v>
      </c>
      <c r="CL16" s="275">
        <f t="shared" ca="1" si="53"/>
        <v>0</v>
      </c>
      <c r="CM16" s="275">
        <f t="shared" ca="1" si="54"/>
        <v>0</v>
      </c>
      <c r="CN16" s="275">
        <f t="shared" ca="1" si="55"/>
        <v>0</v>
      </c>
      <c r="CO16" s="275">
        <f t="shared" ca="1" si="56"/>
        <v>0</v>
      </c>
      <c r="CP16" s="275">
        <f t="shared" ca="1" si="89"/>
        <v>0</v>
      </c>
      <c r="CQ16" s="275">
        <f t="shared" ca="1" si="90"/>
        <v>0</v>
      </c>
      <c r="CR16" s="275">
        <f t="shared" ca="1" si="91"/>
        <v>0</v>
      </c>
      <c r="CS16" s="275">
        <f t="shared" ca="1" si="92"/>
        <v>0</v>
      </c>
      <c r="CT16" s="275">
        <f t="shared" ca="1" si="57"/>
        <v>0</v>
      </c>
      <c r="CU16" s="275">
        <f t="shared" ca="1" si="58"/>
        <v>0</v>
      </c>
      <c r="CV16" s="275">
        <f t="shared" ca="1" si="59"/>
        <v>0</v>
      </c>
      <c r="CW16" s="275">
        <f t="shared" ca="1" si="60"/>
        <v>0</v>
      </c>
      <c r="CX16" s="275">
        <f t="shared" ca="1" si="93"/>
        <v>0</v>
      </c>
      <c r="CY16" s="275">
        <f t="shared" ca="1" si="94"/>
        <v>0</v>
      </c>
      <c r="CZ16" s="275">
        <f t="shared" ca="1" si="95"/>
        <v>0</v>
      </c>
      <c r="DA16" s="275">
        <f t="shared" ca="1" si="96"/>
        <v>0</v>
      </c>
    </row>
    <row r="17" spans="1:105" s="272" customFormat="1" ht="15" customHeight="1">
      <c r="A17" s="63">
        <f t="array" aca="1" ref="A17" ca="1">IF(C17&lt;&gt;0,SUM(($C$11:C17&lt;&gt;0)*1),"")</f>
        <v>7</v>
      </c>
      <c r="B17" s="273" t="str">
        <f ca="1">IF(ROWS($1:7)&gt;COUNT(Dong6),"",OFFSET(TH!C$1,SMALL(Dong6,ROWS($1:7)),))</f>
        <v/>
      </c>
      <c r="C17" s="273" t="str">
        <f ca="1">IF(ROWS($1:7)&gt;COUNT(Dong6),"",OFFSET(TH!D$1,SMALL(Dong6,ROWS($1:7)),))</f>
        <v/>
      </c>
      <c r="D17" s="273" t="str">
        <f ca="1">IF(ROWS($1:7)&gt;COUNT(Dong6),"",OFFSET(TH!E$1,SMALL(Dong6,ROWS($1:7)),))</f>
        <v/>
      </c>
      <c r="E17" s="323" t="str">
        <f ca="1">IF(ROWS($1:7)&gt;COUNT(Dong6),"",OFFSET(TH!F$1,SMALL(Dong6,ROWS($1:7)),))</f>
        <v/>
      </c>
      <c r="F17" s="324" t="str">
        <f ca="1">IF(ROWS($1:7)&gt;COUNT(Dong6),"",OFFSET(TH!M$1,SMALL(Dong6,ROWS($1:7)),))</f>
        <v/>
      </c>
      <c r="G17" s="325" t="str">
        <f ca="1">IF(ROWS($1:7)&gt;COUNT(Dong6),"",OFFSET(TH!N$1,SMALL(Dong6,ROWS($1:7)),))</f>
        <v/>
      </c>
      <c r="H17" s="325" t="str">
        <f ca="1">IF(ROWS($1:7)&gt;COUNT(Dong6),"",OFFSET(TH!O$1,SMALL(Dong6,ROWS($1:7)),))</f>
        <v/>
      </c>
      <c r="I17" s="63">
        <f t="shared" ca="1" si="0"/>
        <v>7</v>
      </c>
      <c r="J17" s="275">
        <f t="shared" ca="1" si="61"/>
        <v>0</v>
      </c>
      <c r="K17" s="275">
        <f t="shared" ca="1" si="62"/>
        <v>0</v>
      </c>
      <c r="L17" s="275">
        <f t="shared" ca="1" si="1"/>
        <v>0</v>
      </c>
      <c r="M17" s="275">
        <f t="shared" ca="1" si="2"/>
        <v>0</v>
      </c>
      <c r="N17" s="275">
        <f t="shared" ca="1" si="3"/>
        <v>0</v>
      </c>
      <c r="O17" s="275">
        <f t="shared" ca="1" si="4"/>
        <v>0</v>
      </c>
      <c r="P17" s="275">
        <f t="shared" ca="1" si="5"/>
        <v>0</v>
      </c>
      <c r="Q17" s="275">
        <f t="shared" ca="1" si="6"/>
        <v>0</v>
      </c>
      <c r="R17" s="275">
        <f t="shared" ca="1" si="7"/>
        <v>0</v>
      </c>
      <c r="S17" s="275">
        <f t="shared" ca="1" si="8"/>
        <v>0</v>
      </c>
      <c r="T17" s="275">
        <f t="shared" ca="1" si="9"/>
        <v>0</v>
      </c>
      <c r="U17" s="275">
        <f t="shared" ca="1" si="10"/>
        <v>0</v>
      </c>
      <c r="V17" s="275">
        <f t="shared" ca="1" si="11"/>
        <v>0</v>
      </c>
      <c r="W17" s="275">
        <f t="shared" ca="1" si="12"/>
        <v>0</v>
      </c>
      <c r="X17" s="275">
        <f t="shared" ca="1" si="13"/>
        <v>0</v>
      </c>
      <c r="Y17" s="275">
        <f t="shared" ca="1" si="14"/>
        <v>0</v>
      </c>
      <c r="Z17" s="275">
        <f t="shared" ca="1" si="15"/>
        <v>0</v>
      </c>
      <c r="AA17" s="275">
        <f t="shared" ca="1" si="16"/>
        <v>0</v>
      </c>
      <c r="AB17" s="275">
        <f t="shared" ca="1" si="63"/>
        <v>0</v>
      </c>
      <c r="AC17" s="275">
        <f t="shared" ca="1" si="64"/>
        <v>0</v>
      </c>
      <c r="AD17" s="275">
        <f t="shared" ca="1" si="17"/>
        <v>0</v>
      </c>
      <c r="AE17" s="275">
        <f t="shared" ca="1" si="18"/>
        <v>0</v>
      </c>
      <c r="AF17" s="275">
        <f t="shared" ca="1" si="19"/>
        <v>0</v>
      </c>
      <c r="AG17" s="275">
        <f t="shared" ca="1" si="20"/>
        <v>0</v>
      </c>
      <c r="AH17" s="275">
        <f t="shared" ca="1" si="65"/>
        <v>0</v>
      </c>
      <c r="AI17" s="275">
        <f t="shared" ca="1" si="66"/>
        <v>0</v>
      </c>
      <c r="AJ17" s="275">
        <f t="shared" ca="1" si="67"/>
        <v>0</v>
      </c>
      <c r="AK17" s="275">
        <f t="shared" ca="1" si="68"/>
        <v>0</v>
      </c>
      <c r="AL17" s="275">
        <f t="shared" ca="1" si="69"/>
        <v>0</v>
      </c>
      <c r="AM17" s="275">
        <f t="shared" ca="1" si="70"/>
        <v>0</v>
      </c>
      <c r="AN17" s="275">
        <f t="shared" ca="1" si="71"/>
        <v>0</v>
      </c>
      <c r="AO17" s="275">
        <f t="shared" ca="1" si="72"/>
        <v>0</v>
      </c>
      <c r="AP17" s="275">
        <f t="shared" ca="1" si="21"/>
        <v>0</v>
      </c>
      <c r="AQ17" s="275">
        <f t="shared" ca="1" si="22"/>
        <v>0</v>
      </c>
      <c r="AR17" s="275">
        <f t="shared" ca="1" si="23"/>
        <v>0</v>
      </c>
      <c r="AS17" s="275">
        <f t="shared" ca="1" si="24"/>
        <v>0</v>
      </c>
      <c r="AT17" s="275">
        <f t="shared" ca="1" si="73"/>
        <v>0</v>
      </c>
      <c r="AU17" s="275">
        <f t="shared" ca="1" si="74"/>
        <v>0</v>
      </c>
      <c r="AV17" s="275">
        <f t="shared" ca="1" si="25"/>
        <v>0</v>
      </c>
      <c r="AW17" s="275">
        <f t="shared" ca="1" si="26"/>
        <v>0</v>
      </c>
      <c r="AX17" s="275">
        <f t="shared" ca="1" si="27"/>
        <v>0</v>
      </c>
      <c r="AY17" s="275">
        <f t="shared" ca="1" si="28"/>
        <v>0</v>
      </c>
      <c r="AZ17" s="275">
        <f t="shared" ca="1" si="29"/>
        <v>0</v>
      </c>
      <c r="BA17" s="275">
        <f t="shared" ca="1" si="30"/>
        <v>0</v>
      </c>
      <c r="BB17" s="275">
        <f t="shared" ca="1" si="31"/>
        <v>0</v>
      </c>
      <c r="BC17" s="275">
        <f t="shared" ca="1" si="32"/>
        <v>0</v>
      </c>
      <c r="BD17" s="275">
        <f t="shared" ca="1" si="33"/>
        <v>0</v>
      </c>
      <c r="BE17" s="275">
        <f t="shared" ca="1" si="34"/>
        <v>0</v>
      </c>
      <c r="BF17" s="275">
        <f t="shared" ca="1" si="35"/>
        <v>0</v>
      </c>
      <c r="BG17" s="275">
        <f t="shared" ca="1" si="36"/>
        <v>0</v>
      </c>
      <c r="BH17" s="275">
        <f t="shared" ca="1" si="75"/>
        <v>0</v>
      </c>
      <c r="BI17" s="275">
        <f t="shared" ca="1" si="76"/>
        <v>0</v>
      </c>
      <c r="BJ17" s="275">
        <f t="shared" ca="1" si="37"/>
        <v>0</v>
      </c>
      <c r="BK17" s="275">
        <f t="shared" ca="1" si="38"/>
        <v>0</v>
      </c>
      <c r="BL17" s="275">
        <f t="shared" ca="1" si="39"/>
        <v>0</v>
      </c>
      <c r="BM17" s="275">
        <f t="shared" ca="1" si="40"/>
        <v>0</v>
      </c>
      <c r="BN17" s="275">
        <f t="shared" ca="1" si="41"/>
        <v>0</v>
      </c>
      <c r="BO17" s="275">
        <f t="shared" ca="1" si="42"/>
        <v>0</v>
      </c>
      <c r="BP17" s="275">
        <f t="shared" ca="1" si="77"/>
        <v>0</v>
      </c>
      <c r="BQ17" s="275">
        <f t="shared" ca="1" si="78"/>
        <v>0</v>
      </c>
      <c r="BR17" s="275">
        <f t="shared" ca="1" si="43"/>
        <v>0</v>
      </c>
      <c r="BS17" s="275">
        <f t="shared" ca="1" si="44"/>
        <v>0</v>
      </c>
      <c r="BT17" s="275">
        <f t="shared" ca="1" si="79"/>
        <v>0</v>
      </c>
      <c r="BU17" s="275">
        <f t="shared" ca="1" si="80"/>
        <v>0</v>
      </c>
      <c r="BV17" s="275">
        <f t="shared" ca="1" si="81"/>
        <v>0</v>
      </c>
      <c r="BW17" s="275">
        <f t="shared" ca="1" si="82"/>
        <v>0</v>
      </c>
      <c r="BX17" s="275">
        <f t="shared" ca="1" si="45"/>
        <v>0</v>
      </c>
      <c r="BY17" s="275">
        <f t="shared" ca="1" si="46"/>
        <v>0</v>
      </c>
      <c r="BZ17" s="275">
        <f t="shared" ca="1" si="47"/>
        <v>0</v>
      </c>
      <c r="CA17" s="275">
        <f t="shared" ca="1" si="48"/>
        <v>0</v>
      </c>
      <c r="CB17" s="275">
        <f t="shared" ca="1" si="49"/>
        <v>0</v>
      </c>
      <c r="CC17" s="275">
        <f t="shared" ca="1" si="50"/>
        <v>0</v>
      </c>
      <c r="CD17" s="275">
        <f t="shared" ca="1" si="83"/>
        <v>0</v>
      </c>
      <c r="CE17" s="275">
        <f t="shared" ca="1" si="84"/>
        <v>0</v>
      </c>
      <c r="CF17" s="275">
        <f t="shared" ca="1" si="85"/>
        <v>0</v>
      </c>
      <c r="CG17" s="275">
        <f t="shared" ca="1" si="86"/>
        <v>0</v>
      </c>
      <c r="CH17" s="275">
        <f t="shared" ca="1" si="51"/>
        <v>0</v>
      </c>
      <c r="CI17" s="275">
        <f t="shared" ca="1" si="52"/>
        <v>0</v>
      </c>
      <c r="CJ17" s="275">
        <f t="shared" ca="1" si="87"/>
        <v>0</v>
      </c>
      <c r="CK17" s="275">
        <f t="shared" ca="1" si="88"/>
        <v>0</v>
      </c>
      <c r="CL17" s="275">
        <f t="shared" ca="1" si="53"/>
        <v>0</v>
      </c>
      <c r="CM17" s="275">
        <f t="shared" ca="1" si="54"/>
        <v>0</v>
      </c>
      <c r="CN17" s="275">
        <f t="shared" ca="1" si="55"/>
        <v>0</v>
      </c>
      <c r="CO17" s="275">
        <f t="shared" ca="1" si="56"/>
        <v>0</v>
      </c>
      <c r="CP17" s="275">
        <f t="shared" ca="1" si="89"/>
        <v>0</v>
      </c>
      <c r="CQ17" s="275">
        <f t="shared" ca="1" si="90"/>
        <v>0</v>
      </c>
      <c r="CR17" s="275">
        <f t="shared" ca="1" si="91"/>
        <v>0</v>
      </c>
      <c r="CS17" s="275">
        <f t="shared" ca="1" si="92"/>
        <v>0</v>
      </c>
      <c r="CT17" s="275">
        <f t="shared" ca="1" si="57"/>
        <v>0</v>
      </c>
      <c r="CU17" s="275">
        <f t="shared" ca="1" si="58"/>
        <v>0</v>
      </c>
      <c r="CV17" s="275">
        <f t="shared" ca="1" si="59"/>
        <v>0</v>
      </c>
      <c r="CW17" s="275">
        <f t="shared" ca="1" si="60"/>
        <v>0</v>
      </c>
      <c r="CX17" s="275">
        <f t="shared" ca="1" si="93"/>
        <v>0</v>
      </c>
      <c r="CY17" s="275">
        <f t="shared" ca="1" si="94"/>
        <v>0</v>
      </c>
      <c r="CZ17" s="275">
        <f t="shared" ca="1" si="95"/>
        <v>0</v>
      </c>
      <c r="DA17" s="275">
        <f t="shared" ca="1" si="96"/>
        <v>0</v>
      </c>
    </row>
    <row r="18" spans="1:105" s="272" customFormat="1" ht="15" customHeight="1">
      <c r="A18" s="63">
        <f t="array" aca="1" ref="A18" ca="1">IF(C18&lt;&gt;0,SUM(($C$11:C18&lt;&gt;0)*1),"")</f>
        <v>8</v>
      </c>
      <c r="B18" s="273" t="str">
        <f ca="1">IF(ROWS($1:8)&gt;COUNT(Dong6),"",OFFSET(TH!C$1,SMALL(Dong6,ROWS($1:8)),))</f>
        <v/>
      </c>
      <c r="C18" s="273" t="str">
        <f ca="1">IF(ROWS($1:8)&gt;COUNT(Dong6),"",OFFSET(TH!D$1,SMALL(Dong6,ROWS($1:8)),))</f>
        <v/>
      </c>
      <c r="D18" s="273" t="str">
        <f ca="1">IF(ROWS($1:8)&gt;COUNT(Dong6),"",OFFSET(TH!E$1,SMALL(Dong6,ROWS($1:8)),))</f>
        <v/>
      </c>
      <c r="E18" s="323" t="str">
        <f ca="1">IF(ROWS($1:8)&gt;COUNT(Dong6),"",OFFSET(TH!F$1,SMALL(Dong6,ROWS($1:8)),))</f>
        <v/>
      </c>
      <c r="F18" s="324" t="str">
        <f ca="1">IF(ROWS($1:8)&gt;COUNT(Dong6),"",OFFSET(TH!M$1,SMALL(Dong6,ROWS($1:8)),))</f>
        <v/>
      </c>
      <c r="G18" s="325" t="str">
        <f ca="1">IF(ROWS($1:8)&gt;COUNT(Dong6),"",OFFSET(TH!N$1,SMALL(Dong6,ROWS($1:8)),))</f>
        <v/>
      </c>
      <c r="H18" s="325" t="str">
        <f ca="1">IF(ROWS($1:8)&gt;COUNT(Dong6),"",OFFSET(TH!O$1,SMALL(Dong6,ROWS($1:8)),))</f>
        <v/>
      </c>
      <c r="I18" s="63">
        <f t="shared" ca="1" si="0"/>
        <v>8</v>
      </c>
      <c r="J18" s="275">
        <f t="shared" ca="1" si="61"/>
        <v>0</v>
      </c>
      <c r="K18" s="275">
        <f t="shared" ca="1" si="62"/>
        <v>0</v>
      </c>
      <c r="L18" s="275">
        <f t="shared" ca="1" si="1"/>
        <v>0</v>
      </c>
      <c r="M18" s="275">
        <f t="shared" ca="1" si="2"/>
        <v>0</v>
      </c>
      <c r="N18" s="275">
        <f t="shared" ca="1" si="3"/>
        <v>0</v>
      </c>
      <c r="O18" s="275">
        <f t="shared" ca="1" si="4"/>
        <v>0</v>
      </c>
      <c r="P18" s="275">
        <f t="shared" ca="1" si="5"/>
        <v>0</v>
      </c>
      <c r="Q18" s="275">
        <f t="shared" ca="1" si="6"/>
        <v>0</v>
      </c>
      <c r="R18" s="275">
        <f t="shared" ca="1" si="7"/>
        <v>0</v>
      </c>
      <c r="S18" s="275">
        <f t="shared" ca="1" si="8"/>
        <v>0</v>
      </c>
      <c r="T18" s="275">
        <f t="shared" ca="1" si="9"/>
        <v>0</v>
      </c>
      <c r="U18" s="275">
        <f t="shared" ca="1" si="10"/>
        <v>0</v>
      </c>
      <c r="V18" s="275">
        <f t="shared" ca="1" si="11"/>
        <v>0</v>
      </c>
      <c r="W18" s="275">
        <f t="shared" ca="1" si="12"/>
        <v>0</v>
      </c>
      <c r="X18" s="275">
        <f t="shared" ca="1" si="13"/>
        <v>0</v>
      </c>
      <c r="Y18" s="275">
        <f t="shared" ca="1" si="14"/>
        <v>0</v>
      </c>
      <c r="Z18" s="275">
        <f t="shared" ca="1" si="15"/>
        <v>0</v>
      </c>
      <c r="AA18" s="275">
        <f t="shared" ca="1" si="16"/>
        <v>0</v>
      </c>
      <c r="AB18" s="275">
        <f t="shared" ca="1" si="63"/>
        <v>0</v>
      </c>
      <c r="AC18" s="275">
        <f t="shared" ca="1" si="64"/>
        <v>0</v>
      </c>
      <c r="AD18" s="275">
        <f t="shared" ca="1" si="17"/>
        <v>0</v>
      </c>
      <c r="AE18" s="275">
        <f t="shared" ca="1" si="18"/>
        <v>0</v>
      </c>
      <c r="AF18" s="275">
        <f t="shared" ca="1" si="19"/>
        <v>0</v>
      </c>
      <c r="AG18" s="275">
        <f t="shared" ca="1" si="20"/>
        <v>0</v>
      </c>
      <c r="AH18" s="275">
        <f t="shared" ca="1" si="65"/>
        <v>0</v>
      </c>
      <c r="AI18" s="275">
        <f t="shared" ca="1" si="66"/>
        <v>0</v>
      </c>
      <c r="AJ18" s="275">
        <f t="shared" ca="1" si="67"/>
        <v>0</v>
      </c>
      <c r="AK18" s="275">
        <f t="shared" ca="1" si="68"/>
        <v>0</v>
      </c>
      <c r="AL18" s="275">
        <f t="shared" ca="1" si="69"/>
        <v>0</v>
      </c>
      <c r="AM18" s="275">
        <f t="shared" ca="1" si="70"/>
        <v>0</v>
      </c>
      <c r="AN18" s="275">
        <f t="shared" ca="1" si="71"/>
        <v>0</v>
      </c>
      <c r="AO18" s="275">
        <f t="shared" ca="1" si="72"/>
        <v>0</v>
      </c>
      <c r="AP18" s="275">
        <f t="shared" ca="1" si="21"/>
        <v>0</v>
      </c>
      <c r="AQ18" s="275">
        <f t="shared" ca="1" si="22"/>
        <v>0</v>
      </c>
      <c r="AR18" s="275">
        <f t="shared" ca="1" si="23"/>
        <v>0</v>
      </c>
      <c r="AS18" s="275">
        <f t="shared" ca="1" si="24"/>
        <v>0</v>
      </c>
      <c r="AT18" s="275">
        <f t="shared" ca="1" si="73"/>
        <v>0</v>
      </c>
      <c r="AU18" s="275">
        <f t="shared" ca="1" si="74"/>
        <v>0</v>
      </c>
      <c r="AV18" s="275">
        <f t="shared" ca="1" si="25"/>
        <v>0</v>
      </c>
      <c r="AW18" s="275">
        <f t="shared" ca="1" si="26"/>
        <v>0</v>
      </c>
      <c r="AX18" s="275">
        <f t="shared" ca="1" si="27"/>
        <v>0</v>
      </c>
      <c r="AY18" s="275">
        <f t="shared" ca="1" si="28"/>
        <v>0</v>
      </c>
      <c r="AZ18" s="275">
        <f t="shared" ca="1" si="29"/>
        <v>0</v>
      </c>
      <c r="BA18" s="275">
        <f t="shared" ca="1" si="30"/>
        <v>0</v>
      </c>
      <c r="BB18" s="275">
        <f t="shared" ca="1" si="31"/>
        <v>0</v>
      </c>
      <c r="BC18" s="275">
        <f t="shared" ca="1" si="32"/>
        <v>0</v>
      </c>
      <c r="BD18" s="275">
        <f t="shared" ca="1" si="33"/>
        <v>0</v>
      </c>
      <c r="BE18" s="275">
        <f t="shared" ca="1" si="34"/>
        <v>0</v>
      </c>
      <c r="BF18" s="275">
        <f t="shared" ca="1" si="35"/>
        <v>0</v>
      </c>
      <c r="BG18" s="275">
        <f t="shared" ca="1" si="36"/>
        <v>0</v>
      </c>
      <c r="BH18" s="275">
        <f t="shared" ca="1" si="75"/>
        <v>0</v>
      </c>
      <c r="BI18" s="275">
        <f t="shared" ca="1" si="76"/>
        <v>0</v>
      </c>
      <c r="BJ18" s="275">
        <f t="shared" ca="1" si="37"/>
        <v>0</v>
      </c>
      <c r="BK18" s="275">
        <f t="shared" ca="1" si="38"/>
        <v>0</v>
      </c>
      <c r="BL18" s="275">
        <f t="shared" ca="1" si="39"/>
        <v>0</v>
      </c>
      <c r="BM18" s="275">
        <f t="shared" ca="1" si="40"/>
        <v>0</v>
      </c>
      <c r="BN18" s="275">
        <f t="shared" ca="1" si="41"/>
        <v>0</v>
      </c>
      <c r="BO18" s="275">
        <f t="shared" ca="1" si="42"/>
        <v>0</v>
      </c>
      <c r="BP18" s="275">
        <f t="shared" ca="1" si="77"/>
        <v>0</v>
      </c>
      <c r="BQ18" s="275">
        <f t="shared" ca="1" si="78"/>
        <v>0</v>
      </c>
      <c r="BR18" s="275">
        <f t="shared" ca="1" si="43"/>
        <v>0</v>
      </c>
      <c r="BS18" s="275">
        <f t="shared" ca="1" si="44"/>
        <v>0</v>
      </c>
      <c r="BT18" s="275">
        <f t="shared" ca="1" si="79"/>
        <v>0</v>
      </c>
      <c r="BU18" s="275">
        <f t="shared" ca="1" si="80"/>
        <v>0</v>
      </c>
      <c r="BV18" s="275">
        <f t="shared" ca="1" si="81"/>
        <v>0</v>
      </c>
      <c r="BW18" s="275">
        <f t="shared" ca="1" si="82"/>
        <v>0</v>
      </c>
      <c r="BX18" s="275">
        <f t="shared" ca="1" si="45"/>
        <v>0</v>
      </c>
      <c r="BY18" s="275">
        <f t="shared" ca="1" si="46"/>
        <v>0</v>
      </c>
      <c r="BZ18" s="275">
        <f t="shared" ca="1" si="47"/>
        <v>0</v>
      </c>
      <c r="CA18" s="275">
        <f t="shared" ca="1" si="48"/>
        <v>0</v>
      </c>
      <c r="CB18" s="275">
        <f t="shared" ca="1" si="49"/>
        <v>0</v>
      </c>
      <c r="CC18" s="275">
        <f t="shared" ca="1" si="50"/>
        <v>0</v>
      </c>
      <c r="CD18" s="275">
        <f t="shared" ca="1" si="83"/>
        <v>0</v>
      </c>
      <c r="CE18" s="275">
        <f t="shared" ca="1" si="84"/>
        <v>0</v>
      </c>
      <c r="CF18" s="275">
        <f t="shared" ca="1" si="85"/>
        <v>0</v>
      </c>
      <c r="CG18" s="275">
        <f t="shared" ca="1" si="86"/>
        <v>0</v>
      </c>
      <c r="CH18" s="275">
        <f t="shared" ca="1" si="51"/>
        <v>0</v>
      </c>
      <c r="CI18" s="275">
        <f t="shared" ca="1" si="52"/>
        <v>0</v>
      </c>
      <c r="CJ18" s="275">
        <f t="shared" ca="1" si="87"/>
        <v>0</v>
      </c>
      <c r="CK18" s="275">
        <f t="shared" ca="1" si="88"/>
        <v>0</v>
      </c>
      <c r="CL18" s="275">
        <f t="shared" ca="1" si="53"/>
        <v>0</v>
      </c>
      <c r="CM18" s="275">
        <f t="shared" ca="1" si="54"/>
        <v>0</v>
      </c>
      <c r="CN18" s="275">
        <f t="shared" ca="1" si="55"/>
        <v>0</v>
      </c>
      <c r="CO18" s="275">
        <f t="shared" ca="1" si="56"/>
        <v>0</v>
      </c>
      <c r="CP18" s="275">
        <f t="shared" ca="1" si="89"/>
        <v>0</v>
      </c>
      <c r="CQ18" s="275">
        <f t="shared" ca="1" si="90"/>
        <v>0</v>
      </c>
      <c r="CR18" s="275">
        <f t="shared" ca="1" si="91"/>
        <v>0</v>
      </c>
      <c r="CS18" s="275">
        <f t="shared" ca="1" si="92"/>
        <v>0</v>
      </c>
      <c r="CT18" s="275">
        <f t="shared" ca="1" si="57"/>
        <v>0</v>
      </c>
      <c r="CU18" s="275">
        <f t="shared" ca="1" si="58"/>
        <v>0</v>
      </c>
      <c r="CV18" s="275">
        <f t="shared" ca="1" si="59"/>
        <v>0</v>
      </c>
      <c r="CW18" s="275">
        <f t="shared" ca="1" si="60"/>
        <v>0</v>
      </c>
      <c r="CX18" s="275">
        <f t="shared" ca="1" si="93"/>
        <v>0</v>
      </c>
      <c r="CY18" s="275">
        <f t="shared" ca="1" si="94"/>
        <v>0</v>
      </c>
      <c r="CZ18" s="275">
        <f t="shared" ca="1" si="95"/>
        <v>0</v>
      </c>
      <c r="DA18" s="275">
        <f t="shared" ca="1" si="96"/>
        <v>0</v>
      </c>
    </row>
    <row r="19" spans="1:105" s="272" customFormat="1" ht="15" customHeight="1">
      <c r="A19" s="63">
        <f t="array" aca="1" ref="A19" ca="1">IF(C19&lt;&gt;0,SUM(($C$11:C19&lt;&gt;0)*1),"")</f>
        <v>9</v>
      </c>
      <c r="B19" s="273" t="str">
        <f ca="1">IF(ROWS($1:9)&gt;COUNT(Dong6),"",OFFSET(TH!C$1,SMALL(Dong6,ROWS($1:9)),))</f>
        <v/>
      </c>
      <c r="C19" s="273" t="str">
        <f ca="1">IF(ROWS($1:9)&gt;COUNT(Dong6),"",OFFSET(TH!D$1,SMALL(Dong6,ROWS($1:9)),))</f>
        <v/>
      </c>
      <c r="D19" s="273" t="str">
        <f ca="1">IF(ROWS($1:9)&gt;COUNT(Dong6),"",OFFSET(TH!E$1,SMALL(Dong6,ROWS($1:9)),))</f>
        <v/>
      </c>
      <c r="E19" s="323" t="str">
        <f ca="1">IF(ROWS($1:9)&gt;COUNT(Dong6),"",OFFSET(TH!F$1,SMALL(Dong6,ROWS($1:9)),))</f>
        <v/>
      </c>
      <c r="F19" s="324" t="str">
        <f ca="1">IF(ROWS($1:9)&gt;COUNT(Dong6),"",OFFSET(TH!M$1,SMALL(Dong6,ROWS($1:9)),))</f>
        <v/>
      </c>
      <c r="G19" s="325" t="str">
        <f ca="1">IF(ROWS($1:9)&gt;COUNT(Dong6),"",OFFSET(TH!N$1,SMALL(Dong6,ROWS($1:9)),))</f>
        <v/>
      </c>
      <c r="H19" s="325" t="str">
        <f ca="1">IF(ROWS($1:9)&gt;COUNT(Dong6),"",OFFSET(TH!O$1,SMALL(Dong6,ROWS($1:9)),))</f>
        <v/>
      </c>
      <c r="I19" s="63">
        <f t="shared" ca="1" si="0"/>
        <v>9</v>
      </c>
      <c r="J19" s="275">
        <f t="shared" ca="1" si="61"/>
        <v>0</v>
      </c>
      <c r="K19" s="275">
        <f t="shared" ca="1" si="62"/>
        <v>0</v>
      </c>
      <c r="L19" s="275">
        <f t="shared" ca="1" si="1"/>
        <v>0</v>
      </c>
      <c r="M19" s="275">
        <f t="shared" ca="1" si="2"/>
        <v>0</v>
      </c>
      <c r="N19" s="275">
        <f t="shared" ca="1" si="3"/>
        <v>0</v>
      </c>
      <c r="O19" s="275">
        <f t="shared" ca="1" si="4"/>
        <v>0</v>
      </c>
      <c r="P19" s="275">
        <f t="shared" ca="1" si="5"/>
        <v>0</v>
      </c>
      <c r="Q19" s="275">
        <f t="shared" ca="1" si="6"/>
        <v>0</v>
      </c>
      <c r="R19" s="275">
        <f t="shared" ca="1" si="7"/>
        <v>0</v>
      </c>
      <c r="S19" s="275">
        <f t="shared" ca="1" si="8"/>
        <v>0</v>
      </c>
      <c r="T19" s="275">
        <f t="shared" ca="1" si="9"/>
        <v>0</v>
      </c>
      <c r="U19" s="275">
        <f t="shared" ca="1" si="10"/>
        <v>0</v>
      </c>
      <c r="V19" s="275">
        <f t="shared" ca="1" si="11"/>
        <v>0</v>
      </c>
      <c r="W19" s="275">
        <f t="shared" ca="1" si="12"/>
        <v>0</v>
      </c>
      <c r="X19" s="275">
        <f t="shared" ca="1" si="13"/>
        <v>0</v>
      </c>
      <c r="Y19" s="275">
        <f t="shared" ca="1" si="14"/>
        <v>0</v>
      </c>
      <c r="Z19" s="275">
        <f t="shared" ca="1" si="15"/>
        <v>0</v>
      </c>
      <c r="AA19" s="275">
        <f t="shared" ca="1" si="16"/>
        <v>0</v>
      </c>
      <c r="AB19" s="275">
        <f t="shared" ca="1" si="63"/>
        <v>0</v>
      </c>
      <c r="AC19" s="275">
        <f t="shared" ca="1" si="64"/>
        <v>0</v>
      </c>
      <c r="AD19" s="275">
        <f t="shared" ca="1" si="17"/>
        <v>0</v>
      </c>
      <c r="AE19" s="275">
        <f t="shared" ca="1" si="18"/>
        <v>0</v>
      </c>
      <c r="AF19" s="275">
        <f t="shared" ca="1" si="19"/>
        <v>0</v>
      </c>
      <c r="AG19" s="275">
        <f t="shared" ca="1" si="20"/>
        <v>0</v>
      </c>
      <c r="AH19" s="275">
        <f t="shared" ca="1" si="65"/>
        <v>0</v>
      </c>
      <c r="AI19" s="275">
        <f t="shared" ca="1" si="66"/>
        <v>0</v>
      </c>
      <c r="AJ19" s="275">
        <f t="shared" ca="1" si="67"/>
        <v>0</v>
      </c>
      <c r="AK19" s="275">
        <f t="shared" ca="1" si="68"/>
        <v>0</v>
      </c>
      <c r="AL19" s="275">
        <f t="shared" ca="1" si="69"/>
        <v>0</v>
      </c>
      <c r="AM19" s="275">
        <f t="shared" ca="1" si="70"/>
        <v>0</v>
      </c>
      <c r="AN19" s="275">
        <f t="shared" ca="1" si="71"/>
        <v>0</v>
      </c>
      <c r="AO19" s="275">
        <f t="shared" ca="1" si="72"/>
        <v>0</v>
      </c>
      <c r="AP19" s="275">
        <f t="shared" ca="1" si="21"/>
        <v>0</v>
      </c>
      <c r="AQ19" s="275">
        <f t="shared" ca="1" si="22"/>
        <v>0</v>
      </c>
      <c r="AR19" s="275">
        <f t="shared" ca="1" si="23"/>
        <v>0</v>
      </c>
      <c r="AS19" s="275">
        <f t="shared" ca="1" si="24"/>
        <v>0</v>
      </c>
      <c r="AT19" s="275">
        <f t="shared" ca="1" si="73"/>
        <v>0</v>
      </c>
      <c r="AU19" s="275">
        <f t="shared" ca="1" si="74"/>
        <v>0</v>
      </c>
      <c r="AV19" s="275">
        <f t="shared" ca="1" si="25"/>
        <v>0</v>
      </c>
      <c r="AW19" s="275">
        <f t="shared" ca="1" si="26"/>
        <v>0</v>
      </c>
      <c r="AX19" s="275">
        <f t="shared" ca="1" si="27"/>
        <v>0</v>
      </c>
      <c r="AY19" s="275">
        <f t="shared" ca="1" si="28"/>
        <v>0</v>
      </c>
      <c r="AZ19" s="275">
        <f t="shared" ca="1" si="29"/>
        <v>0</v>
      </c>
      <c r="BA19" s="275">
        <f t="shared" ca="1" si="30"/>
        <v>0</v>
      </c>
      <c r="BB19" s="275">
        <f t="shared" ca="1" si="31"/>
        <v>0</v>
      </c>
      <c r="BC19" s="275">
        <f t="shared" ca="1" si="32"/>
        <v>0</v>
      </c>
      <c r="BD19" s="275">
        <f t="shared" ca="1" si="33"/>
        <v>0</v>
      </c>
      <c r="BE19" s="275">
        <f t="shared" ca="1" si="34"/>
        <v>0</v>
      </c>
      <c r="BF19" s="275">
        <f t="shared" ca="1" si="35"/>
        <v>0</v>
      </c>
      <c r="BG19" s="275">
        <f t="shared" ca="1" si="36"/>
        <v>0</v>
      </c>
      <c r="BH19" s="275">
        <f t="shared" ca="1" si="75"/>
        <v>0</v>
      </c>
      <c r="BI19" s="275">
        <f t="shared" ca="1" si="76"/>
        <v>0</v>
      </c>
      <c r="BJ19" s="275">
        <f t="shared" ca="1" si="37"/>
        <v>0</v>
      </c>
      <c r="BK19" s="275">
        <f t="shared" ca="1" si="38"/>
        <v>0</v>
      </c>
      <c r="BL19" s="275">
        <f t="shared" ca="1" si="39"/>
        <v>0</v>
      </c>
      <c r="BM19" s="275">
        <f t="shared" ca="1" si="40"/>
        <v>0</v>
      </c>
      <c r="BN19" s="275">
        <f t="shared" ca="1" si="41"/>
        <v>0</v>
      </c>
      <c r="BO19" s="275">
        <f t="shared" ca="1" si="42"/>
        <v>0</v>
      </c>
      <c r="BP19" s="275">
        <f t="shared" ca="1" si="77"/>
        <v>0</v>
      </c>
      <c r="BQ19" s="275">
        <f t="shared" ca="1" si="78"/>
        <v>0</v>
      </c>
      <c r="BR19" s="275">
        <f t="shared" ca="1" si="43"/>
        <v>0</v>
      </c>
      <c r="BS19" s="275">
        <f t="shared" ca="1" si="44"/>
        <v>0</v>
      </c>
      <c r="BT19" s="275">
        <f t="shared" ca="1" si="79"/>
        <v>0</v>
      </c>
      <c r="BU19" s="275">
        <f t="shared" ca="1" si="80"/>
        <v>0</v>
      </c>
      <c r="BV19" s="275">
        <f t="shared" ca="1" si="81"/>
        <v>0</v>
      </c>
      <c r="BW19" s="275">
        <f t="shared" ca="1" si="82"/>
        <v>0</v>
      </c>
      <c r="BX19" s="275">
        <f t="shared" ca="1" si="45"/>
        <v>0</v>
      </c>
      <c r="BY19" s="275">
        <f t="shared" ca="1" si="46"/>
        <v>0</v>
      </c>
      <c r="BZ19" s="275">
        <f t="shared" ca="1" si="47"/>
        <v>0</v>
      </c>
      <c r="CA19" s="275">
        <f t="shared" ca="1" si="48"/>
        <v>0</v>
      </c>
      <c r="CB19" s="275">
        <f t="shared" ca="1" si="49"/>
        <v>0</v>
      </c>
      <c r="CC19" s="275">
        <f t="shared" ca="1" si="50"/>
        <v>0</v>
      </c>
      <c r="CD19" s="275">
        <f t="shared" ca="1" si="83"/>
        <v>0</v>
      </c>
      <c r="CE19" s="275">
        <f t="shared" ca="1" si="84"/>
        <v>0</v>
      </c>
      <c r="CF19" s="275">
        <f t="shared" ca="1" si="85"/>
        <v>0</v>
      </c>
      <c r="CG19" s="275">
        <f t="shared" ca="1" si="86"/>
        <v>0</v>
      </c>
      <c r="CH19" s="275">
        <f t="shared" ca="1" si="51"/>
        <v>0</v>
      </c>
      <c r="CI19" s="275">
        <f t="shared" ca="1" si="52"/>
        <v>0</v>
      </c>
      <c r="CJ19" s="275">
        <f t="shared" ca="1" si="87"/>
        <v>0</v>
      </c>
      <c r="CK19" s="275">
        <f t="shared" ca="1" si="88"/>
        <v>0</v>
      </c>
      <c r="CL19" s="275">
        <f t="shared" ca="1" si="53"/>
        <v>0</v>
      </c>
      <c r="CM19" s="275">
        <f t="shared" ca="1" si="54"/>
        <v>0</v>
      </c>
      <c r="CN19" s="275">
        <f t="shared" ca="1" si="55"/>
        <v>0</v>
      </c>
      <c r="CO19" s="275">
        <f t="shared" ca="1" si="56"/>
        <v>0</v>
      </c>
      <c r="CP19" s="275">
        <f t="shared" ca="1" si="89"/>
        <v>0</v>
      </c>
      <c r="CQ19" s="275">
        <f t="shared" ca="1" si="90"/>
        <v>0</v>
      </c>
      <c r="CR19" s="275">
        <f t="shared" ca="1" si="91"/>
        <v>0</v>
      </c>
      <c r="CS19" s="275">
        <f t="shared" ca="1" si="92"/>
        <v>0</v>
      </c>
      <c r="CT19" s="275">
        <f t="shared" ca="1" si="57"/>
        <v>0</v>
      </c>
      <c r="CU19" s="275">
        <f t="shared" ca="1" si="58"/>
        <v>0</v>
      </c>
      <c r="CV19" s="275">
        <f t="shared" ca="1" si="59"/>
        <v>0</v>
      </c>
      <c r="CW19" s="275">
        <f t="shared" ca="1" si="60"/>
        <v>0</v>
      </c>
      <c r="CX19" s="275">
        <f t="shared" ca="1" si="93"/>
        <v>0</v>
      </c>
      <c r="CY19" s="275">
        <f t="shared" ca="1" si="94"/>
        <v>0</v>
      </c>
      <c r="CZ19" s="275">
        <f t="shared" ca="1" si="95"/>
        <v>0</v>
      </c>
      <c r="DA19" s="275">
        <f t="shared" ca="1" si="96"/>
        <v>0</v>
      </c>
    </row>
    <row r="20" spans="1:105" s="272" customFormat="1" ht="15" customHeight="1">
      <c r="A20" s="63">
        <f t="array" aca="1" ref="A20" ca="1">IF(C20&lt;&gt;0,SUM(($C$11:C20&lt;&gt;0)*1),"")</f>
        <v>10</v>
      </c>
      <c r="B20" s="273" t="str">
        <f ca="1">IF(ROWS($1:10)&gt;COUNT(Dong6),"",OFFSET(TH!C$1,SMALL(Dong6,ROWS($1:10)),))</f>
        <v/>
      </c>
      <c r="C20" s="273" t="str">
        <f ca="1">IF(ROWS($1:10)&gt;COUNT(Dong6),"",OFFSET(TH!D$1,SMALL(Dong6,ROWS($1:10)),))</f>
        <v/>
      </c>
      <c r="D20" s="273" t="str">
        <f ca="1">IF(ROWS($1:10)&gt;COUNT(Dong6),"",OFFSET(TH!E$1,SMALL(Dong6,ROWS($1:10)),))</f>
        <v/>
      </c>
      <c r="E20" s="323" t="str">
        <f ca="1">IF(ROWS($1:10)&gt;COUNT(Dong6),"",OFFSET(TH!F$1,SMALL(Dong6,ROWS($1:10)),))</f>
        <v/>
      </c>
      <c r="F20" s="324" t="str">
        <f ca="1">IF(ROWS($1:10)&gt;COUNT(Dong6),"",OFFSET(TH!M$1,SMALL(Dong6,ROWS($1:10)),))</f>
        <v/>
      </c>
      <c r="G20" s="325" t="str">
        <f ca="1">IF(ROWS($1:10)&gt;COUNT(Dong6),"",OFFSET(TH!N$1,SMALL(Dong6,ROWS($1:10)),))</f>
        <v/>
      </c>
      <c r="H20" s="325" t="str">
        <f ca="1">IF(ROWS($1:10)&gt;COUNT(Dong6),"",OFFSET(TH!O$1,SMALL(Dong6,ROWS($1:10)),))</f>
        <v/>
      </c>
      <c r="I20" s="63">
        <f t="shared" ca="1" si="0"/>
        <v>10</v>
      </c>
      <c r="J20" s="275">
        <f t="shared" ca="1" si="61"/>
        <v>0</v>
      </c>
      <c r="K20" s="275">
        <f t="shared" ca="1" si="62"/>
        <v>0</v>
      </c>
      <c r="L20" s="275">
        <f t="shared" ca="1" si="1"/>
        <v>0</v>
      </c>
      <c r="M20" s="275">
        <f t="shared" ca="1" si="2"/>
        <v>0</v>
      </c>
      <c r="N20" s="275">
        <f t="shared" ca="1" si="3"/>
        <v>0</v>
      </c>
      <c r="O20" s="275">
        <f t="shared" ca="1" si="4"/>
        <v>0</v>
      </c>
      <c r="P20" s="275">
        <f t="shared" ca="1" si="5"/>
        <v>0</v>
      </c>
      <c r="Q20" s="275">
        <f t="shared" ca="1" si="6"/>
        <v>0</v>
      </c>
      <c r="R20" s="275">
        <f t="shared" ca="1" si="7"/>
        <v>0</v>
      </c>
      <c r="S20" s="275">
        <f t="shared" ca="1" si="8"/>
        <v>0</v>
      </c>
      <c r="T20" s="275">
        <f t="shared" ca="1" si="9"/>
        <v>0</v>
      </c>
      <c r="U20" s="275">
        <f t="shared" ca="1" si="10"/>
        <v>0</v>
      </c>
      <c r="V20" s="275">
        <f t="shared" ca="1" si="11"/>
        <v>0</v>
      </c>
      <c r="W20" s="275">
        <f t="shared" ca="1" si="12"/>
        <v>0</v>
      </c>
      <c r="X20" s="275">
        <f t="shared" ca="1" si="13"/>
        <v>0</v>
      </c>
      <c r="Y20" s="275">
        <f t="shared" ca="1" si="14"/>
        <v>0</v>
      </c>
      <c r="Z20" s="275">
        <f t="shared" ca="1" si="15"/>
        <v>0</v>
      </c>
      <c r="AA20" s="275">
        <f t="shared" ca="1" si="16"/>
        <v>0</v>
      </c>
      <c r="AB20" s="275">
        <f t="shared" ca="1" si="63"/>
        <v>0</v>
      </c>
      <c r="AC20" s="275">
        <f t="shared" ca="1" si="64"/>
        <v>0</v>
      </c>
      <c r="AD20" s="275">
        <f t="shared" ca="1" si="17"/>
        <v>0</v>
      </c>
      <c r="AE20" s="275">
        <f t="shared" ca="1" si="18"/>
        <v>0</v>
      </c>
      <c r="AF20" s="275">
        <f t="shared" ca="1" si="19"/>
        <v>0</v>
      </c>
      <c r="AG20" s="275">
        <f t="shared" ca="1" si="20"/>
        <v>0</v>
      </c>
      <c r="AH20" s="275">
        <f t="shared" ca="1" si="65"/>
        <v>0</v>
      </c>
      <c r="AI20" s="275">
        <f t="shared" ca="1" si="66"/>
        <v>0</v>
      </c>
      <c r="AJ20" s="275">
        <f t="shared" ca="1" si="67"/>
        <v>0</v>
      </c>
      <c r="AK20" s="275">
        <f t="shared" ca="1" si="68"/>
        <v>0</v>
      </c>
      <c r="AL20" s="275">
        <f t="shared" ca="1" si="69"/>
        <v>0</v>
      </c>
      <c r="AM20" s="275">
        <f t="shared" ca="1" si="70"/>
        <v>0</v>
      </c>
      <c r="AN20" s="275">
        <f t="shared" ca="1" si="71"/>
        <v>0</v>
      </c>
      <c r="AO20" s="275">
        <f t="shared" ca="1" si="72"/>
        <v>0</v>
      </c>
      <c r="AP20" s="275">
        <f t="shared" ca="1" si="21"/>
        <v>0</v>
      </c>
      <c r="AQ20" s="275">
        <f t="shared" ca="1" si="22"/>
        <v>0</v>
      </c>
      <c r="AR20" s="275">
        <f t="shared" ca="1" si="23"/>
        <v>0</v>
      </c>
      <c r="AS20" s="275">
        <f t="shared" ca="1" si="24"/>
        <v>0</v>
      </c>
      <c r="AT20" s="275">
        <f t="shared" ca="1" si="73"/>
        <v>0</v>
      </c>
      <c r="AU20" s="275">
        <f t="shared" ca="1" si="74"/>
        <v>0</v>
      </c>
      <c r="AV20" s="275">
        <f t="shared" ca="1" si="25"/>
        <v>0</v>
      </c>
      <c r="AW20" s="275">
        <f t="shared" ca="1" si="26"/>
        <v>0</v>
      </c>
      <c r="AX20" s="275">
        <f t="shared" ca="1" si="27"/>
        <v>0</v>
      </c>
      <c r="AY20" s="275">
        <f t="shared" ca="1" si="28"/>
        <v>0</v>
      </c>
      <c r="AZ20" s="275">
        <f t="shared" ca="1" si="29"/>
        <v>0</v>
      </c>
      <c r="BA20" s="275">
        <f t="shared" ca="1" si="30"/>
        <v>0</v>
      </c>
      <c r="BB20" s="275">
        <f t="shared" ca="1" si="31"/>
        <v>0</v>
      </c>
      <c r="BC20" s="275">
        <f t="shared" ca="1" si="32"/>
        <v>0</v>
      </c>
      <c r="BD20" s="275">
        <f t="shared" ca="1" si="33"/>
        <v>0</v>
      </c>
      <c r="BE20" s="275">
        <f t="shared" ca="1" si="34"/>
        <v>0</v>
      </c>
      <c r="BF20" s="275">
        <f t="shared" ca="1" si="35"/>
        <v>0</v>
      </c>
      <c r="BG20" s="275">
        <f t="shared" ca="1" si="36"/>
        <v>0</v>
      </c>
      <c r="BH20" s="275">
        <f t="shared" ca="1" si="75"/>
        <v>0</v>
      </c>
      <c r="BI20" s="275">
        <f t="shared" ca="1" si="76"/>
        <v>0</v>
      </c>
      <c r="BJ20" s="275">
        <f t="shared" ca="1" si="37"/>
        <v>0</v>
      </c>
      <c r="BK20" s="275">
        <f t="shared" ca="1" si="38"/>
        <v>0</v>
      </c>
      <c r="BL20" s="275">
        <f t="shared" ca="1" si="39"/>
        <v>0</v>
      </c>
      <c r="BM20" s="275">
        <f t="shared" ca="1" si="40"/>
        <v>0</v>
      </c>
      <c r="BN20" s="275">
        <f t="shared" ca="1" si="41"/>
        <v>0</v>
      </c>
      <c r="BO20" s="275">
        <f t="shared" ca="1" si="42"/>
        <v>0</v>
      </c>
      <c r="BP20" s="275">
        <f t="shared" ca="1" si="77"/>
        <v>0</v>
      </c>
      <c r="BQ20" s="275">
        <f t="shared" ca="1" si="78"/>
        <v>0</v>
      </c>
      <c r="BR20" s="275">
        <f t="shared" ca="1" si="43"/>
        <v>0</v>
      </c>
      <c r="BS20" s="275">
        <f t="shared" ca="1" si="44"/>
        <v>0</v>
      </c>
      <c r="BT20" s="275">
        <f t="shared" ca="1" si="79"/>
        <v>0</v>
      </c>
      <c r="BU20" s="275">
        <f t="shared" ca="1" si="80"/>
        <v>0</v>
      </c>
      <c r="BV20" s="275">
        <f t="shared" ca="1" si="81"/>
        <v>0</v>
      </c>
      <c r="BW20" s="275">
        <f t="shared" ca="1" si="82"/>
        <v>0</v>
      </c>
      <c r="BX20" s="275">
        <f t="shared" ca="1" si="45"/>
        <v>0</v>
      </c>
      <c r="BY20" s="275">
        <f t="shared" ca="1" si="46"/>
        <v>0</v>
      </c>
      <c r="BZ20" s="275">
        <f t="shared" ca="1" si="47"/>
        <v>0</v>
      </c>
      <c r="CA20" s="275">
        <f t="shared" ca="1" si="48"/>
        <v>0</v>
      </c>
      <c r="CB20" s="275">
        <f t="shared" ca="1" si="49"/>
        <v>0</v>
      </c>
      <c r="CC20" s="275">
        <f t="shared" ca="1" si="50"/>
        <v>0</v>
      </c>
      <c r="CD20" s="275">
        <f t="shared" ca="1" si="83"/>
        <v>0</v>
      </c>
      <c r="CE20" s="275">
        <f t="shared" ca="1" si="84"/>
        <v>0</v>
      </c>
      <c r="CF20" s="275">
        <f t="shared" ca="1" si="85"/>
        <v>0</v>
      </c>
      <c r="CG20" s="275">
        <f t="shared" ca="1" si="86"/>
        <v>0</v>
      </c>
      <c r="CH20" s="275">
        <f t="shared" ca="1" si="51"/>
        <v>0</v>
      </c>
      <c r="CI20" s="275">
        <f t="shared" ca="1" si="52"/>
        <v>0</v>
      </c>
      <c r="CJ20" s="275">
        <f t="shared" ca="1" si="87"/>
        <v>0</v>
      </c>
      <c r="CK20" s="275">
        <f t="shared" ca="1" si="88"/>
        <v>0</v>
      </c>
      <c r="CL20" s="275">
        <f t="shared" ca="1" si="53"/>
        <v>0</v>
      </c>
      <c r="CM20" s="275">
        <f t="shared" ca="1" si="54"/>
        <v>0</v>
      </c>
      <c r="CN20" s="275">
        <f t="shared" ca="1" si="55"/>
        <v>0</v>
      </c>
      <c r="CO20" s="275">
        <f t="shared" ca="1" si="56"/>
        <v>0</v>
      </c>
      <c r="CP20" s="275">
        <f t="shared" ca="1" si="89"/>
        <v>0</v>
      </c>
      <c r="CQ20" s="275">
        <f t="shared" ca="1" si="90"/>
        <v>0</v>
      </c>
      <c r="CR20" s="275">
        <f t="shared" ca="1" si="91"/>
        <v>0</v>
      </c>
      <c r="CS20" s="275">
        <f t="shared" ca="1" si="92"/>
        <v>0</v>
      </c>
      <c r="CT20" s="275">
        <f t="shared" ca="1" si="57"/>
        <v>0</v>
      </c>
      <c r="CU20" s="275">
        <f t="shared" ca="1" si="58"/>
        <v>0</v>
      </c>
      <c r="CV20" s="275">
        <f t="shared" ca="1" si="59"/>
        <v>0</v>
      </c>
      <c r="CW20" s="275">
        <f t="shared" ca="1" si="60"/>
        <v>0</v>
      </c>
      <c r="CX20" s="275">
        <f t="shared" ca="1" si="93"/>
        <v>0</v>
      </c>
      <c r="CY20" s="275">
        <f t="shared" ca="1" si="94"/>
        <v>0</v>
      </c>
      <c r="CZ20" s="275">
        <f t="shared" ca="1" si="95"/>
        <v>0</v>
      </c>
      <c r="DA20" s="275">
        <f t="shared" ca="1" si="96"/>
        <v>0</v>
      </c>
    </row>
    <row r="21" spans="1:105" s="272" customFormat="1" ht="15" customHeight="1">
      <c r="A21" s="63">
        <f t="array" aca="1" ref="A21" ca="1">IF(C21&lt;&gt;0,SUM(($C$11:C21&lt;&gt;0)*1),"")</f>
        <v>11</v>
      </c>
      <c r="B21" s="273" t="str">
        <f ca="1">IF(ROWS($1:11)&gt;COUNT(Dong6),"",OFFSET(TH!C$1,SMALL(Dong6,ROWS($1:11)),))</f>
        <v/>
      </c>
      <c r="C21" s="273" t="str">
        <f ca="1">IF(ROWS($1:11)&gt;COUNT(Dong6),"",OFFSET(TH!D$1,SMALL(Dong6,ROWS($1:11)),))</f>
        <v/>
      </c>
      <c r="D21" s="273" t="str">
        <f ca="1">IF(ROWS($1:11)&gt;COUNT(Dong6),"",OFFSET(TH!E$1,SMALL(Dong6,ROWS($1:11)),))</f>
        <v/>
      </c>
      <c r="E21" s="323" t="str">
        <f ca="1">IF(ROWS($1:11)&gt;COUNT(Dong6),"",OFFSET(TH!F$1,SMALL(Dong6,ROWS($1:11)),))</f>
        <v/>
      </c>
      <c r="F21" s="324" t="str">
        <f ca="1">IF(ROWS($1:11)&gt;COUNT(Dong6),"",OFFSET(TH!M$1,SMALL(Dong6,ROWS($1:11)),))</f>
        <v/>
      </c>
      <c r="G21" s="325" t="str">
        <f ca="1">IF(ROWS($1:11)&gt;COUNT(Dong6),"",OFFSET(TH!N$1,SMALL(Dong6,ROWS($1:11)),))</f>
        <v/>
      </c>
      <c r="H21" s="325" t="str">
        <f ca="1">IF(ROWS($1:11)&gt;COUNT(Dong6),"",OFFSET(TH!O$1,SMALL(Dong6,ROWS($1:11)),))</f>
        <v/>
      </c>
      <c r="I21" s="63">
        <f t="shared" ca="1" si="0"/>
        <v>11</v>
      </c>
      <c r="J21" s="275">
        <f t="shared" ca="1" si="61"/>
        <v>0</v>
      </c>
      <c r="K21" s="275">
        <f t="shared" ca="1" si="62"/>
        <v>0</v>
      </c>
      <c r="L21" s="275">
        <f t="shared" ca="1" si="1"/>
        <v>0</v>
      </c>
      <c r="M21" s="275">
        <f t="shared" ca="1" si="2"/>
        <v>0</v>
      </c>
      <c r="N21" s="275">
        <f t="shared" ca="1" si="3"/>
        <v>0</v>
      </c>
      <c r="O21" s="275">
        <f t="shared" ca="1" si="4"/>
        <v>0</v>
      </c>
      <c r="P21" s="275">
        <f t="shared" ca="1" si="5"/>
        <v>0</v>
      </c>
      <c r="Q21" s="275">
        <f t="shared" ca="1" si="6"/>
        <v>0</v>
      </c>
      <c r="R21" s="275">
        <f t="shared" ca="1" si="7"/>
        <v>0</v>
      </c>
      <c r="S21" s="275">
        <f t="shared" ca="1" si="8"/>
        <v>0</v>
      </c>
      <c r="T21" s="275">
        <f t="shared" ca="1" si="9"/>
        <v>0</v>
      </c>
      <c r="U21" s="275">
        <f t="shared" ca="1" si="10"/>
        <v>0</v>
      </c>
      <c r="V21" s="275">
        <f t="shared" ca="1" si="11"/>
        <v>0</v>
      </c>
      <c r="W21" s="275">
        <f t="shared" ca="1" si="12"/>
        <v>0</v>
      </c>
      <c r="X21" s="275">
        <f t="shared" ca="1" si="13"/>
        <v>0</v>
      </c>
      <c r="Y21" s="275">
        <f t="shared" ca="1" si="14"/>
        <v>0</v>
      </c>
      <c r="Z21" s="275">
        <f t="shared" ca="1" si="15"/>
        <v>0</v>
      </c>
      <c r="AA21" s="275">
        <f t="shared" ca="1" si="16"/>
        <v>0</v>
      </c>
      <c r="AB21" s="275">
        <f t="shared" ca="1" si="63"/>
        <v>0</v>
      </c>
      <c r="AC21" s="275">
        <f t="shared" ca="1" si="64"/>
        <v>0</v>
      </c>
      <c r="AD21" s="275">
        <f t="shared" ca="1" si="17"/>
        <v>0</v>
      </c>
      <c r="AE21" s="275">
        <f t="shared" ca="1" si="18"/>
        <v>0</v>
      </c>
      <c r="AF21" s="275">
        <f t="shared" ca="1" si="19"/>
        <v>0</v>
      </c>
      <c r="AG21" s="275">
        <f t="shared" ca="1" si="20"/>
        <v>0</v>
      </c>
      <c r="AH21" s="275">
        <f t="shared" ca="1" si="65"/>
        <v>0</v>
      </c>
      <c r="AI21" s="275">
        <f t="shared" ca="1" si="66"/>
        <v>0</v>
      </c>
      <c r="AJ21" s="275">
        <f t="shared" ca="1" si="67"/>
        <v>0</v>
      </c>
      <c r="AK21" s="275">
        <f t="shared" ca="1" si="68"/>
        <v>0</v>
      </c>
      <c r="AL21" s="275">
        <f t="shared" ca="1" si="69"/>
        <v>0</v>
      </c>
      <c r="AM21" s="275">
        <f t="shared" ca="1" si="70"/>
        <v>0</v>
      </c>
      <c r="AN21" s="275">
        <f t="shared" ca="1" si="71"/>
        <v>0</v>
      </c>
      <c r="AO21" s="275">
        <f t="shared" ca="1" si="72"/>
        <v>0</v>
      </c>
      <c r="AP21" s="275">
        <f t="shared" ca="1" si="21"/>
        <v>0</v>
      </c>
      <c r="AQ21" s="275">
        <f t="shared" ca="1" si="22"/>
        <v>0</v>
      </c>
      <c r="AR21" s="275">
        <f t="shared" ca="1" si="23"/>
        <v>0</v>
      </c>
      <c r="AS21" s="275">
        <f t="shared" ca="1" si="24"/>
        <v>0</v>
      </c>
      <c r="AT21" s="275">
        <f t="shared" ca="1" si="73"/>
        <v>0</v>
      </c>
      <c r="AU21" s="275">
        <f t="shared" ca="1" si="74"/>
        <v>0</v>
      </c>
      <c r="AV21" s="275">
        <f t="shared" ca="1" si="25"/>
        <v>0</v>
      </c>
      <c r="AW21" s="275">
        <f t="shared" ca="1" si="26"/>
        <v>0</v>
      </c>
      <c r="AX21" s="275">
        <f t="shared" ca="1" si="27"/>
        <v>0</v>
      </c>
      <c r="AY21" s="275">
        <f t="shared" ca="1" si="28"/>
        <v>0</v>
      </c>
      <c r="AZ21" s="275">
        <f t="shared" ca="1" si="29"/>
        <v>0</v>
      </c>
      <c r="BA21" s="275">
        <f t="shared" ca="1" si="30"/>
        <v>0</v>
      </c>
      <c r="BB21" s="275">
        <f t="shared" ca="1" si="31"/>
        <v>0</v>
      </c>
      <c r="BC21" s="275">
        <f t="shared" ca="1" si="32"/>
        <v>0</v>
      </c>
      <c r="BD21" s="275">
        <f t="shared" ca="1" si="33"/>
        <v>0</v>
      </c>
      <c r="BE21" s="275">
        <f t="shared" ca="1" si="34"/>
        <v>0</v>
      </c>
      <c r="BF21" s="275">
        <f t="shared" ca="1" si="35"/>
        <v>0</v>
      </c>
      <c r="BG21" s="275">
        <f t="shared" ca="1" si="36"/>
        <v>0</v>
      </c>
      <c r="BH21" s="275">
        <f t="shared" ca="1" si="75"/>
        <v>0</v>
      </c>
      <c r="BI21" s="275">
        <f t="shared" ca="1" si="76"/>
        <v>0</v>
      </c>
      <c r="BJ21" s="275">
        <f t="shared" ca="1" si="37"/>
        <v>0</v>
      </c>
      <c r="BK21" s="275">
        <f t="shared" ca="1" si="38"/>
        <v>0</v>
      </c>
      <c r="BL21" s="275">
        <f t="shared" ca="1" si="39"/>
        <v>0</v>
      </c>
      <c r="BM21" s="275">
        <f t="shared" ca="1" si="40"/>
        <v>0</v>
      </c>
      <c r="BN21" s="275">
        <f t="shared" ca="1" si="41"/>
        <v>0</v>
      </c>
      <c r="BO21" s="275">
        <f t="shared" ca="1" si="42"/>
        <v>0</v>
      </c>
      <c r="BP21" s="275">
        <f t="shared" ca="1" si="77"/>
        <v>0</v>
      </c>
      <c r="BQ21" s="275">
        <f t="shared" ca="1" si="78"/>
        <v>0</v>
      </c>
      <c r="BR21" s="275">
        <f t="shared" ca="1" si="43"/>
        <v>0</v>
      </c>
      <c r="BS21" s="275">
        <f t="shared" ca="1" si="44"/>
        <v>0</v>
      </c>
      <c r="BT21" s="275">
        <f t="shared" ca="1" si="79"/>
        <v>0</v>
      </c>
      <c r="BU21" s="275">
        <f t="shared" ca="1" si="80"/>
        <v>0</v>
      </c>
      <c r="BV21" s="275">
        <f t="shared" ca="1" si="81"/>
        <v>0</v>
      </c>
      <c r="BW21" s="275">
        <f t="shared" ca="1" si="82"/>
        <v>0</v>
      </c>
      <c r="BX21" s="275">
        <f t="shared" ca="1" si="45"/>
        <v>0</v>
      </c>
      <c r="BY21" s="275">
        <f t="shared" ca="1" si="46"/>
        <v>0</v>
      </c>
      <c r="BZ21" s="275">
        <f t="shared" ca="1" si="47"/>
        <v>0</v>
      </c>
      <c r="CA21" s="275">
        <f t="shared" ca="1" si="48"/>
        <v>0</v>
      </c>
      <c r="CB21" s="275">
        <f t="shared" ca="1" si="49"/>
        <v>0</v>
      </c>
      <c r="CC21" s="275">
        <f t="shared" ca="1" si="50"/>
        <v>0</v>
      </c>
      <c r="CD21" s="275">
        <f t="shared" ca="1" si="83"/>
        <v>0</v>
      </c>
      <c r="CE21" s="275">
        <f t="shared" ca="1" si="84"/>
        <v>0</v>
      </c>
      <c r="CF21" s="275">
        <f t="shared" ca="1" si="85"/>
        <v>0</v>
      </c>
      <c r="CG21" s="275">
        <f t="shared" ca="1" si="86"/>
        <v>0</v>
      </c>
      <c r="CH21" s="275">
        <f t="shared" ca="1" si="51"/>
        <v>0</v>
      </c>
      <c r="CI21" s="275">
        <f t="shared" ca="1" si="52"/>
        <v>0</v>
      </c>
      <c r="CJ21" s="275">
        <f t="shared" ca="1" si="87"/>
        <v>0</v>
      </c>
      <c r="CK21" s="275">
        <f t="shared" ca="1" si="88"/>
        <v>0</v>
      </c>
      <c r="CL21" s="275">
        <f t="shared" ca="1" si="53"/>
        <v>0</v>
      </c>
      <c r="CM21" s="275">
        <f t="shared" ca="1" si="54"/>
        <v>0</v>
      </c>
      <c r="CN21" s="275">
        <f t="shared" ca="1" si="55"/>
        <v>0</v>
      </c>
      <c r="CO21" s="275">
        <f t="shared" ca="1" si="56"/>
        <v>0</v>
      </c>
      <c r="CP21" s="275">
        <f t="shared" ca="1" si="89"/>
        <v>0</v>
      </c>
      <c r="CQ21" s="275">
        <f t="shared" ca="1" si="90"/>
        <v>0</v>
      </c>
      <c r="CR21" s="275">
        <f t="shared" ca="1" si="91"/>
        <v>0</v>
      </c>
      <c r="CS21" s="275">
        <f t="shared" ca="1" si="92"/>
        <v>0</v>
      </c>
      <c r="CT21" s="275">
        <f t="shared" ca="1" si="57"/>
        <v>0</v>
      </c>
      <c r="CU21" s="275">
        <f t="shared" ca="1" si="58"/>
        <v>0</v>
      </c>
      <c r="CV21" s="275">
        <f t="shared" ca="1" si="59"/>
        <v>0</v>
      </c>
      <c r="CW21" s="275">
        <f t="shared" ca="1" si="60"/>
        <v>0</v>
      </c>
      <c r="CX21" s="275">
        <f t="shared" ca="1" si="93"/>
        <v>0</v>
      </c>
      <c r="CY21" s="275">
        <f t="shared" ca="1" si="94"/>
        <v>0</v>
      </c>
      <c r="CZ21" s="275">
        <f t="shared" ca="1" si="95"/>
        <v>0</v>
      </c>
      <c r="DA21" s="275">
        <f t="shared" ca="1" si="96"/>
        <v>0</v>
      </c>
    </row>
    <row r="22" spans="1:105" s="272" customFormat="1" ht="15" customHeight="1">
      <c r="A22" s="63">
        <f t="array" aca="1" ref="A22" ca="1">IF(C22&lt;&gt;0,SUM(($C$11:C22&lt;&gt;0)*1),"")</f>
        <v>12</v>
      </c>
      <c r="B22" s="273" t="str">
        <f ca="1">IF(ROWS($1:12)&gt;COUNT(Dong6),"",OFFSET(TH!C$1,SMALL(Dong6,ROWS($1:12)),))</f>
        <v/>
      </c>
      <c r="C22" s="273" t="str">
        <f ca="1">IF(ROWS($1:12)&gt;COUNT(Dong6),"",OFFSET(TH!D$1,SMALL(Dong6,ROWS($1:12)),))</f>
        <v/>
      </c>
      <c r="D22" s="273" t="str">
        <f ca="1">IF(ROWS($1:12)&gt;COUNT(Dong6),"",OFFSET(TH!E$1,SMALL(Dong6,ROWS($1:12)),))</f>
        <v/>
      </c>
      <c r="E22" s="323" t="str">
        <f ca="1">IF(ROWS($1:12)&gt;COUNT(Dong6),"",OFFSET(TH!F$1,SMALL(Dong6,ROWS($1:12)),))</f>
        <v/>
      </c>
      <c r="F22" s="324" t="str">
        <f ca="1">IF(ROWS($1:12)&gt;COUNT(Dong6),"",OFFSET(TH!M$1,SMALL(Dong6,ROWS($1:12)),))</f>
        <v/>
      </c>
      <c r="G22" s="325" t="str">
        <f ca="1">IF(ROWS($1:12)&gt;COUNT(Dong6),"",OFFSET(TH!N$1,SMALL(Dong6,ROWS($1:12)),))</f>
        <v/>
      </c>
      <c r="H22" s="325" t="str">
        <f ca="1">IF(ROWS($1:12)&gt;COUNT(Dong6),"",OFFSET(TH!O$1,SMALL(Dong6,ROWS($1:12)),))</f>
        <v/>
      </c>
      <c r="I22" s="63">
        <f t="shared" ca="1" si="0"/>
        <v>12</v>
      </c>
      <c r="J22" s="275">
        <f t="shared" ca="1" si="61"/>
        <v>0</v>
      </c>
      <c r="K22" s="275">
        <f t="shared" ca="1" si="62"/>
        <v>0</v>
      </c>
      <c r="L22" s="275">
        <f t="shared" ca="1" si="1"/>
        <v>0</v>
      </c>
      <c r="M22" s="275">
        <f t="shared" ca="1" si="2"/>
        <v>0</v>
      </c>
      <c r="N22" s="275">
        <f t="shared" ca="1" si="3"/>
        <v>0</v>
      </c>
      <c r="O22" s="275">
        <f t="shared" ca="1" si="4"/>
        <v>0</v>
      </c>
      <c r="P22" s="275">
        <f t="shared" ca="1" si="5"/>
        <v>0</v>
      </c>
      <c r="Q22" s="275">
        <f t="shared" ca="1" si="6"/>
        <v>0</v>
      </c>
      <c r="R22" s="275">
        <f t="shared" ca="1" si="7"/>
        <v>0</v>
      </c>
      <c r="S22" s="275">
        <f t="shared" ca="1" si="8"/>
        <v>0</v>
      </c>
      <c r="T22" s="275">
        <f t="shared" ca="1" si="9"/>
        <v>0</v>
      </c>
      <c r="U22" s="275">
        <f t="shared" ca="1" si="10"/>
        <v>0</v>
      </c>
      <c r="V22" s="275">
        <f t="shared" ca="1" si="11"/>
        <v>0</v>
      </c>
      <c r="W22" s="275">
        <f t="shared" ca="1" si="12"/>
        <v>0</v>
      </c>
      <c r="X22" s="275">
        <f t="shared" ca="1" si="13"/>
        <v>0</v>
      </c>
      <c r="Y22" s="275">
        <f t="shared" ca="1" si="14"/>
        <v>0</v>
      </c>
      <c r="Z22" s="275">
        <f t="shared" ca="1" si="15"/>
        <v>0</v>
      </c>
      <c r="AA22" s="275">
        <f t="shared" ca="1" si="16"/>
        <v>0</v>
      </c>
      <c r="AB22" s="275">
        <f t="shared" ca="1" si="63"/>
        <v>0</v>
      </c>
      <c r="AC22" s="275">
        <f t="shared" ca="1" si="64"/>
        <v>0</v>
      </c>
      <c r="AD22" s="275">
        <f t="shared" ca="1" si="17"/>
        <v>0</v>
      </c>
      <c r="AE22" s="275">
        <f t="shared" ca="1" si="18"/>
        <v>0</v>
      </c>
      <c r="AF22" s="275">
        <f t="shared" ca="1" si="19"/>
        <v>0</v>
      </c>
      <c r="AG22" s="275">
        <f t="shared" ca="1" si="20"/>
        <v>0</v>
      </c>
      <c r="AH22" s="275">
        <f t="shared" ca="1" si="65"/>
        <v>0</v>
      </c>
      <c r="AI22" s="275">
        <f t="shared" ca="1" si="66"/>
        <v>0</v>
      </c>
      <c r="AJ22" s="275">
        <f t="shared" ca="1" si="67"/>
        <v>0</v>
      </c>
      <c r="AK22" s="275">
        <f t="shared" ca="1" si="68"/>
        <v>0</v>
      </c>
      <c r="AL22" s="275">
        <f t="shared" ca="1" si="69"/>
        <v>0</v>
      </c>
      <c r="AM22" s="275">
        <f t="shared" ca="1" si="70"/>
        <v>0</v>
      </c>
      <c r="AN22" s="275">
        <f t="shared" ca="1" si="71"/>
        <v>0</v>
      </c>
      <c r="AO22" s="275">
        <f t="shared" ca="1" si="72"/>
        <v>0</v>
      </c>
      <c r="AP22" s="275">
        <f t="shared" ca="1" si="21"/>
        <v>0</v>
      </c>
      <c r="AQ22" s="275">
        <f t="shared" ca="1" si="22"/>
        <v>0</v>
      </c>
      <c r="AR22" s="275">
        <f t="shared" ca="1" si="23"/>
        <v>0</v>
      </c>
      <c r="AS22" s="275">
        <f t="shared" ca="1" si="24"/>
        <v>0</v>
      </c>
      <c r="AT22" s="275">
        <f t="shared" ca="1" si="73"/>
        <v>0</v>
      </c>
      <c r="AU22" s="275">
        <f t="shared" ca="1" si="74"/>
        <v>0</v>
      </c>
      <c r="AV22" s="275">
        <f t="shared" ca="1" si="25"/>
        <v>0</v>
      </c>
      <c r="AW22" s="275">
        <f t="shared" ca="1" si="26"/>
        <v>0</v>
      </c>
      <c r="AX22" s="275">
        <f t="shared" ca="1" si="27"/>
        <v>0</v>
      </c>
      <c r="AY22" s="275">
        <f t="shared" ca="1" si="28"/>
        <v>0</v>
      </c>
      <c r="AZ22" s="275">
        <f t="shared" ca="1" si="29"/>
        <v>0</v>
      </c>
      <c r="BA22" s="275">
        <f t="shared" ca="1" si="30"/>
        <v>0</v>
      </c>
      <c r="BB22" s="275">
        <f t="shared" ca="1" si="31"/>
        <v>0</v>
      </c>
      <c r="BC22" s="275">
        <f t="shared" ca="1" si="32"/>
        <v>0</v>
      </c>
      <c r="BD22" s="275">
        <f t="shared" ca="1" si="33"/>
        <v>0</v>
      </c>
      <c r="BE22" s="275">
        <f t="shared" ca="1" si="34"/>
        <v>0</v>
      </c>
      <c r="BF22" s="275">
        <f t="shared" ca="1" si="35"/>
        <v>0</v>
      </c>
      <c r="BG22" s="275">
        <f t="shared" ca="1" si="36"/>
        <v>0</v>
      </c>
      <c r="BH22" s="275">
        <f t="shared" ca="1" si="75"/>
        <v>0</v>
      </c>
      <c r="BI22" s="275">
        <f t="shared" ca="1" si="76"/>
        <v>0</v>
      </c>
      <c r="BJ22" s="275">
        <f t="shared" ca="1" si="37"/>
        <v>0</v>
      </c>
      <c r="BK22" s="275">
        <f t="shared" ca="1" si="38"/>
        <v>0</v>
      </c>
      <c r="BL22" s="275">
        <f t="shared" ca="1" si="39"/>
        <v>0</v>
      </c>
      <c r="BM22" s="275">
        <f t="shared" ca="1" si="40"/>
        <v>0</v>
      </c>
      <c r="BN22" s="275">
        <f t="shared" ca="1" si="41"/>
        <v>0</v>
      </c>
      <c r="BO22" s="275">
        <f t="shared" ca="1" si="42"/>
        <v>0</v>
      </c>
      <c r="BP22" s="275">
        <f t="shared" ca="1" si="77"/>
        <v>0</v>
      </c>
      <c r="BQ22" s="275">
        <f t="shared" ca="1" si="78"/>
        <v>0</v>
      </c>
      <c r="BR22" s="275">
        <f t="shared" ca="1" si="43"/>
        <v>0</v>
      </c>
      <c r="BS22" s="275">
        <f t="shared" ca="1" si="44"/>
        <v>0</v>
      </c>
      <c r="BT22" s="275">
        <f t="shared" ca="1" si="79"/>
        <v>0</v>
      </c>
      <c r="BU22" s="275">
        <f t="shared" ca="1" si="80"/>
        <v>0</v>
      </c>
      <c r="BV22" s="275">
        <f t="shared" ca="1" si="81"/>
        <v>0</v>
      </c>
      <c r="BW22" s="275">
        <f t="shared" ca="1" si="82"/>
        <v>0</v>
      </c>
      <c r="BX22" s="275">
        <f t="shared" ca="1" si="45"/>
        <v>0</v>
      </c>
      <c r="BY22" s="275">
        <f t="shared" ca="1" si="46"/>
        <v>0</v>
      </c>
      <c r="BZ22" s="275">
        <f t="shared" ca="1" si="47"/>
        <v>0</v>
      </c>
      <c r="CA22" s="275">
        <f t="shared" ca="1" si="48"/>
        <v>0</v>
      </c>
      <c r="CB22" s="275">
        <f t="shared" ca="1" si="49"/>
        <v>0</v>
      </c>
      <c r="CC22" s="275">
        <f t="shared" ca="1" si="50"/>
        <v>0</v>
      </c>
      <c r="CD22" s="275">
        <f t="shared" ca="1" si="83"/>
        <v>0</v>
      </c>
      <c r="CE22" s="275">
        <f t="shared" ca="1" si="84"/>
        <v>0</v>
      </c>
      <c r="CF22" s="275">
        <f t="shared" ca="1" si="85"/>
        <v>0</v>
      </c>
      <c r="CG22" s="275">
        <f t="shared" ca="1" si="86"/>
        <v>0</v>
      </c>
      <c r="CH22" s="275">
        <f t="shared" ca="1" si="51"/>
        <v>0</v>
      </c>
      <c r="CI22" s="275">
        <f t="shared" ca="1" si="52"/>
        <v>0</v>
      </c>
      <c r="CJ22" s="275">
        <f t="shared" ca="1" si="87"/>
        <v>0</v>
      </c>
      <c r="CK22" s="275">
        <f t="shared" ca="1" si="88"/>
        <v>0</v>
      </c>
      <c r="CL22" s="275">
        <f t="shared" ca="1" si="53"/>
        <v>0</v>
      </c>
      <c r="CM22" s="275">
        <f t="shared" ca="1" si="54"/>
        <v>0</v>
      </c>
      <c r="CN22" s="275">
        <f t="shared" ca="1" si="55"/>
        <v>0</v>
      </c>
      <c r="CO22" s="275">
        <f t="shared" ca="1" si="56"/>
        <v>0</v>
      </c>
      <c r="CP22" s="275">
        <f t="shared" ca="1" si="89"/>
        <v>0</v>
      </c>
      <c r="CQ22" s="275">
        <f t="shared" ca="1" si="90"/>
        <v>0</v>
      </c>
      <c r="CR22" s="275">
        <f t="shared" ca="1" si="91"/>
        <v>0</v>
      </c>
      <c r="CS22" s="275">
        <f t="shared" ca="1" si="92"/>
        <v>0</v>
      </c>
      <c r="CT22" s="275">
        <f t="shared" ca="1" si="57"/>
        <v>0</v>
      </c>
      <c r="CU22" s="275">
        <f t="shared" ca="1" si="58"/>
        <v>0</v>
      </c>
      <c r="CV22" s="275">
        <f t="shared" ca="1" si="59"/>
        <v>0</v>
      </c>
      <c r="CW22" s="275">
        <f t="shared" ca="1" si="60"/>
        <v>0</v>
      </c>
      <c r="CX22" s="275">
        <f t="shared" ca="1" si="93"/>
        <v>0</v>
      </c>
      <c r="CY22" s="275">
        <f t="shared" ca="1" si="94"/>
        <v>0</v>
      </c>
      <c r="CZ22" s="275">
        <f t="shared" ca="1" si="95"/>
        <v>0</v>
      </c>
      <c r="DA22" s="275">
        <f t="shared" ca="1" si="96"/>
        <v>0</v>
      </c>
    </row>
    <row r="23" spans="1:105" s="272" customFormat="1" ht="15" customHeight="1">
      <c r="A23" s="63">
        <f t="array" aca="1" ref="A23" ca="1">IF(C23&lt;&gt;0,SUM(($C$11:C23&lt;&gt;0)*1),"")</f>
        <v>13</v>
      </c>
      <c r="B23" s="273" t="str">
        <f ca="1">IF(ROWS($1:13)&gt;COUNT(Dong6),"",OFFSET(TH!C$1,SMALL(Dong6,ROWS($1:13)),))</f>
        <v/>
      </c>
      <c r="C23" s="273" t="str">
        <f ca="1">IF(ROWS($1:13)&gt;COUNT(Dong6),"",OFFSET(TH!D$1,SMALL(Dong6,ROWS($1:13)),))</f>
        <v/>
      </c>
      <c r="D23" s="273" t="str">
        <f ca="1">IF(ROWS($1:13)&gt;COUNT(Dong6),"",OFFSET(TH!E$1,SMALL(Dong6,ROWS($1:13)),))</f>
        <v/>
      </c>
      <c r="E23" s="323" t="str">
        <f ca="1">IF(ROWS($1:13)&gt;COUNT(Dong6),"",OFFSET(TH!F$1,SMALL(Dong6,ROWS($1:13)),))</f>
        <v/>
      </c>
      <c r="F23" s="324" t="str">
        <f ca="1">IF(ROWS($1:13)&gt;COUNT(Dong6),"",OFFSET(TH!M$1,SMALL(Dong6,ROWS($1:13)),))</f>
        <v/>
      </c>
      <c r="G23" s="325" t="str">
        <f ca="1">IF(ROWS($1:13)&gt;COUNT(Dong6),"",OFFSET(TH!N$1,SMALL(Dong6,ROWS($1:13)),))</f>
        <v/>
      </c>
      <c r="H23" s="325" t="str">
        <f ca="1">IF(ROWS($1:13)&gt;COUNT(Dong6),"",OFFSET(TH!O$1,SMALL(Dong6,ROWS($1:13)),))</f>
        <v/>
      </c>
      <c r="I23" s="63">
        <f t="shared" ca="1" si="0"/>
        <v>13</v>
      </c>
      <c r="J23" s="275">
        <f t="shared" ca="1" si="61"/>
        <v>0</v>
      </c>
      <c r="K23" s="275">
        <f t="shared" ca="1" si="62"/>
        <v>0</v>
      </c>
      <c r="L23" s="275">
        <f t="shared" ca="1" si="1"/>
        <v>0</v>
      </c>
      <c r="M23" s="275">
        <f t="shared" ca="1" si="2"/>
        <v>0</v>
      </c>
      <c r="N23" s="275">
        <f t="shared" ca="1" si="3"/>
        <v>0</v>
      </c>
      <c r="O23" s="275">
        <f t="shared" ca="1" si="4"/>
        <v>0</v>
      </c>
      <c r="P23" s="275">
        <f t="shared" ca="1" si="5"/>
        <v>0</v>
      </c>
      <c r="Q23" s="275">
        <f t="shared" ca="1" si="6"/>
        <v>0</v>
      </c>
      <c r="R23" s="275">
        <f t="shared" ca="1" si="7"/>
        <v>0</v>
      </c>
      <c r="S23" s="275">
        <f t="shared" ca="1" si="8"/>
        <v>0</v>
      </c>
      <c r="T23" s="275">
        <f t="shared" ca="1" si="9"/>
        <v>0</v>
      </c>
      <c r="U23" s="275">
        <f t="shared" ca="1" si="10"/>
        <v>0</v>
      </c>
      <c r="V23" s="275">
        <f t="shared" ca="1" si="11"/>
        <v>0</v>
      </c>
      <c r="W23" s="275">
        <f t="shared" ca="1" si="12"/>
        <v>0</v>
      </c>
      <c r="X23" s="275">
        <f t="shared" ca="1" si="13"/>
        <v>0</v>
      </c>
      <c r="Y23" s="275">
        <f t="shared" ca="1" si="14"/>
        <v>0</v>
      </c>
      <c r="Z23" s="275">
        <f t="shared" ca="1" si="15"/>
        <v>0</v>
      </c>
      <c r="AA23" s="275">
        <f t="shared" ca="1" si="16"/>
        <v>0</v>
      </c>
      <c r="AB23" s="275">
        <f t="shared" ca="1" si="63"/>
        <v>0</v>
      </c>
      <c r="AC23" s="275">
        <f t="shared" ca="1" si="64"/>
        <v>0</v>
      </c>
      <c r="AD23" s="275">
        <f t="shared" ca="1" si="17"/>
        <v>0</v>
      </c>
      <c r="AE23" s="275">
        <f t="shared" ca="1" si="18"/>
        <v>0</v>
      </c>
      <c r="AF23" s="275">
        <f t="shared" ca="1" si="19"/>
        <v>0</v>
      </c>
      <c r="AG23" s="275">
        <f t="shared" ca="1" si="20"/>
        <v>0</v>
      </c>
      <c r="AH23" s="275">
        <f t="shared" ca="1" si="65"/>
        <v>0</v>
      </c>
      <c r="AI23" s="275">
        <f t="shared" ca="1" si="66"/>
        <v>0</v>
      </c>
      <c r="AJ23" s="275">
        <f t="shared" ca="1" si="67"/>
        <v>0</v>
      </c>
      <c r="AK23" s="275">
        <f t="shared" ca="1" si="68"/>
        <v>0</v>
      </c>
      <c r="AL23" s="275">
        <f t="shared" ca="1" si="69"/>
        <v>0</v>
      </c>
      <c r="AM23" s="275">
        <f t="shared" ca="1" si="70"/>
        <v>0</v>
      </c>
      <c r="AN23" s="275">
        <f t="shared" ca="1" si="71"/>
        <v>0</v>
      </c>
      <c r="AO23" s="275">
        <f t="shared" ca="1" si="72"/>
        <v>0</v>
      </c>
      <c r="AP23" s="275">
        <f t="shared" ca="1" si="21"/>
        <v>0</v>
      </c>
      <c r="AQ23" s="275">
        <f t="shared" ca="1" si="22"/>
        <v>0</v>
      </c>
      <c r="AR23" s="275">
        <f t="shared" ca="1" si="23"/>
        <v>0</v>
      </c>
      <c r="AS23" s="275">
        <f t="shared" ca="1" si="24"/>
        <v>0</v>
      </c>
      <c r="AT23" s="275">
        <f t="shared" ca="1" si="73"/>
        <v>0</v>
      </c>
      <c r="AU23" s="275">
        <f t="shared" ca="1" si="74"/>
        <v>0</v>
      </c>
      <c r="AV23" s="275">
        <f t="shared" ca="1" si="25"/>
        <v>0</v>
      </c>
      <c r="AW23" s="275">
        <f t="shared" ca="1" si="26"/>
        <v>0</v>
      </c>
      <c r="AX23" s="275">
        <f t="shared" ca="1" si="27"/>
        <v>0</v>
      </c>
      <c r="AY23" s="275">
        <f t="shared" ca="1" si="28"/>
        <v>0</v>
      </c>
      <c r="AZ23" s="275">
        <f t="shared" ca="1" si="29"/>
        <v>0</v>
      </c>
      <c r="BA23" s="275">
        <f t="shared" ca="1" si="30"/>
        <v>0</v>
      </c>
      <c r="BB23" s="275">
        <f t="shared" ca="1" si="31"/>
        <v>0</v>
      </c>
      <c r="BC23" s="275">
        <f t="shared" ca="1" si="32"/>
        <v>0</v>
      </c>
      <c r="BD23" s="275">
        <f t="shared" ca="1" si="33"/>
        <v>0</v>
      </c>
      <c r="BE23" s="275">
        <f t="shared" ca="1" si="34"/>
        <v>0</v>
      </c>
      <c r="BF23" s="275">
        <f t="shared" ca="1" si="35"/>
        <v>0</v>
      </c>
      <c r="BG23" s="275">
        <f t="shared" ca="1" si="36"/>
        <v>0</v>
      </c>
      <c r="BH23" s="275">
        <f t="shared" ca="1" si="75"/>
        <v>0</v>
      </c>
      <c r="BI23" s="275">
        <f t="shared" ca="1" si="76"/>
        <v>0</v>
      </c>
      <c r="BJ23" s="275">
        <f t="shared" ca="1" si="37"/>
        <v>0</v>
      </c>
      <c r="BK23" s="275">
        <f t="shared" ca="1" si="38"/>
        <v>0</v>
      </c>
      <c r="BL23" s="275">
        <f t="shared" ca="1" si="39"/>
        <v>0</v>
      </c>
      <c r="BM23" s="275">
        <f t="shared" ca="1" si="40"/>
        <v>0</v>
      </c>
      <c r="BN23" s="275">
        <f t="shared" ca="1" si="41"/>
        <v>0</v>
      </c>
      <c r="BO23" s="275">
        <f t="shared" ca="1" si="42"/>
        <v>0</v>
      </c>
      <c r="BP23" s="275">
        <f t="shared" ca="1" si="77"/>
        <v>0</v>
      </c>
      <c r="BQ23" s="275">
        <f t="shared" ca="1" si="78"/>
        <v>0</v>
      </c>
      <c r="BR23" s="275">
        <f t="shared" ca="1" si="43"/>
        <v>0</v>
      </c>
      <c r="BS23" s="275">
        <f t="shared" ca="1" si="44"/>
        <v>0</v>
      </c>
      <c r="BT23" s="275">
        <f t="shared" ca="1" si="79"/>
        <v>0</v>
      </c>
      <c r="BU23" s="275">
        <f t="shared" ca="1" si="80"/>
        <v>0</v>
      </c>
      <c r="BV23" s="275">
        <f t="shared" ca="1" si="81"/>
        <v>0</v>
      </c>
      <c r="BW23" s="275">
        <f t="shared" ca="1" si="82"/>
        <v>0</v>
      </c>
      <c r="BX23" s="275">
        <f t="shared" ca="1" si="45"/>
        <v>0</v>
      </c>
      <c r="BY23" s="275">
        <f t="shared" ca="1" si="46"/>
        <v>0</v>
      </c>
      <c r="BZ23" s="275">
        <f t="shared" ca="1" si="47"/>
        <v>0</v>
      </c>
      <c r="CA23" s="275">
        <f t="shared" ca="1" si="48"/>
        <v>0</v>
      </c>
      <c r="CB23" s="275">
        <f t="shared" ca="1" si="49"/>
        <v>0</v>
      </c>
      <c r="CC23" s="275">
        <f t="shared" ca="1" si="50"/>
        <v>0</v>
      </c>
      <c r="CD23" s="275">
        <f t="shared" ca="1" si="83"/>
        <v>0</v>
      </c>
      <c r="CE23" s="275">
        <f t="shared" ca="1" si="84"/>
        <v>0</v>
      </c>
      <c r="CF23" s="275">
        <f t="shared" ca="1" si="85"/>
        <v>0</v>
      </c>
      <c r="CG23" s="275">
        <f t="shared" ca="1" si="86"/>
        <v>0</v>
      </c>
      <c r="CH23" s="275">
        <f t="shared" ca="1" si="51"/>
        <v>0</v>
      </c>
      <c r="CI23" s="275">
        <f t="shared" ca="1" si="52"/>
        <v>0</v>
      </c>
      <c r="CJ23" s="275">
        <f t="shared" ca="1" si="87"/>
        <v>0</v>
      </c>
      <c r="CK23" s="275">
        <f t="shared" ca="1" si="88"/>
        <v>0</v>
      </c>
      <c r="CL23" s="275">
        <f t="shared" ca="1" si="53"/>
        <v>0</v>
      </c>
      <c r="CM23" s="275">
        <f t="shared" ca="1" si="54"/>
        <v>0</v>
      </c>
      <c r="CN23" s="275">
        <f t="shared" ca="1" si="55"/>
        <v>0</v>
      </c>
      <c r="CO23" s="275">
        <f t="shared" ca="1" si="56"/>
        <v>0</v>
      </c>
      <c r="CP23" s="275">
        <f t="shared" ca="1" si="89"/>
        <v>0</v>
      </c>
      <c r="CQ23" s="275">
        <f t="shared" ca="1" si="90"/>
        <v>0</v>
      </c>
      <c r="CR23" s="275">
        <f t="shared" ca="1" si="91"/>
        <v>0</v>
      </c>
      <c r="CS23" s="275">
        <f t="shared" ca="1" si="92"/>
        <v>0</v>
      </c>
      <c r="CT23" s="275">
        <f t="shared" ca="1" si="57"/>
        <v>0</v>
      </c>
      <c r="CU23" s="275">
        <f t="shared" ca="1" si="58"/>
        <v>0</v>
      </c>
      <c r="CV23" s="275">
        <f t="shared" ca="1" si="59"/>
        <v>0</v>
      </c>
      <c r="CW23" s="275">
        <f t="shared" ca="1" si="60"/>
        <v>0</v>
      </c>
      <c r="CX23" s="275">
        <f t="shared" ca="1" si="93"/>
        <v>0</v>
      </c>
      <c r="CY23" s="275">
        <f t="shared" ca="1" si="94"/>
        <v>0</v>
      </c>
      <c r="CZ23" s="275">
        <f t="shared" ca="1" si="95"/>
        <v>0</v>
      </c>
      <c r="DA23" s="275">
        <f t="shared" ca="1" si="96"/>
        <v>0</v>
      </c>
    </row>
    <row r="24" spans="1:105" s="272" customFormat="1" ht="15" customHeight="1">
      <c r="A24" s="63">
        <f t="array" aca="1" ref="A24" ca="1">IF(C24&lt;&gt;0,SUM(($C$11:C24&lt;&gt;0)*1),"")</f>
        <v>14</v>
      </c>
      <c r="B24" s="273" t="str">
        <f ca="1">IF(ROWS($1:14)&gt;COUNT(Dong6),"",OFFSET(TH!C$1,SMALL(Dong6,ROWS($1:14)),))</f>
        <v/>
      </c>
      <c r="C24" s="273" t="str">
        <f ca="1">IF(ROWS($1:14)&gt;COUNT(Dong6),"",OFFSET(TH!D$1,SMALL(Dong6,ROWS($1:14)),))</f>
        <v/>
      </c>
      <c r="D24" s="273" t="str">
        <f ca="1">IF(ROWS($1:14)&gt;COUNT(Dong6),"",OFFSET(TH!E$1,SMALL(Dong6,ROWS($1:14)),))</f>
        <v/>
      </c>
      <c r="E24" s="323" t="str">
        <f ca="1">IF(ROWS($1:14)&gt;COUNT(Dong6),"",OFFSET(TH!F$1,SMALL(Dong6,ROWS($1:14)),))</f>
        <v/>
      </c>
      <c r="F24" s="324" t="str">
        <f ca="1">IF(ROWS($1:14)&gt;COUNT(Dong6),"",OFFSET(TH!M$1,SMALL(Dong6,ROWS($1:14)),))</f>
        <v/>
      </c>
      <c r="G24" s="325" t="str">
        <f ca="1">IF(ROWS($1:14)&gt;COUNT(Dong6),"",OFFSET(TH!N$1,SMALL(Dong6,ROWS($1:14)),))</f>
        <v/>
      </c>
      <c r="H24" s="325" t="str">
        <f ca="1">IF(ROWS($1:14)&gt;COUNT(Dong6),"",OFFSET(TH!O$1,SMALL(Dong6,ROWS($1:14)),))</f>
        <v/>
      </c>
      <c r="I24" s="63">
        <f t="shared" ca="1" si="0"/>
        <v>14</v>
      </c>
      <c r="J24" s="275">
        <f t="shared" ca="1" si="61"/>
        <v>0</v>
      </c>
      <c r="K24" s="275">
        <f t="shared" ca="1" si="62"/>
        <v>0</v>
      </c>
      <c r="L24" s="275">
        <f t="shared" ca="1" si="1"/>
        <v>0</v>
      </c>
      <c r="M24" s="275">
        <f t="shared" ca="1" si="2"/>
        <v>0</v>
      </c>
      <c r="N24" s="275">
        <f t="shared" ca="1" si="3"/>
        <v>0</v>
      </c>
      <c r="O24" s="275">
        <f t="shared" ca="1" si="4"/>
        <v>0</v>
      </c>
      <c r="P24" s="275">
        <f t="shared" ca="1" si="5"/>
        <v>0</v>
      </c>
      <c r="Q24" s="275">
        <f t="shared" ca="1" si="6"/>
        <v>0</v>
      </c>
      <c r="R24" s="275">
        <f t="shared" ca="1" si="7"/>
        <v>0</v>
      </c>
      <c r="S24" s="275">
        <f t="shared" ca="1" si="8"/>
        <v>0</v>
      </c>
      <c r="T24" s="275">
        <f t="shared" ca="1" si="9"/>
        <v>0</v>
      </c>
      <c r="U24" s="275">
        <f t="shared" ca="1" si="10"/>
        <v>0</v>
      </c>
      <c r="V24" s="275">
        <f t="shared" ca="1" si="11"/>
        <v>0</v>
      </c>
      <c r="W24" s="275">
        <f t="shared" ca="1" si="12"/>
        <v>0</v>
      </c>
      <c r="X24" s="275">
        <f t="shared" ca="1" si="13"/>
        <v>0</v>
      </c>
      <c r="Y24" s="275">
        <f t="shared" ca="1" si="14"/>
        <v>0</v>
      </c>
      <c r="Z24" s="275">
        <f t="shared" ca="1" si="15"/>
        <v>0</v>
      </c>
      <c r="AA24" s="275">
        <f t="shared" ca="1" si="16"/>
        <v>0</v>
      </c>
      <c r="AB24" s="275">
        <f t="shared" ca="1" si="63"/>
        <v>0</v>
      </c>
      <c r="AC24" s="275">
        <f t="shared" ca="1" si="64"/>
        <v>0</v>
      </c>
      <c r="AD24" s="275">
        <f t="shared" ca="1" si="17"/>
        <v>0</v>
      </c>
      <c r="AE24" s="275">
        <f t="shared" ca="1" si="18"/>
        <v>0</v>
      </c>
      <c r="AF24" s="275">
        <f t="shared" ca="1" si="19"/>
        <v>0</v>
      </c>
      <c r="AG24" s="275">
        <f t="shared" ca="1" si="20"/>
        <v>0</v>
      </c>
      <c r="AH24" s="275">
        <f t="shared" ca="1" si="65"/>
        <v>0</v>
      </c>
      <c r="AI24" s="275">
        <f t="shared" ca="1" si="66"/>
        <v>0</v>
      </c>
      <c r="AJ24" s="275">
        <f t="shared" ca="1" si="67"/>
        <v>0</v>
      </c>
      <c r="AK24" s="275">
        <f t="shared" ca="1" si="68"/>
        <v>0</v>
      </c>
      <c r="AL24" s="275">
        <f t="shared" ca="1" si="69"/>
        <v>0</v>
      </c>
      <c r="AM24" s="275">
        <f t="shared" ca="1" si="70"/>
        <v>0</v>
      </c>
      <c r="AN24" s="275">
        <f t="shared" ca="1" si="71"/>
        <v>0</v>
      </c>
      <c r="AO24" s="275">
        <f t="shared" ca="1" si="72"/>
        <v>0</v>
      </c>
      <c r="AP24" s="275">
        <f t="shared" ca="1" si="21"/>
        <v>0</v>
      </c>
      <c r="AQ24" s="275">
        <f t="shared" ca="1" si="22"/>
        <v>0</v>
      </c>
      <c r="AR24" s="275">
        <f t="shared" ca="1" si="23"/>
        <v>0</v>
      </c>
      <c r="AS24" s="275">
        <f t="shared" ca="1" si="24"/>
        <v>0</v>
      </c>
      <c r="AT24" s="275">
        <f t="shared" ca="1" si="73"/>
        <v>0</v>
      </c>
      <c r="AU24" s="275">
        <f t="shared" ca="1" si="74"/>
        <v>0</v>
      </c>
      <c r="AV24" s="275">
        <f t="shared" ca="1" si="25"/>
        <v>0</v>
      </c>
      <c r="AW24" s="275">
        <f t="shared" ca="1" si="26"/>
        <v>0</v>
      </c>
      <c r="AX24" s="275">
        <f t="shared" ca="1" si="27"/>
        <v>0</v>
      </c>
      <c r="AY24" s="275">
        <f t="shared" ca="1" si="28"/>
        <v>0</v>
      </c>
      <c r="AZ24" s="275">
        <f t="shared" ca="1" si="29"/>
        <v>0</v>
      </c>
      <c r="BA24" s="275">
        <f t="shared" ca="1" si="30"/>
        <v>0</v>
      </c>
      <c r="BB24" s="275">
        <f t="shared" ca="1" si="31"/>
        <v>0</v>
      </c>
      <c r="BC24" s="275">
        <f t="shared" ca="1" si="32"/>
        <v>0</v>
      </c>
      <c r="BD24" s="275">
        <f t="shared" ca="1" si="33"/>
        <v>0</v>
      </c>
      <c r="BE24" s="275">
        <f t="shared" ca="1" si="34"/>
        <v>0</v>
      </c>
      <c r="BF24" s="275">
        <f t="shared" ca="1" si="35"/>
        <v>0</v>
      </c>
      <c r="BG24" s="275">
        <f t="shared" ca="1" si="36"/>
        <v>0</v>
      </c>
      <c r="BH24" s="275">
        <f t="shared" ca="1" si="75"/>
        <v>0</v>
      </c>
      <c r="BI24" s="275">
        <f t="shared" ca="1" si="76"/>
        <v>0</v>
      </c>
      <c r="BJ24" s="275">
        <f t="shared" ca="1" si="37"/>
        <v>0</v>
      </c>
      <c r="BK24" s="275">
        <f t="shared" ca="1" si="38"/>
        <v>0</v>
      </c>
      <c r="BL24" s="275">
        <f t="shared" ca="1" si="39"/>
        <v>0</v>
      </c>
      <c r="BM24" s="275">
        <f t="shared" ca="1" si="40"/>
        <v>0</v>
      </c>
      <c r="BN24" s="275">
        <f t="shared" ca="1" si="41"/>
        <v>0</v>
      </c>
      <c r="BO24" s="275">
        <f t="shared" ca="1" si="42"/>
        <v>0</v>
      </c>
      <c r="BP24" s="275">
        <f t="shared" ca="1" si="77"/>
        <v>0</v>
      </c>
      <c r="BQ24" s="275">
        <f t="shared" ca="1" si="78"/>
        <v>0</v>
      </c>
      <c r="BR24" s="275">
        <f t="shared" ca="1" si="43"/>
        <v>0</v>
      </c>
      <c r="BS24" s="275">
        <f t="shared" ca="1" si="44"/>
        <v>0</v>
      </c>
      <c r="BT24" s="275">
        <f t="shared" ca="1" si="79"/>
        <v>0</v>
      </c>
      <c r="BU24" s="275">
        <f t="shared" ca="1" si="80"/>
        <v>0</v>
      </c>
      <c r="BV24" s="275">
        <f t="shared" ca="1" si="81"/>
        <v>0</v>
      </c>
      <c r="BW24" s="275">
        <f t="shared" ca="1" si="82"/>
        <v>0</v>
      </c>
      <c r="BX24" s="275">
        <f t="shared" ca="1" si="45"/>
        <v>0</v>
      </c>
      <c r="BY24" s="275">
        <f t="shared" ca="1" si="46"/>
        <v>0</v>
      </c>
      <c r="BZ24" s="275">
        <f t="shared" ca="1" si="47"/>
        <v>0</v>
      </c>
      <c r="CA24" s="275">
        <f t="shared" ca="1" si="48"/>
        <v>0</v>
      </c>
      <c r="CB24" s="275">
        <f t="shared" ca="1" si="49"/>
        <v>0</v>
      </c>
      <c r="CC24" s="275">
        <f t="shared" ca="1" si="50"/>
        <v>0</v>
      </c>
      <c r="CD24" s="275">
        <f t="shared" ca="1" si="83"/>
        <v>0</v>
      </c>
      <c r="CE24" s="275">
        <f t="shared" ca="1" si="84"/>
        <v>0</v>
      </c>
      <c r="CF24" s="275">
        <f t="shared" ca="1" si="85"/>
        <v>0</v>
      </c>
      <c r="CG24" s="275">
        <f t="shared" ca="1" si="86"/>
        <v>0</v>
      </c>
      <c r="CH24" s="275">
        <f t="shared" ca="1" si="51"/>
        <v>0</v>
      </c>
      <c r="CI24" s="275">
        <f t="shared" ca="1" si="52"/>
        <v>0</v>
      </c>
      <c r="CJ24" s="275">
        <f t="shared" ca="1" si="87"/>
        <v>0</v>
      </c>
      <c r="CK24" s="275">
        <f t="shared" ca="1" si="88"/>
        <v>0</v>
      </c>
      <c r="CL24" s="275">
        <f t="shared" ca="1" si="53"/>
        <v>0</v>
      </c>
      <c r="CM24" s="275">
        <f t="shared" ca="1" si="54"/>
        <v>0</v>
      </c>
      <c r="CN24" s="275">
        <f t="shared" ca="1" si="55"/>
        <v>0</v>
      </c>
      <c r="CO24" s="275">
        <f t="shared" ca="1" si="56"/>
        <v>0</v>
      </c>
      <c r="CP24" s="275">
        <f t="shared" ca="1" si="89"/>
        <v>0</v>
      </c>
      <c r="CQ24" s="275">
        <f t="shared" ca="1" si="90"/>
        <v>0</v>
      </c>
      <c r="CR24" s="275">
        <f t="shared" ca="1" si="91"/>
        <v>0</v>
      </c>
      <c r="CS24" s="275">
        <f t="shared" ca="1" si="92"/>
        <v>0</v>
      </c>
      <c r="CT24" s="275">
        <f t="shared" ca="1" si="57"/>
        <v>0</v>
      </c>
      <c r="CU24" s="275">
        <f t="shared" ca="1" si="58"/>
        <v>0</v>
      </c>
      <c r="CV24" s="275">
        <f t="shared" ca="1" si="59"/>
        <v>0</v>
      </c>
      <c r="CW24" s="275">
        <f t="shared" ca="1" si="60"/>
        <v>0</v>
      </c>
      <c r="CX24" s="275">
        <f t="shared" ca="1" si="93"/>
        <v>0</v>
      </c>
      <c r="CY24" s="275">
        <f t="shared" ca="1" si="94"/>
        <v>0</v>
      </c>
      <c r="CZ24" s="275">
        <f t="shared" ca="1" si="95"/>
        <v>0</v>
      </c>
      <c r="DA24" s="275">
        <f t="shared" ca="1" si="96"/>
        <v>0</v>
      </c>
    </row>
    <row r="25" spans="1:105" s="272" customFormat="1" ht="15" customHeight="1">
      <c r="A25" s="63">
        <f t="array" aca="1" ref="A25" ca="1">IF(C25&lt;&gt;0,SUM(($C$11:C25&lt;&gt;0)*1),"")</f>
        <v>15</v>
      </c>
      <c r="B25" s="273" t="str">
        <f ca="1">IF(ROWS($1:15)&gt;COUNT(Dong6),"",OFFSET(TH!C$1,SMALL(Dong6,ROWS($1:15)),))</f>
        <v/>
      </c>
      <c r="C25" s="273" t="str">
        <f ca="1">IF(ROWS($1:15)&gt;COUNT(Dong6),"",OFFSET(TH!D$1,SMALL(Dong6,ROWS($1:15)),))</f>
        <v/>
      </c>
      <c r="D25" s="273" t="str">
        <f ca="1">IF(ROWS($1:15)&gt;COUNT(Dong6),"",OFFSET(TH!E$1,SMALL(Dong6,ROWS($1:15)),))</f>
        <v/>
      </c>
      <c r="E25" s="323" t="str">
        <f ca="1">IF(ROWS($1:15)&gt;COUNT(Dong6),"",OFFSET(TH!F$1,SMALL(Dong6,ROWS($1:15)),))</f>
        <v/>
      </c>
      <c r="F25" s="324" t="str">
        <f ca="1">IF(ROWS($1:15)&gt;COUNT(Dong6),"",OFFSET(TH!M$1,SMALL(Dong6,ROWS($1:15)),))</f>
        <v/>
      </c>
      <c r="G25" s="325" t="str">
        <f ca="1">IF(ROWS($1:15)&gt;COUNT(Dong6),"",OFFSET(TH!N$1,SMALL(Dong6,ROWS($1:15)),))</f>
        <v/>
      </c>
      <c r="H25" s="325" t="str">
        <f ca="1">IF(ROWS($1:15)&gt;COUNT(Dong6),"",OFFSET(TH!O$1,SMALL(Dong6,ROWS($1:15)),))</f>
        <v/>
      </c>
      <c r="I25" s="63">
        <f t="shared" ca="1" si="0"/>
        <v>15</v>
      </c>
      <c r="J25" s="275">
        <f t="shared" ca="1" si="61"/>
        <v>0</v>
      </c>
      <c r="K25" s="275">
        <f t="shared" ca="1" si="62"/>
        <v>0</v>
      </c>
      <c r="L25" s="275">
        <f t="shared" ca="1" si="1"/>
        <v>0</v>
      </c>
      <c r="M25" s="275">
        <f t="shared" ca="1" si="2"/>
        <v>0</v>
      </c>
      <c r="N25" s="275">
        <f t="shared" ca="1" si="3"/>
        <v>0</v>
      </c>
      <c r="O25" s="275">
        <f t="shared" ca="1" si="4"/>
        <v>0</v>
      </c>
      <c r="P25" s="275">
        <f t="shared" ca="1" si="5"/>
        <v>0</v>
      </c>
      <c r="Q25" s="275">
        <f t="shared" ca="1" si="6"/>
        <v>0</v>
      </c>
      <c r="R25" s="275">
        <f t="shared" ca="1" si="7"/>
        <v>0</v>
      </c>
      <c r="S25" s="275">
        <f t="shared" ca="1" si="8"/>
        <v>0</v>
      </c>
      <c r="T25" s="275">
        <f t="shared" ca="1" si="9"/>
        <v>0</v>
      </c>
      <c r="U25" s="275">
        <f t="shared" ca="1" si="10"/>
        <v>0</v>
      </c>
      <c r="V25" s="275">
        <f t="shared" ca="1" si="11"/>
        <v>0</v>
      </c>
      <c r="W25" s="275">
        <f t="shared" ca="1" si="12"/>
        <v>0</v>
      </c>
      <c r="X25" s="275">
        <f t="shared" ca="1" si="13"/>
        <v>0</v>
      </c>
      <c r="Y25" s="275">
        <f t="shared" ca="1" si="14"/>
        <v>0</v>
      </c>
      <c r="Z25" s="275">
        <f t="shared" ca="1" si="15"/>
        <v>0</v>
      </c>
      <c r="AA25" s="275">
        <f t="shared" ca="1" si="16"/>
        <v>0</v>
      </c>
      <c r="AB25" s="275">
        <f t="shared" ca="1" si="63"/>
        <v>0</v>
      </c>
      <c r="AC25" s="275">
        <f t="shared" ca="1" si="64"/>
        <v>0</v>
      </c>
      <c r="AD25" s="275">
        <f t="shared" ca="1" si="17"/>
        <v>0</v>
      </c>
      <c r="AE25" s="275">
        <f t="shared" ca="1" si="18"/>
        <v>0</v>
      </c>
      <c r="AF25" s="275">
        <f t="shared" ca="1" si="19"/>
        <v>0</v>
      </c>
      <c r="AG25" s="275">
        <f t="shared" ca="1" si="20"/>
        <v>0</v>
      </c>
      <c r="AH25" s="275">
        <f t="shared" ca="1" si="65"/>
        <v>0</v>
      </c>
      <c r="AI25" s="275">
        <f t="shared" ca="1" si="66"/>
        <v>0</v>
      </c>
      <c r="AJ25" s="275">
        <f t="shared" ca="1" si="67"/>
        <v>0</v>
      </c>
      <c r="AK25" s="275">
        <f t="shared" ca="1" si="68"/>
        <v>0</v>
      </c>
      <c r="AL25" s="275">
        <f t="shared" ca="1" si="69"/>
        <v>0</v>
      </c>
      <c r="AM25" s="275">
        <f t="shared" ca="1" si="70"/>
        <v>0</v>
      </c>
      <c r="AN25" s="275">
        <f t="shared" ca="1" si="71"/>
        <v>0</v>
      </c>
      <c r="AO25" s="275">
        <f t="shared" ca="1" si="72"/>
        <v>0</v>
      </c>
      <c r="AP25" s="275">
        <f t="shared" ca="1" si="21"/>
        <v>0</v>
      </c>
      <c r="AQ25" s="275">
        <f t="shared" ca="1" si="22"/>
        <v>0</v>
      </c>
      <c r="AR25" s="275">
        <f t="shared" ca="1" si="23"/>
        <v>0</v>
      </c>
      <c r="AS25" s="275">
        <f t="shared" ca="1" si="24"/>
        <v>0</v>
      </c>
      <c r="AT25" s="275">
        <f t="shared" ca="1" si="73"/>
        <v>0</v>
      </c>
      <c r="AU25" s="275">
        <f t="shared" ca="1" si="74"/>
        <v>0</v>
      </c>
      <c r="AV25" s="275">
        <f t="shared" ca="1" si="25"/>
        <v>0</v>
      </c>
      <c r="AW25" s="275">
        <f t="shared" ca="1" si="26"/>
        <v>0</v>
      </c>
      <c r="AX25" s="275">
        <f t="shared" ca="1" si="27"/>
        <v>0</v>
      </c>
      <c r="AY25" s="275">
        <f t="shared" ca="1" si="28"/>
        <v>0</v>
      </c>
      <c r="AZ25" s="275">
        <f t="shared" ca="1" si="29"/>
        <v>0</v>
      </c>
      <c r="BA25" s="275">
        <f t="shared" ca="1" si="30"/>
        <v>0</v>
      </c>
      <c r="BB25" s="275">
        <f t="shared" ca="1" si="31"/>
        <v>0</v>
      </c>
      <c r="BC25" s="275">
        <f t="shared" ca="1" si="32"/>
        <v>0</v>
      </c>
      <c r="BD25" s="275">
        <f t="shared" ca="1" si="33"/>
        <v>0</v>
      </c>
      <c r="BE25" s="275">
        <f t="shared" ca="1" si="34"/>
        <v>0</v>
      </c>
      <c r="BF25" s="275">
        <f t="shared" ca="1" si="35"/>
        <v>0</v>
      </c>
      <c r="BG25" s="275">
        <f t="shared" ca="1" si="36"/>
        <v>0</v>
      </c>
      <c r="BH25" s="275">
        <f t="shared" ca="1" si="75"/>
        <v>0</v>
      </c>
      <c r="BI25" s="275">
        <f t="shared" ca="1" si="76"/>
        <v>0</v>
      </c>
      <c r="BJ25" s="275">
        <f t="shared" ca="1" si="37"/>
        <v>0</v>
      </c>
      <c r="BK25" s="275">
        <f t="shared" ca="1" si="38"/>
        <v>0</v>
      </c>
      <c r="BL25" s="275">
        <f t="shared" ca="1" si="39"/>
        <v>0</v>
      </c>
      <c r="BM25" s="275">
        <f t="shared" ca="1" si="40"/>
        <v>0</v>
      </c>
      <c r="BN25" s="275">
        <f t="shared" ca="1" si="41"/>
        <v>0</v>
      </c>
      <c r="BO25" s="275">
        <f t="shared" ca="1" si="42"/>
        <v>0</v>
      </c>
      <c r="BP25" s="275">
        <f t="shared" ca="1" si="77"/>
        <v>0</v>
      </c>
      <c r="BQ25" s="275">
        <f t="shared" ca="1" si="78"/>
        <v>0</v>
      </c>
      <c r="BR25" s="275">
        <f t="shared" ca="1" si="43"/>
        <v>0</v>
      </c>
      <c r="BS25" s="275">
        <f t="shared" ca="1" si="44"/>
        <v>0</v>
      </c>
      <c r="BT25" s="275">
        <f t="shared" ca="1" si="79"/>
        <v>0</v>
      </c>
      <c r="BU25" s="275">
        <f t="shared" ca="1" si="80"/>
        <v>0</v>
      </c>
      <c r="BV25" s="275">
        <f t="shared" ca="1" si="81"/>
        <v>0</v>
      </c>
      <c r="BW25" s="275">
        <f t="shared" ca="1" si="82"/>
        <v>0</v>
      </c>
      <c r="BX25" s="275">
        <f t="shared" ca="1" si="45"/>
        <v>0</v>
      </c>
      <c r="BY25" s="275">
        <f t="shared" ca="1" si="46"/>
        <v>0</v>
      </c>
      <c r="BZ25" s="275">
        <f t="shared" ca="1" si="47"/>
        <v>0</v>
      </c>
      <c r="CA25" s="275">
        <f t="shared" ca="1" si="48"/>
        <v>0</v>
      </c>
      <c r="CB25" s="275">
        <f t="shared" ca="1" si="49"/>
        <v>0</v>
      </c>
      <c r="CC25" s="275">
        <f t="shared" ca="1" si="50"/>
        <v>0</v>
      </c>
      <c r="CD25" s="275">
        <f t="shared" ca="1" si="83"/>
        <v>0</v>
      </c>
      <c r="CE25" s="275">
        <f t="shared" ca="1" si="84"/>
        <v>0</v>
      </c>
      <c r="CF25" s="275">
        <f t="shared" ca="1" si="85"/>
        <v>0</v>
      </c>
      <c r="CG25" s="275">
        <f t="shared" ca="1" si="86"/>
        <v>0</v>
      </c>
      <c r="CH25" s="275">
        <f t="shared" ca="1" si="51"/>
        <v>0</v>
      </c>
      <c r="CI25" s="275">
        <f t="shared" ca="1" si="52"/>
        <v>0</v>
      </c>
      <c r="CJ25" s="275">
        <f t="shared" ca="1" si="87"/>
        <v>0</v>
      </c>
      <c r="CK25" s="275">
        <f t="shared" ca="1" si="88"/>
        <v>0</v>
      </c>
      <c r="CL25" s="275">
        <f t="shared" ca="1" si="53"/>
        <v>0</v>
      </c>
      <c r="CM25" s="275">
        <f t="shared" ca="1" si="54"/>
        <v>0</v>
      </c>
      <c r="CN25" s="275">
        <f t="shared" ca="1" si="55"/>
        <v>0</v>
      </c>
      <c r="CO25" s="275">
        <f t="shared" ca="1" si="56"/>
        <v>0</v>
      </c>
      <c r="CP25" s="275">
        <f t="shared" ca="1" si="89"/>
        <v>0</v>
      </c>
      <c r="CQ25" s="275">
        <f t="shared" ca="1" si="90"/>
        <v>0</v>
      </c>
      <c r="CR25" s="275">
        <f t="shared" ca="1" si="91"/>
        <v>0</v>
      </c>
      <c r="CS25" s="275">
        <f t="shared" ca="1" si="92"/>
        <v>0</v>
      </c>
      <c r="CT25" s="275">
        <f t="shared" ca="1" si="57"/>
        <v>0</v>
      </c>
      <c r="CU25" s="275">
        <f t="shared" ca="1" si="58"/>
        <v>0</v>
      </c>
      <c r="CV25" s="275">
        <f t="shared" ca="1" si="59"/>
        <v>0</v>
      </c>
      <c r="CW25" s="275">
        <f t="shared" ca="1" si="60"/>
        <v>0</v>
      </c>
      <c r="CX25" s="275">
        <f t="shared" ca="1" si="93"/>
        <v>0</v>
      </c>
      <c r="CY25" s="275">
        <f t="shared" ca="1" si="94"/>
        <v>0</v>
      </c>
      <c r="CZ25" s="275">
        <f t="shared" ca="1" si="95"/>
        <v>0</v>
      </c>
      <c r="DA25" s="275">
        <f t="shared" ca="1" si="96"/>
        <v>0</v>
      </c>
    </row>
    <row r="26" spans="1:105" s="272" customFormat="1" ht="15" customHeight="1">
      <c r="A26" s="63">
        <f t="array" aca="1" ref="A26" ca="1">IF(C26&lt;&gt;0,SUM(($C$11:C26&lt;&gt;0)*1),"")</f>
        <v>16</v>
      </c>
      <c r="B26" s="273" t="str">
        <f ca="1">IF(ROWS($1:16)&gt;COUNT(Dong6),"",OFFSET(TH!C$1,SMALL(Dong6,ROWS($1:16)),))</f>
        <v/>
      </c>
      <c r="C26" s="273" t="str">
        <f ca="1">IF(ROWS($1:16)&gt;COUNT(Dong6),"",OFFSET(TH!D$1,SMALL(Dong6,ROWS($1:16)),))</f>
        <v/>
      </c>
      <c r="D26" s="273" t="str">
        <f ca="1">IF(ROWS($1:16)&gt;COUNT(Dong6),"",OFFSET(TH!E$1,SMALL(Dong6,ROWS($1:16)),))</f>
        <v/>
      </c>
      <c r="E26" s="323" t="str">
        <f ca="1">IF(ROWS($1:16)&gt;COUNT(Dong6),"",OFFSET(TH!F$1,SMALL(Dong6,ROWS($1:16)),))</f>
        <v/>
      </c>
      <c r="F26" s="324" t="str">
        <f ca="1">IF(ROWS($1:16)&gt;COUNT(Dong6),"",OFFSET(TH!M$1,SMALL(Dong6,ROWS($1:16)),))</f>
        <v/>
      </c>
      <c r="G26" s="325" t="str">
        <f ca="1">IF(ROWS($1:16)&gt;COUNT(Dong6),"",OFFSET(TH!N$1,SMALL(Dong6,ROWS($1:16)),))</f>
        <v/>
      </c>
      <c r="H26" s="325" t="str">
        <f ca="1">IF(ROWS($1:16)&gt;COUNT(Dong6),"",OFFSET(TH!O$1,SMALL(Dong6,ROWS($1:16)),))</f>
        <v/>
      </c>
      <c r="I26" s="63">
        <f t="shared" ca="1" si="0"/>
        <v>16</v>
      </c>
      <c r="J26" s="275">
        <f t="shared" ca="1" si="61"/>
        <v>0</v>
      </c>
      <c r="K26" s="275">
        <f t="shared" ca="1" si="62"/>
        <v>0</v>
      </c>
      <c r="L26" s="275">
        <f t="shared" ca="1" si="1"/>
        <v>0</v>
      </c>
      <c r="M26" s="275">
        <f t="shared" ca="1" si="2"/>
        <v>0</v>
      </c>
      <c r="N26" s="275">
        <f t="shared" ca="1" si="3"/>
        <v>0</v>
      </c>
      <c r="O26" s="275">
        <f t="shared" ca="1" si="4"/>
        <v>0</v>
      </c>
      <c r="P26" s="275">
        <f t="shared" ca="1" si="5"/>
        <v>0</v>
      </c>
      <c r="Q26" s="275">
        <f t="shared" ca="1" si="6"/>
        <v>0</v>
      </c>
      <c r="R26" s="275">
        <f t="shared" ca="1" si="7"/>
        <v>0</v>
      </c>
      <c r="S26" s="275">
        <f t="shared" ca="1" si="8"/>
        <v>0</v>
      </c>
      <c r="T26" s="275">
        <f t="shared" ca="1" si="9"/>
        <v>0</v>
      </c>
      <c r="U26" s="275">
        <f t="shared" ca="1" si="10"/>
        <v>0</v>
      </c>
      <c r="V26" s="275">
        <f t="shared" ca="1" si="11"/>
        <v>0</v>
      </c>
      <c r="W26" s="275">
        <f t="shared" ca="1" si="12"/>
        <v>0</v>
      </c>
      <c r="X26" s="275">
        <f t="shared" ca="1" si="13"/>
        <v>0</v>
      </c>
      <c r="Y26" s="275">
        <f t="shared" ca="1" si="14"/>
        <v>0</v>
      </c>
      <c r="Z26" s="275">
        <f t="shared" ca="1" si="15"/>
        <v>0</v>
      </c>
      <c r="AA26" s="275">
        <f t="shared" ca="1" si="16"/>
        <v>0</v>
      </c>
      <c r="AB26" s="275">
        <f t="shared" ca="1" si="63"/>
        <v>0</v>
      </c>
      <c r="AC26" s="275">
        <f t="shared" ca="1" si="64"/>
        <v>0</v>
      </c>
      <c r="AD26" s="275">
        <f t="shared" ca="1" si="17"/>
        <v>0</v>
      </c>
      <c r="AE26" s="275">
        <f t="shared" ca="1" si="18"/>
        <v>0</v>
      </c>
      <c r="AF26" s="275">
        <f t="shared" ca="1" si="19"/>
        <v>0</v>
      </c>
      <c r="AG26" s="275">
        <f t="shared" ca="1" si="20"/>
        <v>0</v>
      </c>
      <c r="AH26" s="275">
        <f t="shared" ca="1" si="65"/>
        <v>0</v>
      </c>
      <c r="AI26" s="275">
        <f t="shared" ca="1" si="66"/>
        <v>0</v>
      </c>
      <c r="AJ26" s="275">
        <f t="shared" ca="1" si="67"/>
        <v>0</v>
      </c>
      <c r="AK26" s="275">
        <f t="shared" ca="1" si="68"/>
        <v>0</v>
      </c>
      <c r="AL26" s="275">
        <f t="shared" ca="1" si="69"/>
        <v>0</v>
      </c>
      <c r="AM26" s="275">
        <f t="shared" ca="1" si="70"/>
        <v>0</v>
      </c>
      <c r="AN26" s="275">
        <f t="shared" ca="1" si="71"/>
        <v>0</v>
      </c>
      <c r="AO26" s="275">
        <f t="shared" ca="1" si="72"/>
        <v>0</v>
      </c>
      <c r="AP26" s="275">
        <f t="shared" ca="1" si="21"/>
        <v>0</v>
      </c>
      <c r="AQ26" s="275">
        <f t="shared" ca="1" si="22"/>
        <v>0</v>
      </c>
      <c r="AR26" s="275">
        <f t="shared" ca="1" si="23"/>
        <v>0</v>
      </c>
      <c r="AS26" s="275">
        <f t="shared" ca="1" si="24"/>
        <v>0</v>
      </c>
      <c r="AT26" s="275">
        <f t="shared" ca="1" si="73"/>
        <v>0</v>
      </c>
      <c r="AU26" s="275">
        <f t="shared" ca="1" si="74"/>
        <v>0</v>
      </c>
      <c r="AV26" s="275">
        <f t="shared" ca="1" si="25"/>
        <v>0</v>
      </c>
      <c r="AW26" s="275">
        <f t="shared" ca="1" si="26"/>
        <v>0</v>
      </c>
      <c r="AX26" s="275">
        <f t="shared" ca="1" si="27"/>
        <v>0</v>
      </c>
      <c r="AY26" s="275">
        <f t="shared" ca="1" si="28"/>
        <v>0</v>
      </c>
      <c r="AZ26" s="275">
        <f t="shared" ca="1" si="29"/>
        <v>0</v>
      </c>
      <c r="BA26" s="275">
        <f t="shared" ca="1" si="30"/>
        <v>0</v>
      </c>
      <c r="BB26" s="275">
        <f t="shared" ca="1" si="31"/>
        <v>0</v>
      </c>
      <c r="BC26" s="275">
        <f t="shared" ca="1" si="32"/>
        <v>0</v>
      </c>
      <c r="BD26" s="275">
        <f t="shared" ca="1" si="33"/>
        <v>0</v>
      </c>
      <c r="BE26" s="275">
        <f t="shared" ca="1" si="34"/>
        <v>0</v>
      </c>
      <c r="BF26" s="275">
        <f t="shared" ca="1" si="35"/>
        <v>0</v>
      </c>
      <c r="BG26" s="275">
        <f t="shared" ca="1" si="36"/>
        <v>0</v>
      </c>
      <c r="BH26" s="275">
        <f t="shared" ca="1" si="75"/>
        <v>0</v>
      </c>
      <c r="BI26" s="275">
        <f t="shared" ca="1" si="76"/>
        <v>0</v>
      </c>
      <c r="BJ26" s="275">
        <f t="shared" ca="1" si="37"/>
        <v>0</v>
      </c>
      <c r="BK26" s="275">
        <f t="shared" ca="1" si="38"/>
        <v>0</v>
      </c>
      <c r="BL26" s="275">
        <f t="shared" ca="1" si="39"/>
        <v>0</v>
      </c>
      <c r="BM26" s="275">
        <f t="shared" ca="1" si="40"/>
        <v>0</v>
      </c>
      <c r="BN26" s="275">
        <f t="shared" ca="1" si="41"/>
        <v>0</v>
      </c>
      <c r="BO26" s="275">
        <f t="shared" ca="1" si="42"/>
        <v>0</v>
      </c>
      <c r="BP26" s="275">
        <f t="shared" ca="1" si="77"/>
        <v>0</v>
      </c>
      <c r="BQ26" s="275">
        <f t="shared" ca="1" si="78"/>
        <v>0</v>
      </c>
      <c r="BR26" s="275">
        <f t="shared" ca="1" si="43"/>
        <v>0</v>
      </c>
      <c r="BS26" s="275">
        <f t="shared" ca="1" si="44"/>
        <v>0</v>
      </c>
      <c r="BT26" s="275">
        <f t="shared" ca="1" si="79"/>
        <v>0</v>
      </c>
      <c r="BU26" s="275">
        <f t="shared" ca="1" si="80"/>
        <v>0</v>
      </c>
      <c r="BV26" s="275">
        <f t="shared" ca="1" si="81"/>
        <v>0</v>
      </c>
      <c r="BW26" s="275">
        <f t="shared" ca="1" si="82"/>
        <v>0</v>
      </c>
      <c r="BX26" s="275">
        <f t="shared" ca="1" si="45"/>
        <v>0</v>
      </c>
      <c r="BY26" s="275">
        <f t="shared" ca="1" si="46"/>
        <v>0</v>
      </c>
      <c r="BZ26" s="275">
        <f t="shared" ca="1" si="47"/>
        <v>0</v>
      </c>
      <c r="CA26" s="275">
        <f t="shared" ca="1" si="48"/>
        <v>0</v>
      </c>
      <c r="CB26" s="275">
        <f t="shared" ca="1" si="49"/>
        <v>0</v>
      </c>
      <c r="CC26" s="275">
        <f t="shared" ca="1" si="50"/>
        <v>0</v>
      </c>
      <c r="CD26" s="275">
        <f t="shared" ca="1" si="83"/>
        <v>0</v>
      </c>
      <c r="CE26" s="275">
        <f t="shared" ca="1" si="84"/>
        <v>0</v>
      </c>
      <c r="CF26" s="275">
        <f t="shared" ca="1" si="85"/>
        <v>0</v>
      </c>
      <c r="CG26" s="275">
        <f t="shared" ca="1" si="86"/>
        <v>0</v>
      </c>
      <c r="CH26" s="275">
        <f t="shared" ca="1" si="51"/>
        <v>0</v>
      </c>
      <c r="CI26" s="275">
        <f t="shared" ca="1" si="52"/>
        <v>0</v>
      </c>
      <c r="CJ26" s="275">
        <f t="shared" ca="1" si="87"/>
        <v>0</v>
      </c>
      <c r="CK26" s="275">
        <f t="shared" ca="1" si="88"/>
        <v>0</v>
      </c>
      <c r="CL26" s="275">
        <f t="shared" ca="1" si="53"/>
        <v>0</v>
      </c>
      <c r="CM26" s="275">
        <f t="shared" ca="1" si="54"/>
        <v>0</v>
      </c>
      <c r="CN26" s="275">
        <f t="shared" ca="1" si="55"/>
        <v>0</v>
      </c>
      <c r="CO26" s="275">
        <f t="shared" ca="1" si="56"/>
        <v>0</v>
      </c>
      <c r="CP26" s="275">
        <f t="shared" ca="1" si="89"/>
        <v>0</v>
      </c>
      <c r="CQ26" s="275">
        <f t="shared" ca="1" si="90"/>
        <v>0</v>
      </c>
      <c r="CR26" s="275">
        <f t="shared" ca="1" si="91"/>
        <v>0</v>
      </c>
      <c r="CS26" s="275">
        <f t="shared" ca="1" si="92"/>
        <v>0</v>
      </c>
      <c r="CT26" s="275">
        <f t="shared" ca="1" si="57"/>
        <v>0</v>
      </c>
      <c r="CU26" s="275">
        <f t="shared" ca="1" si="58"/>
        <v>0</v>
      </c>
      <c r="CV26" s="275">
        <f t="shared" ca="1" si="59"/>
        <v>0</v>
      </c>
      <c r="CW26" s="275">
        <f t="shared" ca="1" si="60"/>
        <v>0</v>
      </c>
      <c r="CX26" s="275">
        <f t="shared" ca="1" si="93"/>
        <v>0</v>
      </c>
      <c r="CY26" s="275">
        <f t="shared" ca="1" si="94"/>
        <v>0</v>
      </c>
      <c r="CZ26" s="275">
        <f t="shared" ca="1" si="95"/>
        <v>0</v>
      </c>
      <c r="DA26" s="275">
        <f t="shared" ca="1" si="96"/>
        <v>0</v>
      </c>
    </row>
    <row r="27" spans="1:105" s="272" customFormat="1" ht="15" customHeight="1">
      <c r="A27" s="63">
        <f t="array" aca="1" ref="A27" ca="1">IF(C27&lt;&gt;0,SUM(($C$11:C27&lt;&gt;0)*1),"")</f>
        <v>17</v>
      </c>
      <c r="B27" s="273" t="str">
        <f ca="1">IF(ROWS($1:17)&gt;COUNT(Dong6),"",OFFSET(TH!C$1,SMALL(Dong6,ROWS($1:17)),))</f>
        <v/>
      </c>
      <c r="C27" s="273" t="str">
        <f ca="1">IF(ROWS($1:17)&gt;COUNT(Dong6),"",OFFSET(TH!D$1,SMALL(Dong6,ROWS($1:17)),))</f>
        <v/>
      </c>
      <c r="D27" s="273" t="str">
        <f ca="1">IF(ROWS($1:17)&gt;COUNT(Dong6),"",OFFSET(TH!E$1,SMALL(Dong6,ROWS($1:17)),))</f>
        <v/>
      </c>
      <c r="E27" s="323" t="str">
        <f ca="1">IF(ROWS($1:17)&gt;COUNT(Dong6),"",OFFSET(TH!F$1,SMALL(Dong6,ROWS($1:17)),))</f>
        <v/>
      </c>
      <c r="F27" s="324" t="str">
        <f ca="1">IF(ROWS($1:17)&gt;COUNT(Dong6),"",OFFSET(TH!M$1,SMALL(Dong6,ROWS($1:17)),))</f>
        <v/>
      </c>
      <c r="G27" s="325" t="str">
        <f ca="1">IF(ROWS($1:17)&gt;COUNT(Dong6),"",OFFSET(TH!N$1,SMALL(Dong6,ROWS($1:17)),))</f>
        <v/>
      </c>
      <c r="H27" s="325" t="str">
        <f ca="1">IF(ROWS($1:17)&gt;COUNT(Dong6),"",OFFSET(TH!O$1,SMALL(Dong6,ROWS($1:17)),))</f>
        <v/>
      </c>
      <c r="I27" s="63">
        <f t="shared" ca="1" si="0"/>
        <v>17</v>
      </c>
      <c r="J27" s="275">
        <f t="shared" ca="1" si="61"/>
        <v>0</v>
      </c>
      <c r="K27" s="275">
        <f t="shared" ca="1" si="62"/>
        <v>0</v>
      </c>
      <c r="L27" s="275">
        <f t="shared" ca="1" si="1"/>
        <v>0</v>
      </c>
      <c r="M27" s="275">
        <f t="shared" ca="1" si="2"/>
        <v>0</v>
      </c>
      <c r="N27" s="275">
        <f t="shared" ca="1" si="3"/>
        <v>0</v>
      </c>
      <c r="O27" s="275">
        <f t="shared" ca="1" si="4"/>
        <v>0</v>
      </c>
      <c r="P27" s="275">
        <f t="shared" ca="1" si="5"/>
        <v>0</v>
      </c>
      <c r="Q27" s="275">
        <f t="shared" ca="1" si="6"/>
        <v>0</v>
      </c>
      <c r="R27" s="275">
        <f t="shared" ca="1" si="7"/>
        <v>0</v>
      </c>
      <c r="S27" s="275">
        <f t="shared" ca="1" si="8"/>
        <v>0</v>
      </c>
      <c r="T27" s="275">
        <f t="shared" ca="1" si="9"/>
        <v>0</v>
      </c>
      <c r="U27" s="275">
        <f t="shared" ca="1" si="10"/>
        <v>0</v>
      </c>
      <c r="V27" s="275">
        <f t="shared" ca="1" si="11"/>
        <v>0</v>
      </c>
      <c r="W27" s="275">
        <f t="shared" ca="1" si="12"/>
        <v>0</v>
      </c>
      <c r="X27" s="275">
        <f t="shared" ca="1" si="13"/>
        <v>0</v>
      </c>
      <c r="Y27" s="275">
        <f t="shared" ca="1" si="14"/>
        <v>0</v>
      </c>
      <c r="Z27" s="275">
        <f t="shared" ca="1" si="15"/>
        <v>0</v>
      </c>
      <c r="AA27" s="275">
        <f t="shared" ca="1" si="16"/>
        <v>0</v>
      </c>
      <c r="AB27" s="275">
        <f t="shared" ca="1" si="63"/>
        <v>0</v>
      </c>
      <c r="AC27" s="275">
        <f t="shared" ca="1" si="64"/>
        <v>0</v>
      </c>
      <c r="AD27" s="275">
        <f t="shared" ca="1" si="17"/>
        <v>0</v>
      </c>
      <c r="AE27" s="275">
        <f t="shared" ca="1" si="18"/>
        <v>0</v>
      </c>
      <c r="AF27" s="275">
        <f t="shared" ca="1" si="19"/>
        <v>0</v>
      </c>
      <c r="AG27" s="275">
        <f t="shared" ca="1" si="20"/>
        <v>0</v>
      </c>
      <c r="AH27" s="275">
        <f t="shared" ca="1" si="65"/>
        <v>0</v>
      </c>
      <c r="AI27" s="275">
        <f t="shared" ca="1" si="66"/>
        <v>0</v>
      </c>
      <c r="AJ27" s="275">
        <f t="shared" ca="1" si="67"/>
        <v>0</v>
      </c>
      <c r="AK27" s="275">
        <f t="shared" ca="1" si="68"/>
        <v>0</v>
      </c>
      <c r="AL27" s="275">
        <f t="shared" ca="1" si="69"/>
        <v>0</v>
      </c>
      <c r="AM27" s="275">
        <f t="shared" ca="1" si="70"/>
        <v>0</v>
      </c>
      <c r="AN27" s="275">
        <f t="shared" ca="1" si="71"/>
        <v>0</v>
      </c>
      <c r="AO27" s="275">
        <f t="shared" ca="1" si="72"/>
        <v>0</v>
      </c>
      <c r="AP27" s="275">
        <f t="shared" ca="1" si="21"/>
        <v>0</v>
      </c>
      <c r="AQ27" s="275">
        <f t="shared" ca="1" si="22"/>
        <v>0</v>
      </c>
      <c r="AR27" s="275">
        <f t="shared" ca="1" si="23"/>
        <v>0</v>
      </c>
      <c r="AS27" s="275">
        <f t="shared" ca="1" si="24"/>
        <v>0</v>
      </c>
      <c r="AT27" s="275">
        <f t="shared" ca="1" si="73"/>
        <v>0</v>
      </c>
      <c r="AU27" s="275">
        <f t="shared" ca="1" si="74"/>
        <v>0</v>
      </c>
      <c r="AV27" s="275">
        <f t="shared" ca="1" si="25"/>
        <v>0</v>
      </c>
      <c r="AW27" s="275">
        <f t="shared" ca="1" si="26"/>
        <v>0</v>
      </c>
      <c r="AX27" s="275">
        <f t="shared" ca="1" si="27"/>
        <v>0</v>
      </c>
      <c r="AY27" s="275">
        <f t="shared" ca="1" si="28"/>
        <v>0</v>
      </c>
      <c r="AZ27" s="275">
        <f t="shared" ca="1" si="29"/>
        <v>0</v>
      </c>
      <c r="BA27" s="275">
        <f t="shared" ca="1" si="30"/>
        <v>0</v>
      </c>
      <c r="BB27" s="275">
        <f t="shared" ca="1" si="31"/>
        <v>0</v>
      </c>
      <c r="BC27" s="275">
        <f t="shared" ca="1" si="32"/>
        <v>0</v>
      </c>
      <c r="BD27" s="275">
        <f t="shared" ca="1" si="33"/>
        <v>0</v>
      </c>
      <c r="BE27" s="275">
        <f t="shared" ca="1" si="34"/>
        <v>0</v>
      </c>
      <c r="BF27" s="275">
        <f t="shared" ca="1" si="35"/>
        <v>0</v>
      </c>
      <c r="BG27" s="275">
        <f t="shared" ca="1" si="36"/>
        <v>0</v>
      </c>
      <c r="BH27" s="275">
        <f t="shared" ca="1" si="75"/>
        <v>0</v>
      </c>
      <c r="BI27" s="275">
        <f t="shared" ca="1" si="76"/>
        <v>0</v>
      </c>
      <c r="BJ27" s="275">
        <f t="shared" ca="1" si="37"/>
        <v>0</v>
      </c>
      <c r="BK27" s="275">
        <f t="shared" ca="1" si="38"/>
        <v>0</v>
      </c>
      <c r="BL27" s="275">
        <f t="shared" ca="1" si="39"/>
        <v>0</v>
      </c>
      <c r="BM27" s="275">
        <f t="shared" ca="1" si="40"/>
        <v>0</v>
      </c>
      <c r="BN27" s="275">
        <f t="shared" ca="1" si="41"/>
        <v>0</v>
      </c>
      <c r="BO27" s="275">
        <f t="shared" ca="1" si="42"/>
        <v>0</v>
      </c>
      <c r="BP27" s="275">
        <f t="shared" ca="1" si="77"/>
        <v>0</v>
      </c>
      <c r="BQ27" s="275">
        <f t="shared" ca="1" si="78"/>
        <v>0</v>
      </c>
      <c r="BR27" s="275">
        <f t="shared" ca="1" si="43"/>
        <v>0</v>
      </c>
      <c r="BS27" s="275">
        <f t="shared" ca="1" si="44"/>
        <v>0</v>
      </c>
      <c r="BT27" s="275">
        <f t="shared" ca="1" si="79"/>
        <v>0</v>
      </c>
      <c r="BU27" s="275">
        <f t="shared" ca="1" si="80"/>
        <v>0</v>
      </c>
      <c r="BV27" s="275">
        <f t="shared" ca="1" si="81"/>
        <v>0</v>
      </c>
      <c r="BW27" s="275">
        <f t="shared" ca="1" si="82"/>
        <v>0</v>
      </c>
      <c r="BX27" s="275">
        <f t="shared" ca="1" si="45"/>
        <v>0</v>
      </c>
      <c r="BY27" s="275">
        <f t="shared" ca="1" si="46"/>
        <v>0</v>
      </c>
      <c r="BZ27" s="275">
        <f t="shared" ca="1" si="47"/>
        <v>0</v>
      </c>
      <c r="CA27" s="275">
        <f t="shared" ca="1" si="48"/>
        <v>0</v>
      </c>
      <c r="CB27" s="275">
        <f t="shared" ca="1" si="49"/>
        <v>0</v>
      </c>
      <c r="CC27" s="275">
        <f t="shared" ca="1" si="50"/>
        <v>0</v>
      </c>
      <c r="CD27" s="275">
        <f t="shared" ca="1" si="83"/>
        <v>0</v>
      </c>
      <c r="CE27" s="275">
        <f t="shared" ca="1" si="84"/>
        <v>0</v>
      </c>
      <c r="CF27" s="275">
        <f t="shared" ca="1" si="85"/>
        <v>0</v>
      </c>
      <c r="CG27" s="275">
        <f t="shared" ca="1" si="86"/>
        <v>0</v>
      </c>
      <c r="CH27" s="275">
        <f t="shared" ca="1" si="51"/>
        <v>0</v>
      </c>
      <c r="CI27" s="275">
        <f t="shared" ca="1" si="52"/>
        <v>0</v>
      </c>
      <c r="CJ27" s="275">
        <f t="shared" ca="1" si="87"/>
        <v>0</v>
      </c>
      <c r="CK27" s="275">
        <f t="shared" ca="1" si="88"/>
        <v>0</v>
      </c>
      <c r="CL27" s="275">
        <f t="shared" ca="1" si="53"/>
        <v>0</v>
      </c>
      <c r="CM27" s="275">
        <f t="shared" ca="1" si="54"/>
        <v>0</v>
      </c>
      <c r="CN27" s="275">
        <f t="shared" ca="1" si="55"/>
        <v>0</v>
      </c>
      <c r="CO27" s="275">
        <f t="shared" ca="1" si="56"/>
        <v>0</v>
      </c>
      <c r="CP27" s="275">
        <f t="shared" ca="1" si="89"/>
        <v>0</v>
      </c>
      <c r="CQ27" s="275">
        <f t="shared" ca="1" si="90"/>
        <v>0</v>
      </c>
      <c r="CR27" s="275">
        <f t="shared" ca="1" si="91"/>
        <v>0</v>
      </c>
      <c r="CS27" s="275">
        <f t="shared" ca="1" si="92"/>
        <v>0</v>
      </c>
      <c r="CT27" s="275">
        <f t="shared" ca="1" si="57"/>
        <v>0</v>
      </c>
      <c r="CU27" s="275">
        <f t="shared" ca="1" si="58"/>
        <v>0</v>
      </c>
      <c r="CV27" s="275">
        <f t="shared" ca="1" si="59"/>
        <v>0</v>
      </c>
      <c r="CW27" s="275">
        <f t="shared" ca="1" si="60"/>
        <v>0</v>
      </c>
      <c r="CX27" s="275">
        <f t="shared" ca="1" si="93"/>
        <v>0</v>
      </c>
      <c r="CY27" s="275">
        <f t="shared" ca="1" si="94"/>
        <v>0</v>
      </c>
      <c r="CZ27" s="275">
        <f t="shared" ca="1" si="95"/>
        <v>0</v>
      </c>
      <c r="DA27" s="275">
        <f t="shared" ca="1" si="96"/>
        <v>0</v>
      </c>
    </row>
    <row r="28" spans="1:105" s="272" customFormat="1" ht="15" customHeight="1">
      <c r="A28" s="63">
        <f t="array" aca="1" ref="A28" ca="1">IF(C28&lt;&gt;0,SUM(($C$11:C28&lt;&gt;0)*1),"")</f>
        <v>18</v>
      </c>
      <c r="B28" s="273" t="str">
        <f ca="1">IF(ROWS($1:18)&gt;COUNT(Dong6),"",OFFSET(TH!C$1,SMALL(Dong6,ROWS($1:18)),))</f>
        <v/>
      </c>
      <c r="C28" s="273" t="str">
        <f ca="1">IF(ROWS($1:18)&gt;COUNT(Dong6),"",OFFSET(TH!D$1,SMALL(Dong6,ROWS($1:18)),))</f>
        <v/>
      </c>
      <c r="D28" s="273" t="str">
        <f ca="1">IF(ROWS($1:18)&gt;COUNT(Dong6),"",OFFSET(TH!E$1,SMALL(Dong6,ROWS($1:18)),))</f>
        <v/>
      </c>
      <c r="E28" s="323" t="str">
        <f ca="1">IF(ROWS($1:18)&gt;COUNT(Dong6),"",OFFSET(TH!F$1,SMALL(Dong6,ROWS($1:18)),))</f>
        <v/>
      </c>
      <c r="F28" s="324" t="str">
        <f ca="1">IF(ROWS($1:18)&gt;COUNT(Dong6),"",OFFSET(TH!M$1,SMALL(Dong6,ROWS($1:18)),))</f>
        <v/>
      </c>
      <c r="G28" s="325" t="str">
        <f ca="1">IF(ROWS($1:18)&gt;COUNT(Dong6),"",OFFSET(TH!N$1,SMALL(Dong6,ROWS($1:18)),))</f>
        <v/>
      </c>
      <c r="H28" s="325" t="str">
        <f ca="1">IF(ROWS($1:18)&gt;COUNT(Dong6),"",OFFSET(TH!O$1,SMALL(Dong6,ROWS($1:18)),))</f>
        <v/>
      </c>
      <c r="I28" s="63">
        <f t="shared" ca="1" si="0"/>
        <v>18</v>
      </c>
      <c r="J28" s="275">
        <f t="shared" ca="1" si="61"/>
        <v>0</v>
      </c>
      <c r="K28" s="275">
        <f t="shared" ca="1" si="62"/>
        <v>0</v>
      </c>
      <c r="L28" s="275">
        <f t="shared" ca="1" si="1"/>
        <v>0</v>
      </c>
      <c r="M28" s="275">
        <f t="shared" ca="1" si="2"/>
        <v>0</v>
      </c>
      <c r="N28" s="275">
        <f t="shared" ca="1" si="3"/>
        <v>0</v>
      </c>
      <c r="O28" s="275">
        <f t="shared" ca="1" si="4"/>
        <v>0</v>
      </c>
      <c r="P28" s="275">
        <f t="shared" ca="1" si="5"/>
        <v>0</v>
      </c>
      <c r="Q28" s="275">
        <f t="shared" ca="1" si="6"/>
        <v>0</v>
      </c>
      <c r="R28" s="275">
        <f t="shared" ca="1" si="7"/>
        <v>0</v>
      </c>
      <c r="S28" s="275">
        <f t="shared" ca="1" si="8"/>
        <v>0</v>
      </c>
      <c r="T28" s="275">
        <f t="shared" ca="1" si="9"/>
        <v>0</v>
      </c>
      <c r="U28" s="275">
        <f t="shared" ca="1" si="10"/>
        <v>0</v>
      </c>
      <c r="V28" s="275">
        <f t="shared" ca="1" si="11"/>
        <v>0</v>
      </c>
      <c r="W28" s="275">
        <f t="shared" ca="1" si="12"/>
        <v>0</v>
      </c>
      <c r="X28" s="275">
        <f t="shared" ca="1" si="13"/>
        <v>0</v>
      </c>
      <c r="Y28" s="275">
        <f t="shared" ca="1" si="14"/>
        <v>0</v>
      </c>
      <c r="Z28" s="275">
        <f t="shared" ca="1" si="15"/>
        <v>0</v>
      </c>
      <c r="AA28" s="275">
        <f t="shared" ca="1" si="16"/>
        <v>0</v>
      </c>
      <c r="AB28" s="275">
        <f t="shared" ca="1" si="63"/>
        <v>0</v>
      </c>
      <c r="AC28" s="275">
        <f t="shared" ca="1" si="64"/>
        <v>0</v>
      </c>
      <c r="AD28" s="275">
        <f t="shared" ca="1" si="17"/>
        <v>0</v>
      </c>
      <c r="AE28" s="275">
        <f t="shared" ca="1" si="18"/>
        <v>0</v>
      </c>
      <c r="AF28" s="275">
        <f t="shared" ca="1" si="19"/>
        <v>0</v>
      </c>
      <c r="AG28" s="275">
        <f t="shared" ca="1" si="20"/>
        <v>0</v>
      </c>
      <c r="AH28" s="275">
        <f t="shared" ca="1" si="65"/>
        <v>0</v>
      </c>
      <c r="AI28" s="275">
        <f t="shared" ca="1" si="66"/>
        <v>0</v>
      </c>
      <c r="AJ28" s="275">
        <f t="shared" ca="1" si="67"/>
        <v>0</v>
      </c>
      <c r="AK28" s="275">
        <f t="shared" ca="1" si="68"/>
        <v>0</v>
      </c>
      <c r="AL28" s="275">
        <f t="shared" ca="1" si="69"/>
        <v>0</v>
      </c>
      <c r="AM28" s="275">
        <f t="shared" ca="1" si="70"/>
        <v>0</v>
      </c>
      <c r="AN28" s="275">
        <f t="shared" ca="1" si="71"/>
        <v>0</v>
      </c>
      <c r="AO28" s="275">
        <f t="shared" ca="1" si="72"/>
        <v>0</v>
      </c>
      <c r="AP28" s="275">
        <f t="shared" ca="1" si="21"/>
        <v>0</v>
      </c>
      <c r="AQ28" s="275">
        <f t="shared" ca="1" si="22"/>
        <v>0</v>
      </c>
      <c r="AR28" s="275">
        <f t="shared" ca="1" si="23"/>
        <v>0</v>
      </c>
      <c r="AS28" s="275">
        <f t="shared" ca="1" si="24"/>
        <v>0</v>
      </c>
      <c r="AT28" s="275">
        <f t="shared" ca="1" si="73"/>
        <v>0</v>
      </c>
      <c r="AU28" s="275">
        <f t="shared" ca="1" si="74"/>
        <v>0</v>
      </c>
      <c r="AV28" s="275">
        <f t="shared" ca="1" si="25"/>
        <v>0</v>
      </c>
      <c r="AW28" s="275">
        <f t="shared" ca="1" si="26"/>
        <v>0</v>
      </c>
      <c r="AX28" s="275">
        <f t="shared" ca="1" si="27"/>
        <v>0</v>
      </c>
      <c r="AY28" s="275">
        <f t="shared" ca="1" si="28"/>
        <v>0</v>
      </c>
      <c r="AZ28" s="275">
        <f t="shared" ca="1" si="29"/>
        <v>0</v>
      </c>
      <c r="BA28" s="275">
        <f t="shared" ca="1" si="30"/>
        <v>0</v>
      </c>
      <c r="BB28" s="275">
        <f t="shared" ca="1" si="31"/>
        <v>0</v>
      </c>
      <c r="BC28" s="275">
        <f t="shared" ca="1" si="32"/>
        <v>0</v>
      </c>
      <c r="BD28" s="275">
        <f t="shared" ca="1" si="33"/>
        <v>0</v>
      </c>
      <c r="BE28" s="275">
        <f t="shared" ca="1" si="34"/>
        <v>0</v>
      </c>
      <c r="BF28" s="275">
        <f t="shared" ca="1" si="35"/>
        <v>0</v>
      </c>
      <c r="BG28" s="275">
        <f t="shared" ca="1" si="36"/>
        <v>0</v>
      </c>
      <c r="BH28" s="275">
        <f t="shared" ca="1" si="75"/>
        <v>0</v>
      </c>
      <c r="BI28" s="275">
        <f t="shared" ca="1" si="76"/>
        <v>0</v>
      </c>
      <c r="BJ28" s="275">
        <f t="shared" ca="1" si="37"/>
        <v>0</v>
      </c>
      <c r="BK28" s="275">
        <f t="shared" ca="1" si="38"/>
        <v>0</v>
      </c>
      <c r="BL28" s="275">
        <f t="shared" ca="1" si="39"/>
        <v>0</v>
      </c>
      <c r="BM28" s="275">
        <f t="shared" ca="1" si="40"/>
        <v>0</v>
      </c>
      <c r="BN28" s="275">
        <f t="shared" ca="1" si="41"/>
        <v>0</v>
      </c>
      <c r="BO28" s="275">
        <f t="shared" ca="1" si="42"/>
        <v>0</v>
      </c>
      <c r="BP28" s="275">
        <f t="shared" ca="1" si="77"/>
        <v>0</v>
      </c>
      <c r="BQ28" s="275">
        <f t="shared" ca="1" si="78"/>
        <v>0</v>
      </c>
      <c r="BR28" s="275">
        <f t="shared" ca="1" si="43"/>
        <v>0</v>
      </c>
      <c r="BS28" s="275">
        <f t="shared" ca="1" si="44"/>
        <v>0</v>
      </c>
      <c r="BT28" s="275">
        <f t="shared" ca="1" si="79"/>
        <v>0</v>
      </c>
      <c r="BU28" s="275">
        <f t="shared" ca="1" si="80"/>
        <v>0</v>
      </c>
      <c r="BV28" s="275">
        <f t="shared" ca="1" si="81"/>
        <v>0</v>
      </c>
      <c r="BW28" s="275">
        <f t="shared" ca="1" si="82"/>
        <v>0</v>
      </c>
      <c r="BX28" s="275">
        <f t="shared" ca="1" si="45"/>
        <v>0</v>
      </c>
      <c r="BY28" s="275">
        <f t="shared" ca="1" si="46"/>
        <v>0</v>
      </c>
      <c r="BZ28" s="275">
        <f t="shared" ca="1" si="47"/>
        <v>0</v>
      </c>
      <c r="CA28" s="275">
        <f t="shared" ca="1" si="48"/>
        <v>0</v>
      </c>
      <c r="CB28" s="275">
        <f t="shared" ca="1" si="49"/>
        <v>0</v>
      </c>
      <c r="CC28" s="275">
        <f t="shared" ca="1" si="50"/>
        <v>0</v>
      </c>
      <c r="CD28" s="275">
        <f t="shared" ca="1" si="83"/>
        <v>0</v>
      </c>
      <c r="CE28" s="275">
        <f t="shared" ca="1" si="84"/>
        <v>0</v>
      </c>
      <c r="CF28" s="275">
        <f t="shared" ca="1" si="85"/>
        <v>0</v>
      </c>
      <c r="CG28" s="275">
        <f t="shared" ca="1" si="86"/>
        <v>0</v>
      </c>
      <c r="CH28" s="275">
        <f t="shared" ca="1" si="51"/>
        <v>0</v>
      </c>
      <c r="CI28" s="275">
        <f t="shared" ca="1" si="52"/>
        <v>0</v>
      </c>
      <c r="CJ28" s="275">
        <f t="shared" ca="1" si="87"/>
        <v>0</v>
      </c>
      <c r="CK28" s="275">
        <f t="shared" ca="1" si="88"/>
        <v>0</v>
      </c>
      <c r="CL28" s="275">
        <f t="shared" ca="1" si="53"/>
        <v>0</v>
      </c>
      <c r="CM28" s="275">
        <f t="shared" ca="1" si="54"/>
        <v>0</v>
      </c>
      <c r="CN28" s="275">
        <f t="shared" ca="1" si="55"/>
        <v>0</v>
      </c>
      <c r="CO28" s="275">
        <f t="shared" ca="1" si="56"/>
        <v>0</v>
      </c>
      <c r="CP28" s="275">
        <f t="shared" ca="1" si="89"/>
        <v>0</v>
      </c>
      <c r="CQ28" s="275">
        <f t="shared" ca="1" si="90"/>
        <v>0</v>
      </c>
      <c r="CR28" s="275">
        <f t="shared" ca="1" si="91"/>
        <v>0</v>
      </c>
      <c r="CS28" s="275">
        <f t="shared" ca="1" si="92"/>
        <v>0</v>
      </c>
      <c r="CT28" s="275">
        <f t="shared" ca="1" si="57"/>
        <v>0</v>
      </c>
      <c r="CU28" s="275">
        <f t="shared" ca="1" si="58"/>
        <v>0</v>
      </c>
      <c r="CV28" s="275">
        <f t="shared" ca="1" si="59"/>
        <v>0</v>
      </c>
      <c r="CW28" s="275">
        <f t="shared" ca="1" si="60"/>
        <v>0</v>
      </c>
      <c r="CX28" s="275">
        <f t="shared" ca="1" si="93"/>
        <v>0</v>
      </c>
      <c r="CY28" s="275">
        <f t="shared" ca="1" si="94"/>
        <v>0</v>
      </c>
      <c r="CZ28" s="275">
        <f t="shared" ca="1" si="95"/>
        <v>0</v>
      </c>
      <c r="DA28" s="275">
        <f t="shared" ca="1" si="96"/>
        <v>0</v>
      </c>
    </row>
    <row r="29" spans="1:105" s="272" customFormat="1" ht="15" customHeight="1">
      <c r="A29" s="63">
        <f t="array" aca="1" ref="A29" ca="1">IF(C29&lt;&gt;0,SUM(($C$11:C29&lt;&gt;0)*1),"")</f>
        <v>19</v>
      </c>
      <c r="B29" s="273" t="str">
        <f ca="1">IF(ROWS($1:19)&gt;COUNT(Dong6),"",OFFSET(TH!C$1,SMALL(Dong6,ROWS($1:19)),))</f>
        <v/>
      </c>
      <c r="C29" s="273" t="str">
        <f ca="1">IF(ROWS($1:19)&gt;COUNT(Dong6),"",OFFSET(TH!D$1,SMALL(Dong6,ROWS($1:19)),))</f>
        <v/>
      </c>
      <c r="D29" s="273" t="str">
        <f ca="1">IF(ROWS($1:19)&gt;COUNT(Dong6),"",OFFSET(TH!E$1,SMALL(Dong6,ROWS($1:19)),))</f>
        <v/>
      </c>
      <c r="E29" s="323" t="str">
        <f ca="1">IF(ROWS($1:19)&gt;COUNT(Dong6),"",OFFSET(TH!F$1,SMALL(Dong6,ROWS($1:19)),))</f>
        <v/>
      </c>
      <c r="F29" s="324" t="str">
        <f ca="1">IF(ROWS($1:19)&gt;COUNT(Dong6),"",OFFSET(TH!M$1,SMALL(Dong6,ROWS($1:19)),))</f>
        <v/>
      </c>
      <c r="G29" s="325" t="str">
        <f ca="1">IF(ROWS($1:19)&gt;COUNT(Dong6),"",OFFSET(TH!N$1,SMALL(Dong6,ROWS($1:19)),))</f>
        <v/>
      </c>
      <c r="H29" s="325" t="str">
        <f ca="1">IF(ROWS($1:19)&gt;COUNT(Dong6),"",OFFSET(TH!O$1,SMALL(Dong6,ROWS($1:19)),))</f>
        <v/>
      </c>
      <c r="I29" s="63">
        <f t="shared" ca="1" si="0"/>
        <v>19</v>
      </c>
      <c r="J29" s="275">
        <f t="shared" ca="1" si="61"/>
        <v>0</v>
      </c>
      <c r="K29" s="275">
        <f t="shared" ca="1" si="62"/>
        <v>0</v>
      </c>
      <c r="L29" s="275">
        <f t="shared" ca="1" si="1"/>
        <v>0</v>
      </c>
      <c r="M29" s="275">
        <f t="shared" ca="1" si="2"/>
        <v>0</v>
      </c>
      <c r="N29" s="275">
        <f t="shared" ca="1" si="3"/>
        <v>0</v>
      </c>
      <c r="O29" s="275">
        <f t="shared" ca="1" si="4"/>
        <v>0</v>
      </c>
      <c r="P29" s="275">
        <f t="shared" ca="1" si="5"/>
        <v>0</v>
      </c>
      <c r="Q29" s="275">
        <f t="shared" ca="1" si="6"/>
        <v>0</v>
      </c>
      <c r="R29" s="275">
        <f t="shared" ca="1" si="7"/>
        <v>0</v>
      </c>
      <c r="S29" s="275">
        <f t="shared" ca="1" si="8"/>
        <v>0</v>
      </c>
      <c r="T29" s="275">
        <f t="shared" ca="1" si="9"/>
        <v>0</v>
      </c>
      <c r="U29" s="275">
        <f t="shared" ca="1" si="10"/>
        <v>0</v>
      </c>
      <c r="V29" s="275">
        <f t="shared" ca="1" si="11"/>
        <v>0</v>
      </c>
      <c r="W29" s="275">
        <f t="shared" ca="1" si="12"/>
        <v>0</v>
      </c>
      <c r="X29" s="275">
        <f t="shared" ca="1" si="13"/>
        <v>0</v>
      </c>
      <c r="Y29" s="275">
        <f t="shared" ca="1" si="14"/>
        <v>0</v>
      </c>
      <c r="Z29" s="275">
        <f t="shared" ca="1" si="15"/>
        <v>0</v>
      </c>
      <c r="AA29" s="275">
        <f t="shared" ca="1" si="16"/>
        <v>0</v>
      </c>
      <c r="AB29" s="275">
        <f t="shared" ca="1" si="63"/>
        <v>0</v>
      </c>
      <c r="AC29" s="275">
        <f t="shared" ca="1" si="64"/>
        <v>0</v>
      </c>
      <c r="AD29" s="275">
        <f t="shared" ca="1" si="17"/>
        <v>0</v>
      </c>
      <c r="AE29" s="275">
        <f t="shared" ca="1" si="18"/>
        <v>0</v>
      </c>
      <c r="AF29" s="275">
        <f t="shared" ca="1" si="19"/>
        <v>0</v>
      </c>
      <c r="AG29" s="275">
        <f t="shared" ca="1" si="20"/>
        <v>0</v>
      </c>
      <c r="AH29" s="275">
        <f t="shared" ca="1" si="65"/>
        <v>0</v>
      </c>
      <c r="AI29" s="275">
        <f t="shared" ca="1" si="66"/>
        <v>0</v>
      </c>
      <c r="AJ29" s="275">
        <f t="shared" ca="1" si="67"/>
        <v>0</v>
      </c>
      <c r="AK29" s="275">
        <f t="shared" ca="1" si="68"/>
        <v>0</v>
      </c>
      <c r="AL29" s="275">
        <f t="shared" ca="1" si="69"/>
        <v>0</v>
      </c>
      <c r="AM29" s="275">
        <f t="shared" ca="1" si="70"/>
        <v>0</v>
      </c>
      <c r="AN29" s="275">
        <f t="shared" ca="1" si="71"/>
        <v>0</v>
      </c>
      <c r="AO29" s="275">
        <f t="shared" ca="1" si="72"/>
        <v>0</v>
      </c>
      <c r="AP29" s="275">
        <f t="shared" ca="1" si="21"/>
        <v>0</v>
      </c>
      <c r="AQ29" s="275">
        <f t="shared" ca="1" si="22"/>
        <v>0</v>
      </c>
      <c r="AR29" s="275">
        <f t="shared" ca="1" si="23"/>
        <v>0</v>
      </c>
      <c r="AS29" s="275">
        <f t="shared" ca="1" si="24"/>
        <v>0</v>
      </c>
      <c r="AT29" s="275">
        <f t="shared" ca="1" si="73"/>
        <v>0</v>
      </c>
      <c r="AU29" s="275">
        <f t="shared" ca="1" si="74"/>
        <v>0</v>
      </c>
      <c r="AV29" s="275">
        <f t="shared" ca="1" si="25"/>
        <v>0</v>
      </c>
      <c r="AW29" s="275">
        <f t="shared" ca="1" si="26"/>
        <v>0</v>
      </c>
      <c r="AX29" s="275">
        <f t="shared" ca="1" si="27"/>
        <v>0</v>
      </c>
      <c r="AY29" s="275">
        <f t="shared" ca="1" si="28"/>
        <v>0</v>
      </c>
      <c r="AZ29" s="275">
        <f t="shared" ca="1" si="29"/>
        <v>0</v>
      </c>
      <c r="BA29" s="275">
        <f t="shared" ca="1" si="30"/>
        <v>0</v>
      </c>
      <c r="BB29" s="275">
        <f t="shared" ca="1" si="31"/>
        <v>0</v>
      </c>
      <c r="BC29" s="275">
        <f t="shared" ca="1" si="32"/>
        <v>0</v>
      </c>
      <c r="BD29" s="275">
        <f t="shared" ca="1" si="33"/>
        <v>0</v>
      </c>
      <c r="BE29" s="275">
        <f t="shared" ca="1" si="34"/>
        <v>0</v>
      </c>
      <c r="BF29" s="275">
        <f t="shared" ca="1" si="35"/>
        <v>0</v>
      </c>
      <c r="BG29" s="275">
        <f t="shared" ca="1" si="36"/>
        <v>0</v>
      </c>
      <c r="BH29" s="275">
        <f t="shared" ca="1" si="75"/>
        <v>0</v>
      </c>
      <c r="BI29" s="275">
        <f t="shared" ca="1" si="76"/>
        <v>0</v>
      </c>
      <c r="BJ29" s="275">
        <f t="shared" ca="1" si="37"/>
        <v>0</v>
      </c>
      <c r="BK29" s="275">
        <f t="shared" ca="1" si="38"/>
        <v>0</v>
      </c>
      <c r="BL29" s="275">
        <f t="shared" ca="1" si="39"/>
        <v>0</v>
      </c>
      <c r="BM29" s="275">
        <f t="shared" ca="1" si="40"/>
        <v>0</v>
      </c>
      <c r="BN29" s="275">
        <f t="shared" ca="1" si="41"/>
        <v>0</v>
      </c>
      <c r="BO29" s="275">
        <f t="shared" ca="1" si="42"/>
        <v>0</v>
      </c>
      <c r="BP29" s="275">
        <f t="shared" ca="1" si="77"/>
        <v>0</v>
      </c>
      <c r="BQ29" s="275">
        <f t="shared" ca="1" si="78"/>
        <v>0</v>
      </c>
      <c r="BR29" s="275">
        <f t="shared" ca="1" si="43"/>
        <v>0</v>
      </c>
      <c r="BS29" s="275">
        <f t="shared" ca="1" si="44"/>
        <v>0</v>
      </c>
      <c r="BT29" s="275">
        <f t="shared" ca="1" si="79"/>
        <v>0</v>
      </c>
      <c r="BU29" s="275">
        <f t="shared" ca="1" si="80"/>
        <v>0</v>
      </c>
      <c r="BV29" s="275">
        <f t="shared" ca="1" si="81"/>
        <v>0</v>
      </c>
      <c r="BW29" s="275">
        <f t="shared" ca="1" si="82"/>
        <v>0</v>
      </c>
      <c r="BX29" s="275">
        <f t="shared" ca="1" si="45"/>
        <v>0</v>
      </c>
      <c r="BY29" s="275">
        <f t="shared" ca="1" si="46"/>
        <v>0</v>
      </c>
      <c r="BZ29" s="275">
        <f t="shared" ca="1" si="47"/>
        <v>0</v>
      </c>
      <c r="CA29" s="275">
        <f t="shared" ca="1" si="48"/>
        <v>0</v>
      </c>
      <c r="CB29" s="275">
        <f t="shared" ca="1" si="49"/>
        <v>0</v>
      </c>
      <c r="CC29" s="275">
        <f t="shared" ca="1" si="50"/>
        <v>0</v>
      </c>
      <c r="CD29" s="275">
        <f t="shared" ca="1" si="83"/>
        <v>0</v>
      </c>
      <c r="CE29" s="275">
        <f t="shared" ca="1" si="84"/>
        <v>0</v>
      </c>
      <c r="CF29" s="275">
        <f t="shared" ca="1" si="85"/>
        <v>0</v>
      </c>
      <c r="CG29" s="275">
        <f t="shared" ca="1" si="86"/>
        <v>0</v>
      </c>
      <c r="CH29" s="275">
        <f t="shared" ca="1" si="51"/>
        <v>0</v>
      </c>
      <c r="CI29" s="275">
        <f t="shared" ca="1" si="52"/>
        <v>0</v>
      </c>
      <c r="CJ29" s="275">
        <f t="shared" ca="1" si="87"/>
        <v>0</v>
      </c>
      <c r="CK29" s="275">
        <f t="shared" ca="1" si="88"/>
        <v>0</v>
      </c>
      <c r="CL29" s="275">
        <f t="shared" ca="1" si="53"/>
        <v>0</v>
      </c>
      <c r="CM29" s="275">
        <f t="shared" ca="1" si="54"/>
        <v>0</v>
      </c>
      <c r="CN29" s="275">
        <f t="shared" ca="1" si="55"/>
        <v>0</v>
      </c>
      <c r="CO29" s="275">
        <f t="shared" ca="1" si="56"/>
        <v>0</v>
      </c>
      <c r="CP29" s="275">
        <f t="shared" ca="1" si="89"/>
        <v>0</v>
      </c>
      <c r="CQ29" s="275">
        <f t="shared" ca="1" si="90"/>
        <v>0</v>
      </c>
      <c r="CR29" s="275">
        <f t="shared" ca="1" si="91"/>
        <v>0</v>
      </c>
      <c r="CS29" s="275">
        <f t="shared" ca="1" si="92"/>
        <v>0</v>
      </c>
      <c r="CT29" s="275">
        <f t="shared" ca="1" si="57"/>
        <v>0</v>
      </c>
      <c r="CU29" s="275">
        <f t="shared" ca="1" si="58"/>
        <v>0</v>
      </c>
      <c r="CV29" s="275">
        <f t="shared" ca="1" si="59"/>
        <v>0</v>
      </c>
      <c r="CW29" s="275">
        <f t="shared" ca="1" si="60"/>
        <v>0</v>
      </c>
      <c r="CX29" s="275">
        <f t="shared" ca="1" si="93"/>
        <v>0</v>
      </c>
      <c r="CY29" s="275">
        <f t="shared" ca="1" si="94"/>
        <v>0</v>
      </c>
      <c r="CZ29" s="275">
        <f t="shared" ca="1" si="95"/>
        <v>0</v>
      </c>
      <c r="DA29" s="275">
        <f t="shared" ca="1" si="96"/>
        <v>0</v>
      </c>
    </row>
    <row r="30" spans="1:105" s="272" customFormat="1" ht="15" customHeight="1">
      <c r="A30" s="63">
        <f t="array" aca="1" ref="A30" ca="1">IF(C30&lt;&gt;0,SUM(($C$11:C30&lt;&gt;0)*1),"")</f>
        <v>20</v>
      </c>
      <c r="B30" s="273" t="str">
        <f ca="1">IF(ROWS($1:20)&gt;COUNT(Dong6),"",OFFSET(TH!C$1,SMALL(Dong6,ROWS($1:20)),))</f>
        <v/>
      </c>
      <c r="C30" s="273" t="str">
        <f ca="1">IF(ROWS($1:20)&gt;COUNT(Dong6),"",OFFSET(TH!D$1,SMALL(Dong6,ROWS($1:20)),))</f>
        <v/>
      </c>
      <c r="D30" s="273" t="str">
        <f ca="1">IF(ROWS($1:20)&gt;COUNT(Dong6),"",OFFSET(TH!E$1,SMALL(Dong6,ROWS($1:20)),))</f>
        <v/>
      </c>
      <c r="E30" s="323" t="str">
        <f ca="1">IF(ROWS($1:20)&gt;COUNT(Dong6),"",OFFSET(TH!F$1,SMALL(Dong6,ROWS($1:20)),))</f>
        <v/>
      </c>
      <c r="F30" s="324" t="str">
        <f ca="1">IF(ROWS($1:20)&gt;COUNT(Dong6),"",OFFSET(TH!M$1,SMALL(Dong6,ROWS($1:20)),))</f>
        <v/>
      </c>
      <c r="G30" s="325" t="str">
        <f ca="1">IF(ROWS($1:20)&gt;COUNT(Dong6),"",OFFSET(TH!N$1,SMALL(Dong6,ROWS($1:20)),))</f>
        <v/>
      </c>
      <c r="H30" s="325" t="str">
        <f ca="1">IF(ROWS($1:20)&gt;COUNT(Dong6),"",OFFSET(TH!O$1,SMALL(Dong6,ROWS($1:20)),))</f>
        <v/>
      </c>
      <c r="I30" s="63">
        <f t="shared" ca="1" si="0"/>
        <v>20</v>
      </c>
      <c r="J30" s="275">
        <f t="shared" ca="1" si="61"/>
        <v>0</v>
      </c>
      <c r="K30" s="275">
        <f t="shared" ca="1" si="62"/>
        <v>0</v>
      </c>
      <c r="L30" s="275">
        <f t="shared" ca="1" si="1"/>
        <v>0</v>
      </c>
      <c r="M30" s="275">
        <f t="shared" ca="1" si="2"/>
        <v>0</v>
      </c>
      <c r="N30" s="275">
        <f t="shared" ca="1" si="3"/>
        <v>0</v>
      </c>
      <c r="O30" s="275">
        <f t="shared" ca="1" si="4"/>
        <v>0</v>
      </c>
      <c r="P30" s="275">
        <f t="shared" ca="1" si="5"/>
        <v>0</v>
      </c>
      <c r="Q30" s="275">
        <f t="shared" ca="1" si="6"/>
        <v>0</v>
      </c>
      <c r="R30" s="275">
        <f t="shared" ca="1" si="7"/>
        <v>0</v>
      </c>
      <c r="S30" s="275">
        <f t="shared" ca="1" si="8"/>
        <v>0</v>
      </c>
      <c r="T30" s="275">
        <f t="shared" ca="1" si="9"/>
        <v>0</v>
      </c>
      <c r="U30" s="275">
        <f t="shared" ca="1" si="10"/>
        <v>0</v>
      </c>
      <c r="V30" s="275">
        <f t="shared" ca="1" si="11"/>
        <v>0</v>
      </c>
      <c r="W30" s="275">
        <f t="shared" ca="1" si="12"/>
        <v>0</v>
      </c>
      <c r="X30" s="275">
        <f t="shared" ca="1" si="13"/>
        <v>0</v>
      </c>
      <c r="Y30" s="275">
        <f t="shared" ca="1" si="14"/>
        <v>0</v>
      </c>
      <c r="Z30" s="275">
        <f t="shared" ca="1" si="15"/>
        <v>0</v>
      </c>
      <c r="AA30" s="275">
        <f t="shared" ca="1" si="16"/>
        <v>0</v>
      </c>
      <c r="AB30" s="275">
        <f t="shared" ca="1" si="63"/>
        <v>0</v>
      </c>
      <c r="AC30" s="275">
        <f t="shared" ca="1" si="64"/>
        <v>0</v>
      </c>
      <c r="AD30" s="275">
        <f t="shared" ca="1" si="17"/>
        <v>0</v>
      </c>
      <c r="AE30" s="275">
        <f t="shared" ca="1" si="18"/>
        <v>0</v>
      </c>
      <c r="AF30" s="275">
        <f t="shared" ca="1" si="19"/>
        <v>0</v>
      </c>
      <c r="AG30" s="275">
        <f t="shared" ca="1" si="20"/>
        <v>0</v>
      </c>
      <c r="AH30" s="275">
        <f t="shared" ca="1" si="65"/>
        <v>0</v>
      </c>
      <c r="AI30" s="275">
        <f t="shared" ca="1" si="66"/>
        <v>0</v>
      </c>
      <c r="AJ30" s="275">
        <f t="shared" ca="1" si="67"/>
        <v>0</v>
      </c>
      <c r="AK30" s="275">
        <f t="shared" ca="1" si="68"/>
        <v>0</v>
      </c>
      <c r="AL30" s="275">
        <f t="shared" ca="1" si="69"/>
        <v>0</v>
      </c>
      <c r="AM30" s="275">
        <f t="shared" ca="1" si="70"/>
        <v>0</v>
      </c>
      <c r="AN30" s="275">
        <f t="shared" ca="1" si="71"/>
        <v>0</v>
      </c>
      <c r="AO30" s="275">
        <f t="shared" ca="1" si="72"/>
        <v>0</v>
      </c>
      <c r="AP30" s="275">
        <f t="shared" ca="1" si="21"/>
        <v>0</v>
      </c>
      <c r="AQ30" s="275">
        <f t="shared" ca="1" si="22"/>
        <v>0</v>
      </c>
      <c r="AR30" s="275">
        <f t="shared" ca="1" si="23"/>
        <v>0</v>
      </c>
      <c r="AS30" s="275">
        <f t="shared" ca="1" si="24"/>
        <v>0</v>
      </c>
      <c r="AT30" s="275">
        <f t="shared" ca="1" si="73"/>
        <v>0</v>
      </c>
      <c r="AU30" s="275">
        <f t="shared" ca="1" si="74"/>
        <v>0</v>
      </c>
      <c r="AV30" s="275">
        <f t="shared" ca="1" si="25"/>
        <v>0</v>
      </c>
      <c r="AW30" s="275">
        <f t="shared" ca="1" si="26"/>
        <v>0</v>
      </c>
      <c r="AX30" s="275">
        <f t="shared" ca="1" si="27"/>
        <v>0</v>
      </c>
      <c r="AY30" s="275">
        <f t="shared" ca="1" si="28"/>
        <v>0</v>
      </c>
      <c r="AZ30" s="275">
        <f t="shared" ca="1" si="29"/>
        <v>0</v>
      </c>
      <c r="BA30" s="275">
        <f t="shared" ca="1" si="30"/>
        <v>0</v>
      </c>
      <c r="BB30" s="275">
        <f t="shared" ca="1" si="31"/>
        <v>0</v>
      </c>
      <c r="BC30" s="275">
        <f t="shared" ca="1" si="32"/>
        <v>0</v>
      </c>
      <c r="BD30" s="275">
        <f t="shared" ca="1" si="33"/>
        <v>0</v>
      </c>
      <c r="BE30" s="275">
        <f t="shared" ca="1" si="34"/>
        <v>0</v>
      </c>
      <c r="BF30" s="275">
        <f t="shared" ca="1" si="35"/>
        <v>0</v>
      </c>
      <c r="BG30" s="275">
        <f t="shared" ca="1" si="36"/>
        <v>0</v>
      </c>
      <c r="BH30" s="275">
        <f t="shared" ca="1" si="75"/>
        <v>0</v>
      </c>
      <c r="BI30" s="275">
        <f t="shared" ca="1" si="76"/>
        <v>0</v>
      </c>
      <c r="BJ30" s="275">
        <f t="shared" ca="1" si="37"/>
        <v>0</v>
      </c>
      <c r="BK30" s="275">
        <f t="shared" ca="1" si="38"/>
        <v>0</v>
      </c>
      <c r="BL30" s="275">
        <f t="shared" ca="1" si="39"/>
        <v>0</v>
      </c>
      <c r="BM30" s="275">
        <f t="shared" ca="1" si="40"/>
        <v>0</v>
      </c>
      <c r="BN30" s="275">
        <f t="shared" ca="1" si="41"/>
        <v>0</v>
      </c>
      <c r="BO30" s="275">
        <f t="shared" ca="1" si="42"/>
        <v>0</v>
      </c>
      <c r="BP30" s="275">
        <f t="shared" ca="1" si="77"/>
        <v>0</v>
      </c>
      <c r="BQ30" s="275">
        <f t="shared" ca="1" si="78"/>
        <v>0</v>
      </c>
      <c r="BR30" s="275">
        <f t="shared" ca="1" si="43"/>
        <v>0</v>
      </c>
      <c r="BS30" s="275">
        <f t="shared" ca="1" si="44"/>
        <v>0</v>
      </c>
      <c r="BT30" s="275">
        <f t="shared" ca="1" si="79"/>
        <v>0</v>
      </c>
      <c r="BU30" s="275">
        <f t="shared" ca="1" si="80"/>
        <v>0</v>
      </c>
      <c r="BV30" s="275">
        <f t="shared" ca="1" si="81"/>
        <v>0</v>
      </c>
      <c r="BW30" s="275">
        <f t="shared" ca="1" si="82"/>
        <v>0</v>
      </c>
      <c r="BX30" s="275">
        <f t="shared" ca="1" si="45"/>
        <v>0</v>
      </c>
      <c r="BY30" s="275">
        <f t="shared" ca="1" si="46"/>
        <v>0</v>
      </c>
      <c r="BZ30" s="275">
        <f t="shared" ca="1" si="47"/>
        <v>0</v>
      </c>
      <c r="CA30" s="275">
        <f t="shared" ca="1" si="48"/>
        <v>0</v>
      </c>
      <c r="CB30" s="275">
        <f t="shared" ca="1" si="49"/>
        <v>0</v>
      </c>
      <c r="CC30" s="275">
        <f t="shared" ca="1" si="50"/>
        <v>0</v>
      </c>
      <c r="CD30" s="275">
        <f t="shared" ca="1" si="83"/>
        <v>0</v>
      </c>
      <c r="CE30" s="275">
        <f t="shared" ca="1" si="84"/>
        <v>0</v>
      </c>
      <c r="CF30" s="275">
        <f t="shared" ca="1" si="85"/>
        <v>0</v>
      </c>
      <c r="CG30" s="275">
        <f t="shared" ca="1" si="86"/>
        <v>0</v>
      </c>
      <c r="CH30" s="275">
        <f t="shared" ca="1" si="51"/>
        <v>0</v>
      </c>
      <c r="CI30" s="275">
        <f t="shared" ca="1" si="52"/>
        <v>0</v>
      </c>
      <c r="CJ30" s="275">
        <f t="shared" ca="1" si="87"/>
        <v>0</v>
      </c>
      <c r="CK30" s="275">
        <f t="shared" ca="1" si="88"/>
        <v>0</v>
      </c>
      <c r="CL30" s="275">
        <f t="shared" ca="1" si="53"/>
        <v>0</v>
      </c>
      <c r="CM30" s="275">
        <f t="shared" ca="1" si="54"/>
        <v>0</v>
      </c>
      <c r="CN30" s="275">
        <f t="shared" ca="1" si="55"/>
        <v>0</v>
      </c>
      <c r="CO30" s="275">
        <f t="shared" ca="1" si="56"/>
        <v>0</v>
      </c>
      <c r="CP30" s="275">
        <f t="shared" ca="1" si="89"/>
        <v>0</v>
      </c>
      <c r="CQ30" s="275">
        <f t="shared" ca="1" si="90"/>
        <v>0</v>
      </c>
      <c r="CR30" s="275">
        <f t="shared" ca="1" si="91"/>
        <v>0</v>
      </c>
      <c r="CS30" s="275">
        <f t="shared" ca="1" si="92"/>
        <v>0</v>
      </c>
      <c r="CT30" s="275">
        <f t="shared" ca="1" si="57"/>
        <v>0</v>
      </c>
      <c r="CU30" s="275">
        <f t="shared" ca="1" si="58"/>
        <v>0</v>
      </c>
      <c r="CV30" s="275">
        <f t="shared" ca="1" si="59"/>
        <v>0</v>
      </c>
      <c r="CW30" s="275">
        <f t="shared" ca="1" si="60"/>
        <v>0</v>
      </c>
      <c r="CX30" s="275">
        <f t="shared" ca="1" si="93"/>
        <v>0</v>
      </c>
      <c r="CY30" s="275">
        <f t="shared" ca="1" si="94"/>
        <v>0</v>
      </c>
      <c r="CZ30" s="275">
        <f t="shared" ca="1" si="95"/>
        <v>0</v>
      </c>
      <c r="DA30" s="275">
        <f t="shared" ca="1" si="96"/>
        <v>0</v>
      </c>
    </row>
    <row r="31" spans="1:105" s="272" customFormat="1" ht="15" customHeight="1">
      <c r="A31" s="63">
        <f t="array" aca="1" ref="A31" ca="1">IF(C31&lt;&gt;0,SUM(($C$11:C31&lt;&gt;0)*1),"")</f>
        <v>21</v>
      </c>
      <c r="B31" s="273" t="str">
        <f ca="1">IF(ROWS($1:21)&gt;COUNT(Dong6),"",OFFSET(TH!C$1,SMALL(Dong6,ROWS($1:21)),))</f>
        <v/>
      </c>
      <c r="C31" s="273" t="str">
        <f ca="1">IF(ROWS($1:21)&gt;COUNT(Dong6),"",OFFSET(TH!D$1,SMALL(Dong6,ROWS($1:21)),))</f>
        <v/>
      </c>
      <c r="D31" s="273" t="str">
        <f ca="1">IF(ROWS($1:21)&gt;COUNT(Dong6),"",OFFSET(TH!E$1,SMALL(Dong6,ROWS($1:21)),))</f>
        <v/>
      </c>
      <c r="E31" s="323" t="str">
        <f ca="1">IF(ROWS($1:21)&gt;COUNT(Dong6),"",OFFSET(TH!F$1,SMALL(Dong6,ROWS($1:21)),))</f>
        <v/>
      </c>
      <c r="F31" s="324" t="str">
        <f ca="1">IF(ROWS($1:21)&gt;COUNT(Dong6),"",OFFSET(TH!M$1,SMALL(Dong6,ROWS($1:21)),))</f>
        <v/>
      </c>
      <c r="G31" s="325" t="str">
        <f ca="1">IF(ROWS($1:21)&gt;COUNT(Dong6),"",OFFSET(TH!N$1,SMALL(Dong6,ROWS($1:21)),))</f>
        <v/>
      </c>
      <c r="H31" s="325" t="str">
        <f ca="1">IF(ROWS($1:21)&gt;COUNT(Dong6),"",OFFSET(TH!O$1,SMALL(Dong6,ROWS($1:21)),))</f>
        <v/>
      </c>
      <c r="I31" s="63">
        <f t="shared" ca="1" si="0"/>
        <v>21</v>
      </c>
      <c r="J31" s="275">
        <f t="shared" ca="1" si="61"/>
        <v>0</v>
      </c>
      <c r="K31" s="275">
        <f t="shared" ca="1" si="62"/>
        <v>0</v>
      </c>
      <c r="L31" s="275">
        <f t="shared" ca="1" si="1"/>
        <v>0</v>
      </c>
      <c r="M31" s="275">
        <f t="shared" ca="1" si="2"/>
        <v>0</v>
      </c>
      <c r="N31" s="275">
        <f t="shared" ca="1" si="3"/>
        <v>0</v>
      </c>
      <c r="O31" s="275">
        <f t="shared" ca="1" si="4"/>
        <v>0</v>
      </c>
      <c r="P31" s="275">
        <f t="shared" ca="1" si="5"/>
        <v>0</v>
      </c>
      <c r="Q31" s="275">
        <f t="shared" ca="1" si="6"/>
        <v>0</v>
      </c>
      <c r="R31" s="275">
        <f t="shared" ca="1" si="7"/>
        <v>0</v>
      </c>
      <c r="S31" s="275">
        <f t="shared" ca="1" si="8"/>
        <v>0</v>
      </c>
      <c r="T31" s="275">
        <f t="shared" ca="1" si="9"/>
        <v>0</v>
      </c>
      <c r="U31" s="275">
        <f t="shared" ca="1" si="10"/>
        <v>0</v>
      </c>
      <c r="V31" s="275">
        <f t="shared" ca="1" si="11"/>
        <v>0</v>
      </c>
      <c r="W31" s="275">
        <f t="shared" ca="1" si="12"/>
        <v>0</v>
      </c>
      <c r="X31" s="275">
        <f t="shared" ca="1" si="13"/>
        <v>0</v>
      </c>
      <c r="Y31" s="275">
        <f t="shared" ca="1" si="14"/>
        <v>0</v>
      </c>
      <c r="Z31" s="275">
        <f t="shared" ca="1" si="15"/>
        <v>0</v>
      </c>
      <c r="AA31" s="275">
        <f t="shared" ca="1" si="16"/>
        <v>0</v>
      </c>
      <c r="AB31" s="275">
        <f t="shared" ca="1" si="63"/>
        <v>0</v>
      </c>
      <c r="AC31" s="275">
        <f t="shared" ca="1" si="64"/>
        <v>0</v>
      </c>
      <c r="AD31" s="275">
        <f t="shared" ca="1" si="17"/>
        <v>0</v>
      </c>
      <c r="AE31" s="275">
        <f t="shared" ca="1" si="18"/>
        <v>0</v>
      </c>
      <c r="AF31" s="275">
        <f t="shared" ca="1" si="19"/>
        <v>0</v>
      </c>
      <c r="AG31" s="275">
        <f t="shared" ca="1" si="20"/>
        <v>0</v>
      </c>
      <c r="AH31" s="275">
        <f t="shared" ca="1" si="65"/>
        <v>0</v>
      </c>
      <c r="AI31" s="275">
        <f t="shared" ca="1" si="66"/>
        <v>0</v>
      </c>
      <c r="AJ31" s="275">
        <f t="shared" ca="1" si="67"/>
        <v>0</v>
      </c>
      <c r="AK31" s="275">
        <f t="shared" ca="1" si="68"/>
        <v>0</v>
      </c>
      <c r="AL31" s="275">
        <f t="shared" ca="1" si="69"/>
        <v>0</v>
      </c>
      <c r="AM31" s="275">
        <f t="shared" ca="1" si="70"/>
        <v>0</v>
      </c>
      <c r="AN31" s="275">
        <f t="shared" ca="1" si="71"/>
        <v>0</v>
      </c>
      <c r="AO31" s="275">
        <f t="shared" ca="1" si="72"/>
        <v>0</v>
      </c>
      <c r="AP31" s="275">
        <f t="shared" ca="1" si="21"/>
        <v>0</v>
      </c>
      <c r="AQ31" s="275">
        <f t="shared" ca="1" si="22"/>
        <v>0</v>
      </c>
      <c r="AR31" s="275">
        <f t="shared" ca="1" si="23"/>
        <v>0</v>
      </c>
      <c r="AS31" s="275">
        <f t="shared" ca="1" si="24"/>
        <v>0</v>
      </c>
      <c r="AT31" s="275">
        <f t="shared" ca="1" si="73"/>
        <v>0</v>
      </c>
      <c r="AU31" s="275">
        <f t="shared" ca="1" si="74"/>
        <v>0</v>
      </c>
      <c r="AV31" s="275">
        <f t="shared" ca="1" si="25"/>
        <v>0</v>
      </c>
      <c r="AW31" s="275">
        <f t="shared" ca="1" si="26"/>
        <v>0</v>
      </c>
      <c r="AX31" s="275">
        <f t="shared" ca="1" si="27"/>
        <v>0</v>
      </c>
      <c r="AY31" s="275">
        <f t="shared" ca="1" si="28"/>
        <v>0</v>
      </c>
      <c r="AZ31" s="275">
        <f t="shared" ca="1" si="29"/>
        <v>0</v>
      </c>
      <c r="BA31" s="275">
        <f t="shared" ca="1" si="30"/>
        <v>0</v>
      </c>
      <c r="BB31" s="275">
        <f t="shared" ca="1" si="31"/>
        <v>0</v>
      </c>
      <c r="BC31" s="275">
        <f t="shared" ca="1" si="32"/>
        <v>0</v>
      </c>
      <c r="BD31" s="275">
        <f t="shared" ca="1" si="33"/>
        <v>0</v>
      </c>
      <c r="BE31" s="275">
        <f t="shared" ca="1" si="34"/>
        <v>0</v>
      </c>
      <c r="BF31" s="275">
        <f t="shared" ca="1" si="35"/>
        <v>0</v>
      </c>
      <c r="BG31" s="275">
        <f t="shared" ca="1" si="36"/>
        <v>0</v>
      </c>
      <c r="BH31" s="275">
        <f t="shared" ca="1" si="75"/>
        <v>0</v>
      </c>
      <c r="BI31" s="275">
        <f t="shared" ca="1" si="76"/>
        <v>0</v>
      </c>
      <c r="BJ31" s="275">
        <f t="shared" ca="1" si="37"/>
        <v>0</v>
      </c>
      <c r="BK31" s="275">
        <f t="shared" ca="1" si="38"/>
        <v>0</v>
      </c>
      <c r="BL31" s="275">
        <f t="shared" ca="1" si="39"/>
        <v>0</v>
      </c>
      <c r="BM31" s="275">
        <f t="shared" ca="1" si="40"/>
        <v>0</v>
      </c>
      <c r="BN31" s="275">
        <f t="shared" ca="1" si="41"/>
        <v>0</v>
      </c>
      <c r="BO31" s="275">
        <f t="shared" ca="1" si="42"/>
        <v>0</v>
      </c>
      <c r="BP31" s="275">
        <f t="shared" ca="1" si="77"/>
        <v>0</v>
      </c>
      <c r="BQ31" s="275">
        <f t="shared" ca="1" si="78"/>
        <v>0</v>
      </c>
      <c r="BR31" s="275">
        <f t="shared" ca="1" si="43"/>
        <v>0</v>
      </c>
      <c r="BS31" s="275">
        <f t="shared" ca="1" si="44"/>
        <v>0</v>
      </c>
      <c r="BT31" s="275">
        <f t="shared" ca="1" si="79"/>
        <v>0</v>
      </c>
      <c r="BU31" s="275">
        <f t="shared" ca="1" si="80"/>
        <v>0</v>
      </c>
      <c r="BV31" s="275">
        <f t="shared" ca="1" si="81"/>
        <v>0</v>
      </c>
      <c r="BW31" s="275">
        <f t="shared" ca="1" si="82"/>
        <v>0</v>
      </c>
      <c r="BX31" s="275">
        <f t="shared" ca="1" si="45"/>
        <v>0</v>
      </c>
      <c r="BY31" s="275">
        <f t="shared" ca="1" si="46"/>
        <v>0</v>
      </c>
      <c r="BZ31" s="275">
        <f t="shared" ca="1" si="47"/>
        <v>0</v>
      </c>
      <c r="CA31" s="275">
        <f t="shared" ca="1" si="48"/>
        <v>0</v>
      </c>
      <c r="CB31" s="275">
        <f t="shared" ca="1" si="49"/>
        <v>0</v>
      </c>
      <c r="CC31" s="275">
        <f t="shared" ca="1" si="50"/>
        <v>0</v>
      </c>
      <c r="CD31" s="275">
        <f t="shared" ca="1" si="83"/>
        <v>0</v>
      </c>
      <c r="CE31" s="275">
        <f t="shared" ca="1" si="84"/>
        <v>0</v>
      </c>
      <c r="CF31" s="275">
        <f t="shared" ca="1" si="85"/>
        <v>0</v>
      </c>
      <c r="CG31" s="275">
        <f t="shared" ca="1" si="86"/>
        <v>0</v>
      </c>
      <c r="CH31" s="275">
        <f t="shared" ca="1" si="51"/>
        <v>0</v>
      </c>
      <c r="CI31" s="275">
        <f t="shared" ca="1" si="52"/>
        <v>0</v>
      </c>
      <c r="CJ31" s="275">
        <f t="shared" ca="1" si="87"/>
        <v>0</v>
      </c>
      <c r="CK31" s="275">
        <f t="shared" ca="1" si="88"/>
        <v>0</v>
      </c>
      <c r="CL31" s="275">
        <f t="shared" ca="1" si="53"/>
        <v>0</v>
      </c>
      <c r="CM31" s="275">
        <f t="shared" ca="1" si="54"/>
        <v>0</v>
      </c>
      <c r="CN31" s="275">
        <f t="shared" ca="1" si="55"/>
        <v>0</v>
      </c>
      <c r="CO31" s="275">
        <f t="shared" ca="1" si="56"/>
        <v>0</v>
      </c>
      <c r="CP31" s="275">
        <f t="shared" ca="1" si="89"/>
        <v>0</v>
      </c>
      <c r="CQ31" s="275">
        <f t="shared" ca="1" si="90"/>
        <v>0</v>
      </c>
      <c r="CR31" s="275">
        <f t="shared" ca="1" si="91"/>
        <v>0</v>
      </c>
      <c r="CS31" s="275">
        <f t="shared" ca="1" si="92"/>
        <v>0</v>
      </c>
      <c r="CT31" s="275">
        <f t="shared" ca="1" si="57"/>
        <v>0</v>
      </c>
      <c r="CU31" s="275">
        <f t="shared" ca="1" si="58"/>
        <v>0</v>
      </c>
      <c r="CV31" s="275">
        <f t="shared" ca="1" si="59"/>
        <v>0</v>
      </c>
      <c r="CW31" s="275">
        <f t="shared" ca="1" si="60"/>
        <v>0</v>
      </c>
      <c r="CX31" s="275">
        <f t="shared" ca="1" si="93"/>
        <v>0</v>
      </c>
      <c r="CY31" s="275">
        <f t="shared" ca="1" si="94"/>
        <v>0</v>
      </c>
      <c r="CZ31" s="275">
        <f t="shared" ca="1" si="95"/>
        <v>0</v>
      </c>
      <c r="DA31" s="275">
        <f t="shared" ca="1" si="96"/>
        <v>0</v>
      </c>
    </row>
    <row r="32" spans="1:105" s="272" customFormat="1" ht="15" customHeight="1">
      <c r="A32" s="63">
        <f t="array" aca="1" ref="A32" ca="1">IF(C32&lt;&gt;0,SUM(($C$11:C32&lt;&gt;0)*1),"")</f>
        <v>22</v>
      </c>
      <c r="B32" s="273" t="str">
        <f ca="1">IF(ROWS($1:22)&gt;COUNT(Dong6),"",OFFSET(TH!C$1,SMALL(Dong6,ROWS($1:22)),))</f>
        <v/>
      </c>
      <c r="C32" s="273" t="str">
        <f ca="1">IF(ROWS($1:22)&gt;COUNT(Dong6),"",OFFSET(TH!D$1,SMALL(Dong6,ROWS($1:22)),))</f>
        <v/>
      </c>
      <c r="D32" s="273" t="str">
        <f ca="1">IF(ROWS($1:22)&gt;COUNT(Dong6),"",OFFSET(TH!E$1,SMALL(Dong6,ROWS($1:22)),))</f>
        <v/>
      </c>
      <c r="E32" s="323" t="str">
        <f ca="1">IF(ROWS($1:22)&gt;COUNT(Dong6),"",OFFSET(TH!F$1,SMALL(Dong6,ROWS($1:22)),))</f>
        <v/>
      </c>
      <c r="F32" s="324" t="str">
        <f ca="1">IF(ROWS($1:22)&gt;COUNT(Dong6),"",OFFSET(TH!M$1,SMALL(Dong6,ROWS($1:22)),))</f>
        <v/>
      </c>
      <c r="G32" s="325" t="str">
        <f ca="1">IF(ROWS($1:22)&gt;COUNT(Dong6),"",OFFSET(TH!N$1,SMALL(Dong6,ROWS($1:22)),))</f>
        <v/>
      </c>
      <c r="H32" s="325" t="str">
        <f ca="1">IF(ROWS($1:22)&gt;COUNT(Dong6),"",OFFSET(TH!O$1,SMALL(Dong6,ROWS($1:22)),))</f>
        <v/>
      </c>
      <c r="I32" s="63">
        <f t="shared" ca="1" si="0"/>
        <v>22</v>
      </c>
      <c r="J32" s="275">
        <f t="shared" ca="1" si="61"/>
        <v>0</v>
      </c>
      <c r="K32" s="275">
        <f t="shared" ca="1" si="62"/>
        <v>0</v>
      </c>
      <c r="L32" s="275">
        <f t="shared" ca="1" si="1"/>
        <v>0</v>
      </c>
      <c r="M32" s="275">
        <f t="shared" ca="1" si="2"/>
        <v>0</v>
      </c>
      <c r="N32" s="275">
        <f t="shared" ca="1" si="3"/>
        <v>0</v>
      </c>
      <c r="O32" s="275">
        <f t="shared" ca="1" si="4"/>
        <v>0</v>
      </c>
      <c r="P32" s="275">
        <f t="shared" ca="1" si="5"/>
        <v>0</v>
      </c>
      <c r="Q32" s="275">
        <f t="shared" ca="1" si="6"/>
        <v>0</v>
      </c>
      <c r="R32" s="275">
        <f t="shared" ca="1" si="7"/>
        <v>0</v>
      </c>
      <c r="S32" s="275">
        <f t="shared" ca="1" si="8"/>
        <v>0</v>
      </c>
      <c r="T32" s="275">
        <f t="shared" ca="1" si="9"/>
        <v>0</v>
      </c>
      <c r="U32" s="275">
        <f t="shared" ca="1" si="10"/>
        <v>0</v>
      </c>
      <c r="V32" s="275">
        <f t="shared" ca="1" si="11"/>
        <v>0</v>
      </c>
      <c r="W32" s="275">
        <f t="shared" ca="1" si="12"/>
        <v>0</v>
      </c>
      <c r="X32" s="275">
        <f t="shared" ca="1" si="13"/>
        <v>0</v>
      </c>
      <c r="Y32" s="275">
        <f t="shared" ca="1" si="14"/>
        <v>0</v>
      </c>
      <c r="Z32" s="275">
        <f t="shared" ca="1" si="15"/>
        <v>0</v>
      </c>
      <c r="AA32" s="275">
        <f t="shared" ca="1" si="16"/>
        <v>0</v>
      </c>
      <c r="AB32" s="275">
        <f t="shared" ca="1" si="63"/>
        <v>0</v>
      </c>
      <c r="AC32" s="275">
        <f t="shared" ca="1" si="64"/>
        <v>0</v>
      </c>
      <c r="AD32" s="275">
        <f t="shared" ca="1" si="17"/>
        <v>0</v>
      </c>
      <c r="AE32" s="275">
        <f t="shared" ca="1" si="18"/>
        <v>0</v>
      </c>
      <c r="AF32" s="275">
        <f t="shared" ca="1" si="19"/>
        <v>0</v>
      </c>
      <c r="AG32" s="275">
        <f t="shared" ca="1" si="20"/>
        <v>0</v>
      </c>
      <c r="AH32" s="275">
        <f t="shared" ca="1" si="65"/>
        <v>0</v>
      </c>
      <c r="AI32" s="275">
        <f t="shared" ca="1" si="66"/>
        <v>0</v>
      </c>
      <c r="AJ32" s="275">
        <f t="shared" ca="1" si="67"/>
        <v>0</v>
      </c>
      <c r="AK32" s="275">
        <f t="shared" ca="1" si="68"/>
        <v>0</v>
      </c>
      <c r="AL32" s="275">
        <f t="shared" ca="1" si="69"/>
        <v>0</v>
      </c>
      <c r="AM32" s="275">
        <f t="shared" ca="1" si="70"/>
        <v>0</v>
      </c>
      <c r="AN32" s="275">
        <f t="shared" ca="1" si="71"/>
        <v>0</v>
      </c>
      <c r="AO32" s="275">
        <f t="shared" ca="1" si="72"/>
        <v>0</v>
      </c>
      <c r="AP32" s="275">
        <f t="shared" ca="1" si="21"/>
        <v>0</v>
      </c>
      <c r="AQ32" s="275">
        <f t="shared" ca="1" si="22"/>
        <v>0</v>
      </c>
      <c r="AR32" s="275">
        <f t="shared" ca="1" si="23"/>
        <v>0</v>
      </c>
      <c r="AS32" s="275">
        <f t="shared" ca="1" si="24"/>
        <v>0</v>
      </c>
      <c r="AT32" s="275">
        <f t="shared" ca="1" si="73"/>
        <v>0</v>
      </c>
      <c r="AU32" s="275">
        <f t="shared" ca="1" si="74"/>
        <v>0</v>
      </c>
      <c r="AV32" s="275">
        <f t="shared" ca="1" si="25"/>
        <v>0</v>
      </c>
      <c r="AW32" s="275">
        <f t="shared" ca="1" si="26"/>
        <v>0</v>
      </c>
      <c r="AX32" s="275">
        <f t="shared" ca="1" si="27"/>
        <v>0</v>
      </c>
      <c r="AY32" s="275">
        <f t="shared" ca="1" si="28"/>
        <v>0</v>
      </c>
      <c r="AZ32" s="275">
        <f t="shared" ca="1" si="29"/>
        <v>0</v>
      </c>
      <c r="BA32" s="275">
        <f t="shared" ca="1" si="30"/>
        <v>0</v>
      </c>
      <c r="BB32" s="275">
        <f t="shared" ca="1" si="31"/>
        <v>0</v>
      </c>
      <c r="BC32" s="275">
        <f t="shared" ca="1" si="32"/>
        <v>0</v>
      </c>
      <c r="BD32" s="275">
        <f t="shared" ca="1" si="33"/>
        <v>0</v>
      </c>
      <c r="BE32" s="275">
        <f t="shared" ca="1" si="34"/>
        <v>0</v>
      </c>
      <c r="BF32" s="275">
        <f t="shared" ca="1" si="35"/>
        <v>0</v>
      </c>
      <c r="BG32" s="275">
        <f t="shared" ca="1" si="36"/>
        <v>0</v>
      </c>
      <c r="BH32" s="275">
        <f t="shared" ca="1" si="75"/>
        <v>0</v>
      </c>
      <c r="BI32" s="275">
        <f t="shared" ca="1" si="76"/>
        <v>0</v>
      </c>
      <c r="BJ32" s="275">
        <f t="shared" ca="1" si="37"/>
        <v>0</v>
      </c>
      <c r="BK32" s="275">
        <f t="shared" ca="1" si="38"/>
        <v>0</v>
      </c>
      <c r="BL32" s="275">
        <f t="shared" ca="1" si="39"/>
        <v>0</v>
      </c>
      <c r="BM32" s="275">
        <f t="shared" ca="1" si="40"/>
        <v>0</v>
      </c>
      <c r="BN32" s="275">
        <f t="shared" ca="1" si="41"/>
        <v>0</v>
      </c>
      <c r="BO32" s="275">
        <f t="shared" ca="1" si="42"/>
        <v>0</v>
      </c>
      <c r="BP32" s="275">
        <f t="shared" ca="1" si="77"/>
        <v>0</v>
      </c>
      <c r="BQ32" s="275">
        <f t="shared" ca="1" si="78"/>
        <v>0</v>
      </c>
      <c r="BR32" s="275">
        <f t="shared" ca="1" si="43"/>
        <v>0</v>
      </c>
      <c r="BS32" s="275">
        <f t="shared" ca="1" si="44"/>
        <v>0</v>
      </c>
      <c r="BT32" s="275">
        <f t="shared" ca="1" si="79"/>
        <v>0</v>
      </c>
      <c r="BU32" s="275">
        <f t="shared" ca="1" si="80"/>
        <v>0</v>
      </c>
      <c r="BV32" s="275">
        <f t="shared" ca="1" si="81"/>
        <v>0</v>
      </c>
      <c r="BW32" s="275">
        <f t="shared" ca="1" si="82"/>
        <v>0</v>
      </c>
      <c r="BX32" s="275">
        <f t="shared" ca="1" si="45"/>
        <v>0</v>
      </c>
      <c r="BY32" s="275">
        <f t="shared" ca="1" si="46"/>
        <v>0</v>
      </c>
      <c r="BZ32" s="275">
        <f t="shared" ca="1" si="47"/>
        <v>0</v>
      </c>
      <c r="CA32" s="275">
        <f t="shared" ca="1" si="48"/>
        <v>0</v>
      </c>
      <c r="CB32" s="275">
        <f t="shared" ca="1" si="49"/>
        <v>0</v>
      </c>
      <c r="CC32" s="275">
        <f t="shared" ca="1" si="50"/>
        <v>0</v>
      </c>
      <c r="CD32" s="275">
        <f t="shared" ca="1" si="83"/>
        <v>0</v>
      </c>
      <c r="CE32" s="275">
        <f t="shared" ca="1" si="84"/>
        <v>0</v>
      </c>
      <c r="CF32" s="275">
        <f t="shared" ca="1" si="85"/>
        <v>0</v>
      </c>
      <c r="CG32" s="275">
        <f t="shared" ca="1" si="86"/>
        <v>0</v>
      </c>
      <c r="CH32" s="275">
        <f t="shared" ca="1" si="51"/>
        <v>0</v>
      </c>
      <c r="CI32" s="275">
        <f t="shared" ca="1" si="52"/>
        <v>0</v>
      </c>
      <c r="CJ32" s="275">
        <f t="shared" ca="1" si="87"/>
        <v>0</v>
      </c>
      <c r="CK32" s="275">
        <f t="shared" ca="1" si="88"/>
        <v>0</v>
      </c>
      <c r="CL32" s="275">
        <f t="shared" ca="1" si="53"/>
        <v>0</v>
      </c>
      <c r="CM32" s="275">
        <f t="shared" ca="1" si="54"/>
        <v>0</v>
      </c>
      <c r="CN32" s="275">
        <f t="shared" ca="1" si="55"/>
        <v>0</v>
      </c>
      <c r="CO32" s="275">
        <f t="shared" ca="1" si="56"/>
        <v>0</v>
      </c>
      <c r="CP32" s="275">
        <f t="shared" ca="1" si="89"/>
        <v>0</v>
      </c>
      <c r="CQ32" s="275">
        <f t="shared" ca="1" si="90"/>
        <v>0</v>
      </c>
      <c r="CR32" s="275">
        <f t="shared" ca="1" si="91"/>
        <v>0</v>
      </c>
      <c r="CS32" s="275">
        <f t="shared" ca="1" si="92"/>
        <v>0</v>
      </c>
      <c r="CT32" s="275">
        <f t="shared" ca="1" si="57"/>
        <v>0</v>
      </c>
      <c r="CU32" s="275">
        <f t="shared" ca="1" si="58"/>
        <v>0</v>
      </c>
      <c r="CV32" s="275">
        <f t="shared" ca="1" si="59"/>
        <v>0</v>
      </c>
      <c r="CW32" s="275">
        <f t="shared" ca="1" si="60"/>
        <v>0</v>
      </c>
      <c r="CX32" s="275">
        <f t="shared" ca="1" si="93"/>
        <v>0</v>
      </c>
      <c r="CY32" s="275">
        <f t="shared" ca="1" si="94"/>
        <v>0</v>
      </c>
      <c r="CZ32" s="275">
        <f t="shared" ca="1" si="95"/>
        <v>0</v>
      </c>
      <c r="DA32" s="275">
        <f t="shared" ca="1" si="96"/>
        <v>0</v>
      </c>
    </row>
    <row r="33" spans="1:105" s="272" customFormat="1" ht="15" customHeight="1">
      <c r="A33" s="63">
        <f t="array" aca="1" ref="A33" ca="1">IF(C33&lt;&gt;0,SUM(($C$11:C33&lt;&gt;0)*1),"")</f>
        <v>23</v>
      </c>
      <c r="B33" s="273" t="str">
        <f ca="1">IF(ROWS($1:23)&gt;COUNT(Dong6),"",OFFSET(TH!C$1,SMALL(Dong6,ROWS($1:23)),))</f>
        <v/>
      </c>
      <c r="C33" s="273" t="str">
        <f ca="1">IF(ROWS($1:23)&gt;COUNT(Dong6),"",OFFSET(TH!D$1,SMALL(Dong6,ROWS($1:23)),))</f>
        <v/>
      </c>
      <c r="D33" s="273" t="str">
        <f ca="1">IF(ROWS($1:23)&gt;COUNT(Dong6),"",OFFSET(TH!E$1,SMALL(Dong6,ROWS($1:23)),))</f>
        <v/>
      </c>
      <c r="E33" s="323" t="str">
        <f ca="1">IF(ROWS($1:23)&gt;COUNT(Dong6),"",OFFSET(TH!F$1,SMALL(Dong6,ROWS($1:23)),))</f>
        <v/>
      </c>
      <c r="F33" s="324" t="str">
        <f ca="1">IF(ROWS($1:23)&gt;COUNT(Dong6),"",OFFSET(TH!M$1,SMALL(Dong6,ROWS($1:23)),))</f>
        <v/>
      </c>
      <c r="G33" s="325" t="str">
        <f ca="1">IF(ROWS($1:23)&gt;COUNT(Dong6),"",OFFSET(TH!N$1,SMALL(Dong6,ROWS($1:23)),))</f>
        <v/>
      </c>
      <c r="H33" s="325" t="str">
        <f ca="1">IF(ROWS($1:23)&gt;COUNT(Dong6),"",OFFSET(TH!O$1,SMALL(Dong6,ROWS($1:23)),))</f>
        <v/>
      </c>
      <c r="I33" s="63">
        <f t="shared" ca="1" si="0"/>
        <v>23</v>
      </c>
      <c r="J33" s="275">
        <f t="shared" ca="1" si="61"/>
        <v>0</v>
      </c>
      <c r="K33" s="275">
        <f t="shared" ca="1" si="62"/>
        <v>0</v>
      </c>
      <c r="L33" s="275">
        <f t="shared" ca="1" si="1"/>
        <v>0</v>
      </c>
      <c r="M33" s="275">
        <f t="shared" ca="1" si="2"/>
        <v>0</v>
      </c>
      <c r="N33" s="275">
        <f t="shared" ca="1" si="3"/>
        <v>0</v>
      </c>
      <c r="O33" s="275">
        <f t="shared" ca="1" si="4"/>
        <v>0</v>
      </c>
      <c r="P33" s="275">
        <f t="shared" ca="1" si="5"/>
        <v>0</v>
      </c>
      <c r="Q33" s="275">
        <f t="shared" ca="1" si="6"/>
        <v>0</v>
      </c>
      <c r="R33" s="275">
        <f t="shared" ca="1" si="7"/>
        <v>0</v>
      </c>
      <c r="S33" s="275">
        <f t="shared" ca="1" si="8"/>
        <v>0</v>
      </c>
      <c r="T33" s="275">
        <f t="shared" ca="1" si="9"/>
        <v>0</v>
      </c>
      <c r="U33" s="275">
        <f t="shared" ca="1" si="10"/>
        <v>0</v>
      </c>
      <c r="V33" s="275">
        <f t="shared" ca="1" si="11"/>
        <v>0</v>
      </c>
      <c r="W33" s="275">
        <f t="shared" ca="1" si="12"/>
        <v>0</v>
      </c>
      <c r="X33" s="275">
        <f t="shared" ca="1" si="13"/>
        <v>0</v>
      </c>
      <c r="Y33" s="275">
        <f t="shared" ca="1" si="14"/>
        <v>0</v>
      </c>
      <c r="Z33" s="275">
        <f t="shared" ca="1" si="15"/>
        <v>0</v>
      </c>
      <c r="AA33" s="275">
        <f t="shared" ca="1" si="16"/>
        <v>0</v>
      </c>
      <c r="AB33" s="275">
        <f t="shared" ca="1" si="63"/>
        <v>0</v>
      </c>
      <c r="AC33" s="275">
        <f t="shared" ca="1" si="64"/>
        <v>0</v>
      </c>
      <c r="AD33" s="275">
        <f t="shared" ca="1" si="17"/>
        <v>0</v>
      </c>
      <c r="AE33" s="275">
        <f t="shared" ca="1" si="18"/>
        <v>0</v>
      </c>
      <c r="AF33" s="275">
        <f t="shared" ca="1" si="19"/>
        <v>0</v>
      </c>
      <c r="AG33" s="275">
        <f t="shared" ca="1" si="20"/>
        <v>0</v>
      </c>
      <c r="AH33" s="275">
        <f t="shared" ca="1" si="65"/>
        <v>0</v>
      </c>
      <c r="AI33" s="275">
        <f t="shared" ca="1" si="66"/>
        <v>0</v>
      </c>
      <c r="AJ33" s="275">
        <f t="shared" ca="1" si="67"/>
        <v>0</v>
      </c>
      <c r="AK33" s="275">
        <f t="shared" ca="1" si="68"/>
        <v>0</v>
      </c>
      <c r="AL33" s="275">
        <f t="shared" ca="1" si="69"/>
        <v>0</v>
      </c>
      <c r="AM33" s="275">
        <f t="shared" ca="1" si="70"/>
        <v>0</v>
      </c>
      <c r="AN33" s="275">
        <f t="shared" ca="1" si="71"/>
        <v>0</v>
      </c>
      <c r="AO33" s="275">
        <f t="shared" ca="1" si="72"/>
        <v>0</v>
      </c>
      <c r="AP33" s="275">
        <f t="shared" ca="1" si="21"/>
        <v>0</v>
      </c>
      <c r="AQ33" s="275">
        <f t="shared" ca="1" si="22"/>
        <v>0</v>
      </c>
      <c r="AR33" s="275">
        <f t="shared" ca="1" si="23"/>
        <v>0</v>
      </c>
      <c r="AS33" s="275">
        <f t="shared" ca="1" si="24"/>
        <v>0</v>
      </c>
      <c r="AT33" s="275">
        <f t="shared" ca="1" si="73"/>
        <v>0</v>
      </c>
      <c r="AU33" s="275">
        <f t="shared" ca="1" si="74"/>
        <v>0</v>
      </c>
      <c r="AV33" s="275">
        <f t="shared" ca="1" si="25"/>
        <v>0</v>
      </c>
      <c r="AW33" s="275">
        <f t="shared" ca="1" si="26"/>
        <v>0</v>
      </c>
      <c r="AX33" s="275">
        <f t="shared" ca="1" si="27"/>
        <v>0</v>
      </c>
      <c r="AY33" s="275">
        <f t="shared" ca="1" si="28"/>
        <v>0</v>
      </c>
      <c r="AZ33" s="275">
        <f t="shared" ca="1" si="29"/>
        <v>0</v>
      </c>
      <c r="BA33" s="275">
        <f t="shared" ca="1" si="30"/>
        <v>0</v>
      </c>
      <c r="BB33" s="275">
        <f t="shared" ca="1" si="31"/>
        <v>0</v>
      </c>
      <c r="BC33" s="275">
        <f t="shared" ca="1" si="32"/>
        <v>0</v>
      </c>
      <c r="BD33" s="275">
        <f t="shared" ca="1" si="33"/>
        <v>0</v>
      </c>
      <c r="BE33" s="275">
        <f t="shared" ca="1" si="34"/>
        <v>0</v>
      </c>
      <c r="BF33" s="275">
        <f t="shared" ca="1" si="35"/>
        <v>0</v>
      </c>
      <c r="BG33" s="275">
        <f t="shared" ca="1" si="36"/>
        <v>0</v>
      </c>
      <c r="BH33" s="275">
        <f t="shared" ca="1" si="75"/>
        <v>0</v>
      </c>
      <c r="BI33" s="275">
        <f t="shared" ca="1" si="76"/>
        <v>0</v>
      </c>
      <c r="BJ33" s="275">
        <f t="shared" ca="1" si="37"/>
        <v>0</v>
      </c>
      <c r="BK33" s="275">
        <f t="shared" ca="1" si="38"/>
        <v>0</v>
      </c>
      <c r="BL33" s="275">
        <f t="shared" ca="1" si="39"/>
        <v>0</v>
      </c>
      <c r="BM33" s="275">
        <f t="shared" ca="1" si="40"/>
        <v>0</v>
      </c>
      <c r="BN33" s="275">
        <f t="shared" ca="1" si="41"/>
        <v>0</v>
      </c>
      <c r="BO33" s="275">
        <f t="shared" ca="1" si="42"/>
        <v>0</v>
      </c>
      <c r="BP33" s="275">
        <f t="shared" ca="1" si="77"/>
        <v>0</v>
      </c>
      <c r="BQ33" s="275">
        <f t="shared" ca="1" si="78"/>
        <v>0</v>
      </c>
      <c r="BR33" s="275">
        <f t="shared" ca="1" si="43"/>
        <v>0</v>
      </c>
      <c r="BS33" s="275">
        <f t="shared" ca="1" si="44"/>
        <v>0</v>
      </c>
      <c r="BT33" s="275">
        <f t="shared" ca="1" si="79"/>
        <v>0</v>
      </c>
      <c r="BU33" s="275">
        <f t="shared" ca="1" si="80"/>
        <v>0</v>
      </c>
      <c r="BV33" s="275">
        <f t="shared" ca="1" si="81"/>
        <v>0</v>
      </c>
      <c r="BW33" s="275">
        <f t="shared" ca="1" si="82"/>
        <v>0</v>
      </c>
      <c r="BX33" s="275">
        <f t="shared" ca="1" si="45"/>
        <v>0</v>
      </c>
      <c r="BY33" s="275">
        <f t="shared" ca="1" si="46"/>
        <v>0</v>
      </c>
      <c r="BZ33" s="275">
        <f t="shared" ca="1" si="47"/>
        <v>0</v>
      </c>
      <c r="CA33" s="275">
        <f t="shared" ca="1" si="48"/>
        <v>0</v>
      </c>
      <c r="CB33" s="275">
        <f t="shared" ca="1" si="49"/>
        <v>0</v>
      </c>
      <c r="CC33" s="275">
        <f t="shared" ca="1" si="50"/>
        <v>0</v>
      </c>
      <c r="CD33" s="275">
        <f t="shared" ca="1" si="83"/>
        <v>0</v>
      </c>
      <c r="CE33" s="275">
        <f t="shared" ca="1" si="84"/>
        <v>0</v>
      </c>
      <c r="CF33" s="275">
        <f t="shared" ca="1" si="85"/>
        <v>0</v>
      </c>
      <c r="CG33" s="275">
        <f t="shared" ca="1" si="86"/>
        <v>0</v>
      </c>
      <c r="CH33" s="275">
        <f t="shared" ca="1" si="51"/>
        <v>0</v>
      </c>
      <c r="CI33" s="275">
        <f t="shared" ca="1" si="52"/>
        <v>0</v>
      </c>
      <c r="CJ33" s="275">
        <f t="shared" ca="1" si="87"/>
        <v>0</v>
      </c>
      <c r="CK33" s="275">
        <f t="shared" ca="1" si="88"/>
        <v>0</v>
      </c>
      <c r="CL33" s="275">
        <f t="shared" ca="1" si="53"/>
        <v>0</v>
      </c>
      <c r="CM33" s="275">
        <f t="shared" ca="1" si="54"/>
        <v>0</v>
      </c>
      <c r="CN33" s="275">
        <f t="shared" ca="1" si="55"/>
        <v>0</v>
      </c>
      <c r="CO33" s="275">
        <f t="shared" ca="1" si="56"/>
        <v>0</v>
      </c>
      <c r="CP33" s="275">
        <f t="shared" ca="1" si="89"/>
        <v>0</v>
      </c>
      <c r="CQ33" s="275">
        <f t="shared" ca="1" si="90"/>
        <v>0</v>
      </c>
      <c r="CR33" s="275">
        <f t="shared" ca="1" si="91"/>
        <v>0</v>
      </c>
      <c r="CS33" s="275">
        <f t="shared" ca="1" si="92"/>
        <v>0</v>
      </c>
      <c r="CT33" s="275">
        <f t="shared" ca="1" si="57"/>
        <v>0</v>
      </c>
      <c r="CU33" s="275">
        <f t="shared" ca="1" si="58"/>
        <v>0</v>
      </c>
      <c r="CV33" s="275">
        <f t="shared" ca="1" si="59"/>
        <v>0</v>
      </c>
      <c r="CW33" s="275">
        <f t="shared" ca="1" si="60"/>
        <v>0</v>
      </c>
      <c r="CX33" s="275">
        <f t="shared" ca="1" si="93"/>
        <v>0</v>
      </c>
      <c r="CY33" s="275">
        <f t="shared" ca="1" si="94"/>
        <v>0</v>
      </c>
      <c r="CZ33" s="275">
        <f t="shared" ca="1" si="95"/>
        <v>0</v>
      </c>
      <c r="DA33" s="275">
        <f t="shared" ca="1" si="96"/>
        <v>0</v>
      </c>
    </row>
    <row r="34" spans="1:105" s="272" customFormat="1" ht="15" customHeight="1">
      <c r="A34" s="63">
        <f t="array" aca="1" ref="A34" ca="1">IF(C34&lt;&gt;0,SUM(($C$11:C34&lt;&gt;0)*1),"")</f>
        <v>24</v>
      </c>
      <c r="B34" s="273" t="str">
        <f ca="1">IF(ROWS($1:24)&gt;COUNT(Dong6),"",OFFSET(TH!C$1,SMALL(Dong6,ROWS($1:24)),))</f>
        <v/>
      </c>
      <c r="C34" s="273" t="str">
        <f ca="1">IF(ROWS($1:24)&gt;COUNT(Dong6),"",OFFSET(TH!D$1,SMALL(Dong6,ROWS($1:24)),))</f>
        <v/>
      </c>
      <c r="D34" s="273" t="str">
        <f ca="1">IF(ROWS($1:24)&gt;COUNT(Dong6),"",OFFSET(TH!E$1,SMALL(Dong6,ROWS($1:24)),))</f>
        <v/>
      </c>
      <c r="E34" s="323" t="str">
        <f ca="1">IF(ROWS($1:24)&gt;COUNT(Dong6),"",OFFSET(TH!F$1,SMALL(Dong6,ROWS($1:24)),))</f>
        <v/>
      </c>
      <c r="F34" s="324" t="str">
        <f ca="1">IF(ROWS($1:24)&gt;COUNT(Dong6),"",OFFSET(TH!M$1,SMALL(Dong6,ROWS($1:24)),))</f>
        <v/>
      </c>
      <c r="G34" s="325" t="str">
        <f ca="1">IF(ROWS($1:24)&gt;COUNT(Dong6),"",OFFSET(TH!N$1,SMALL(Dong6,ROWS($1:24)),))</f>
        <v/>
      </c>
      <c r="H34" s="325" t="str">
        <f ca="1">IF(ROWS($1:24)&gt;COUNT(Dong6),"",OFFSET(TH!O$1,SMALL(Dong6,ROWS($1:24)),))</f>
        <v/>
      </c>
      <c r="I34" s="63">
        <f t="shared" ca="1" si="0"/>
        <v>24</v>
      </c>
      <c r="J34" s="275">
        <f t="shared" ca="1" si="61"/>
        <v>0</v>
      </c>
      <c r="K34" s="275">
        <f t="shared" ca="1" si="62"/>
        <v>0</v>
      </c>
      <c r="L34" s="275">
        <f t="shared" ca="1" si="1"/>
        <v>0</v>
      </c>
      <c r="M34" s="275">
        <f t="shared" ca="1" si="2"/>
        <v>0</v>
      </c>
      <c r="N34" s="275">
        <f t="shared" ca="1" si="3"/>
        <v>0</v>
      </c>
      <c r="O34" s="275">
        <f t="shared" ca="1" si="4"/>
        <v>0</v>
      </c>
      <c r="P34" s="275">
        <f t="shared" ca="1" si="5"/>
        <v>0</v>
      </c>
      <c r="Q34" s="275">
        <f t="shared" ca="1" si="6"/>
        <v>0</v>
      </c>
      <c r="R34" s="275">
        <f t="shared" ca="1" si="7"/>
        <v>0</v>
      </c>
      <c r="S34" s="275">
        <f t="shared" ca="1" si="8"/>
        <v>0</v>
      </c>
      <c r="T34" s="275">
        <f t="shared" ca="1" si="9"/>
        <v>0</v>
      </c>
      <c r="U34" s="275">
        <f t="shared" ca="1" si="10"/>
        <v>0</v>
      </c>
      <c r="V34" s="275">
        <f t="shared" ca="1" si="11"/>
        <v>0</v>
      </c>
      <c r="W34" s="275">
        <f t="shared" ca="1" si="12"/>
        <v>0</v>
      </c>
      <c r="X34" s="275">
        <f t="shared" ca="1" si="13"/>
        <v>0</v>
      </c>
      <c r="Y34" s="275">
        <f t="shared" ca="1" si="14"/>
        <v>0</v>
      </c>
      <c r="Z34" s="275">
        <f t="shared" ca="1" si="15"/>
        <v>0</v>
      </c>
      <c r="AA34" s="275">
        <f t="shared" ca="1" si="16"/>
        <v>0</v>
      </c>
      <c r="AB34" s="275">
        <f t="shared" ca="1" si="63"/>
        <v>0</v>
      </c>
      <c r="AC34" s="275">
        <f t="shared" ca="1" si="64"/>
        <v>0</v>
      </c>
      <c r="AD34" s="275">
        <f t="shared" ca="1" si="17"/>
        <v>0</v>
      </c>
      <c r="AE34" s="275">
        <f t="shared" ca="1" si="18"/>
        <v>0</v>
      </c>
      <c r="AF34" s="275">
        <f t="shared" ca="1" si="19"/>
        <v>0</v>
      </c>
      <c r="AG34" s="275">
        <f t="shared" ca="1" si="20"/>
        <v>0</v>
      </c>
      <c r="AH34" s="275">
        <f t="shared" ca="1" si="65"/>
        <v>0</v>
      </c>
      <c r="AI34" s="275">
        <f t="shared" ca="1" si="66"/>
        <v>0</v>
      </c>
      <c r="AJ34" s="275">
        <f t="shared" ca="1" si="67"/>
        <v>0</v>
      </c>
      <c r="AK34" s="275">
        <f t="shared" ca="1" si="68"/>
        <v>0</v>
      </c>
      <c r="AL34" s="275">
        <f t="shared" ca="1" si="69"/>
        <v>0</v>
      </c>
      <c r="AM34" s="275">
        <f t="shared" ca="1" si="70"/>
        <v>0</v>
      </c>
      <c r="AN34" s="275">
        <f t="shared" ca="1" si="71"/>
        <v>0</v>
      </c>
      <c r="AO34" s="275">
        <f t="shared" ca="1" si="72"/>
        <v>0</v>
      </c>
      <c r="AP34" s="275">
        <f t="shared" ca="1" si="21"/>
        <v>0</v>
      </c>
      <c r="AQ34" s="275">
        <f t="shared" ca="1" si="22"/>
        <v>0</v>
      </c>
      <c r="AR34" s="275">
        <f t="shared" ca="1" si="23"/>
        <v>0</v>
      </c>
      <c r="AS34" s="275">
        <f t="shared" ca="1" si="24"/>
        <v>0</v>
      </c>
      <c r="AT34" s="275">
        <f t="shared" ca="1" si="73"/>
        <v>0</v>
      </c>
      <c r="AU34" s="275">
        <f t="shared" ca="1" si="74"/>
        <v>0</v>
      </c>
      <c r="AV34" s="275">
        <f t="shared" ca="1" si="25"/>
        <v>0</v>
      </c>
      <c r="AW34" s="275">
        <f t="shared" ca="1" si="26"/>
        <v>0</v>
      </c>
      <c r="AX34" s="275">
        <f t="shared" ca="1" si="27"/>
        <v>0</v>
      </c>
      <c r="AY34" s="275">
        <f t="shared" ca="1" si="28"/>
        <v>0</v>
      </c>
      <c r="AZ34" s="275">
        <f t="shared" ca="1" si="29"/>
        <v>0</v>
      </c>
      <c r="BA34" s="275">
        <f t="shared" ca="1" si="30"/>
        <v>0</v>
      </c>
      <c r="BB34" s="275">
        <f t="shared" ca="1" si="31"/>
        <v>0</v>
      </c>
      <c r="BC34" s="275">
        <f t="shared" ca="1" si="32"/>
        <v>0</v>
      </c>
      <c r="BD34" s="275">
        <f t="shared" ca="1" si="33"/>
        <v>0</v>
      </c>
      <c r="BE34" s="275">
        <f t="shared" ca="1" si="34"/>
        <v>0</v>
      </c>
      <c r="BF34" s="275">
        <f t="shared" ca="1" si="35"/>
        <v>0</v>
      </c>
      <c r="BG34" s="275">
        <f t="shared" ca="1" si="36"/>
        <v>0</v>
      </c>
      <c r="BH34" s="275">
        <f t="shared" ca="1" si="75"/>
        <v>0</v>
      </c>
      <c r="BI34" s="275">
        <f t="shared" ca="1" si="76"/>
        <v>0</v>
      </c>
      <c r="BJ34" s="275">
        <f t="shared" ca="1" si="37"/>
        <v>0</v>
      </c>
      <c r="BK34" s="275">
        <f t="shared" ca="1" si="38"/>
        <v>0</v>
      </c>
      <c r="BL34" s="275">
        <f t="shared" ca="1" si="39"/>
        <v>0</v>
      </c>
      <c r="BM34" s="275">
        <f t="shared" ca="1" si="40"/>
        <v>0</v>
      </c>
      <c r="BN34" s="275">
        <f t="shared" ca="1" si="41"/>
        <v>0</v>
      </c>
      <c r="BO34" s="275">
        <f t="shared" ca="1" si="42"/>
        <v>0</v>
      </c>
      <c r="BP34" s="275">
        <f t="shared" ca="1" si="77"/>
        <v>0</v>
      </c>
      <c r="BQ34" s="275">
        <f t="shared" ca="1" si="78"/>
        <v>0</v>
      </c>
      <c r="BR34" s="275">
        <f t="shared" ca="1" si="43"/>
        <v>0</v>
      </c>
      <c r="BS34" s="275">
        <f t="shared" ca="1" si="44"/>
        <v>0</v>
      </c>
      <c r="BT34" s="275">
        <f t="shared" ca="1" si="79"/>
        <v>0</v>
      </c>
      <c r="BU34" s="275">
        <f t="shared" ca="1" si="80"/>
        <v>0</v>
      </c>
      <c r="BV34" s="275">
        <f t="shared" ca="1" si="81"/>
        <v>0</v>
      </c>
      <c r="BW34" s="275">
        <f t="shared" ca="1" si="82"/>
        <v>0</v>
      </c>
      <c r="BX34" s="275">
        <f t="shared" ca="1" si="45"/>
        <v>0</v>
      </c>
      <c r="BY34" s="275">
        <f t="shared" ca="1" si="46"/>
        <v>0</v>
      </c>
      <c r="BZ34" s="275">
        <f t="shared" ca="1" si="47"/>
        <v>0</v>
      </c>
      <c r="CA34" s="275">
        <f t="shared" ca="1" si="48"/>
        <v>0</v>
      </c>
      <c r="CB34" s="275">
        <f t="shared" ca="1" si="49"/>
        <v>0</v>
      </c>
      <c r="CC34" s="275">
        <f t="shared" ca="1" si="50"/>
        <v>0</v>
      </c>
      <c r="CD34" s="275">
        <f t="shared" ca="1" si="83"/>
        <v>0</v>
      </c>
      <c r="CE34" s="275">
        <f t="shared" ca="1" si="84"/>
        <v>0</v>
      </c>
      <c r="CF34" s="275">
        <f t="shared" ca="1" si="85"/>
        <v>0</v>
      </c>
      <c r="CG34" s="275">
        <f t="shared" ca="1" si="86"/>
        <v>0</v>
      </c>
      <c r="CH34" s="275">
        <f t="shared" ca="1" si="51"/>
        <v>0</v>
      </c>
      <c r="CI34" s="275">
        <f t="shared" ca="1" si="52"/>
        <v>0</v>
      </c>
      <c r="CJ34" s="275">
        <f t="shared" ca="1" si="87"/>
        <v>0</v>
      </c>
      <c r="CK34" s="275">
        <f t="shared" ca="1" si="88"/>
        <v>0</v>
      </c>
      <c r="CL34" s="275">
        <f t="shared" ca="1" si="53"/>
        <v>0</v>
      </c>
      <c r="CM34" s="275">
        <f t="shared" ca="1" si="54"/>
        <v>0</v>
      </c>
      <c r="CN34" s="275">
        <f t="shared" ca="1" si="55"/>
        <v>0</v>
      </c>
      <c r="CO34" s="275">
        <f t="shared" ca="1" si="56"/>
        <v>0</v>
      </c>
      <c r="CP34" s="275">
        <f t="shared" ca="1" si="89"/>
        <v>0</v>
      </c>
      <c r="CQ34" s="275">
        <f t="shared" ca="1" si="90"/>
        <v>0</v>
      </c>
      <c r="CR34" s="275">
        <f t="shared" ca="1" si="91"/>
        <v>0</v>
      </c>
      <c r="CS34" s="275">
        <f t="shared" ca="1" si="92"/>
        <v>0</v>
      </c>
      <c r="CT34" s="275">
        <f t="shared" ca="1" si="57"/>
        <v>0</v>
      </c>
      <c r="CU34" s="275">
        <f t="shared" ca="1" si="58"/>
        <v>0</v>
      </c>
      <c r="CV34" s="275">
        <f t="shared" ca="1" si="59"/>
        <v>0</v>
      </c>
      <c r="CW34" s="275">
        <f t="shared" ca="1" si="60"/>
        <v>0</v>
      </c>
      <c r="CX34" s="275">
        <f t="shared" ca="1" si="93"/>
        <v>0</v>
      </c>
      <c r="CY34" s="275">
        <f t="shared" ca="1" si="94"/>
        <v>0</v>
      </c>
      <c r="CZ34" s="275">
        <f t="shared" ca="1" si="95"/>
        <v>0</v>
      </c>
      <c r="DA34" s="275">
        <f t="shared" ca="1" si="96"/>
        <v>0</v>
      </c>
    </row>
    <row r="35" spans="1:105" s="272" customFormat="1" ht="15" customHeight="1">
      <c r="A35" s="63">
        <f t="array" aca="1" ref="A35" ca="1">IF(C35&lt;&gt;0,SUM(($C$11:C35&lt;&gt;0)*1),"")</f>
        <v>25</v>
      </c>
      <c r="B35" s="273" t="str">
        <f ca="1">IF(ROWS($1:25)&gt;COUNT(Dong6),"",OFFSET(TH!C$1,SMALL(Dong6,ROWS($1:25)),))</f>
        <v/>
      </c>
      <c r="C35" s="273" t="str">
        <f ca="1">IF(ROWS($1:25)&gt;COUNT(Dong6),"",OFFSET(TH!D$1,SMALL(Dong6,ROWS($1:25)),))</f>
        <v/>
      </c>
      <c r="D35" s="273" t="str">
        <f ca="1">IF(ROWS($1:25)&gt;COUNT(Dong6),"",OFFSET(TH!E$1,SMALL(Dong6,ROWS($1:25)),))</f>
        <v/>
      </c>
      <c r="E35" s="323" t="str">
        <f ca="1">IF(ROWS($1:25)&gt;COUNT(Dong6),"",OFFSET(TH!F$1,SMALL(Dong6,ROWS($1:25)),))</f>
        <v/>
      </c>
      <c r="F35" s="324" t="str">
        <f ca="1">IF(ROWS($1:25)&gt;COUNT(Dong6),"",OFFSET(TH!M$1,SMALL(Dong6,ROWS($1:25)),))</f>
        <v/>
      </c>
      <c r="G35" s="325" t="str">
        <f ca="1">IF(ROWS($1:25)&gt;COUNT(Dong6),"",OFFSET(TH!N$1,SMALL(Dong6,ROWS($1:25)),))</f>
        <v/>
      </c>
      <c r="H35" s="325" t="str">
        <f ca="1">IF(ROWS($1:25)&gt;COUNT(Dong6),"",OFFSET(TH!O$1,SMALL(Dong6,ROWS($1:25)),))</f>
        <v/>
      </c>
      <c r="I35" s="63">
        <f ca="1">A35</f>
        <v>25</v>
      </c>
      <c r="J35" s="275">
        <f t="shared" ca="1" si="61"/>
        <v>0</v>
      </c>
      <c r="K35" s="275">
        <f t="shared" ca="1" si="62"/>
        <v>0</v>
      </c>
      <c r="L35" s="275">
        <f t="shared" ca="1" si="1"/>
        <v>0</v>
      </c>
      <c r="M35" s="275">
        <f t="shared" ca="1" si="2"/>
        <v>0</v>
      </c>
      <c r="N35" s="275">
        <f t="shared" ca="1" si="3"/>
        <v>0</v>
      </c>
      <c r="O35" s="275">
        <f t="shared" ca="1" si="4"/>
        <v>0</v>
      </c>
      <c r="P35" s="275">
        <f t="shared" ca="1" si="5"/>
        <v>0</v>
      </c>
      <c r="Q35" s="275">
        <f t="shared" ca="1" si="6"/>
        <v>0</v>
      </c>
      <c r="R35" s="275">
        <f t="shared" ca="1" si="7"/>
        <v>0</v>
      </c>
      <c r="S35" s="275">
        <f t="shared" ca="1" si="8"/>
        <v>0</v>
      </c>
      <c r="T35" s="275">
        <f t="shared" ca="1" si="9"/>
        <v>0</v>
      </c>
      <c r="U35" s="275">
        <f t="shared" ca="1" si="10"/>
        <v>0</v>
      </c>
      <c r="V35" s="275">
        <f t="shared" ca="1" si="11"/>
        <v>0</v>
      </c>
      <c r="W35" s="275">
        <f t="shared" ca="1" si="12"/>
        <v>0</v>
      </c>
      <c r="X35" s="275">
        <f t="shared" ca="1" si="13"/>
        <v>0</v>
      </c>
      <c r="Y35" s="275">
        <f t="shared" ca="1" si="14"/>
        <v>0</v>
      </c>
      <c r="Z35" s="275">
        <f t="shared" ca="1" si="15"/>
        <v>0</v>
      </c>
      <c r="AA35" s="275">
        <f t="shared" ca="1" si="16"/>
        <v>0</v>
      </c>
      <c r="AB35" s="275">
        <f t="shared" ca="1" si="63"/>
        <v>0</v>
      </c>
      <c r="AC35" s="275">
        <f t="shared" ca="1" si="64"/>
        <v>0</v>
      </c>
      <c r="AD35" s="275">
        <f t="shared" ca="1" si="17"/>
        <v>0</v>
      </c>
      <c r="AE35" s="275">
        <f t="shared" ca="1" si="18"/>
        <v>0</v>
      </c>
      <c r="AF35" s="275">
        <f t="shared" ca="1" si="19"/>
        <v>0</v>
      </c>
      <c r="AG35" s="275">
        <f t="shared" ca="1" si="20"/>
        <v>0</v>
      </c>
      <c r="AH35" s="275">
        <f t="shared" ca="1" si="65"/>
        <v>0</v>
      </c>
      <c r="AI35" s="275">
        <f t="shared" ca="1" si="66"/>
        <v>0</v>
      </c>
      <c r="AJ35" s="275">
        <f t="shared" ca="1" si="67"/>
        <v>0</v>
      </c>
      <c r="AK35" s="275">
        <f t="shared" ca="1" si="68"/>
        <v>0</v>
      </c>
      <c r="AL35" s="275">
        <f t="shared" ca="1" si="69"/>
        <v>0</v>
      </c>
      <c r="AM35" s="275">
        <f t="shared" ca="1" si="70"/>
        <v>0</v>
      </c>
      <c r="AN35" s="275">
        <f t="shared" ca="1" si="71"/>
        <v>0</v>
      </c>
      <c r="AO35" s="275">
        <f t="shared" ca="1" si="72"/>
        <v>0</v>
      </c>
      <c r="AP35" s="275">
        <f t="shared" ca="1" si="21"/>
        <v>0</v>
      </c>
      <c r="AQ35" s="275">
        <f t="shared" ca="1" si="22"/>
        <v>0</v>
      </c>
      <c r="AR35" s="275">
        <f t="shared" ca="1" si="23"/>
        <v>0</v>
      </c>
      <c r="AS35" s="275">
        <f t="shared" ca="1" si="24"/>
        <v>0</v>
      </c>
      <c r="AT35" s="275">
        <f t="shared" ca="1" si="73"/>
        <v>0</v>
      </c>
      <c r="AU35" s="275">
        <f t="shared" ca="1" si="74"/>
        <v>0</v>
      </c>
      <c r="AV35" s="275">
        <f t="shared" ca="1" si="25"/>
        <v>0</v>
      </c>
      <c r="AW35" s="275">
        <f t="shared" ca="1" si="26"/>
        <v>0</v>
      </c>
      <c r="AX35" s="275">
        <f t="shared" ca="1" si="27"/>
        <v>0</v>
      </c>
      <c r="AY35" s="275">
        <f t="shared" ca="1" si="28"/>
        <v>0</v>
      </c>
      <c r="AZ35" s="275">
        <f t="shared" ca="1" si="29"/>
        <v>0</v>
      </c>
      <c r="BA35" s="275">
        <f t="shared" ca="1" si="30"/>
        <v>0</v>
      </c>
      <c r="BB35" s="275">
        <f t="shared" ca="1" si="31"/>
        <v>0</v>
      </c>
      <c r="BC35" s="275">
        <f t="shared" ca="1" si="32"/>
        <v>0</v>
      </c>
      <c r="BD35" s="275">
        <f t="shared" ca="1" si="33"/>
        <v>0</v>
      </c>
      <c r="BE35" s="275">
        <f t="shared" ca="1" si="34"/>
        <v>0</v>
      </c>
      <c r="BF35" s="275">
        <f t="shared" ca="1" si="35"/>
        <v>0</v>
      </c>
      <c r="BG35" s="275">
        <f t="shared" ca="1" si="36"/>
        <v>0</v>
      </c>
      <c r="BH35" s="275">
        <f t="shared" ca="1" si="75"/>
        <v>0</v>
      </c>
      <c r="BI35" s="275">
        <f t="shared" ca="1" si="76"/>
        <v>0</v>
      </c>
      <c r="BJ35" s="275">
        <f t="shared" ca="1" si="37"/>
        <v>0</v>
      </c>
      <c r="BK35" s="275">
        <f t="shared" ca="1" si="38"/>
        <v>0</v>
      </c>
      <c r="BL35" s="275">
        <f t="shared" ca="1" si="39"/>
        <v>0</v>
      </c>
      <c r="BM35" s="275">
        <f t="shared" ca="1" si="40"/>
        <v>0</v>
      </c>
      <c r="BN35" s="275">
        <f t="shared" ca="1" si="41"/>
        <v>0</v>
      </c>
      <c r="BO35" s="275">
        <f t="shared" ca="1" si="42"/>
        <v>0</v>
      </c>
      <c r="BP35" s="275">
        <f t="shared" ca="1" si="77"/>
        <v>0</v>
      </c>
      <c r="BQ35" s="275">
        <f t="shared" ca="1" si="78"/>
        <v>0</v>
      </c>
      <c r="BR35" s="275">
        <f t="shared" ca="1" si="43"/>
        <v>0</v>
      </c>
      <c r="BS35" s="275">
        <f t="shared" ca="1" si="44"/>
        <v>0</v>
      </c>
      <c r="BT35" s="275">
        <f t="shared" ca="1" si="79"/>
        <v>0</v>
      </c>
      <c r="BU35" s="275">
        <f t="shared" ca="1" si="80"/>
        <v>0</v>
      </c>
      <c r="BV35" s="275">
        <f t="shared" ca="1" si="81"/>
        <v>0</v>
      </c>
      <c r="BW35" s="275">
        <f t="shared" ca="1" si="82"/>
        <v>0</v>
      </c>
      <c r="BX35" s="275">
        <f t="shared" ca="1" si="45"/>
        <v>0</v>
      </c>
      <c r="BY35" s="275">
        <f t="shared" ca="1" si="46"/>
        <v>0</v>
      </c>
      <c r="BZ35" s="275">
        <f t="shared" ca="1" si="47"/>
        <v>0</v>
      </c>
      <c r="CA35" s="275">
        <f t="shared" ca="1" si="48"/>
        <v>0</v>
      </c>
      <c r="CB35" s="275">
        <f t="shared" ca="1" si="49"/>
        <v>0</v>
      </c>
      <c r="CC35" s="275">
        <f t="shared" ca="1" si="50"/>
        <v>0</v>
      </c>
      <c r="CD35" s="275">
        <f t="shared" ca="1" si="83"/>
        <v>0</v>
      </c>
      <c r="CE35" s="275">
        <f t="shared" ca="1" si="84"/>
        <v>0</v>
      </c>
      <c r="CF35" s="275">
        <f t="shared" ca="1" si="85"/>
        <v>0</v>
      </c>
      <c r="CG35" s="275">
        <f t="shared" ca="1" si="86"/>
        <v>0</v>
      </c>
      <c r="CH35" s="275">
        <f t="shared" ca="1" si="51"/>
        <v>0</v>
      </c>
      <c r="CI35" s="275">
        <f t="shared" ca="1" si="52"/>
        <v>0</v>
      </c>
      <c r="CJ35" s="275">
        <f t="shared" ca="1" si="87"/>
        <v>0</v>
      </c>
      <c r="CK35" s="275">
        <f t="shared" ca="1" si="88"/>
        <v>0</v>
      </c>
      <c r="CL35" s="275">
        <f t="shared" ca="1" si="53"/>
        <v>0</v>
      </c>
      <c r="CM35" s="275">
        <f t="shared" ca="1" si="54"/>
        <v>0</v>
      </c>
      <c r="CN35" s="275">
        <f t="shared" ca="1" si="55"/>
        <v>0</v>
      </c>
      <c r="CO35" s="275">
        <f t="shared" ca="1" si="56"/>
        <v>0</v>
      </c>
      <c r="CP35" s="275">
        <f t="shared" ca="1" si="89"/>
        <v>0</v>
      </c>
      <c r="CQ35" s="275">
        <f t="shared" ca="1" si="90"/>
        <v>0</v>
      </c>
      <c r="CR35" s="275">
        <f t="shared" ca="1" si="91"/>
        <v>0</v>
      </c>
      <c r="CS35" s="275">
        <f t="shared" ca="1" si="92"/>
        <v>0</v>
      </c>
      <c r="CT35" s="275">
        <f t="shared" ca="1" si="57"/>
        <v>0</v>
      </c>
      <c r="CU35" s="275">
        <f t="shared" ca="1" si="58"/>
        <v>0</v>
      </c>
      <c r="CV35" s="275">
        <f t="shared" ca="1" si="59"/>
        <v>0</v>
      </c>
      <c r="CW35" s="275">
        <f t="shared" ca="1" si="60"/>
        <v>0</v>
      </c>
      <c r="CX35" s="275">
        <f t="shared" ca="1" si="93"/>
        <v>0</v>
      </c>
      <c r="CY35" s="275">
        <f t="shared" ca="1" si="94"/>
        <v>0</v>
      </c>
      <c r="CZ35" s="275">
        <f t="shared" ca="1" si="95"/>
        <v>0</v>
      </c>
      <c r="DA35" s="275">
        <f t="shared" ca="1" si="96"/>
        <v>0</v>
      </c>
    </row>
    <row r="36" spans="1:105" s="272" customFormat="1" ht="15" customHeight="1">
      <c r="A36" s="63">
        <f t="array" aca="1" ref="A36" ca="1">IF(C36&lt;&gt;0,SUM(($C$11:C36&lt;&gt;0)*1),"")</f>
        <v>26</v>
      </c>
      <c r="B36" s="273" t="str">
        <f ca="1">IF(ROWS($1:26)&gt;COUNT(Dong6),"",OFFSET(TH!C$1,SMALL(Dong6,ROWS($1:26)),))</f>
        <v/>
      </c>
      <c r="C36" s="273" t="str">
        <f ca="1">IF(ROWS($1:26)&gt;COUNT(Dong6),"",OFFSET(TH!D$1,SMALL(Dong6,ROWS($1:26)),))</f>
        <v/>
      </c>
      <c r="D36" s="273" t="str">
        <f ca="1">IF(ROWS($1:26)&gt;COUNT(Dong6),"",OFFSET(TH!E$1,SMALL(Dong6,ROWS($1:26)),))</f>
        <v/>
      </c>
      <c r="E36" s="323" t="str">
        <f ca="1">IF(ROWS($1:26)&gt;COUNT(Dong6),"",OFFSET(TH!F$1,SMALL(Dong6,ROWS($1:26)),))</f>
        <v/>
      </c>
      <c r="F36" s="324" t="str">
        <f ca="1">IF(ROWS($1:26)&gt;COUNT(Dong6),"",OFFSET(TH!M$1,SMALL(Dong6,ROWS($1:26)),))</f>
        <v/>
      </c>
      <c r="G36" s="325" t="str">
        <f ca="1">IF(ROWS($1:26)&gt;COUNT(Dong6),"",OFFSET(TH!N$1,SMALL(Dong6,ROWS($1:26)),))</f>
        <v/>
      </c>
      <c r="H36" s="325" t="str">
        <f ca="1">IF(ROWS($1:26)&gt;COUNT(Dong6),"",OFFSET(TH!O$1,SMALL(Dong6,ROWS($1:26)),))</f>
        <v/>
      </c>
      <c r="I36" s="63">
        <f ca="1">A36</f>
        <v>26</v>
      </c>
      <c r="J36" s="275">
        <f t="shared" ca="1" si="61"/>
        <v>0</v>
      </c>
      <c r="K36" s="275">
        <f t="shared" ca="1" si="62"/>
        <v>0</v>
      </c>
      <c r="L36" s="275">
        <f t="shared" ca="1" si="1"/>
        <v>0</v>
      </c>
      <c r="M36" s="275">
        <f t="shared" ca="1" si="2"/>
        <v>0</v>
      </c>
      <c r="N36" s="275">
        <f t="shared" ca="1" si="3"/>
        <v>0</v>
      </c>
      <c r="O36" s="275">
        <f t="shared" ca="1" si="4"/>
        <v>0</v>
      </c>
      <c r="P36" s="275">
        <f t="shared" ca="1" si="5"/>
        <v>0</v>
      </c>
      <c r="Q36" s="275">
        <f t="shared" ca="1" si="6"/>
        <v>0</v>
      </c>
      <c r="R36" s="275">
        <f t="shared" ca="1" si="7"/>
        <v>0</v>
      </c>
      <c r="S36" s="275">
        <f t="shared" ca="1" si="8"/>
        <v>0</v>
      </c>
      <c r="T36" s="275">
        <f t="shared" ca="1" si="9"/>
        <v>0</v>
      </c>
      <c r="U36" s="275">
        <f t="shared" ca="1" si="10"/>
        <v>0</v>
      </c>
      <c r="V36" s="275">
        <f t="shared" ca="1" si="11"/>
        <v>0</v>
      </c>
      <c r="W36" s="275">
        <f t="shared" ca="1" si="12"/>
        <v>0</v>
      </c>
      <c r="X36" s="275">
        <f t="shared" ca="1" si="13"/>
        <v>0</v>
      </c>
      <c r="Y36" s="275">
        <f t="shared" ca="1" si="14"/>
        <v>0</v>
      </c>
      <c r="Z36" s="275">
        <f t="shared" ca="1" si="15"/>
        <v>0</v>
      </c>
      <c r="AA36" s="275">
        <f t="shared" ca="1" si="16"/>
        <v>0</v>
      </c>
      <c r="AB36" s="275">
        <f t="shared" ca="1" si="63"/>
        <v>0</v>
      </c>
      <c r="AC36" s="275">
        <f t="shared" ca="1" si="64"/>
        <v>0</v>
      </c>
      <c r="AD36" s="275">
        <f t="shared" ca="1" si="17"/>
        <v>0</v>
      </c>
      <c r="AE36" s="275">
        <f t="shared" ca="1" si="18"/>
        <v>0</v>
      </c>
      <c r="AF36" s="275">
        <f t="shared" ca="1" si="19"/>
        <v>0</v>
      </c>
      <c r="AG36" s="275">
        <f t="shared" ca="1" si="20"/>
        <v>0</v>
      </c>
      <c r="AH36" s="275">
        <f t="shared" ca="1" si="65"/>
        <v>0</v>
      </c>
      <c r="AI36" s="275">
        <f t="shared" ca="1" si="66"/>
        <v>0</v>
      </c>
      <c r="AJ36" s="275">
        <f t="shared" ca="1" si="67"/>
        <v>0</v>
      </c>
      <c r="AK36" s="275">
        <f t="shared" ca="1" si="68"/>
        <v>0</v>
      </c>
      <c r="AL36" s="275">
        <f t="shared" ca="1" si="69"/>
        <v>0</v>
      </c>
      <c r="AM36" s="275">
        <f t="shared" ca="1" si="70"/>
        <v>0</v>
      </c>
      <c r="AN36" s="275">
        <f t="shared" ca="1" si="71"/>
        <v>0</v>
      </c>
      <c r="AO36" s="275">
        <f t="shared" ca="1" si="72"/>
        <v>0</v>
      </c>
      <c r="AP36" s="275">
        <f t="shared" ca="1" si="21"/>
        <v>0</v>
      </c>
      <c r="AQ36" s="275">
        <f t="shared" ca="1" si="22"/>
        <v>0</v>
      </c>
      <c r="AR36" s="275">
        <f t="shared" ca="1" si="23"/>
        <v>0</v>
      </c>
      <c r="AS36" s="275">
        <f t="shared" ca="1" si="24"/>
        <v>0</v>
      </c>
      <c r="AT36" s="275">
        <f t="shared" ca="1" si="73"/>
        <v>0</v>
      </c>
      <c r="AU36" s="275">
        <f t="shared" ca="1" si="74"/>
        <v>0</v>
      </c>
      <c r="AV36" s="275">
        <f t="shared" ca="1" si="25"/>
        <v>0</v>
      </c>
      <c r="AW36" s="275">
        <f t="shared" ca="1" si="26"/>
        <v>0</v>
      </c>
      <c r="AX36" s="275">
        <f t="shared" ca="1" si="27"/>
        <v>0</v>
      </c>
      <c r="AY36" s="275">
        <f t="shared" ca="1" si="28"/>
        <v>0</v>
      </c>
      <c r="AZ36" s="275">
        <f t="shared" ca="1" si="29"/>
        <v>0</v>
      </c>
      <c r="BA36" s="275">
        <f t="shared" ca="1" si="30"/>
        <v>0</v>
      </c>
      <c r="BB36" s="275">
        <f t="shared" ca="1" si="31"/>
        <v>0</v>
      </c>
      <c r="BC36" s="275">
        <f t="shared" ca="1" si="32"/>
        <v>0</v>
      </c>
      <c r="BD36" s="275">
        <f t="shared" ca="1" si="33"/>
        <v>0</v>
      </c>
      <c r="BE36" s="275">
        <f t="shared" ca="1" si="34"/>
        <v>0</v>
      </c>
      <c r="BF36" s="275">
        <f t="shared" ca="1" si="35"/>
        <v>0</v>
      </c>
      <c r="BG36" s="275">
        <f t="shared" ca="1" si="36"/>
        <v>0</v>
      </c>
      <c r="BH36" s="275">
        <f t="shared" ca="1" si="75"/>
        <v>0</v>
      </c>
      <c r="BI36" s="275">
        <f t="shared" ca="1" si="76"/>
        <v>0</v>
      </c>
      <c r="BJ36" s="275">
        <f t="shared" ca="1" si="37"/>
        <v>0</v>
      </c>
      <c r="BK36" s="275">
        <f t="shared" ca="1" si="38"/>
        <v>0</v>
      </c>
      <c r="BL36" s="275">
        <f t="shared" ca="1" si="39"/>
        <v>0</v>
      </c>
      <c r="BM36" s="275">
        <f t="shared" ca="1" si="40"/>
        <v>0</v>
      </c>
      <c r="BN36" s="275">
        <f t="shared" ca="1" si="41"/>
        <v>0</v>
      </c>
      <c r="BO36" s="275">
        <f t="shared" ca="1" si="42"/>
        <v>0</v>
      </c>
      <c r="BP36" s="275">
        <f t="shared" ca="1" si="77"/>
        <v>0</v>
      </c>
      <c r="BQ36" s="275">
        <f t="shared" ca="1" si="78"/>
        <v>0</v>
      </c>
      <c r="BR36" s="275">
        <f t="shared" ca="1" si="43"/>
        <v>0</v>
      </c>
      <c r="BS36" s="275">
        <f t="shared" ca="1" si="44"/>
        <v>0</v>
      </c>
      <c r="BT36" s="275">
        <f t="shared" ca="1" si="79"/>
        <v>0</v>
      </c>
      <c r="BU36" s="275">
        <f t="shared" ca="1" si="80"/>
        <v>0</v>
      </c>
      <c r="BV36" s="275">
        <f t="shared" ca="1" si="81"/>
        <v>0</v>
      </c>
      <c r="BW36" s="275">
        <f t="shared" ca="1" si="82"/>
        <v>0</v>
      </c>
      <c r="BX36" s="275">
        <f t="shared" ca="1" si="45"/>
        <v>0</v>
      </c>
      <c r="BY36" s="275">
        <f t="shared" ca="1" si="46"/>
        <v>0</v>
      </c>
      <c r="BZ36" s="275">
        <f t="shared" ca="1" si="47"/>
        <v>0</v>
      </c>
      <c r="CA36" s="275">
        <f t="shared" ca="1" si="48"/>
        <v>0</v>
      </c>
      <c r="CB36" s="275">
        <f t="shared" ca="1" si="49"/>
        <v>0</v>
      </c>
      <c r="CC36" s="275">
        <f t="shared" ca="1" si="50"/>
        <v>0</v>
      </c>
      <c r="CD36" s="275">
        <f t="shared" ca="1" si="83"/>
        <v>0</v>
      </c>
      <c r="CE36" s="275">
        <f t="shared" ca="1" si="84"/>
        <v>0</v>
      </c>
      <c r="CF36" s="275">
        <f t="shared" ca="1" si="85"/>
        <v>0</v>
      </c>
      <c r="CG36" s="275">
        <f t="shared" ca="1" si="86"/>
        <v>0</v>
      </c>
      <c r="CH36" s="275">
        <f t="shared" ca="1" si="51"/>
        <v>0</v>
      </c>
      <c r="CI36" s="275">
        <f t="shared" ca="1" si="52"/>
        <v>0</v>
      </c>
      <c r="CJ36" s="275">
        <f t="shared" ca="1" si="87"/>
        <v>0</v>
      </c>
      <c r="CK36" s="275">
        <f t="shared" ca="1" si="88"/>
        <v>0</v>
      </c>
      <c r="CL36" s="275">
        <f t="shared" ca="1" si="53"/>
        <v>0</v>
      </c>
      <c r="CM36" s="275">
        <f t="shared" ca="1" si="54"/>
        <v>0</v>
      </c>
      <c r="CN36" s="275">
        <f t="shared" ca="1" si="55"/>
        <v>0</v>
      </c>
      <c r="CO36" s="275">
        <f t="shared" ca="1" si="56"/>
        <v>0</v>
      </c>
      <c r="CP36" s="275">
        <f t="shared" ca="1" si="89"/>
        <v>0</v>
      </c>
      <c r="CQ36" s="275">
        <f t="shared" ca="1" si="90"/>
        <v>0</v>
      </c>
      <c r="CR36" s="275">
        <f t="shared" ca="1" si="91"/>
        <v>0</v>
      </c>
      <c r="CS36" s="275">
        <f t="shared" ca="1" si="92"/>
        <v>0</v>
      </c>
      <c r="CT36" s="275">
        <f t="shared" ca="1" si="57"/>
        <v>0</v>
      </c>
      <c r="CU36" s="275">
        <f t="shared" ca="1" si="58"/>
        <v>0</v>
      </c>
      <c r="CV36" s="275">
        <f t="shared" ca="1" si="59"/>
        <v>0</v>
      </c>
      <c r="CW36" s="275">
        <f t="shared" ca="1" si="60"/>
        <v>0</v>
      </c>
      <c r="CX36" s="275">
        <f t="shared" ca="1" si="93"/>
        <v>0</v>
      </c>
      <c r="CY36" s="275">
        <f t="shared" ca="1" si="94"/>
        <v>0</v>
      </c>
      <c r="CZ36" s="275">
        <f t="shared" ca="1" si="95"/>
        <v>0</v>
      </c>
      <c r="DA36" s="275">
        <f t="shared" ca="1" si="96"/>
        <v>0</v>
      </c>
    </row>
    <row r="37" spans="1:105" s="272" customFormat="1" ht="15" customHeight="1">
      <c r="A37" s="63">
        <f t="array" aca="1" ref="A37" ca="1">IF(C37&lt;&gt;0,SUM(($C$11:C37&lt;&gt;0)*1),"")</f>
        <v>27</v>
      </c>
      <c r="B37" s="273" t="str">
        <f ca="1">IF(ROWS($1:27)&gt;COUNT(Dong6),"",OFFSET(TH!C$1,SMALL(Dong6,ROWS($1:27)),))</f>
        <v/>
      </c>
      <c r="C37" s="273" t="str">
        <f ca="1">IF(ROWS($1:27)&gt;COUNT(Dong6),"",OFFSET(TH!D$1,SMALL(Dong6,ROWS($1:27)),))</f>
        <v/>
      </c>
      <c r="D37" s="273" t="str">
        <f ca="1">IF(ROWS($1:27)&gt;COUNT(Dong6),"",OFFSET(TH!E$1,SMALL(Dong6,ROWS($1:27)),))</f>
        <v/>
      </c>
      <c r="E37" s="323" t="str">
        <f ca="1">IF(ROWS($1:27)&gt;COUNT(Dong6),"",OFFSET(TH!F$1,SMALL(Dong6,ROWS($1:27)),))</f>
        <v/>
      </c>
      <c r="F37" s="324" t="str">
        <f ca="1">IF(ROWS($1:27)&gt;COUNT(Dong6),"",OFFSET(TH!M$1,SMALL(Dong6,ROWS($1:27)),))</f>
        <v/>
      </c>
      <c r="G37" s="325" t="str">
        <f ca="1">IF(ROWS($1:27)&gt;COUNT(Dong6),"",OFFSET(TH!N$1,SMALL(Dong6,ROWS($1:27)),))</f>
        <v/>
      </c>
      <c r="H37" s="325" t="str">
        <f ca="1">IF(ROWS($1:27)&gt;COUNT(Dong6),"",OFFSET(TH!O$1,SMALL(Dong6,ROWS($1:27)),))</f>
        <v/>
      </c>
      <c r="I37" s="63">
        <f ca="1">A37</f>
        <v>27</v>
      </c>
      <c r="J37" s="275">
        <f t="shared" ca="1" si="61"/>
        <v>0</v>
      </c>
      <c r="K37" s="275">
        <f t="shared" ca="1" si="62"/>
        <v>0</v>
      </c>
      <c r="L37" s="275">
        <f t="shared" ca="1" si="1"/>
        <v>0</v>
      </c>
      <c r="M37" s="275">
        <f t="shared" ca="1" si="2"/>
        <v>0</v>
      </c>
      <c r="N37" s="275">
        <f t="shared" ca="1" si="3"/>
        <v>0</v>
      </c>
      <c r="O37" s="275">
        <f t="shared" ca="1" si="4"/>
        <v>0</v>
      </c>
      <c r="P37" s="275">
        <f t="shared" ca="1" si="5"/>
        <v>0</v>
      </c>
      <c r="Q37" s="275">
        <f t="shared" ca="1" si="6"/>
        <v>0</v>
      </c>
      <c r="R37" s="275">
        <f t="shared" ca="1" si="7"/>
        <v>0</v>
      </c>
      <c r="S37" s="275">
        <f t="shared" ca="1" si="8"/>
        <v>0</v>
      </c>
      <c r="T37" s="275">
        <f t="shared" ca="1" si="9"/>
        <v>0</v>
      </c>
      <c r="U37" s="275">
        <f t="shared" ca="1" si="10"/>
        <v>0</v>
      </c>
      <c r="V37" s="275">
        <f t="shared" ca="1" si="11"/>
        <v>0</v>
      </c>
      <c r="W37" s="275">
        <f t="shared" ca="1" si="12"/>
        <v>0</v>
      </c>
      <c r="X37" s="275">
        <f t="shared" ca="1" si="13"/>
        <v>0</v>
      </c>
      <c r="Y37" s="275">
        <f t="shared" ca="1" si="14"/>
        <v>0</v>
      </c>
      <c r="Z37" s="275">
        <f t="shared" ca="1" si="15"/>
        <v>0</v>
      </c>
      <c r="AA37" s="275">
        <f t="shared" ca="1" si="16"/>
        <v>0</v>
      </c>
      <c r="AB37" s="275">
        <f t="shared" ca="1" si="63"/>
        <v>0</v>
      </c>
      <c r="AC37" s="275">
        <f t="shared" ca="1" si="64"/>
        <v>0</v>
      </c>
      <c r="AD37" s="275">
        <f t="shared" ca="1" si="17"/>
        <v>0</v>
      </c>
      <c r="AE37" s="275">
        <f t="shared" ca="1" si="18"/>
        <v>0</v>
      </c>
      <c r="AF37" s="275">
        <f t="shared" ca="1" si="19"/>
        <v>0</v>
      </c>
      <c r="AG37" s="275">
        <f t="shared" ca="1" si="20"/>
        <v>0</v>
      </c>
      <c r="AH37" s="275">
        <f t="shared" ca="1" si="65"/>
        <v>0</v>
      </c>
      <c r="AI37" s="275">
        <f t="shared" ca="1" si="66"/>
        <v>0</v>
      </c>
      <c r="AJ37" s="275">
        <f t="shared" ca="1" si="67"/>
        <v>0</v>
      </c>
      <c r="AK37" s="275">
        <f t="shared" ca="1" si="68"/>
        <v>0</v>
      </c>
      <c r="AL37" s="275">
        <f t="shared" ca="1" si="69"/>
        <v>0</v>
      </c>
      <c r="AM37" s="275">
        <f t="shared" ca="1" si="70"/>
        <v>0</v>
      </c>
      <c r="AN37" s="275">
        <f t="shared" ca="1" si="71"/>
        <v>0</v>
      </c>
      <c r="AO37" s="275">
        <f t="shared" ca="1" si="72"/>
        <v>0</v>
      </c>
      <c r="AP37" s="275">
        <f t="shared" ca="1" si="21"/>
        <v>0</v>
      </c>
      <c r="AQ37" s="275">
        <f t="shared" ca="1" si="22"/>
        <v>0</v>
      </c>
      <c r="AR37" s="275">
        <f t="shared" ca="1" si="23"/>
        <v>0</v>
      </c>
      <c r="AS37" s="275">
        <f t="shared" ca="1" si="24"/>
        <v>0</v>
      </c>
      <c r="AT37" s="275">
        <f t="shared" ca="1" si="73"/>
        <v>0</v>
      </c>
      <c r="AU37" s="275">
        <f t="shared" ca="1" si="74"/>
        <v>0</v>
      </c>
      <c r="AV37" s="275">
        <f t="shared" ca="1" si="25"/>
        <v>0</v>
      </c>
      <c r="AW37" s="275">
        <f t="shared" ca="1" si="26"/>
        <v>0</v>
      </c>
      <c r="AX37" s="275">
        <f t="shared" ca="1" si="27"/>
        <v>0</v>
      </c>
      <c r="AY37" s="275">
        <f t="shared" ca="1" si="28"/>
        <v>0</v>
      </c>
      <c r="AZ37" s="275">
        <f t="shared" ca="1" si="29"/>
        <v>0</v>
      </c>
      <c r="BA37" s="275">
        <f t="shared" ca="1" si="30"/>
        <v>0</v>
      </c>
      <c r="BB37" s="275">
        <f t="shared" ca="1" si="31"/>
        <v>0</v>
      </c>
      <c r="BC37" s="275">
        <f t="shared" ca="1" si="32"/>
        <v>0</v>
      </c>
      <c r="BD37" s="275">
        <f t="shared" ca="1" si="33"/>
        <v>0</v>
      </c>
      <c r="BE37" s="275">
        <f t="shared" ca="1" si="34"/>
        <v>0</v>
      </c>
      <c r="BF37" s="275">
        <f t="shared" ca="1" si="35"/>
        <v>0</v>
      </c>
      <c r="BG37" s="275">
        <f t="shared" ca="1" si="36"/>
        <v>0</v>
      </c>
      <c r="BH37" s="275">
        <f t="shared" ca="1" si="75"/>
        <v>0</v>
      </c>
      <c r="BI37" s="275">
        <f t="shared" ca="1" si="76"/>
        <v>0</v>
      </c>
      <c r="BJ37" s="275">
        <f t="shared" ca="1" si="37"/>
        <v>0</v>
      </c>
      <c r="BK37" s="275">
        <f t="shared" ca="1" si="38"/>
        <v>0</v>
      </c>
      <c r="BL37" s="275">
        <f t="shared" ca="1" si="39"/>
        <v>0</v>
      </c>
      <c r="BM37" s="275">
        <f t="shared" ca="1" si="40"/>
        <v>0</v>
      </c>
      <c r="BN37" s="275">
        <f t="shared" ca="1" si="41"/>
        <v>0</v>
      </c>
      <c r="BO37" s="275">
        <f t="shared" ca="1" si="42"/>
        <v>0</v>
      </c>
      <c r="BP37" s="275">
        <f t="shared" ca="1" si="77"/>
        <v>0</v>
      </c>
      <c r="BQ37" s="275">
        <f t="shared" ca="1" si="78"/>
        <v>0</v>
      </c>
      <c r="BR37" s="275">
        <f t="shared" ca="1" si="43"/>
        <v>0</v>
      </c>
      <c r="BS37" s="275">
        <f t="shared" ca="1" si="44"/>
        <v>0</v>
      </c>
      <c r="BT37" s="275">
        <f t="shared" ca="1" si="79"/>
        <v>0</v>
      </c>
      <c r="BU37" s="275">
        <f t="shared" ca="1" si="80"/>
        <v>0</v>
      </c>
      <c r="BV37" s="275">
        <f t="shared" ca="1" si="81"/>
        <v>0</v>
      </c>
      <c r="BW37" s="275">
        <f t="shared" ca="1" si="82"/>
        <v>0</v>
      </c>
      <c r="BX37" s="275">
        <f t="shared" ca="1" si="45"/>
        <v>0</v>
      </c>
      <c r="BY37" s="275">
        <f t="shared" ca="1" si="46"/>
        <v>0</v>
      </c>
      <c r="BZ37" s="275">
        <f t="shared" ca="1" si="47"/>
        <v>0</v>
      </c>
      <c r="CA37" s="275">
        <f t="shared" ca="1" si="48"/>
        <v>0</v>
      </c>
      <c r="CB37" s="275">
        <f t="shared" ca="1" si="49"/>
        <v>0</v>
      </c>
      <c r="CC37" s="275">
        <f t="shared" ca="1" si="50"/>
        <v>0</v>
      </c>
      <c r="CD37" s="275">
        <f t="shared" ca="1" si="83"/>
        <v>0</v>
      </c>
      <c r="CE37" s="275">
        <f t="shared" ca="1" si="84"/>
        <v>0</v>
      </c>
      <c r="CF37" s="275">
        <f t="shared" ca="1" si="85"/>
        <v>0</v>
      </c>
      <c r="CG37" s="275">
        <f t="shared" ca="1" si="86"/>
        <v>0</v>
      </c>
      <c r="CH37" s="275">
        <f t="shared" ca="1" si="51"/>
        <v>0</v>
      </c>
      <c r="CI37" s="275">
        <f t="shared" ca="1" si="52"/>
        <v>0</v>
      </c>
      <c r="CJ37" s="275">
        <f t="shared" ca="1" si="87"/>
        <v>0</v>
      </c>
      <c r="CK37" s="275">
        <f t="shared" ca="1" si="88"/>
        <v>0</v>
      </c>
      <c r="CL37" s="275">
        <f t="shared" ca="1" si="53"/>
        <v>0</v>
      </c>
      <c r="CM37" s="275">
        <f t="shared" ca="1" si="54"/>
        <v>0</v>
      </c>
      <c r="CN37" s="275">
        <f t="shared" ca="1" si="55"/>
        <v>0</v>
      </c>
      <c r="CO37" s="275">
        <f t="shared" ca="1" si="56"/>
        <v>0</v>
      </c>
      <c r="CP37" s="275">
        <f t="shared" ca="1" si="89"/>
        <v>0</v>
      </c>
      <c r="CQ37" s="275">
        <f t="shared" ca="1" si="90"/>
        <v>0</v>
      </c>
      <c r="CR37" s="275">
        <f t="shared" ca="1" si="91"/>
        <v>0</v>
      </c>
      <c r="CS37" s="275">
        <f t="shared" ca="1" si="92"/>
        <v>0</v>
      </c>
      <c r="CT37" s="275">
        <f t="shared" ca="1" si="57"/>
        <v>0</v>
      </c>
      <c r="CU37" s="275">
        <f t="shared" ca="1" si="58"/>
        <v>0</v>
      </c>
      <c r="CV37" s="275">
        <f t="shared" ca="1" si="59"/>
        <v>0</v>
      </c>
      <c r="CW37" s="275">
        <f t="shared" ca="1" si="60"/>
        <v>0</v>
      </c>
      <c r="CX37" s="275">
        <f t="shared" ca="1" si="93"/>
        <v>0</v>
      </c>
      <c r="CY37" s="275">
        <f t="shared" ca="1" si="94"/>
        <v>0</v>
      </c>
      <c r="CZ37" s="275">
        <f t="shared" ca="1" si="95"/>
        <v>0</v>
      </c>
      <c r="DA37" s="275">
        <f t="shared" ca="1" si="96"/>
        <v>0</v>
      </c>
    </row>
    <row r="38" spans="1:105" s="272" customFormat="1" ht="15" customHeight="1">
      <c r="A38" s="63">
        <f t="array" aca="1" ref="A38" ca="1">IF(C38&lt;&gt;0,SUM(($C$11:C38&lt;&gt;0)*1),"")</f>
        <v>28</v>
      </c>
      <c r="B38" s="273" t="str">
        <f ca="1">IF(ROWS($1:28)&gt;COUNT(Dong6),"",OFFSET(TH!C$1,SMALL(Dong6,ROWS($1:28)),))</f>
        <v/>
      </c>
      <c r="C38" s="273" t="str">
        <f ca="1">IF(ROWS($1:28)&gt;COUNT(Dong6),"",OFFSET(TH!D$1,SMALL(Dong6,ROWS($1:28)),))</f>
        <v/>
      </c>
      <c r="D38" s="273" t="str">
        <f ca="1">IF(ROWS($1:28)&gt;COUNT(Dong6),"",OFFSET(TH!E$1,SMALL(Dong6,ROWS($1:28)),))</f>
        <v/>
      </c>
      <c r="E38" s="323" t="str">
        <f ca="1">IF(ROWS($1:28)&gt;COUNT(Dong6),"",OFFSET(TH!F$1,SMALL(Dong6,ROWS($1:28)),))</f>
        <v/>
      </c>
      <c r="F38" s="324" t="str">
        <f ca="1">IF(ROWS($1:28)&gt;COUNT(Dong6),"",OFFSET(TH!M$1,SMALL(Dong6,ROWS($1:28)),))</f>
        <v/>
      </c>
      <c r="G38" s="325" t="str">
        <f ca="1">IF(ROWS($1:28)&gt;COUNT(Dong6),"",OFFSET(TH!N$1,SMALL(Dong6,ROWS($1:28)),))</f>
        <v/>
      </c>
      <c r="H38" s="325" t="str">
        <f ca="1">IF(ROWS($1:28)&gt;COUNT(Dong6),"",OFFSET(TH!O$1,SMALL(Dong6,ROWS($1:28)),))</f>
        <v/>
      </c>
      <c r="I38" s="63">
        <f ca="1">A38</f>
        <v>28</v>
      </c>
      <c r="J38" s="275">
        <f t="shared" ca="1" si="61"/>
        <v>0</v>
      </c>
      <c r="K38" s="275">
        <f t="shared" ca="1" si="62"/>
        <v>0</v>
      </c>
      <c r="L38" s="275">
        <f t="shared" ca="1" si="1"/>
        <v>0</v>
      </c>
      <c r="M38" s="275">
        <f t="shared" ca="1" si="2"/>
        <v>0</v>
      </c>
      <c r="N38" s="275">
        <f t="shared" ca="1" si="3"/>
        <v>0</v>
      </c>
      <c r="O38" s="275">
        <f t="shared" ca="1" si="4"/>
        <v>0</v>
      </c>
      <c r="P38" s="275">
        <f t="shared" ca="1" si="5"/>
        <v>0</v>
      </c>
      <c r="Q38" s="275">
        <f t="shared" ca="1" si="6"/>
        <v>0</v>
      </c>
      <c r="R38" s="275">
        <f t="shared" ca="1" si="7"/>
        <v>0</v>
      </c>
      <c r="S38" s="275">
        <f t="shared" ca="1" si="8"/>
        <v>0</v>
      </c>
      <c r="T38" s="275">
        <f t="shared" ca="1" si="9"/>
        <v>0</v>
      </c>
      <c r="U38" s="275">
        <f t="shared" ca="1" si="10"/>
        <v>0</v>
      </c>
      <c r="V38" s="275">
        <f t="shared" ca="1" si="11"/>
        <v>0</v>
      </c>
      <c r="W38" s="275">
        <f t="shared" ca="1" si="12"/>
        <v>0</v>
      </c>
      <c r="X38" s="275">
        <f t="shared" ca="1" si="13"/>
        <v>0</v>
      </c>
      <c r="Y38" s="275">
        <f t="shared" ca="1" si="14"/>
        <v>0</v>
      </c>
      <c r="Z38" s="275">
        <f t="shared" ca="1" si="15"/>
        <v>0</v>
      </c>
      <c r="AA38" s="275">
        <f t="shared" ca="1" si="16"/>
        <v>0</v>
      </c>
      <c r="AB38" s="275">
        <f t="shared" ca="1" si="63"/>
        <v>0</v>
      </c>
      <c r="AC38" s="275">
        <f t="shared" ca="1" si="64"/>
        <v>0</v>
      </c>
      <c r="AD38" s="275">
        <f t="shared" ca="1" si="17"/>
        <v>0</v>
      </c>
      <c r="AE38" s="275">
        <f t="shared" ca="1" si="18"/>
        <v>0</v>
      </c>
      <c r="AF38" s="275">
        <f t="shared" ca="1" si="19"/>
        <v>0</v>
      </c>
      <c r="AG38" s="275">
        <f t="shared" ca="1" si="20"/>
        <v>0</v>
      </c>
      <c r="AH38" s="275">
        <f t="shared" ca="1" si="65"/>
        <v>0</v>
      </c>
      <c r="AI38" s="275">
        <f t="shared" ca="1" si="66"/>
        <v>0</v>
      </c>
      <c r="AJ38" s="275">
        <f t="shared" ca="1" si="67"/>
        <v>0</v>
      </c>
      <c r="AK38" s="275">
        <f t="shared" ca="1" si="68"/>
        <v>0</v>
      </c>
      <c r="AL38" s="275">
        <f t="shared" ca="1" si="69"/>
        <v>0</v>
      </c>
      <c r="AM38" s="275">
        <f t="shared" ca="1" si="70"/>
        <v>0</v>
      </c>
      <c r="AN38" s="275">
        <f t="shared" ca="1" si="71"/>
        <v>0</v>
      </c>
      <c r="AO38" s="275">
        <f t="shared" ca="1" si="72"/>
        <v>0</v>
      </c>
      <c r="AP38" s="275">
        <f t="shared" ca="1" si="21"/>
        <v>0</v>
      </c>
      <c r="AQ38" s="275">
        <f t="shared" ca="1" si="22"/>
        <v>0</v>
      </c>
      <c r="AR38" s="275">
        <f t="shared" ca="1" si="23"/>
        <v>0</v>
      </c>
      <c r="AS38" s="275">
        <f t="shared" ca="1" si="24"/>
        <v>0</v>
      </c>
      <c r="AT38" s="275">
        <f t="shared" ca="1" si="73"/>
        <v>0</v>
      </c>
      <c r="AU38" s="275">
        <f t="shared" ca="1" si="74"/>
        <v>0</v>
      </c>
      <c r="AV38" s="275">
        <f t="shared" ca="1" si="25"/>
        <v>0</v>
      </c>
      <c r="AW38" s="275">
        <f t="shared" ca="1" si="26"/>
        <v>0</v>
      </c>
      <c r="AX38" s="275">
        <f t="shared" ca="1" si="27"/>
        <v>0</v>
      </c>
      <c r="AY38" s="275">
        <f t="shared" ca="1" si="28"/>
        <v>0</v>
      </c>
      <c r="AZ38" s="275">
        <f t="shared" ca="1" si="29"/>
        <v>0</v>
      </c>
      <c r="BA38" s="275">
        <f t="shared" ca="1" si="30"/>
        <v>0</v>
      </c>
      <c r="BB38" s="275">
        <f t="shared" ca="1" si="31"/>
        <v>0</v>
      </c>
      <c r="BC38" s="275">
        <f t="shared" ca="1" si="32"/>
        <v>0</v>
      </c>
      <c r="BD38" s="275">
        <f t="shared" ca="1" si="33"/>
        <v>0</v>
      </c>
      <c r="BE38" s="275">
        <f t="shared" ca="1" si="34"/>
        <v>0</v>
      </c>
      <c r="BF38" s="275">
        <f t="shared" ca="1" si="35"/>
        <v>0</v>
      </c>
      <c r="BG38" s="275">
        <f t="shared" ca="1" si="36"/>
        <v>0</v>
      </c>
      <c r="BH38" s="275">
        <f t="shared" ca="1" si="75"/>
        <v>0</v>
      </c>
      <c r="BI38" s="275">
        <f t="shared" ca="1" si="76"/>
        <v>0</v>
      </c>
      <c r="BJ38" s="275">
        <f t="shared" ca="1" si="37"/>
        <v>0</v>
      </c>
      <c r="BK38" s="275">
        <f t="shared" ca="1" si="38"/>
        <v>0</v>
      </c>
      <c r="BL38" s="275">
        <f t="shared" ca="1" si="39"/>
        <v>0</v>
      </c>
      <c r="BM38" s="275">
        <f t="shared" ca="1" si="40"/>
        <v>0</v>
      </c>
      <c r="BN38" s="275">
        <f t="shared" ca="1" si="41"/>
        <v>0</v>
      </c>
      <c r="BO38" s="275">
        <f t="shared" ca="1" si="42"/>
        <v>0</v>
      </c>
      <c r="BP38" s="275">
        <f t="shared" ca="1" si="77"/>
        <v>0</v>
      </c>
      <c r="BQ38" s="275">
        <f t="shared" ca="1" si="78"/>
        <v>0</v>
      </c>
      <c r="BR38" s="275">
        <f t="shared" ca="1" si="43"/>
        <v>0</v>
      </c>
      <c r="BS38" s="275">
        <f t="shared" ca="1" si="44"/>
        <v>0</v>
      </c>
      <c r="BT38" s="275">
        <f t="shared" ca="1" si="79"/>
        <v>0</v>
      </c>
      <c r="BU38" s="275">
        <f t="shared" ca="1" si="80"/>
        <v>0</v>
      </c>
      <c r="BV38" s="275">
        <f t="shared" ca="1" si="81"/>
        <v>0</v>
      </c>
      <c r="BW38" s="275">
        <f t="shared" ca="1" si="82"/>
        <v>0</v>
      </c>
      <c r="BX38" s="275">
        <f t="shared" ca="1" si="45"/>
        <v>0</v>
      </c>
      <c r="BY38" s="275">
        <f t="shared" ca="1" si="46"/>
        <v>0</v>
      </c>
      <c r="BZ38" s="275">
        <f t="shared" ca="1" si="47"/>
        <v>0</v>
      </c>
      <c r="CA38" s="275">
        <f t="shared" ca="1" si="48"/>
        <v>0</v>
      </c>
      <c r="CB38" s="275">
        <f t="shared" ca="1" si="49"/>
        <v>0</v>
      </c>
      <c r="CC38" s="275">
        <f t="shared" ca="1" si="50"/>
        <v>0</v>
      </c>
      <c r="CD38" s="275">
        <f t="shared" ca="1" si="83"/>
        <v>0</v>
      </c>
      <c r="CE38" s="275">
        <f t="shared" ca="1" si="84"/>
        <v>0</v>
      </c>
      <c r="CF38" s="275">
        <f t="shared" ca="1" si="85"/>
        <v>0</v>
      </c>
      <c r="CG38" s="275">
        <f t="shared" ca="1" si="86"/>
        <v>0</v>
      </c>
      <c r="CH38" s="275">
        <f t="shared" ca="1" si="51"/>
        <v>0</v>
      </c>
      <c r="CI38" s="275">
        <f t="shared" ca="1" si="52"/>
        <v>0</v>
      </c>
      <c r="CJ38" s="275">
        <f t="shared" ca="1" si="87"/>
        <v>0</v>
      </c>
      <c r="CK38" s="275">
        <f t="shared" ca="1" si="88"/>
        <v>0</v>
      </c>
      <c r="CL38" s="275">
        <f t="shared" ca="1" si="53"/>
        <v>0</v>
      </c>
      <c r="CM38" s="275">
        <f t="shared" ca="1" si="54"/>
        <v>0</v>
      </c>
      <c r="CN38" s="275">
        <f t="shared" ca="1" si="55"/>
        <v>0</v>
      </c>
      <c r="CO38" s="275">
        <f t="shared" ca="1" si="56"/>
        <v>0</v>
      </c>
      <c r="CP38" s="275">
        <f t="shared" ca="1" si="89"/>
        <v>0</v>
      </c>
      <c r="CQ38" s="275">
        <f t="shared" ca="1" si="90"/>
        <v>0</v>
      </c>
      <c r="CR38" s="275">
        <f t="shared" ca="1" si="91"/>
        <v>0</v>
      </c>
      <c r="CS38" s="275">
        <f t="shared" ca="1" si="92"/>
        <v>0</v>
      </c>
      <c r="CT38" s="275">
        <f t="shared" ca="1" si="57"/>
        <v>0</v>
      </c>
      <c r="CU38" s="275">
        <f t="shared" ca="1" si="58"/>
        <v>0</v>
      </c>
      <c r="CV38" s="275">
        <f t="shared" ca="1" si="59"/>
        <v>0</v>
      </c>
      <c r="CW38" s="275">
        <f t="shared" ca="1" si="60"/>
        <v>0</v>
      </c>
      <c r="CX38" s="275">
        <f t="shared" ca="1" si="93"/>
        <v>0</v>
      </c>
      <c r="CY38" s="275">
        <f t="shared" ca="1" si="94"/>
        <v>0</v>
      </c>
      <c r="CZ38" s="275">
        <f t="shared" ca="1" si="95"/>
        <v>0</v>
      </c>
      <c r="DA38" s="275">
        <f t="shared" ca="1" si="96"/>
        <v>0</v>
      </c>
    </row>
    <row r="39" spans="1:105" s="272" customFormat="1" ht="15" customHeight="1">
      <c r="A39" s="63">
        <f t="array" aca="1" ref="A39" ca="1">IF(C39&lt;&gt;0,SUM(($C$11:C39&lt;&gt;0)*1),"")</f>
        <v>29</v>
      </c>
      <c r="B39" s="273">
        <v>42460</v>
      </c>
      <c r="C39" s="276" t="s">
        <v>115</v>
      </c>
      <c r="D39" s="276">
        <f t="shared" ref="D39:D44" si="97">B39</f>
        <v>42460</v>
      </c>
      <c r="E39" s="960" t="s">
        <v>213</v>
      </c>
      <c r="F39" s="961">
        <f>[2]CDPS!D59</f>
        <v>107861885.00000048</v>
      </c>
      <c r="G39" s="962" t="s">
        <v>94</v>
      </c>
      <c r="H39" s="962" t="s">
        <v>92</v>
      </c>
      <c r="I39" s="63">
        <f t="shared" ref="I39:I50" ca="1" si="98">A39</f>
        <v>29</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ref="AT39:AT51" si="99">IF($G39="2412",$F39,0)</f>
        <v>0</v>
      </c>
      <c r="AU39" s="275">
        <f t="shared" ref="AU39:AU51" si="100">IF($H39="2412",$F39,0)</f>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ref="BV39:BV51" si="101">IF($G39="3412",$F39,0)</f>
        <v>0</v>
      </c>
      <c r="BW39" s="275">
        <f t="shared" ref="BW39:BW51" si="102">IF($H39="3412",$F39,0)</f>
        <v>0</v>
      </c>
      <c r="BX39" s="275">
        <f t="shared" si="45"/>
        <v>0</v>
      </c>
      <c r="BY39" s="275">
        <f t="shared" si="46"/>
        <v>0</v>
      </c>
      <c r="BZ39" s="275">
        <f t="shared" si="47"/>
        <v>0</v>
      </c>
      <c r="CA39" s="275">
        <f t="shared" si="48"/>
        <v>107861885.00000048</v>
      </c>
      <c r="CB39" s="275">
        <f t="shared" si="49"/>
        <v>107861885.00000048</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5" customHeight="1">
      <c r="A40" s="63">
        <f t="array" aca="1" ref="A40" ca="1">IF(C40&lt;&gt;0,SUM(($C$11:C40&lt;&gt;0)*1),"")</f>
        <v>30</v>
      </c>
      <c r="B40" s="273">
        <v>42460</v>
      </c>
      <c r="C40" s="276" t="s">
        <v>115</v>
      </c>
      <c r="D40" s="276">
        <f t="shared" si="97"/>
        <v>42460</v>
      </c>
      <c r="E40" s="960" t="s">
        <v>923</v>
      </c>
      <c r="F40" s="961">
        <f ca="1">AY52</f>
        <v>0</v>
      </c>
      <c r="G40" s="962" t="s">
        <v>928</v>
      </c>
      <c r="H40" s="962" t="s">
        <v>9</v>
      </c>
      <c r="I40" s="63">
        <f t="shared" ca="1" si="98"/>
        <v>30</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99"/>
        <v>0</v>
      </c>
      <c r="AU40" s="275">
        <f t="shared" si="100"/>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101"/>
        <v>0</v>
      </c>
      <c r="BW40" s="275">
        <f t="shared" si="10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5" customHeight="1">
      <c r="A41" s="63">
        <f t="array" aca="1" ref="A41" ca="1">IF(C41&lt;&gt;0,SUM(($C$11:C41&lt;&gt;0)*1),"")</f>
        <v>31</v>
      </c>
      <c r="B41" s="273">
        <v>42460</v>
      </c>
      <c r="C41" s="276" t="s">
        <v>115</v>
      </c>
      <c r="D41" s="276">
        <f t="shared" si="97"/>
        <v>42460</v>
      </c>
      <c r="E41" s="960" t="s">
        <v>924</v>
      </c>
      <c r="F41" s="961">
        <f ca="1">CL52</f>
        <v>0</v>
      </c>
      <c r="G41" s="962" t="s">
        <v>109</v>
      </c>
      <c r="H41" s="962" t="s">
        <v>294</v>
      </c>
      <c r="I41" s="63">
        <f t="shared" ca="1" si="98"/>
        <v>31</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99"/>
        <v>0</v>
      </c>
      <c r="AU41" s="275">
        <f t="shared" si="100"/>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101"/>
        <v>0</v>
      </c>
      <c r="BW41" s="275">
        <f t="shared" si="10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5" customHeight="1">
      <c r="A42" s="63">
        <f t="array" aca="1" ref="A42" ca="1">IF(C42&lt;&gt;0,SUM(($C$11:C42&lt;&gt;0)*1),"")</f>
        <v>32</v>
      </c>
      <c r="B42" s="273">
        <v>42460</v>
      </c>
      <c r="C42" s="276" t="s">
        <v>115</v>
      </c>
      <c r="D42" s="276">
        <f t="shared" si="97"/>
        <v>42460</v>
      </c>
      <c r="E42" s="960" t="s">
        <v>116</v>
      </c>
      <c r="F42" s="961">
        <f ca="1">CN52</f>
        <v>0</v>
      </c>
      <c r="G42" s="962" t="s">
        <v>109</v>
      </c>
      <c r="H42" s="962" t="s">
        <v>99</v>
      </c>
      <c r="I42" s="63">
        <f t="shared" ca="1" si="98"/>
        <v>32</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99"/>
        <v>0</v>
      </c>
      <c r="AU42" s="275">
        <f t="shared" si="100"/>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101"/>
        <v>0</v>
      </c>
      <c r="BW42" s="275">
        <f t="shared" si="10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5" customHeight="1">
      <c r="A43" s="63">
        <f t="array" aca="1" ref="A43" ca="1">IF(C43&lt;&gt;0,SUM(($C$11:C43&lt;&gt;0)*1),"")</f>
        <v>33</v>
      </c>
      <c r="B43" s="273">
        <v>42460</v>
      </c>
      <c r="C43" s="276" t="s">
        <v>115</v>
      </c>
      <c r="D43" s="276">
        <f t="shared" si="97"/>
        <v>42460</v>
      </c>
      <c r="E43" s="960" t="s">
        <v>925</v>
      </c>
      <c r="F43" s="961">
        <f ca="1">CP52</f>
        <v>0</v>
      </c>
      <c r="G43" s="962" t="s">
        <v>109</v>
      </c>
      <c r="H43" s="962" t="s">
        <v>588</v>
      </c>
      <c r="I43" s="63">
        <f t="shared" ca="1" si="98"/>
        <v>33</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99"/>
        <v>0</v>
      </c>
      <c r="AU43" s="275">
        <f t="shared" si="100"/>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101"/>
        <v>0</v>
      </c>
      <c r="BW43" s="275">
        <f t="shared" si="10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5" customHeight="1">
      <c r="A44" s="63">
        <f t="array" aca="1" ref="A44" ca="1">IF(C44&lt;&gt;0,SUM(($C$11:C44&lt;&gt;0)*1),"")</f>
        <v>34</v>
      </c>
      <c r="B44" s="273">
        <v>42460</v>
      </c>
      <c r="C44" s="276" t="s">
        <v>115</v>
      </c>
      <c r="D44" s="276">
        <f t="shared" si="97"/>
        <v>42460</v>
      </c>
      <c r="E44" s="960" t="s">
        <v>117</v>
      </c>
      <c r="F44" s="961">
        <f ca="1">CR52</f>
        <v>0</v>
      </c>
      <c r="G44" s="962" t="s">
        <v>109</v>
      </c>
      <c r="H44" s="962" t="s">
        <v>101</v>
      </c>
      <c r="I44" s="63">
        <f t="shared" ca="1" si="98"/>
        <v>34</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99"/>
        <v>0</v>
      </c>
      <c r="AU44" s="275">
        <f t="shared" si="100"/>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101"/>
        <v>0</v>
      </c>
      <c r="BW44" s="275">
        <f t="shared" si="10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5" customHeight="1">
      <c r="A45" s="63">
        <f t="array" aca="1" ref="A45" ca="1">IF(C45&lt;&gt;0,SUM(($C$11:C45&lt;&gt;0)*1),"")</f>
        <v>35</v>
      </c>
      <c r="B45" s="273">
        <v>42460</v>
      </c>
      <c r="C45" s="276" t="s">
        <v>115</v>
      </c>
      <c r="D45" s="276">
        <f t="shared" ref="D45:D50" si="103">B45</f>
        <v>42460</v>
      </c>
      <c r="E45" s="960" t="s">
        <v>214</v>
      </c>
      <c r="F45" s="961"/>
      <c r="G45" s="962" t="s">
        <v>109</v>
      </c>
      <c r="H45" s="962" t="s">
        <v>94</v>
      </c>
      <c r="I45" s="63">
        <f t="shared" ca="1" si="98"/>
        <v>35</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99"/>
        <v>0</v>
      </c>
      <c r="AU45" s="275">
        <f t="shared" si="100"/>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101"/>
        <v>0</v>
      </c>
      <c r="BW45" s="275">
        <f t="shared" si="10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5" customHeight="1">
      <c r="A46" s="63">
        <f t="array" aca="1" ref="A46" ca="1">IF(C46&lt;&gt;0,SUM(($C$11:C46&lt;&gt;0)*1),"")</f>
        <v>36</v>
      </c>
      <c r="B46" s="273">
        <v>42460</v>
      </c>
      <c r="C46" s="276" t="s">
        <v>115</v>
      </c>
      <c r="D46" s="276">
        <f t="shared" si="103"/>
        <v>42460</v>
      </c>
      <c r="E46" s="960" t="s">
        <v>118</v>
      </c>
      <c r="F46" s="961">
        <f ca="1">CI52</f>
        <v>0</v>
      </c>
      <c r="G46" s="962" t="s">
        <v>43</v>
      </c>
      <c r="H46" s="962" t="s">
        <v>109</v>
      </c>
      <c r="I46" s="63">
        <f t="shared" ca="1" si="98"/>
        <v>36</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99"/>
        <v>0</v>
      </c>
      <c r="AU46" s="275">
        <f t="shared" si="100"/>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101"/>
        <v>0</v>
      </c>
      <c r="BW46" s="275">
        <f t="shared" si="10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5" customHeight="1">
      <c r="A47" s="63">
        <f t="array" aca="1" ref="A47" ca="1">IF(C47&lt;&gt;0,SUM(($C$11:C47&lt;&gt;0)*1),"")</f>
        <v>37</v>
      </c>
      <c r="B47" s="273">
        <v>42460</v>
      </c>
      <c r="C47" s="276" t="s">
        <v>115</v>
      </c>
      <c r="D47" s="276">
        <f t="shared" si="103"/>
        <v>42460</v>
      </c>
      <c r="E47" s="960" t="s">
        <v>926</v>
      </c>
      <c r="F47" s="961">
        <f ca="1">CE52</f>
        <v>0</v>
      </c>
      <c r="G47" s="962" t="s">
        <v>296</v>
      </c>
      <c r="H47" s="962" t="s">
        <v>109</v>
      </c>
      <c r="I47" s="63">
        <f t="shared" ca="1" si="98"/>
        <v>37</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99"/>
        <v>0</v>
      </c>
      <c r="AU47" s="275">
        <f t="shared" si="100"/>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101"/>
        <v>0</v>
      </c>
      <c r="BW47" s="275">
        <f t="shared" si="10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5" customHeight="1">
      <c r="A48" s="63">
        <f t="array" aca="1" ref="A48" ca="1">IF(C48&lt;&gt;0,SUM(($C$11:C48&lt;&gt;0)*1),"")</f>
        <v>38</v>
      </c>
      <c r="B48" s="273">
        <v>42460</v>
      </c>
      <c r="C48" s="276" t="s">
        <v>115</v>
      </c>
      <c r="D48" s="276">
        <f t="shared" si="103"/>
        <v>42460</v>
      </c>
      <c r="E48" s="960" t="s">
        <v>927</v>
      </c>
      <c r="F48" s="961">
        <f ca="1">CG52</f>
        <v>0</v>
      </c>
      <c r="G48" s="962" t="s">
        <v>298</v>
      </c>
      <c r="H48" s="962" t="s">
        <v>109</v>
      </c>
      <c r="I48" s="63">
        <f t="shared" ca="1" si="98"/>
        <v>38</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99"/>
        <v>0</v>
      </c>
      <c r="AU48" s="275">
        <f t="shared" si="100"/>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101"/>
        <v>0</v>
      </c>
      <c r="BW48" s="275">
        <f t="shared" si="10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5" customHeight="1">
      <c r="A49" s="63">
        <f t="array" aca="1" ref="A49" ca="1">IF(C49&lt;&gt;0,SUM(($C$11:C49&lt;&gt;0)*1),"")</f>
        <v>39</v>
      </c>
      <c r="B49" s="273">
        <v>42460</v>
      </c>
      <c r="C49" s="276" t="s">
        <v>115</v>
      </c>
      <c r="D49" s="276">
        <f t="shared" si="103"/>
        <v>42460</v>
      </c>
      <c r="E49" s="960" t="s">
        <v>119</v>
      </c>
      <c r="F49" s="961">
        <f ca="1">CU52</f>
        <v>0</v>
      </c>
      <c r="G49" s="962" t="s">
        <v>103</v>
      </c>
      <c r="H49" s="962" t="s">
        <v>109</v>
      </c>
      <c r="I49" s="63">
        <f t="shared" ca="1" si="98"/>
        <v>39</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99"/>
        <v>0</v>
      </c>
      <c r="AU49" s="275">
        <f t="shared" si="100"/>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101"/>
        <v>0</v>
      </c>
      <c r="BW49" s="275">
        <f t="shared" si="10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5" customHeight="1">
      <c r="A50" s="63">
        <f t="array" aca="1" ref="A50" ca="1">IF(C50&lt;&gt;0,SUM(($C$11:C50&lt;&gt;0)*1),"")</f>
        <v>40</v>
      </c>
      <c r="B50" s="273">
        <v>42460</v>
      </c>
      <c r="C50" s="276" t="s">
        <v>115</v>
      </c>
      <c r="D50" s="276">
        <f t="shared" si="103"/>
        <v>42460</v>
      </c>
      <c r="E50" s="960" t="s">
        <v>120</v>
      </c>
      <c r="F50" s="961">
        <f ca="1">CV52</f>
        <v>0</v>
      </c>
      <c r="G50" s="962" t="s">
        <v>109</v>
      </c>
      <c r="H50" s="962" t="s">
        <v>105</v>
      </c>
      <c r="I50" s="63">
        <f t="shared" ca="1" si="98"/>
        <v>40</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99"/>
        <v>0</v>
      </c>
      <c r="AU50" s="275">
        <f t="shared" si="100"/>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101"/>
        <v>0</v>
      </c>
      <c r="BW50" s="275">
        <f t="shared" si="10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5" customHeight="1">
      <c r="A51" s="63" t="str">
        <f t="array" ref="A51">IF(C51&lt;&gt;0,SUM(($C$11:C51&lt;&gt;0)*1),"")</f>
        <v/>
      </c>
      <c r="B51" s="239"/>
      <c r="C51" s="277"/>
      <c r="D51" s="239"/>
      <c r="E51" s="274"/>
      <c r="F51" s="65"/>
      <c r="G51" s="278"/>
      <c r="H51" s="278"/>
      <c r="I51" s="63" t="str">
        <f>A51</f>
        <v/>
      </c>
      <c r="J51" s="275">
        <f t="shared" si="61"/>
        <v>0</v>
      </c>
      <c r="K51" s="275">
        <f t="shared" si="62"/>
        <v>0</v>
      </c>
      <c r="L51" s="275">
        <f t="shared" si="1"/>
        <v>0</v>
      </c>
      <c r="M51" s="275">
        <f t="shared" si="2"/>
        <v>0</v>
      </c>
      <c r="N51" s="275">
        <f t="shared" si="3"/>
        <v>0</v>
      </c>
      <c r="O51" s="275">
        <f t="shared" si="4"/>
        <v>0</v>
      </c>
      <c r="P51" s="275">
        <f t="shared" si="5"/>
        <v>0</v>
      </c>
      <c r="Q51" s="275">
        <f t="shared" si="6"/>
        <v>0</v>
      </c>
      <c r="R51" s="275">
        <f t="shared" si="7"/>
        <v>0</v>
      </c>
      <c r="S51" s="275">
        <f t="shared" si="8"/>
        <v>0</v>
      </c>
      <c r="T51" s="275">
        <f t="shared" si="9"/>
        <v>0</v>
      </c>
      <c r="U51" s="275">
        <f t="shared" si="10"/>
        <v>0</v>
      </c>
      <c r="V51" s="275">
        <f t="shared" si="11"/>
        <v>0</v>
      </c>
      <c r="W51" s="275">
        <f t="shared" si="12"/>
        <v>0</v>
      </c>
      <c r="X51" s="275">
        <f t="shared" si="13"/>
        <v>0</v>
      </c>
      <c r="Y51" s="275">
        <f t="shared" si="14"/>
        <v>0</v>
      </c>
      <c r="Z51" s="275">
        <f t="shared" si="15"/>
        <v>0</v>
      </c>
      <c r="AA51" s="275">
        <f t="shared" si="16"/>
        <v>0</v>
      </c>
      <c r="AB51" s="275">
        <f t="shared" si="63"/>
        <v>0</v>
      </c>
      <c r="AC51" s="275">
        <f t="shared" si="64"/>
        <v>0</v>
      </c>
      <c r="AD51" s="275">
        <f t="shared" si="17"/>
        <v>0</v>
      </c>
      <c r="AE51" s="275">
        <f t="shared" si="18"/>
        <v>0</v>
      </c>
      <c r="AF51" s="275">
        <f t="shared" si="19"/>
        <v>0</v>
      </c>
      <c r="AG51" s="275">
        <f t="shared" si="20"/>
        <v>0</v>
      </c>
      <c r="AH51" s="275">
        <f t="shared" si="65"/>
        <v>0</v>
      </c>
      <c r="AI51" s="275">
        <f t="shared" si="66"/>
        <v>0</v>
      </c>
      <c r="AJ51" s="275">
        <f t="shared" si="67"/>
        <v>0</v>
      </c>
      <c r="AK51" s="275">
        <f t="shared" si="68"/>
        <v>0</v>
      </c>
      <c r="AL51" s="275">
        <f t="shared" si="69"/>
        <v>0</v>
      </c>
      <c r="AM51" s="275">
        <f t="shared" si="70"/>
        <v>0</v>
      </c>
      <c r="AN51" s="275">
        <f t="shared" si="71"/>
        <v>0</v>
      </c>
      <c r="AO51" s="275">
        <f t="shared" si="72"/>
        <v>0</v>
      </c>
      <c r="AP51" s="275">
        <f t="shared" si="21"/>
        <v>0</v>
      </c>
      <c r="AQ51" s="275">
        <f t="shared" si="22"/>
        <v>0</v>
      </c>
      <c r="AR51" s="275">
        <f t="shared" si="23"/>
        <v>0</v>
      </c>
      <c r="AS51" s="275">
        <f t="shared" si="24"/>
        <v>0</v>
      </c>
      <c r="AT51" s="275">
        <f t="shared" si="99"/>
        <v>0</v>
      </c>
      <c r="AU51" s="275">
        <f t="shared" si="100"/>
        <v>0</v>
      </c>
      <c r="AV51" s="275">
        <f t="shared" si="25"/>
        <v>0</v>
      </c>
      <c r="AW51" s="275">
        <f t="shared" si="26"/>
        <v>0</v>
      </c>
      <c r="AX51" s="275">
        <f t="shared" si="27"/>
        <v>0</v>
      </c>
      <c r="AY51" s="275">
        <f t="shared" si="28"/>
        <v>0</v>
      </c>
      <c r="AZ51" s="275">
        <f t="shared" si="29"/>
        <v>0</v>
      </c>
      <c r="BA51" s="275">
        <f t="shared" si="30"/>
        <v>0</v>
      </c>
      <c r="BB51" s="275">
        <f t="shared" si="31"/>
        <v>0</v>
      </c>
      <c r="BC51" s="275">
        <f t="shared" si="32"/>
        <v>0</v>
      </c>
      <c r="BD51" s="275">
        <f t="shared" si="33"/>
        <v>0</v>
      </c>
      <c r="BE51" s="275">
        <f t="shared" si="34"/>
        <v>0</v>
      </c>
      <c r="BF51" s="275">
        <f t="shared" si="35"/>
        <v>0</v>
      </c>
      <c r="BG51" s="275">
        <f t="shared" si="36"/>
        <v>0</v>
      </c>
      <c r="BH51" s="275">
        <f t="shared" si="75"/>
        <v>0</v>
      </c>
      <c r="BI51" s="275">
        <f t="shared" si="76"/>
        <v>0</v>
      </c>
      <c r="BJ51" s="275">
        <f t="shared" si="37"/>
        <v>0</v>
      </c>
      <c r="BK51" s="275">
        <f t="shared" si="38"/>
        <v>0</v>
      </c>
      <c r="BL51" s="275">
        <f t="shared" si="39"/>
        <v>0</v>
      </c>
      <c r="BM51" s="275">
        <f t="shared" si="40"/>
        <v>0</v>
      </c>
      <c r="BN51" s="275">
        <f t="shared" si="41"/>
        <v>0</v>
      </c>
      <c r="BO51" s="275">
        <f t="shared" si="42"/>
        <v>0</v>
      </c>
      <c r="BP51" s="275">
        <f t="shared" si="77"/>
        <v>0</v>
      </c>
      <c r="BQ51" s="275">
        <f t="shared" si="78"/>
        <v>0</v>
      </c>
      <c r="BR51" s="275">
        <f t="shared" si="43"/>
        <v>0</v>
      </c>
      <c r="BS51" s="275">
        <f t="shared" si="44"/>
        <v>0</v>
      </c>
      <c r="BT51" s="275">
        <f t="shared" si="79"/>
        <v>0</v>
      </c>
      <c r="BU51" s="275">
        <f t="shared" si="80"/>
        <v>0</v>
      </c>
      <c r="BV51" s="275">
        <f t="shared" si="101"/>
        <v>0</v>
      </c>
      <c r="BW51" s="275">
        <f t="shared" si="102"/>
        <v>0</v>
      </c>
      <c r="BX51" s="275">
        <f t="shared" si="45"/>
        <v>0</v>
      </c>
      <c r="BY51" s="275">
        <f t="shared" si="46"/>
        <v>0</v>
      </c>
      <c r="BZ51" s="275">
        <f t="shared" si="47"/>
        <v>0</v>
      </c>
      <c r="CA51" s="275">
        <f t="shared" si="48"/>
        <v>0</v>
      </c>
      <c r="CB51" s="275">
        <f t="shared" si="49"/>
        <v>0</v>
      </c>
      <c r="CC51" s="275">
        <f t="shared" si="50"/>
        <v>0</v>
      </c>
      <c r="CD51" s="275">
        <f t="shared" si="83"/>
        <v>0</v>
      </c>
      <c r="CE51" s="275">
        <f t="shared" si="84"/>
        <v>0</v>
      </c>
      <c r="CF51" s="275">
        <f t="shared" si="85"/>
        <v>0</v>
      </c>
      <c r="CG51" s="275">
        <f t="shared" si="86"/>
        <v>0</v>
      </c>
      <c r="CH51" s="275">
        <f t="shared" si="51"/>
        <v>0</v>
      </c>
      <c r="CI51" s="275">
        <f t="shared" si="52"/>
        <v>0</v>
      </c>
      <c r="CJ51" s="275">
        <f t="shared" si="87"/>
        <v>0</v>
      </c>
      <c r="CK51" s="275">
        <f t="shared" si="88"/>
        <v>0</v>
      </c>
      <c r="CL51" s="275">
        <f t="shared" si="53"/>
        <v>0</v>
      </c>
      <c r="CM51" s="275">
        <f t="shared" si="54"/>
        <v>0</v>
      </c>
      <c r="CN51" s="275">
        <f t="shared" si="55"/>
        <v>0</v>
      </c>
      <c r="CO51" s="275">
        <f t="shared" si="56"/>
        <v>0</v>
      </c>
      <c r="CP51" s="275">
        <f t="shared" si="89"/>
        <v>0</v>
      </c>
      <c r="CQ51" s="275">
        <f t="shared" si="90"/>
        <v>0</v>
      </c>
      <c r="CR51" s="275">
        <f t="shared" si="91"/>
        <v>0</v>
      </c>
      <c r="CS51" s="275">
        <f t="shared" si="92"/>
        <v>0</v>
      </c>
      <c r="CT51" s="275">
        <f t="shared" si="57"/>
        <v>0</v>
      </c>
      <c r="CU51" s="275">
        <f t="shared" si="58"/>
        <v>0</v>
      </c>
      <c r="CV51" s="275">
        <f t="shared" si="59"/>
        <v>0</v>
      </c>
      <c r="CW51" s="275">
        <f t="shared" si="60"/>
        <v>0</v>
      </c>
      <c r="CX51" s="275">
        <f t="shared" si="93"/>
        <v>0</v>
      </c>
      <c r="CY51" s="275">
        <f t="shared" si="94"/>
        <v>0</v>
      </c>
      <c r="CZ51" s="275">
        <f t="shared" si="95"/>
        <v>0</v>
      </c>
      <c r="DA51" s="275">
        <f t="shared" si="96"/>
        <v>0</v>
      </c>
    </row>
    <row r="52" spans="1:105" s="272" customFormat="1" ht="15" customHeight="1">
      <c r="A52" s="63" t="str">
        <f t="array" ref="A52">IF(C52&lt;&gt;0,SUM(($C$11:C52&lt;&gt;0)*1),"")</f>
        <v/>
      </c>
      <c r="B52" s="279"/>
      <c r="C52" s="279"/>
      <c r="D52" s="279"/>
      <c r="E52" s="274" t="s">
        <v>174</v>
      </c>
      <c r="F52" s="279"/>
      <c r="G52" s="278"/>
      <c r="H52" s="278"/>
      <c r="I52" s="279"/>
      <c r="J52" s="275">
        <f t="shared" ref="J52:AO52" ca="1" si="104">SUM(J11:J51)</f>
        <v>0</v>
      </c>
      <c r="K52" s="275">
        <f t="shared" ca="1" si="104"/>
        <v>0</v>
      </c>
      <c r="L52" s="275">
        <f t="shared" ca="1" si="104"/>
        <v>0</v>
      </c>
      <c r="M52" s="275">
        <f t="shared" ca="1" si="104"/>
        <v>0</v>
      </c>
      <c r="N52" s="275">
        <f t="shared" ca="1" si="104"/>
        <v>0</v>
      </c>
      <c r="O52" s="275">
        <f t="shared" ca="1" si="104"/>
        <v>0</v>
      </c>
      <c r="P52" s="275">
        <f t="shared" ca="1" si="104"/>
        <v>0</v>
      </c>
      <c r="Q52" s="275">
        <f t="shared" ca="1" si="104"/>
        <v>0</v>
      </c>
      <c r="R52" s="275">
        <f t="shared" ca="1" si="104"/>
        <v>0</v>
      </c>
      <c r="S52" s="275">
        <f t="shared" ca="1" si="104"/>
        <v>0</v>
      </c>
      <c r="T52" s="275">
        <f t="shared" ca="1" si="104"/>
        <v>0</v>
      </c>
      <c r="U52" s="275">
        <f t="shared" ca="1" si="104"/>
        <v>0</v>
      </c>
      <c r="V52" s="275">
        <f t="shared" ca="1" si="104"/>
        <v>0</v>
      </c>
      <c r="W52" s="275">
        <f t="shared" ca="1" si="104"/>
        <v>0</v>
      </c>
      <c r="X52" s="275">
        <f t="shared" ca="1" si="104"/>
        <v>0</v>
      </c>
      <c r="Y52" s="275">
        <f t="shared" ca="1" si="104"/>
        <v>0</v>
      </c>
      <c r="Z52" s="275">
        <f t="shared" ca="1" si="104"/>
        <v>0</v>
      </c>
      <c r="AA52" s="275">
        <f t="shared" ca="1" si="104"/>
        <v>0</v>
      </c>
      <c r="AB52" s="275">
        <f t="shared" ca="1" si="104"/>
        <v>0</v>
      </c>
      <c r="AC52" s="275">
        <f t="shared" ca="1" si="104"/>
        <v>0</v>
      </c>
      <c r="AD52" s="275">
        <f t="shared" ca="1" si="104"/>
        <v>0</v>
      </c>
      <c r="AE52" s="275">
        <f t="shared" ca="1" si="104"/>
        <v>0</v>
      </c>
      <c r="AF52" s="275">
        <f t="shared" ca="1" si="104"/>
        <v>0</v>
      </c>
      <c r="AG52" s="275">
        <f t="shared" ca="1" si="104"/>
        <v>0</v>
      </c>
      <c r="AH52" s="275">
        <f t="shared" ca="1" si="104"/>
        <v>0</v>
      </c>
      <c r="AI52" s="275">
        <f t="shared" ca="1" si="104"/>
        <v>0</v>
      </c>
      <c r="AJ52" s="275">
        <f t="shared" ca="1" si="104"/>
        <v>0</v>
      </c>
      <c r="AK52" s="275">
        <f t="shared" ca="1" si="104"/>
        <v>0</v>
      </c>
      <c r="AL52" s="275">
        <f t="shared" ca="1" si="104"/>
        <v>0</v>
      </c>
      <c r="AM52" s="275">
        <f t="shared" ca="1" si="104"/>
        <v>0</v>
      </c>
      <c r="AN52" s="275">
        <f t="shared" ca="1" si="104"/>
        <v>0</v>
      </c>
      <c r="AO52" s="275">
        <f t="shared" ca="1" si="104"/>
        <v>0</v>
      </c>
      <c r="AP52" s="275">
        <f t="shared" ref="AP52:BU52" ca="1" si="105">SUM(AP11:AP51)</f>
        <v>0</v>
      </c>
      <c r="AQ52" s="275">
        <f t="shared" ca="1" si="105"/>
        <v>0</v>
      </c>
      <c r="AR52" s="275">
        <f t="shared" ca="1" si="105"/>
        <v>0</v>
      </c>
      <c r="AS52" s="275">
        <f t="shared" ca="1" si="105"/>
        <v>0</v>
      </c>
      <c r="AT52" s="275">
        <f t="shared" ca="1" si="105"/>
        <v>0</v>
      </c>
      <c r="AU52" s="275">
        <f t="shared" ca="1" si="105"/>
        <v>0</v>
      </c>
      <c r="AV52" s="275">
        <f t="shared" ca="1" si="105"/>
        <v>0</v>
      </c>
      <c r="AW52" s="275">
        <f t="shared" ca="1" si="105"/>
        <v>0</v>
      </c>
      <c r="AX52" s="275">
        <f t="shared" ca="1" si="105"/>
        <v>0</v>
      </c>
      <c r="AY52" s="275">
        <f t="shared" ca="1" si="105"/>
        <v>0</v>
      </c>
      <c r="AZ52" s="275">
        <f t="shared" ca="1" si="105"/>
        <v>0</v>
      </c>
      <c r="BA52" s="275">
        <f t="shared" ca="1" si="105"/>
        <v>0</v>
      </c>
      <c r="BB52" s="275">
        <f t="shared" ca="1" si="105"/>
        <v>0</v>
      </c>
      <c r="BC52" s="275">
        <f t="shared" ca="1" si="105"/>
        <v>0</v>
      </c>
      <c r="BD52" s="275">
        <f t="shared" ca="1" si="105"/>
        <v>0</v>
      </c>
      <c r="BE52" s="275">
        <f t="shared" ca="1" si="105"/>
        <v>0</v>
      </c>
      <c r="BF52" s="275">
        <f t="shared" ca="1" si="105"/>
        <v>0</v>
      </c>
      <c r="BG52" s="275">
        <f t="shared" ca="1" si="105"/>
        <v>0</v>
      </c>
      <c r="BH52" s="275">
        <f t="shared" ca="1" si="105"/>
        <v>0</v>
      </c>
      <c r="BI52" s="275">
        <f t="shared" ca="1" si="105"/>
        <v>0</v>
      </c>
      <c r="BJ52" s="275">
        <f t="shared" ca="1" si="105"/>
        <v>0</v>
      </c>
      <c r="BK52" s="275">
        <f t="shared" ca="1" si="105"/>
        <v>0</v>
      </c>
      <c r="BL52" s="275">
        <f t="shared" ca="1" si="105"/>
        <v>0</v>
      </c>
      <c r="BM52" s="275">
        <f t="shared" ca="1" si="105"/>
        <v>0</v>
      </c>
      <c r="BN52" s="275">
        <f t="shared" ca="1" si="105"/>
        <v>0</v>
      </c>
      <c r="BO52" s="275">
        <f t="shared" ca="1" si="105"/>
        <v>0</v>
      </c>
      <c r="BP52" s="275">
        <f t="shared" ca="1" si="105"/>
        <v>0</v>
      </c>
      <c r="BQ52" s="275">
        <f t="shared" ca="1" si="105"/>
        <v>0</v>
      </c>
      <c r="BR52" s="275">
        <f t="shared" ca="1" si="105"/>
        <v>0</v>
      </c>
      <c r="BS52" s="275">
        <f t="shared" ca="1" si="105"/>
        <v>0</v>
      </c>
      <c r="BT52" s="275">
        <f t="shared" ca="1" si="105"/>
        <v>0</v>
      </c>
      <c r="BU52" s="275">
        <f t="shared" ca="1" si="105"/>
        <v>0</v>
      </c>
      <c r="BV52" s="275">
        <f t="shared" ref="BV52:DA52" ca="1" si="106">SUM(BV11:BV51)</f>
        <v>0</v>
      </c>
      <c r="BW52" s="275">
        <f t="shared" ca="1" si="106"/>
        <v>0</v>
      </c>
      <c r="BX52" s="275">
        <f t="shared" ca="1" si="106"/>
        <v>0</v>
      </c>
      <c r="BY52" s="275">
        <f t="shared" ca="1" si="106"/>
        <v>0</v>
      </c>
      <c r="BZ52" s="275">
        <f t="shared" ca="1" si="106"/>
        <v>0</v>
      </c>
      <c r="CA52" s="275">
        <f t="shared" ca="1" si="106"/>
        <v>107861885.00000048</v>
      </c>
      <c r="CB52" s="275">
        <f t="shared" ca="1" si="106"/>
        <v>107861885.00000048</v>
      </c>
      <c r="CC52" s="275">
        <f t="shared" ca="1" si="106"/>
        <v>0</v>
      </c>
      <c r="CD52" s="275">
        <f t="shared" ca="1" si="106"/>
        <v>0</v>
      </c>
      <c r="CE52" s="275">
        <f t="shared" ca="1" si="106"/>
        <v>0</v>
      </c>
      <c r="CF52" s="275">
        <f t="shared" ca="1" si="106"/>
        <v>0</v>
      </c>
      <c r="CG52" s="275">
        <f t="shared" ca="1" si="106"/>
        <v>0</v>
      </c>
      <c r="CH52" s="275">
        <f t="shared" ca="1" si="106"/>
        <v>0</v>
      </c>
      <c r="CI52" s="275">
        <f t="shared" ca="1" si="106"/>
        <v>0</v>
      </c>
      <c r="CJ52" s="275">
        <f t="shared" ca="1" si="106"/>
        <v>0</v>
      </c>
      <c r="CK52" s="275">
        <f t="shared" ca="1" si="106"/>
        <v>0</v>
      </c>
      <c r="CL52" s="275">
        <f t="shared" ca="1" si="106"/>
        <v>0</v>
      </c>
      <c r="CM52" s="275">
        <f t="shared" ca="1" si="106"/>
        <v>0</v>
      </c>
      <c r="CN52" s="275">
        <f t="shared" ca="1" si="106"/>
        <v>0</v>
      </c>
      <c r="CO52" s="275">
        <f t="shared" ca="1" si="106"/>
        <v>0</v>
      </c>
      <c r="CP52" s="275">
        <f t="shared" ca="1" si="106"/>
        <v>0</v>
      </c>
      <c r="CQ52" s="275">
        <f t="shared" ca="1" si="106"/>
        <v>0</v>
      </c>
      <c r="CR52" s="275">
        <f t="shared" ca="1" si="106"/>
        <v>0</v>
      </c>
      <c r="CS52" s="275">
        <f t="shared" ca="1" si="106"/>
        <v>0</v>
      </c>
      <c r="CT52" s="275">
        <f t="shared" ca="1" si="106"/>
        <v>0</v>
      </c>
      <c r="CU52" s="275">
        <f t="shared" ca="1" si="106"/>
        <v>0</v>
      </c>
      <c r="CV52" s="275">
        <f t="shared" ca="1" si="106"/>
        <v>0</v>
      </c>
      <c r="CW52" s="275">
        <f t="shared" ca="1" si="106"/>
        <v>0</v>
      </c>
      <c r="CX52" s="275">
        <f t="shared" ca="1" si="106"/>
        <v>0</v>
      </c>
      <c r="CY52" s="275">
        <f t="shared" ca="1" si="106"/>
        <v>0</v>
      </c>
      <c r="CZ52" s="275">
        <f t="shared" ca="1" si="106"/>
        <v>0</v>
      </c>
      <c r="DA52" s="275">
        <f t="shared" ca="1" si="106"/>
        <v>0</v>
      </c>
    </row>
    <row r="53" spans="1:105" s="272" customFormat="1" ht="15" customHeight="1">
      <c r="A53" s="280"/>
      <c r="B53" s="280"/>
      <c r="C53" s="280"/>
      <c r="D53" s="280"/>
      <c r="E53" s="281" t="s">
        <v>215</v>
      </c>
      <c r="F53" s="280"/>
      <c r="G53" s="282"/>
      <c r="H53" s="282"/>
      <c r="I53" s="280"/>
      <c r="J53" s="283">
        <f ca="1">MAX(J10+J52-K10-K52,0)</f>
        <v>3705039095</v>
      </c>
      <c r="K53" s="283">
        <f ca="1">MAX(K10+K52-J10-J52,0)</f>
        <v>0</v>
      </c>
      <c r="L53" s="283">
        <f ca="1">MAX(L10+L52-M10-M52,0)</f>
        <v>19829295</v>
      </c>
      <c r="M53" s="283">
        <f ca="1">MAX(M10+M52-L10-L52,0)</f>
        <v>0</v>
      </c>
      <c r="N53" s="283">
        <f ca="1">MAX(N10+N52-O10-O52,0)</f>
        <v>2236796790</v>
      </c>
      <c r="O53" s="283">
        <f ca="1">MAX(O10+O52-N10-N52,0)</f>
        <v>0</v>
      </c>
      <c r="P53" s="283">
        <f ca="1">MAX(P10+P52-Q10-Q52,0)</f>
        <v>3343381600</v>
      </c>
      <c r="Q53" s="283">
        <f ca="1">MAX(Q10+Q52-P10-P52,0)</f>
        <v>0</v>
      </c>
      <c r="R53" s="283">
        <f ca="1">MAX(R10+R52-S10-S52,0)</f>
        <v>162420936</v>
      </c>
      <c r="S53" s="283">
        <f ca="1">MAX(S10+S52-R10-R52,0)</f>
        <v>0</v>
      </c>
      <c r="T53" s="283">
        <f ca="1">MAX(T10+T52-U10-U52,0)</f>
        <v>1500000000</v>
      </c>
      <c r="U53" s="283">
        <f ca="1">MAX(U10+U52-T10-T52,0)</f>
        <v>0</v>
      </c>
      <c r="V53" s="283">
        <f ca="1">MAX(V10+V52-W10-W52,0)</f>
        <v>0</v>
      </c>
      <c r="W53" s="283">
        <f ca="1">MAX(W10+W52-V10-V52,0)</f>
        <v>0</v>
      </c>
      <c r="X53" s="283">
        <f ca="1">MAX(X10+X52-Y10-Y52,0)</f>
        <v>2772400000</v>
      </c>
      <c r="Y53" s="283">
        <f ca="1">MAX(Y10+Y52-X10-X52,0)</f>
        <v>0</v>
      </c>
      <c r="Z53" s="283">
        <f ca="1">MAX(Z10+Z52-AA10-AA52,0)</f>
        <v>526519887</v>
      </c>
      <c r="AA53" s="283">
        <f ca="1">MAX(AA10+AA52-Z10-Z52,0)</f>
        <v>0</v>
      </c>
      <c r="AB53" s="283">
        <f ca="1">MAX(AB10+AB52-AC10-AC52,0)</f>
        <v>0</v>
      </c>
      <c r="AC53" s="283">
        <f ca="1">MAX(AC10+AC52-AB10-AB52,0)</f>
        <v>0</v>
      </c>
      <c r="AD53" s="283">
        <f ca="1">MAX(AD10+AD52-AE10-AE52,0)</f>
        <v>0</v>
      </c>
      <c r="AE53" s="283">
        <f ca="1">MAX(AE10+AE52-AD10-AD52,0)</f>
        <v>0</v>
      </c>
      <c r="AF53" s="283">
        <f ca="1">MAX(AF10+AF52-AG10-AG52,0)</f>
        <v>9386323824</v>
      </c>
      <c r="AG53" s="283">
        <f ca="1">MAX(AG10+AG52-AF10-AF52,0)</f>
        <v>0</v>
      </c>
      <c r="AH53" s="283">
        <f ca="1">MAX(AH10+AH52-AI10-AI52,0)</f>
        <v>7490743648</v>
      </c>
      <c r="AI53" s="283">
        <f ca="1">MAX(AI10+AI52-AH10-AH52,0)</f>
        <v>0</v>
      </c>
      <c r="AJ53" s="283">
        <f ca="1">MAX(AJ10+AJ52-AK10-AK52,0)</f>
        <v>3807898863</v>
      </c>
      <c r="AK53" s="283">
        <f ca="1">MAX(AK10+AK52-AJ10-AJ52,0)</f>
        <v>0</v>
      </c>
      <c r="AL53" s="283">
        <f ca="1">MAX(AL10+AL52-AM10-AM52,0)</f>
        <v>3790918485</v>
      </c>
      <c r="AM53" s="283">
        <f ca="1">MAX(AM10+AM52-AL10-AL52,0)</f>
        <v>0</v>
      </c>
      <c r="AN53" s="283">
        <f ca="1">MAX(AN10+AN52-AO10-AO52,0)</f>
        <v>5405781300</v>
      </c>
      <c r="AO53" s="283">
        <f ca="1">MAX(AO10+AO52-AN10-AN52,0)</f>
        <v>0</v>
      </c>
      <c r="AP53" s="283">
        <f ca="1">MAX(AP10+AP52-AQ10-AQ52,0)</f>
        <v>0</v>
      </c>
      <c r="AQ53" s="283">
        <f ca="1">MAX(AQ10+AQ52-AP10-AP52,0)</f>
        <v>9132359256</v>
      </c>
      <c r="AR53" s="283">
        <f ca="1">MAX(AR10+AR52-AS10-AS52,0)</f>
        <v>0</v>
      </c>
      <c r="AS53" s="283">
        <f ca="1">MAX(AS10+AS52-AR10-AR52,0)</f>
        <v>600642360</v>
      </c>
      <c r="AT53" s="283">
        <f ca="1">MAX(AT10+AT52-AU10-AU52,0)</f>
        <v>0</v>
      </c>
      <c r="AU53" s="283">
        <f ca="1">MAX(AU10+AU52-AT10-AT52,0)</f>
        <v>0</v>
      </c>
      <c r="AV53" s="283">
        <f ca="1">MAX(AV10+AV52-AW10-AW52,0)</f>
        <v>0</v>
      </c>
      <c r="AW53" s="283">
        <f ca="1">MAX(AW10+AW52-AV10-AV52,0)</f>
        <v>476953252</v>
      </c>
      <c r="AX53" s="283">
        <f ca="1">MAX(AX10+AX52-AY10-AY52,0)</f>
        <v>0</v>
      </c>
      <c r="AY53" s="283">
        <f ca="1">MAX(AY10+AY52-AX10-AX52,0)</f>
        <v>0</v>
      </c>
      <c r="AZ53" s="283">
        <f ca="1">MAX(AZ10+AZ52-BA10-BA52,0)</f>
        <v>0</v>
      </c>
      <c r="BA53" s="283">
        <f ca="1">MAX(BA10+BA52-AZ10-AZ52,0)</f>
        <v>0</v>
      </c>
      <c r="BB53" s="283">
        <f ca="1">MAX(BB10+BB52-BC10-BC52,0)</f>
        <v>0</v>
      </c>
      <c r="BC53" s="283">
        <f ca="1">MAX(BC10+BC52-BB10-BB52,0)</f>
        <v>0</v>
      </c>
      <c r="BD53" s="283">
        <f ca="1">MAX(BD10+BD52-BE10-BE52,0)</f>
        <v>0</v>
      </c>
      <c r="BE53" s="283">
        <f ca="1">MAX(BE10+BE52-BD10-BD52,0)</f>
        <v>3313435</v>
      </c>
      <c r="BF53" s="283">
        <f ca="1">MAX(BF10+BF52-BG10-BG52,0)</f>
        <v>3389804</v>
      </c>
      <c r="BG53" s="283">
        <f ca="1">MAX(BG10+BG52-BF10-BF52,0)</f>
        <v>0</v>
      </c>
      <c r="BH53" s="283">
        <f ca="1">MAX(BH10+BH52-BI10-BI52,0)</f>
        <v>0</v>
      </c>
      <c r="BI53" s="283">
        <f ca="1">MAX(BI10+BI52-BH10-BH52,0)</f>
        <v>0</v>
      </c>
      <c r="BJ53" s="283">
        <f ca="1">MAX(BJ10+BJ52-BK10-BK52,0)</f>
        <v>0</v>
      </c>
      <c r="BK53" s="283">
        <f ca="1">MAX(BK10+BK52-BJ10-BJ52,0)</f>
        <v>0</v>
      </c>
      <c r="BL53" s="283">
        <f ca="1">MAX(BL10+BL52-BM10-BM52,0)</f>
        <v>0</v>
      </c>
      <c r="BM53" s="283">
        <f ca="1">MAX(BM10+BM52-BL10-BL52,0)</f>
        <v>40272309</v>
      </c>
      <c r="BN53" s="283">
        <f ca="1">MAX(BN10+BN52-BO10-BO52,0)</f>
        <v>0</v>
      </c>
      <c r="BO53" s="283">
        <f ca="1">MAX(BO10+BO52-BN10-BN52,0)</f>
        <v>6403142</v>
      </c>
      <c r="BP53" s="283">
        <f ca="1">MAX(BP10+BP52-BQ10-BQ52,0)</f>
        <v>0</v>
      </c>
      <c r="BQ53" s="283">
        <f ca="1">MAX(BQ10+BQ52-BP10-BP52,0)</f>
        <v>2761373</v>
      </c>
      <c r="BR53" s="283">
        <f ca="1">MAX(BR10+BR52-BS10-BS52,0)</f>
        <v>0</v>
      </c>
      <c r="BS53" s="283">
        <f ca="1">MAX(BS10+BS52-BR10-BR52,0)</f>
        <v>0</v>
      </c>
      <c r="BT53" s="283">
        <f ca="1">MAX(BT10+BT52-BU10-BU52,0)</f>
        <v>0</v>
      </c>
      <c r="BU53" s="283">
        <f ca="1">MAX(BU10+BU52-BT10-BT52,0)</f>
        <v>2169121879</v>
      </c>
      <c r="BV53" s="283">
        <f ca="1">MAX(BV10+BV52-BW10-BW52,0)</f>
        <v>0</v>
      </c>
      <c r="BW53" s="283">
        <f ca="1">MAX(BW10+BW52-BV10-BV52,0)</f>
        <v>21202920500</v>
      </c>
      <c r="BX53" s="283">
        <f ca="1">MAX(BX10+BX52-BY10-BY52,0)</f>
        <v>0</v>
      </c>
      <c r="BY53" s="283">
        <f ca="1">MAX(BY10+BY52-BX10-BX52,0)</f>
        <v>10000000000</v>
      </c>
      <c r="BZ53" s="283">
        <f ca="1">MAX(BZ10+BZ52-CA10-CA52,0)</f>
        <v>0</v>
      </c>
      <c r="CA53" s="283">
        <f ca="1">MAX(CA10+CA52-BZ10-BZ52,0)</f>
        <v>594397022.00000048</v>
      </c>
      <c r="CB53" s="283">
        <f ca="1">MAX(CB10+CB52-CC10-CC52,0)</f>
        <v>77701001</v>
      </c>
      <c r="CC53" s="283">
        <f ca="1">MAX(CC10+CC52-CB10-CB52,0)</f>
        <v>0</v>
      </c>
      <c r="CD53" s="283">
        <f ca="1">MAX(CD10+CD52-CE10-CE52,0)</f>
        <v>0</v>
      </c>
      <c r="CE53" s="283">
        <f ca="1">MAX(CE10+CE52-CD10-CD52,0)</f>
        <v>0</v>
      </c>
      <c r="CF53" s="283">
        <f ca="1">MAX(CF10+CF52-CG10-CG52,0)</f>
        <v>0</v>
      </c>
      <c r="CG53" s="283">
        <f ca="1">MAX(CG10+CG52-CF10-CF52,0)</f>
        <v>0</v>
      </c>
      <c r="CH53" s="283">
        <f ca="1">MAX(CH10+CH52-CI10-CI52,0)</f>
        <v>0</v>
      </c>
      <c r="CI53" s="283">
        <f ca="1">MAX(CI10+CI52-CH10-CH52,0)</f>
        <v>0</v>
      </c>
      <c r="CJ53" s="283">
        <f ca="1">MAX(CJ10+CJ52-CK10-CK52,0)</f>
        <v>0</v>
      </c>
      <c r="CK53" s="283">
        <f ca="1">MAX(CK10+CK52-CJ10-CJ52,0)</f>
        <v>0</v>
      </c>
      <c r="CL53" s="283">
        <f ca="1">MAX(CL10+CL52-CM10-CM52,0)</f>
        <v>0</v>
      </c>
      <c r="CM53" s="283">
        <f ca="1">MAX(CM10+CM52-CL10-CL52,0)</f>
        <v>0</v>
      </c>
      <c r="CN53" s="283">
        <f ca="1">MAX(CN10+CN52-CO10-CO52,0)</f>
        <v>0</v>
      </c>
      <c r="CO53" s="283">
        <f ca="1">MAX(CO10+CO52-CN10-CN52,0)</f>
        <v>0</v>
      </c>
      <c r="CP53" s="283">
        <f ca="1">MAX(CP10+CP52-CQ10-CQ52,0)</f>
        <v>0</v>
      </c>
      <c r="CQ53" s="283">
        <f ca="1">MAX(CQ10+CQ52-CP10-CP52,0)</f>
        <v>0</v>
      </c>
      <c r="CR53" s="283">
        <f ca="1">MAX(CR10+CR52-CS10-CS52,0)</f>
        <v>0</v>
      </c>
      <c r="CS53" s="283">
        <f ca="1">MAX(CS10+CS52-CR10-CR52,0)</f>
        <v>0</v>
      </c>
      <c r="CT53" s="283">
        <f ca="1">MAX(CT10+CT52-CU10-CU52,0)</f>
        <v>0</v>
      </c>
      <c r="CU53" s="283">
        <f ca="1">MAX(CU10+CU52-CT10-CT52,0)</f>
        <v>0</v>
      </c>
      <c r="CV53" s="283">
        <f ca="1">MAX(CV10+CV52-CW10-CW52,0)</f>
        <v>0</v>
      </c>
      <c r="CW53" s="283">
        <f ca="1">MAX(CW10+CW52-CV10-CV52,0)</f>
        <v>0</v>
      </c>
      <c r="CX53" s="283">
        <f ca="1">MAX(CX10+CX52-CY10-CY52,0)</f>
        <v>0</v>
      </c>
      <c r="CY53" s="283">
        <f ca="1">MAX(CY10+CY52-CX10-CX52,0)</f>
        <v>0</v>
      </c>
      <c r="CZ53" s="283">
        <f ca="1">MAX(CZ10+CZ52-DA10-DA52,0)</f>
        <v>0</v>
      </c>
      <c r="DA53" s="283">
        <f ca="1">MAX(DA10+DA52-CZ10-CZ52,0)</f>
        <v>0</v>
      </c>
    </row>
    <row r="54" spans="1:105" s="272" customFormat="1" ht="15" customHeight="1">
      <c r="A54" s="284"/>
      <c r="B54" s="284"/>
      <c r="C54" s="285"/>
      <c r="D54" s="284"/>
      <c r="E54" s="286" t="s">
        <v>216</v>
      </c>
      <c r="F54" s="284"/>
      <c r="G54" s="287"/>
      <c r="H54" s="287"/>
      <c r="I54" s="284"/>
      <c r="J54" s="288">
        <f ca="1">J52</f>
        <v>0</v>
      </c>
      <c r="K54" s="288">
        <f ca="1">K52</f>
        <v>0</v>
      </c>
      <c r="L54" s="288">
        <f t="shared" ref="L54:BY54" ca="1" si="107">L52</f>
        <v>0</v>
      </c>
      <c r="M54" s="288">
        <f t="shared" ca="1" si="107"/>
        <v>0</v>
      </c>
      <c r="N54" s="288">
        <f t="shared" ca="1" si="107"/>
        <v>0</v>
      </c>
      <c r="O54" s="288">
        <f t="shared" ca="1" si="107"/>
        <v>0</v>
      </c>
      <c r="P54" s="288">
        <f t="shared" ca="1" si="107"/>
        <v>0</v>
      </c>
      <c r="Q54" s="288">
        <f t="shared" ca="1" si="107"/>
        <v>0</v>
      </c>
      <c r="R54" s="288">
        <f t="shared" ca="1" si="107"/>
        <v>0</v>
      </c>
      <c r="S54" s="288">
        <f t="shared" ca="1" si="107"/>
        <v>0</v>
      </c>
      <c r="T54" s="288">
        <f t="shared" ca="1" si="107"/>
        <v>0</v>
      </c>
      <c r="U54" s="288">
        <f t="shared" ca="1" si="107"/>
        <v>0</v>
      </c>
      <c r="V54" s="288">
        <f t="shared" ca="1" si="107"/>
        <v>0</v>
      </c>
      <c r="W54" s="288">
        <f t="shared" ca="1" si="107"/>
        <v>0</v>
      </c>
      <c r="X54" s="288">
        <f t="shared" ca="1" si="107"/>
        <v>0</v>
      </c>
      <c r="Y54" s="288">
        <f t="shared" ca="1" si="107"/>
        <v>0</v>
      </c>
      <c r="Z54" s="288">
        <f t="shared" ca="1" si="107"/>
        <v>0</v>
      </c>
      <c r="AA54" s="288">
        <f t="shared" ca="1" si="107"/>
        <v>0</v>
      </c>
      <c r="AB54" s="288">
        <f t="shared" ca="1" si="107"/>
        <v>0</v>
      </c>
      <c r="AC54" s="288">
        <f t="shared" ca="1" si="107"/>
        <v>0</v>
      </c>
      <c r="AD54" s="288">
        <f t="shared" ca="1" si="107"/>
        <v>0</v>
      </c>
      <c r="AE54" s="288">
        <f t="shared" ca="1" si="107"/>
        <v>0</v>
      </c>
      <c r="AF54" s="288">
        <f t="shared" ca="1" si="107"/>
        <v>0</v>
      </c>
      <c r="AG54" s="288">
        <f t="shared" ca="1" si="107"/>
        <v>0</v>
      </c>
      <c r="AH54" s="288">
        <f t="shared" ca="1" si="107"/>
        <v>0</v>
      </c>
      <c r="AI54" s="288">
        <f t="shared" ca="1" si="107"/>
        <v>0</v>
      </c>
      <c r="AJ54" s="288">
        <f t="shared" ca="1" si="107"/>
        <v>0</v>
      </c>
      <c r="AK54" s="288">
        <f t="shared" ca="1" si="107"/>
        <v>0</v>
      </c>
      <c r="AL54" s="288">
        <f t="shared" ca="1" si="107"/>
        <v>0</v>
      </c>
      <c r="AM54" s="288">
        <f t="shared" ca="1" si="107"/>
        <v>0</v>
      </c>
      <c r="AN54" s="288">
        <f t="shared" ca="1" si="107"/>
        <v>0</v>
      </c>
      <c r="AO54" s="288">
        <f t="shared" ca="1" si="107"/>
        <v>0</v>
      </c>
      <c r="AP54" s="288">
        <f t="shared" ca="1" si="107"/>
        <v>0</v>
      </c>
      <c r="AQ54" s="288">
        <f t="shared" ca="1" si="107"/>
        <v>0</v>
      </c>
      <c r="AR54" s="288">
        <f t="shared" ca="1" si="107"/>
        <v>0</v>
      </c>
      <c r="AS54" s="288">
        <f t="shared" ca="1" si="107"/>
        <v>0</v>
      </c>
      <c r="AT54" s="288">
        <f ca="1">AT52</f>
        <v>0</v>
      </c>
      <c r="AU54" s="288">
        <f ca="1">AU52</f>
        <v>0</v>
      </c>
      <c r="AV54" s="288">
        <f t="shared" ca="1" si="107"/>
        <v>0</v>
      </c>
      <c r="AW54" s="288">
        <f t="shared" ca="1" si="107"/>
        <v>0</v>
      </c>
      <c r="AX54" s="288">
        <f t="shared" ca="1" si="107"/>
        <v>0</v>
      </c>
      <c r="AY54" s="288">
        <f t="shared" ca="1" si="107"/>
        <v>0</v>
      </c>
      <c r="AZ54" s="288">
        <f t="shared" ca="1" si="107"/>
        <v>0</v>
      </c>
      <c r="BA54" s="288">
        <f t="shared" ca="1" si="107"/>
        <v>0</v>
      </c>
      <c r="BB54" s="288">
        <f t="shared" ca="1" si="107"/>
        <v>0</v>
      </c>
      <c r="BC54" s="288">
        <f t="shared" ca="1" si="107"/>
        <v>0</v>
      </c>
      <c r="BD54" s="288">
        <f t="shared" ca="1" si="107"/>
        <v>0</v>
      </c>
      <c r="BE54" s="288">
        <f t="shared" ca="1" si="107"/>
        <v>0</v>
      </c>
      <c r="BF54" s="288">
        <f t="shared" ca="1" si="107"/>
        <v>0</v>
      </c>
      <c r="BG54" s="288">
        <f t="shared" ca="1" si="107"/>
        <v>0</v>
      </c>
      <c r="BH54" s="288">
        <f t="shared" ca="1" si="107"/>
        <v>0</v>
      </c>
      <c r="BI54" s="288">
        <f t="shared" ca="1" si="107"/>
        <v>0</v>
      </c>
      <c r="BJ54" s="288">
        <f t="shared" ca="1" si="107"/>
        <v>0</v>
      </c>
      <c r="BK54" s="288">
        <f t="shared" ca="1" si="107"/>
        <v>0</v>
      </c>
      <c r="BL54" s="288">
        <f t="shared" ca="1" si="107"/>
        <v>0</v>
      </c>
      <c r="BM54" s="288">
        <f t="shared" ca="1" si="107"/>
        <v>0</v>
      </c>
      <c r="BN54" s="288">
        <f t="shared" ca="1" si="107"/>
        <v>0</v>
      </c>
      <c r="BO54" s="288">
        <f t="shared" ca="1" si="107"/>
        <v>0</v>
      </c>
      <c r="BP54" s="288">
        <f t="shared" ca="1" si="107"/>
        <v>0</v>
      </c>
      <c r="BQ54" s="288">
        <f t="shared" ca="1" si="107"/>
        <v>0</v>
      </c>
      <c r="BR54" s="288">
        <f t="shared" ca="1" si="107"/>
        <v>0</v>
      </c>
      <c r="BS54" s="288">
        <f t="shared" ca="1" si="107"/>
        <v>0</v>
      </c>
      <c r="BT54" s="288">
        <f t="shared" ca="1" si="107"/>
        <v>0</v>
      </c>
      <c r="BU54" s="288">
        <f t="shared" ca="1" si="107"/>
        <v>0</v>
      </c>
      <c r="BV54" s="288">
        <f ca="1">BV52</f>
        <v>0</v>
      </c>
      <c r="BW54" s="288">
        <f ca="1">BW52</f>
        <v>0</v>
      </c>
      <c r="BX54" s="288">
        <f t="shared" ca="1" si="107"/>
        <v>0</v>
      </c>
      <c r="BY54" s="288">
        <f t="shared" ca="1" si="107"/>
        <v>0</v>
      </c>
      <c r="BZ54" s="288">
        <f t="shared" ref="BZ54:DA54" ca="1" si="108">BZ52</f>
        <v>0</v>
      </c>
      <c r="CA54" s="288">
        <f t="shared" ca="1" si="108"/>
        <v>107861885.00000048</v>
      </c>
      <c r="CB54" s="288">
        <f t="shared" ca="1" si="108"/>
        <v>107861885.00000048</v>
      </c>
      <c r="CC54" s="288">
        <f t="shared" ca="1" si="108"/>
        <v>0</v>
      </c>
      <c r="CD54" s="288">
        <f t="shared" ca="1" si="108"/>
        <v>0</v>
      </c>
      <c r="CE54" s="288">
        <f t="shared" ca="1" si="108"/>
        <v>0</v>
      </c>
      <c r="CF54" s="288">
        <f t="shared" ca="1" si="108"/>
        <v>0</v>
      </c>
      <c r="CG54" s="288">
        <f t="shared" ca="1" si="108"/>
        <v>0</v>
      </c>
      <c r="CH54" s="288">
        <f t="shared" ca="1" si="108"/>
        <v>0</v>
      </c>
      <c r="CI54" s="288">
        <f t="shared" ca="1" si="108"/>
        <v>0</v>
      </c>
      <c r="CJ54" s="288">
        <f t="shared" ca="1" si="108"/>
        <v>0</v>
      </c>
      <c r="CK54" s="288">
        <f t="shared" ca="1" si="108"/>
        <v>0</v>
      </c>
      <c r="CL54" s="288">
        <f t="shared" ca="1" si="108"/>
        <v>0</v>
      </c>
      <c r="CM54" s="288">
        <f t="shared" ca="1" si="108"/>
        <v>0</v>
      </c>
      <c r="CN54" s="288">
        <f t="shared" ca="1" si="108"/>
        <v>0</v>
      </c>
      <c r="CO54" s="288">
        <f t="shared" ca="1" si="108"/>
        <v>0</v>
      </c>
      <c r="CP54" s="288">
        <f t="shared" ca="1" si="108"/>
        <v>0</v>
      </c>
      <c r="CQ54" s="288">
        <f t="shared" ca="1" si="108"/>
        <v>0</v>
      </c>
      <c r="CR54" s="288">
        <f t="shared" ca="1" si="108"/>
        <v>0</v>
      </c>
      <c r="CS54" s="288">
        <f t="shared" ca="1" si="108"/>
        <v>0</v>
      </c>
      <c r="CT54" s="288">
        <f t="shared" ca="1" si="108"/>
        <v>0</v>
      </c>
      <c r="CU54" s="288">
        <f t="shared" ca="1" si="108"/>
        <v>0</v>
      </c>
      <c r="CV54" s="288">
        <f t="shared" ca="1" si="108"/>
        <v>0</v>
      </c>
      <c r="CW54" s="288">
        <f t="shared" ca="1" si="108"/>
        <v>0</v>
      </c>
      <c r="CX54" s="288">
        <f t="shared" ca="1" si="108"/>
        <v>0</v>
      </c>
      <c r="CY54" s="288">
        <f t="shared" ca="1" si="108"/>
        <v>0</v>
      </c>
      <c r="CZ54" s="288">
        <f t="shared" ca="1" si="108"/>
        <v>0</v>
      </c>
      <c r="DA54" s="288">
        <f t="shared" ca="1" si="108"/>
        <v>0</v>
      </c>
    </row>
    <row r="55" spans="1:105" ht="12" customHeight="1">
      <c r="B55" s="289"/>
      <c r="C55" s="290"/>
      <c r="D55" s="290"/>
      <c r="E55" s="290"/>
      <c r="F55" s="290"/>
      <c r="G55" s="291"/>
      <c r="H55" s="291"/>
      <c r="I55" s="290"/>
      <c r="J55" s="290"/>
      <c r="K55" s="290"/>
    </row>
    <row r="56" spans="1:105">
      <c r="F56" s="292"/>
      <c r="M56" s="292"/>
      <c r="O56" s="292"/>
      <c r="Q56" s="292"/>
      <c r="R56" s="292"/>
      <c r="S56" s="292"/>
      <c r="T56" s="292"/>
      <c r="U56" s="292"/>
      <c r="V56" s="292"/>
      <c r="AN56" s="293" t="s">
        <v>217</v>
      </c>
      <c r="AO56" s="294"/>
      <c r="AP56" s="294"/>
      <c r="AQ56" s="294"/>
      <c r="AR56" s="295"/>
      <c r="AS56" s="295"/>
      <c r="AT56" s="294"/>
    </row>
    <row r="57" spans="1:105">
      <c r="F57" s="292"/>
      <c r="M57" s="292"/>
      <c r="O57" s="292"/>
      <c r="Q57" s="292"/>
      <c r="R57" s="292"/>
      <c r="S57" s="292"/>
      <c r="T57" s="292"/>
      <c r="U57" s="292"/>
      <c r="V57" s="292"/>
      <c r="AN57" s="296" t="s">
        <v>218</v>
      </c>
      <c r="AO57" s="294"/>
      <c r="AP57" s="294"/>
      <c r="AQ57" s="294"/>
      <c r="AR57" s="295"/>
      <c r="AS57" s="295"/>
      <c r="AT57" s="294"/>
    </row>
    <row r="58" spans="1:105">
      <c r="F58" s="292"/>
      <c r="M58" s="292"/>
      <c r="O58" s="292"/>
      <c r="Q58" s="292"/>
      <c r="R58" s="292"/>
      <c r="S58" s="292"/>
      <c r="T58" s="292"/>
      <c r="U58" s="292"/>
      <c r="V58" s="292"/>
      <c r="AN58" s="294"/>
      <c r="AO58" s="294"/>
      <c r="AP58" s="294"/>
      <c r="AQ58" s="294"/>
      <c r="AR58" s="294"/>
      <c r="AS58" s="294"/>
      <c r="AT58" s="295"/>
    </row>
    <row r="59" spans="1:105">
      <c r="F59" s="292"/>
      <c r="AN59" s="294"/>
      <c r="AO59" s="294"/>
      <c r="AP59" s="294"/>
      <c r="AQ59" s="294"/>
      <c r="AR59" s="294"/>
      <c r="AS59" s="294"/>
      <c r="AT59" s="295"/>
      <c r="AZ59" s="297" t="str">
        <f>"Ngày 31 tháng 03 năm 2015 "</f>
        <v xml:space="preserve">Ngày 31 tháng 03 năm 2015 </v>
      </c>
    </row>
    <row r="60" spans="1:105">
      <c r="F60" s="292"/>
      <c r="M60" s="292"/>
      <c r="O60" s="292"/>
      <c r="Q60" s="292"/>
      <c r="R60" s="292"/>
      <c r="S60" s="292"/>
      <c r="T60" s="292"/>
      <c r="U60" s="292"/>
      <c r="V60" s="292"/>
      <c r="AN60" s="294"/>
      <c r="AO60" s="298" t="s">
        <v>11</v>
      </c>
      <c r="AP60" s="294"/>
      <c r="AQ60" s="294"/>
      <c r="AR60" s="294"/>
      <c r="AS60" s="299" t="s">
        <v>12</v>
      </c>
      <c r="AT60" s="295"/>
      <c r="AZ60" s="298" t="s">
        <v>131</v>
      </c>
    </row>
    <row r="61" spans="1:105">
      <c r="F61" s="292"/>
      <c r="M61" s="292"/>
      <c r="O61" s="292"/>
      <c r="Q61" s="292"/>
      <c r="R61" s="292"/>
      <c r="S61" s="292"/>
      <c r="T61" s="292"/>
      <c r="U61" s="292"/>
      <c r="V61" s="292"/>
      <c r="AN61" s="294"/>
      <c r="AO61" s="300" t="s">
        <v>13</v>
      </c>
      <c r="AP61" s="294"/>
      <c r="AQ61" s="294"/>
      <c r="AR61" s="294"/>
      <c r="AS61" s="301" t="s">
        <v>13</v>
      </c>
      <c r="AT61" s="295"/>
      <c r="AZ61" s="300" t="s">
        <v>161</v>
      </c>
    </row>
    <row r="62" spans="1:105">
      <c r="F62" s="292"/>
      <c r="M62" s="292"/>
      <c r="O62" s="292"/>
      <c r="Q62" s="292"/>
      <c r="R62" s="292"/>
      <c r="S62" s="292"/>
      <c r="T62" s="292"/>
      <c r="U62" s="292"/>
      <c r="V62" s="292"/>
      <c r="AL62" s="294"/>
      <c r="AM62" s="294"/>
      <c r="AN62" s="294"/>
      <c r="AO62" s="294"/>
      <c r="AP62" s="294"/>
      <c r="AQ62" s="294"/>
      <c r="AR62" s="294"/>
      <c r="AS62" s="294"/>
      <c r="AT62" s="295"/>
      <c r="AZ62" s="294"/>
    </row>
    <row r="63" spans="1:105">
      <c r="F63" s="292"/>
      <c r="M63" s="292"/>
      <c r="O63" s="292"/>
      <c r="Q63" s="292"/>
      <c r="R63" s="292"/>
      <c r="S63" s="292"/>
      <c r="T63" s="292"/>
      <c r="U63" s="292"/>
      <c r="V63" s="292"/>
      <c r="AZ63" s="294"/>
    </row>
    <row r="64" spans="1:105">
      <c r="F64" s="292"/>
      <c r="M64" s="292"/>
      <c r="O64" s="292"/>
      <c r="Q64" s="292"/>
      <c r="R64" s="292"/>
      <c r="S64" s="292"/>
      <c r="T64" s="292"/>
      <c r="U64" s="292"/>
      <c r="V64" s="292"/>
    </row>
    <row r="65" spans="6:22">
      <c r="F65" s="292"/>
      <c r="M65" s="292"/>
      <c r="O65" s="292"/>
      <c r="Q65" s="292"/>
      <c r="R65" s="292"/>
      <c r="S65" s="292"/>
      <c r="T65" s="292"/>
      <c r="U65" s="292"/>
      <c r="V65" s="292"/>
    </row>
    <row r="66" spans="6:22">
      <c r="F66" s="292"/>
    </row>
    <row r="67" spans="6:22">
      <c r="F67" s="292"/>
      <c r="M67" s="292"/>
      <c r="O67" s="292"/>
      <c r="Q67" s="292"/>
      <c r="R67" s="292"/>
      <c r="S67" s="292"/>
      <c r="T67" s="292"/>
      <c r="U67" s="292"/>
      <c r="V67" s="292"/>
    </row>
    <row r="68" spans="6:22">
      <c r="F68" s="292"/>
      <c r="M68" s="292"/>
      <c r="O68" s="292"/>
      <c r="Q68" s="292"/>
      <c r="R68" s="292"/>
      <c r="S68" s="292"/>
      <c r="T68" s="292"/>
      <c r="U68" s="292"/>
      <c r="V68" s="292"/>
    </row>
    <row r="69" spans="6:22">
      <c r="F69" s="292"/>
      <c r="M69" s="292"/>
      <c r="O69" s="292"/>
      <c r="Q69" s="292"/>
      <c r="R69" s="292"/>
      <c r="S69" s="292"/>
      <c r="T69" s="292"/>
      <c r="U69" s="292"/>
      <c r="V69" s="292"/>
    </row>
    <row r="70" spans="6:22">
      <c r="F70" s="292"/>
      <c r="M70" s="292"/>
      <c r="O70" s="292"/>
      <c r="Q70" s="292"/>
      <c r="R70" s="292"/>
      <c r="S70" s="292"/>
      <c r="T70" s="292"/>
      <c r="U70" s="292"/>
      <c r="V70" s="292"/>
    </row>
    <row r="71" spans="6:22">
      <c r="F71" s="292"/>
      <c r="M71" s="292"/>
      <c r="O71" s="292"/>
      <c r="Q71" s="292"/>
      <c r="R71" s="292"/>
      <c r="S71" s="292"/>
      <c r="T71" s="292"/>
      <c r="U71" s="292"/>
      <c r="V71" s="292"/>
    </row>
    <row r="72" spans="6:22">
      <c r="F72" s="292"/>
      <c r="M72" s="292"/>
      <c r="O72" s="292"/>
      <c r="Q72" s="292"/>
      <c r="R72" s="292"/>
      <c r="S72" s="292"/>
      <c r="T72" s="292"/>
      <c r="U72" s="292"/>
      <c r="V72" s="292"/>
    </row>
    <row r="73" spans="6:22">
      <c r="F73" s="292"/>
      <c r="M73" s="292"/>
      <c r="O73" s="292"/>
      <c r="Q73" s="292"/>
      <c r="R73" s="292"/>
      <c r="S73" s="292"/>
      <c r="T73" s="292"/>
      <c r="U73" s="292"/>
      <c r="V73" s="292"/>
    </row>
    <row r="74" spans="6:22">
      <c r="F74" s="292"/>
      <c r="M74" s="292"/>
      <c r="O74" s="292"/>
      <c r="Q74" s="292"/>
      <c r="R74" s="292"/>
      <c r="S74" s="292"/>
      <c r="T74" s="292"/>
      <c r="U74" s="292"/>
      <c r="V74" s="292"/>
    </row>
    <row r="75" spans="6:22">
      <c r="F75" s="292"/>
      <c r="M75" s="292"/>
      <c r="O75" s="292"/>
      <c r="Q75" s="292"/>
      <c r="R75" s="292"/>
      <c r="S75" s="292"/>
      <c r="T75" s="292"/>
      <c r="U75" s="292"/>
      <c r="V75" s="292"/>
    </row>
    <row r="76" spans="6:22">
      <c r="F76" s="292"/>
      <c r="M76" s="292"/>
      <c r="O76" s="292"/>
      <c r="Q76" s="292"/>
      <c r="R76" s="292"/>
      <c r="S76" s="292"/>
      <c r="T76" s="292"/>
      <c r="U76" s="292"/>
      <c r="V76" s="292"/>
    </row>
    <row r="77" spans="6:22">
      <c r="F77" s="292"/>
      <c r="M77" s="292"/>
      <c r="O77" s="292"/>
      <c r="Q77" s="292"/>
      <c r="R77" s="292"/>
      <c r="S77" s="292"/>
      <c r="T77" s="292"/>
      <c r="U77" s="292"/>
      <c r="V77" s="292"/>
    </row>
    <row r="78" spans="6:22">
      <c r="F78" s="292"/>
      <c r="M78" s="292"/>
      <c r="O78" s="292"/>
      <c r="Q78" s="292"/>
      <c r="R78" s="292"/>
      <c r="S78" s="292"/>
      <c r="T78" s="292"/>
      <c r="U78" s="292"/>
      <c r="V78" s="292"/>
    </row>
    <row r="79" spans="6:22">
      <c r="F79" s="292"/>
      <c r="M79" s="292"/>
      <c r="O79" s="292"/>
      <c r="Q79" s="292"/>
      <c r="R79" s="292"/>
      <c r="S79" s="292"/>
      <c r="T79" s="292"/>
      <c r="U79" s="292"/>
      <c r="V79" s="292"/>
    </row>
    <row r="80" spans="6:22">
      <c r="F80" s="292"/>
      <c r="M80" s="292"/>
      <c r="O80" s="292"/>
      <c r="Q80" s="292"/>
      <c r="R80" s="292"/>
      <c r="S80" s="292"/>
      <c r="T80" s="292"/>
      <c r="U80" s="292"/>
      <c r="V80" s="292"/>
    </row>
    <row r="81" spans="6:22">
      <c r="F81" s="292"/>
      <c r="M81" s="292"/>
      <c r="O81" s="292"/>
      <c r="Q81" s="292"/>
      <c r="R81" s="292"/>
      <c r="S81" s="292"/>
      <c r="T81" s="292"/>
      <c r="U81" s="292"/>
      <c r="V81" s="292"/>
    </row>
    <row r="82" spans="6:22">
      <c r="F82" s="292"/>
      <c r="M82" s="292"/>
      <c r="O82" s="292"/>
      <c r="Q82" s="292"/>
      <c r="R82" s="292"/>
      <c r="S82" s="292"/>
      <c r="T82" s="292"/>
      <c r="U82" s="292"/>
      <c r="V82" s="292"/>
    </row>
    <row r="83" spans="6:22">
      <c r="F83" s="292"/>
      <c r="M83" s="292"/>
      <c r="O83" s="292"/>
      <c r="Q83" s="292"/>
      <c r="R83" s="292"/>
      <c r="S83" s="292"/>
      <c r="T83" s="292"/>
      <c r="U83" s="292"/>
      <c r="V83" s="292"/>
    </row>
    <row r="84" spans="6:22">
      <c r="F84" s="292"/>
      <c r="M84" s="292"/>
      <c r="O84" s="292"/>
      <c r="Q84" s="292"/>
      <c r="R84" s="292"/>
      <c r="S84" s="292"/>
      <c r="T84" s="292"/>
      <c r="U84" s="292"/>
      <c r="V84" s="292"/>
    </row>
    <row r="85" spans="6:22">
      <c r="F85" s="292"/>
      <c r="M85" s="292"/>
      <c r="O85" s="292"/>
      <c r="Q85" s="292"/>
      <c r="R85" s="292"/>
      <c r="S85" s="292"/>
      <c r="T85" s="292"/>
      <c r="U85" s="292"/>
      <c r="V85" s="292"/>
    </row>
    <row r="86" spans="6:22">
      <c r="F86" s="292"/>
      <c r="M86" s="292"/>
      <c r="O86" s="292"/>
      <c r="Q86" s="292"/>
      <c r="R86" s="292"/>
      <c r="S86" s="292"/>
      <c r="T86" s="292"/>
      <c r="U86" s="292"/>
      <c r="V86" s="292"/>
    </row>
    <row r="87" spans="6:22">
      <c r="F87" s="292"/>
      <c r="M87" s="292"/>
      <c r="O87" s="292"/>
      <c r="Q87" s="292"/>
      <c r="R87" s="292"/>
      <c r="S87" s="292"/>
      <c r="T87" s="292"/>
      <c r="U87" s="292"/>
      <c r="V87" s="292"/>
    </row>
    <row r="88" spans="6:22">
      <c r="F88" s="292"/>
      <c r="M88" s="292"/>
      <c r="O88" s="292"/>
      <c r="Q88" s="292"/>
      <c r="R88" s="292"/>
      <c r="S88" s="292"/>
      <c r="T88" s="292"/>
      <c r="U88" s="292"/>
      <c r="V88" s="292"/>
    </row>
    <row r="89" spans="6:22">
      <c r="F89" s="292"/>
      <c r="M89" s="292"/>
      <c r="O89" s="292"/>
      <c r="Q89" s="292"/>
      <c r="R89" s="292"/>
      <c r="S89" s="292"/>
      <c r="T89" s="292"/>
      <c r="U89" s="292"/>
      <c r="V89" s="292"/>
    </row>
    <row r="90" spans="6:22">
      <c r="F90" s="292"/>
      <c r="M90" s="292"/>
      <c r="O90" s="292"/>
      <c r="Q90" s="292"/>
      <c r="R90" s="292"/>
      <c r="S90" s="292"/>
      <c r="T90" s="292"/>
      <c r="U90" s="292"/>
      <c r="V90" s="292"/>
    </row>
    <row r="91" spans="6:22">
      <c r="F91" s="292"/>
      <c r="M91" s="292"/>
      <c r="O91" s="292"/>
      <c r="Q91" s="292"/>
      <c r="R91" s="292"/>
      <c r="S91" s="292"/>
      <c r="T91" s="292"/>
      <c r="U91" s="292"/>
      <c r="V91" s="292"/>
    </row>
    <row r="92" spans="6:22">
      <c r="F92" s="292"/>
      <c r="M92" s="292"/>
      <c r="O92" s="292"/>
      <c r="Q92" s="292"/>
      <c r="R92" s="292"/>
      <c r="S92" s="292"/>
      <c r="T92" s="292"/>
      <c r="U92" s="292"/>
      <c r="V92" s="292"/>
    </row>
    <row r="93" spans="6:22">
      <c r="F93" s="292"/>
      <c r="M93" s="292"/>
      <c r="O93" s="292"/>
      <c r="Q93" s="292"/>
      <c r="R93" s="292"/>
      <c r="S93" s="292"/>
      <c r="T93" s="292"/>
      <c r="U93" s="292"/>
      <c r="V93" s="292"/>
    </row>
    <row r="94" spans="6:22">
      <c r="F94" s="292"/>
      <c r="M94" s="292"/>
      <c r="O94" s="292"/>
      <c r="Q94" s="292"/>
      <c r="R94" s="292"/>
      <c r="S94" s="292"/>
      <c r="T94" s="292"/>
      <c r="U94" s="292"/>
      <c r="V94" s="292"/>
    </row>
    <row r="95" spans="6:22">
      <c r="F95" s="292"/>
      <c r="M95" s="292"/>
      <c r="O95" s="292"/>
      <c r="Q95" s="292"/>
      <c r="R95" s="292"/>
      <c r="S95" s="292"/>
      <c r="T95" s="292"/>
      <c r="U95" s="292"/>
      <c r="V95" s="292"/>
    </row>
    <row r="96" spans="6:22">
      <c r="F96" s="292"/>
      <c r="M96" s="292"/>
      <c r="O96" s="292"/>
      <c r="Q96" s="292"/>
      <c r="R96" s="292"/>
      <c r="S96" s="292"/>
      <c r="T96" s="292"/>
      <c r="U96" s="292"/>
      <c r="V96" s="292"/>
    </row>
    <row r="97" spans="6:22">
      <c r="F97" s="292"/>
      <c r="M97" s="292"/>
      <c r="O97" s="292"/>
      <c r="Q97" s="292"/>
      <c r="R97" s="292"/>
      <c r="S97" s="292"/>
      <c r="T97" s="292"/>
      <c r="U97" s="292"/>
      <c r="V97" s="292"/>
    </row>
    <row r="98" spans="6:22">
      <c r="F98" s="292"/>
      <c r="M98" s="292"/>
      <c r="O98" s="292"/>
      <c r="Q98" s="292"/>
      <c r="R98" s="292"/>
      <c r="S98" s="292"/>
      <c r="T98" s="292"/>
      <c r="U98" s="292"/>
      <c r="V98" s="292"/>
    </row>
    <row r="99" spans="6:22">
      <c r="F99" s="292"/>
      <c r="M99" s="292"/>
      <c r="O99" s="292"/>
      <c r="Q99" s="292"/>
      <c r="R99" s="292"/>
      <c r="S99" s="292"/>
      <c r="T99" s="292"/>
      <c r="U99" s="292"/>
      <c r="V99" s="292"/>
    </row>
    <row r="100" spans="6:22">
      <c r="F100" s="292"/>
      <c r="M100" s="292"/>
      <c r="O100" s="292"/>
      <c r="Q100" s="292"/>
      <c r="R100" s="292"/>
      <c r="S100" s="292"/>
      <c r="T100" s="292"/>
      <c r="U100" s="292"/>
      <c r="V100" s="292"/>
    </row>
    <row r="101" spans="6:22">
      <c r="F101" s="292"/>
      <c r="M101" s="292"/>
      <c r="O101" s="292"/>
      <c r="Q101" s="292"/>
      <c r="R101" s="292"/>
      <c r="S101" s="292"/>
      <c r="T101" s="292"/>
      <c r="U101" s="292"/>
      <c r="V101" s="292"/>
    </row>
    <row r="102" spans="6:22">
      <c r="F102" s="292"/>
      <c r="M102" s="292"/>
      <c r="O102" s="292"/>
      <c r="Q102" s="292"/>
      <c r="R102" s="292"/>
      <c r="S102" s="292"/>
      <c r="T102" s="292"/>
      <c r="U102" s="292"/>
      <c r="V102" s="292"/>
    </row>
    <row r="103" spans="6:22">
      <c r="F103" s="292"/>
      <c r="M103" s="292"/>
      <c r="O103" s="292"/>
      <c r="Q103" s="292"/>
      <c r="R103" s="292"/>
      <c r="S103" s="292"/>
      <c r="T103" s="292"/>
      <c r="U103" s="292"/>
      <c r="V103" s="292"/>
    </row>
    <row r="104" spans="6:22">
      <c r="F104" s="292"/>
      <c r="M104" s="292"/>
      <c r="O104" s="292"/>
      <c r="Q104" s="292"/>
      <c r="R104" s="292"/>
      <c r="S104" s="292"/>
      <c r="T104" s="292"/>
      <c r="U104" s="292"/>
      <c r="V104" s="292"/>
    </row>
    <row r="105" spans="6:22">
      <c r="F105" s="292"/>
      <c r="M105" s="292"/>
      <c r="O105" s="292"/>
      <c r="Q105" s="292"/>
      <c r="R105" s="292"/>
      <c r="S105" s="292"/>
      <c r="T105" s="292"/>
      <c r="U105" s="292"/>
      <c r="V105" s="292"/>
    </row>
    <row r="106" spans="6:22">
      <c r="F106" s="292"/>
      <c r="M106" s="292"/>
      <c r="O106" s="292"/>
      <c r="Q106" s="292"/>
      <c r="R106" s="292"/>
      <c r="S106" s="292"/>
      <c r="T106" s="292"/>
      <c r="U106" s="292"/>
      <c r="V106" s="292"/>
    </row>
    <row r="107" spans="6:22">
      <c r="F107" s="292"/>
      <c r="M107" s="292"/>
      <c r="O107" s="292"/>
      <c r="Q107" s="292"/>
      <c r="R107" s="292"/>
      <c r="S107" s="292"/>
      <c r="T107" s="292"/>
      <c r="U107" s="292"/>
      <c r="V107" s="292"/>
    </row>
    <row r="108" spans="6:22">
      <c r="F108" s="292"/>
      <c r="M108" s="292"/>
      <c r="O108" s="292"/>
      <c r="Q108" s="292"/>
      <c r="R108" s="292"/>
      <c r="S108" s="292"/>
      <c r="T108" s="292"/>
      <c r="U108" s="292"/>
      <c r="V108" s="292"/>
    </row>
    <row r="109" spans="6:22">
      <c r="F109" s="292"/>
      <c r="M109" s="292"/>
      <c r="O109" s="292"/>
      <c r="Q109" s="292"/>
      <c r="R109" s="292"/>
      <c r="S109" s="292"/>
      <c r="T109" s="292"/>
      <c r="U109" s="292"/>
      <c r="V109" s="292"/>
    </row>
    <row r="110" spans="6:22">
      <c r="F110" s="292"/>
      <c r="M110" s="292"/>
      <c r="O110" s="292"/>
      <c r="Q110" s="292"/>
      <c r="R110" s="292"/>
      <c r="S110" s="292"/>
      <c r="T110" s="292"/>
      <c r="U110" s="292"/>
      <c r="V110" s="292"/>
    </row>
    <row r="111" spans="6:22">
      <c r="M111" s="292"/>
      <c r="O111" s="292"/>
      <c r="Q111" s="292"/>
      <c r="R111" s="292"/>
      <c r="S111" s="292"/>
      <c r="T111" s="292"/>
      <c r="U111" s="292"/>
      <c r="V111" s="292"/>
    </row>
    <row r="112" spans="6:22">
      <c r="M112" s="292"/>
      <c r="O112" s="292"/>
      <c r="Q112" s="292"/>
      <c r="R112" s="292"/>
      <c r="S112" s="292"/>
      <c r="T112" s="292"/>
      <c r="U112" s="292"/>
      <c r="V112" s="292"/>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3" customWidth="1"/>
    <col min="2" max="2" width="8.42578125" style="253" customWidth="1"/>
    <col min="3" max="3" width="7.42578125" style="253" customWidth="1"/>
    <col min="4" max="4" width="8.42578125" style="253" customWidth="1"/>
    <col min="5" max="5" width="37.28515625" style="253" customWidth="1"/>
    <col min="6" max="6" width="12.7109375" style="253" customWidth="1"/>
    <col min="7" max="8" width="5.85546875" style="254" customWidth="1"/>
    <col min="9" max="9" width="4.85546875" style="253" customWidth="1"/>
    <col min="10" max="10" width="12.5703125" style="253" customWidth="1"/>
    <col min="11" max="11" width="12.28515625" style="253" customWidth="1"/>
    <col min="12" max="12" width="12.85546875" style="253" customWidth="1"/>
    <col min="13" max="13" width="12.7109375" style="253" customWidth="1"/>
    <col min="14" max="14" width="12.85546875" style="253" customWidth="1"/>
    <col min="15" max="15" width="12.7109375" style="253" customWidth="1"/>
    <col min="16" max="16" width="11.85546875" style="253" customWidth="1"/>
    <col min="17" max="17" width="5" style="253" customWidth="1"/>
    <col min="18" max="18" width="11.28515625" style="253" customWidth="1"/>
    <col min="19" max="19" width="11.42578125" style="253" customWidth="1"/>
    <col min="20" max="20" width="13.140625" style="253" customWidth="1"/>
    <col min="21" max="21" width="6" style="253" customWidth="1"/>
    <col min="22" max="22" width="13.5703125" style="253" customWidth="1"/>
    <col min="23" max="23" width="13.42578125" style="253" customWidth="1"/>
    <col min="24" max="24" width="6.5703125" style="253" customWidth="1"/>
    <col min="25" max="25" width="6.42578125" style="253" customWidth="1"/>
    <col min="26" max="26" width="9.5703125" style="253" customWidth="1"/>
    <col min="27" max="27" width="9.42578125" style="253" customWidth="1"/>
    <col min="28" max="29" width="11.28515625" style="253" customWidth="1"/>
    <col min="30" max="30" width="5.28515625" style="253" customWidth="1"/>
    <col min="31" max="31" width="15" style="253" customWidth="1"/>
    <col min="32" max="32" width="5.28515625" style="253" customWidth="1"/>
    <col min="33" max="33" width="15" style="253" customWidth="1"/>
    <col min="34" max="34" width="4.85546875" style="253" customWidth="1"/>
    <col min="35" max="35" width="13.85546875" style="253" customWidth="1"/>
    <col min="36" max="36" width="11.5703125" style="253" customWidth="1"/>
    <col min="37" max="37" width="5.7109375" style="253" customWidth="1"/>
    <col min="38" max="38" width="12.42578125" style="253" customWidth="1"/>
    <col min="39" max="39" width="10.85546875" style="253" customWidth="1"/>
    <col min="40" max="40" width="9.85546875" style="253" customWidth="1"/>
    <col min="41" max="41" width="9.7109375" style="253" customWidth="1"/>
    <col min="42" max="42" width="13.140625" style="253" customWidth="1"/>
    <col min="43" max="43" width="12.5703125" style="253" customWidth="1"/>
    <col min="44" max="45" width="14.28515625" style="253" customWidth="1"/>
    <col min="46" max="46" width="7" style="253" customWidth="1"/>
    <col min="47" max="47" width="7.5703125" style="253" customWidth="1"/>
    <col min="48" max="48" width="4.7109375" style="253" customWidth="1"/>
    <col min="49" max="49" width="9.5703125" style="253" customWidth="1"/>
    <col min="50" max="51" width="12.28515625" style="253" customWidth="1"/>
    <col min="52" max="52" width="15.7109375" style="253" customWidth="1"/>
    <col min="53" max="53" width="15.85546875" style="253" customWidth="1"/>
    <col min="54" max="16384" width="9.140625" style="253"/>
  </cols>
  <sheetData>
    <row r="1" spans="1:105" ht="12.75" customHeight="1">
      <c r="A1" s="249"/>
      <c r="B1" s="250" t="s">
        <v>121</v>
      </c>
      <c r="C1" s="251"/>
      <c r="D1" s="251"/>
      <c r="E1" s="252"/>
      <c r="I1" s="251"/>
      <c r="M1" s="1310" t="str">
        <f>'SC-I'!M1:S1</f>
        <v>Mẫu số S01-DN</v>
      </c>
      <c r="N1" s="1310"/>
      <c r="O1" s="1310"/>
      <c r="P1" s="1310"/>
      <c r="Q1" s="1310"/>
      <c r="R1" s="1310"/>
      <c r="S1" s="1310"/>
      <c r="X1" s="251"/>
      <c r="Y1" s="251"/>
      <c r="Z1" s="251"/>
      <c r="AA1" s="251"/>
      <c r="AB1" s="252"/>
      <c r="AC1" s="252"/>
      <c r="AD1" s="252"/>
      <c r="AE1" s="252"/>
      <c r="AF1" s="252"/>
      <c r="AG1" s="252"/>
      <c r="AH1" s="252"/>
      <c r="AI1" s="252"/>
      <c r="AJ1" s="252"/>
      <c r="AK1" s="252"/>
      <c r="AL1" s="251"/>
      <c r="AM1" s="251"/>
      <c r="AN1" s="251"/>
      <c r="AO1" s="251"/>
      <c r="AP1" s="251"/>
      <c r="AQ1" s="251"/>
      <c r="AR1" s="251"/>
      <c r="AS1" s="251"/>
      <c r="AT1" s="251"/>
      <c r="AU1" s="251"/>
      <c r="AV1" s="251"/>
      <c r="AW1" s="251"/>
      <c r="AX1" s="251"/>
      <c r="AY1" s="251"/>
      <c r="AZ1" s="251"/>
      <c r="BA1" s="251"/>
    </row>
    <row r="2" spans="1:105" ht="12.75" customHeight="1">
      <c r="A2" s="249"/>
      <c r="B2" s="250" t="s">
        <v>179</v>
      </c>
      <c r="C2" s="251"/>
      <c r="D2" s="251"/>
      <c r="E2" s="251"/>
      <c r="I2" s="255"/>
      <c r="M2" s="1311" t="str">
        <f>'SC-I'!M2:S3</f>
        <v>(Ban hành theo Thông tư số 200/2014/TT-BTC  Ngày 22/12/2014 của Bộ Tài chính)</v>
      </c>
      <c r="N2" s="1311"/>
      <c r="O2" s="1311"/>
      <c r="P2" s="1311"/>
      <c r="Q2" s="1311"/>
      <c r="R2" s="1311"/>
      <c r="S2" s="1311"/>
      <c r="X2" s="255"/>
      <c r="Y2" s="255"/>
      <c r="Z2" s="255"/>
      <c r="AA2" s="255"/>
      <c r="AB2" s="256"/>
      <c r="AC2" s="256"/>
      <c r="AD2" s="256"/>
      <c r="AE2" s="256"/>
      <c r="AF2" s="256"/>
      <c r="AG2" s="256"/>
      <c r="AH2" s="256"/>
      <c r="AI2" s="256"/>
      <c r="AJ2" s="256"/>
      <c r="AK2" s="256"/>
      <c r="AL2" s="255"/>
      <c r="AM2" s="255"/>
      <c r="AN2" s="255"/>
      <c r="AO2" s="255"/>
      <c r="AP2" s="255"/>
      <c r="AQ2" s="255"/>
      <c r="AR2" s="255"/>
      <c r="AS2" s="255"/>
      <c r="AT2" s="255"/>
      <c r="AU2" s="255"/>
      <c r="AV2" s="255"/>
      <c r="AW2" s="255"/>
      <c r="AX2" s="255"/>
      <c r="AY2" s="255"/>
      <c r="AZ2" s="255"/>
      <c r="BA2" s="255"/>
    </row>
    <row r="3" spans="1:105" ht="10.5" customHeight="1">
      <c r="A3" s="251"/>
      <c r="B3" s="251"/>
      <c r="C3" s="251"/>
      <c r="D3" s="251"/>
      <c r="E3" s="251"/>
      <c r="F3" s="255"/>
      <c r="G3" s="257"/>
      <c r="H3" s="257"/>
      <c r="I3" s="255"/>
      <c r="M3" s="1311"/>
      <c r="N3" s="1311"/>
      <c r="O3" s="1311"/>
      <c r="P3" s="1311"/>
      <c r="Q3" s="1311"/>
      <c r="R3" s="1311"/>
      <c r="S3" s="1311"/>
      <c r="X3" s="255"/>
      <c r="Y3" s="255"/>
      <c r="Z3" s="255"/>
      <c r="AA3" s="255"/>
      <c r="AB3" s="256"/>
      <c r="AC3" s="256"/>
      <c r="AD3" s="256"/>
      <c r="AE3" s="256"/>
      <c r="AF3" s="256"/>
      <c r="AG3" s="256"/>
      <c r="AH3" s="256"/>
      <c r="AI3" s="256"/>
      <c r="AJ3" s="256"/>
      <c r="AK3" s="256"/>
      <c r="AL3" s="255"/>
      <c r="AM3" s="255"/>
      <c r="AN3" s="255"/>
      <c r="AO3" s="255"/>
      <c r="AP3" s="255"/>
      <c r="AQ3" s="255"/>
      <c r="AR3" s="255"/>
      <c r="AS3" s="255"/>
      <c r="AT3" s="255"/>
      <c r="AU3" s="255"/>
      <c r="AV3" s="255"/>
      <c r="AW3" s="255"/>
      <c r="AX3" s="255"/>
      <c r="AY3" s="255"/>
      <c r="AZ3" s="255"/>
      <c r="BA3" s="255"/>
    </row>
    <row r="4" spans="1:105" ht="19.5" customHeight="1">
      <c r="B4" s="1312" t="s">
        <v>112</v>
      </c>
      <c r="C4" s="1312"/>
      <c r="D4" s="1312"/>
      <c r="E4" s="1312"/>
      <c r="F4" s="1312"/>
      <c r="G4" s="1312"/>
      <c r="H4" s="1312"/>
      <c r="I4" s="1312"/>
      <c r="J4" s="1312"/>
      <c r="K4" s="1312"/>
      <c r="L4" s="1312"/>
      <c r="M4" s="1312"/>
      <c r="N4" s="1312"/>
      <c r="O4" s="1312"/>
      <c r="P4" s="1312"/>
      <c r="Q4" s="1312"/>
      <c r="R4" s="1312"/>
      <c r="S4" s="258"/>
      <c r="T4" s="258"/>
      <c r="U4" s="258"/>
      <c r="V4" s="258"/>
      <c r="W4" s="258"/>
      <c r="X4" s="259"/>
      <c r="Y4" s="259"/>
      <c r="Z4" s="260"/>
      <c r="AA4" s="260"/>
      <c r="AB4" s="258"/>
      <c r="AC4" s="258"/>
      <c r="AD4" s="258"/>
      <c r="AE4" s="258"/>
      <c r="AF4" s="258"/>
      <c r="AG4" s="258"/>
      <c r="AH4" s="258"/>
      <c r="AI4" s="258"/>
      <c r="AJ4" s="258"/>
      <c r="AK4" s="258"/>
      <c r="AL4" s="260"/>
      <c r="AM4" s="260"/>
      <c r="AN4" s="260"/>
      <c r="AO4" s="260"/>
      <c r="AP4" s="260"/>
      <c r="AQ4" s="260"/>
      <c r="AR4" s="260"/>
      <c r="AS4" s="260"/>
      <c r="AT4" s="260"/>
      <c r="AU4" s="260"/>
      <c r="AV4" s="260"/>
      <c r="AW4" s="260"/>
      <c r="AX4" s="260"/>
      <c r="AY4" s="260"/>
      <c r="AZ4" s="260"/>
      <c r="BA4" s="260"/>
    </row>
    <row r="5" spans="1:105" ht="15">
      <c r="B5" s="1313" t="s">
        <v>219</v>
      </c>
      <c r="C5" s="1313"/>
      <c r="D5" s="1313"/>
      <c r="E5" s="1313"/>
      <c r="F5" s="1313"/>
      <c r="G5" s="1313"/>
      <c r="H5" s="1313"/>
      <c r="I5" s="1313"/>
      <c r="J5" s="1313"/>
      <c r="K5" s="1313"/>
      <c r="L5" s="1313"/>
      <c r="M5" s="1313"/>
      <c r="N5" s="1313"/>
      <c r="O5" s="1313"/>
      <c r="P5" s="1313"/>
      <c r="Q5" s="1313"/>
      <c r="R5" s="1313"/>
      <c r="S5" s="261"/>
      <c r="T5" s="261"/>
      <c r="U5" s="261"/>
      <c r="V5" s="261"/>
      <c r="W5" s="261"/>
      <c r="X5" s="262"/>
      <c r="Y5" s="262"/>
      <c r="AB5" s="261"/>
      <c r="AC5" s="261"/>
      <c r="AD5" s="261"/>
      <c r="AE5" s="261"/>
      <c r="AF5" s="261"/>
      <c r="AG5" s="261"/>
      <c r="AH5" s="261"/>
      <c r="AI5" s="261"/>
      <c r="AJ5" s="261"/>
      <c r="AK5" s="261"/>
    </row>
    <row r="6" spans="1:105">
      <c r="P6" s="253" t="s">
        <v>148</v>
      </c>
    </row>
    <row r="7" spans="1:105" ht="13.5" customHeight="1">
      <c r="A7" s="1314" t="s">
        <v>37</v>
      </c>
      <c r="B7" s="1308" t="s">
        <v>22</v>
      </c>
      <c r="C7" s="1316" t="s">
        <v>1</v>
      </c>
      <c r="D7" s="1317"/>
      <c r="E7" s="1308" t="s">
        <v>0</v>
      </c>
      <c r="F7" s="1308" t="s">
        <v>113</v>
      </c>
      <c r="G7" s="1318" t="s">
        <v>114</v>
      </c>
      <c r="H7" s="1318"/>
      <c r="I7" s="1309" t="s">
        <v>37</v>
      </c>
      <c r="J7" s="1308" t="s">
        <v>192</v>
      </c>
      <c r="K7" s="1308"/>
      <c r="L7" s="1308" t="s">
        <v>193</v>
      </c>
      <c r="M7" s="1308"/>
      <c r="N7" s="1308" t="s">
        <v>268</v>
      </c>
      <c r="O7" s="1308"/>
      <c r="P7" s="1308" t="s">
        <v>966</v>
      </c>
      <c r="Q7" s="1308"/>
      <c r="R7" s="1308" t="s">
        <v>194</v>
      </c>
      <c r="S7" s="1308"/>
      <c r="T7" s="1308" t="s">
        <v>195</v>
      </c>
      <c r="U7" s="1308"/>
      <c r="V7" s="1308" t="s">
        <v>967</v>
      </c>
      <c r="W7" s="1308"/>
      <c r="X7" s="1308" t="s">
        <v>968</v>
      </c>
      <c r="Y7" s="1308"/>
      <c r="Z7" s="1308" t="s">
        <v>969</v>
      </c>
      <c r="AA7" s="1308"/>
      <c r="AB7" s="1308" t="s">
        <v>970</v>
      </c>
      <c r="AC7" s="1308"/>
      <c r="AD7" s="1308" t="s">
        <v>971</v>
      </c>
      <c r="AE7" s="1308"/>
      <c r="AF7" s="1308" t="s">
        <v>972</v>
      </c>
      <c r="AG7" s="1308"/>
      <c r="AH7" s="1308" t="s">
        <v>973</v>
      </c>
      <c r="AI7" s="1308"/>
      <c r="AJ7" s="1308" t="s">
        <v>974</v>
      </c>
      <c r="AK7" s="1308"/>
      <c r="AL7" s="1308" t="s">
        <v>975</v>
      </c>
      <c r="AM7" s="1308"/>
      <c r="AN7" s="1308" t="s">
        <v>976</v>
      </c>
      <c r="AO7" s="1308"/>
      <c r="AP7" s="1308" t="s">
        <v>977</v>
      </c>
      <c r="AQ7" s="1308"/>
      <c r="AR7" s="1308" t="s">
        <v>978</v>
      </c>
      <c r="AS7" s="1308"/>
      <c r="AT7" s="1308" t="s">
        <v>196</v>
      </c>
      <c r="AU7" s="1308"/>
      <c r="AV7" s="1308" t="s">
        <v>197</v>
      </c>
      <c r="AW7" s="1308"/>
      <c r="AX7" s="1308" t="s">
        <v>979</v>
      </c>
      <c r="AY7" s="1308"/>
      <c r="AZ7" s="1308" t="s">
        <v>980</v>
      </c>
      <c r="BA7" s="1308"/>
      <c r="BB7" s="1308" t="s">
        <v>981</v>
      </c>
      <c r="BC7" s="1308"/>
      <c r="BD7" s="1308" t="s">
        <v>198</v>
      </c>
      <c r="BE7" s="1308"/>
      <c r="BF7" s="1308" t="s">
        <v>982</v>
      </c>
      <c r="BG7" s="1308"/>
      <c r="BH7" s="1308" t="s">
        <v>199</v>
      </c>
      <c r="BI7" s="1308"/>
      <c r="BJ7" s="1308" t="s">
        <v>983</v>
      </c>
      <c r="BK7" s="1308"/>
      <c r="BL7" s="1308" t="s">
        <v>984</v>
      </c>
      <c r="BM7" s="1308"/>
      <c r="BN7" s="1308" t="s">
        <v>985</v>
      </c>
      <c r="BO7" s="1308"/>
      <c r="BP7" s="1308" t="s">
        <v>986</v>
      </c>
      <c r="BQ7" s="1308"/>
      <c r="BR7" s="1308" t="s">
        <v>200</v>
      </c>
      <c r="BS7" s="1308"/>
      <c r="BT7" s="1308" t="s">
        <v>201</v>
      </c>
      <c r="BU7" s="1308"/>
      <c r="BV7" s="1308" t="s">
        <v>263</v>
      </c>
      <c r="BW7" s="1308"/>
      <c r="BX7" s="1308" t="s">
        <v>202</v>
      </c>
      <c r="BY7" s="1308"/>
      <c r="BZ7" s="1308" t="s">
        <v>203</v>
      </c>
      <c r="CA7" s="1308"/>
      <c r="CB7" s="1308" t="s">
        <v>204</v>
      </c>
      <c r="CC7" s="1308"/>
      <c r="CD7" s="1308" t="s">
        <v>987</v>
      </c>
      <c r="CE7" s="1308"/>
      <c r="CF7" s="1308" t="s">
        <v>988</v>
      </c>
      <c r="CG7" s="1308"/>
      <c r="CH7" s="1308" t="s">
        <v>205</v>
      </c>
      <c r="CI7" s="1308"/>
      <c r="CJ7" s="1308" t="s">
        <v>989</v>
      </c>
      <c r="CK7" s="1308"/>
      <c r="CL7" s="1308" t="s">
        <v>990</v>
      </c>
      <c r="CM7" s="1308"/>
      <c r="CN7" s="1308" t="s">
        <v>206</v>
      </c>
      <c r="CO7" s="1308"/>
      <c r="CP7" s="1308" t="s">
        <v>991</v>
      </c>
      <c r="CQ7" s="1308"/>
      <c r="CR7" s="1308" t="s">
        <v>207</v>
      </c>
      <c r="CS7" s="1308"/>
      <c r="CT7" s="1308" t="s">
        <v>208</v>
      </c>
      <c r="CU7" s="1308"/>
      <c r="CV7" s="1308" t="s">
        <v>209</v>
      </c>
      <c r="CW7" s="1308"/>
      <c r="CX7" s="1308" t="s">
        <v>210</v>
      </c>
      <c r="CY7" s="1308"/>
      <c r="CZ7" s="1308" t="s">
        <v>211</v>
      </c>
      <c r="DA7" s="1308"/>
    </row>
    <row r="8" spans="1:105" ht="22.5" customHeight="1">
      <c r="A8" s="1315"/>
      <c r="B8" s="1308"/>
      <c r="C8" s="980" t="s">
        <v>17</v>
      </c>
      <c r="D8" s="979" t="s">
        <v>34</v>
      </c>
      <c r="E8" s="1308"/>
      <c r="F8" s="1308"/>
      <c r="G8" s="981" t="s">
        <v>24</v>
      </c>
      <c r="H8" s="981" t="s">
        <v>25</v>
      </c>
      <c r="I8" s="1309"/>
      <c r="J8" s="979" t="s">
        <v>24</v>
      </c>
      <c r="K8" s="979" t="s">
        <v>25</v>
      </c>
      <c r="L8" s="979" t="s">
        <v>24</v>
      </c>
      <c r="M8" s="979" t="s">
        <v>25</v>
      </c>
      <c r="N8" s="979" t="s">
        <v>24</v>
      </c>
      <c r="O8" s="979" t="s">
        <v>25</v>
      </c>
      <c r="P8" s="979" t="s">
        <v>24</v>
      </c>
      <c r="Q8" s="979" t="s">
        <v>25</v>
      </c>
      <c r="R8" s="979" t="s">
        <v>24</v>
      </c>
      <c r="S8" s="979" t="s">
        <v>25</v>
      </c>
      <c r="T8" s="979" t="s">
        <v>24</v>
      </c>
      <c r="U8" s="979" t="s">
        <v>25</v>
      </c>
      <c r="V8" s="979" t="s">
        <v>24</v>
      </c>
      <c r="W8" s="979" t="s">
        <v>25</v>
      </c>
      <c r="X8" s="979" t="s">
        <v>24</v>
      </c>
      <c r="Y8" s="979" t="s">
        <v>25</v>
      </c>
      <c r="Z8" s="979" t="s">
        <v>24</v>
      </c>
      <c r="AA8" s="979" t="s">
        <v>25</v>
      </c>
      <c r="AB8" s="979" t="s">
        <v>24</v>
      </c>
      <c r="AC8" s="979" t="s">
        <v>25</v>
      </c>
      <c r="AD8" s="979" t="s">
        <v>24</v>
      </c>
      <c r="AE8" s="979" t="s">
        <v>25</v>
      </c>
      <c r="AF8" s="979" t="s">
        <v>24</v>
      </c>
      <c r="AG8" s="979" t="s">
        <v>25</v>
      </c>
      <c r="AH8" s="979" t="s">
        <v>24</v>
      </c>
      <c r="AI8" s="979" t="s">
        <v>25</v>
      </c>
      <c r="AJ8" s="979" t="s">
        <v>24</v>
      </c>
      <c r="AK8" s="979" t="s">
        <v>25</v>
      </c>
      <c r="AL8" s="979" t="s">
        <v>24</v>
      </c>
      <c r="AM8" s="979" t="s">
        <v>25</v>
      </c>
      <c r="AN8" s="979" t="s">
        <v>24</v>
      </c>
      <c r="AO8" s="979" t="s">
        <v>25</v>
      </c>
      <c r="AP8" s="979" t="s">
        <v>24</v>
      </c>
      <c r="AQ8" s="979" t="s">
        <v>25</v>
      </c>
      <c r="AR8" s="979" t="s">
        <v>24</v>
      </c>
      <c r="AS8" s="979" t="s">
        <v>25</v>
      </c>
      <c r="AT8" s="979" t="s">
        <v>24</v>
      </c>
      <c r="AU8" s="979" t="s">
        <v>25</v>
      </c>
      <c r="AV8" s="979" t="s">
        <v>24</v>
      </c>
      <c r="AW8" s="979" t="s">
        <v>25</v>
      </c>
      <c r="AX8" s="979" t="s">
        <v>24</v>
      </c>
      <c r="AY8" s="979" t="s">
        <v>25</v>
      </c>
      <c r="AZ8" s="979" t="s">
        <v>24</v>
      </c>
      <c r="BA8" s="979" t="s">
        <v>25</v>
      </c>
      <c r="BB8" s="979" t="s">
        <v>24</v>
      </c>
      <c r="BC8" s="979" t="s">
        <v>25</v>
      </c>
      <c r="BD8" s="979" t="s">
        <v>24</v>
      </c>
      <c r="BE8" s="979" t="s">
        <v>25</v>
      </c>
      <c r="BF8" s="979" t="s">
        <v>24</v>
      </c>
      <c r="BG8" s="979" t="s">
        <v>25</v>
      </c>
      <c r="BH8" s="979" t="s">
        <v>24</v>
      </c>
      <c r="BI8" s="979" t="s">
        <v>25</v>
      </c>
      <c r="BJ8" s="979" t="s">
        <v>24</v>
      </c>
      <c r="BK8" s="979" t="s">
        <v>25</v>
      </c>
      <c r="BL8" s="979" t="s">
        <v>24</v>
      </c>
      <c r="BM8" s="979" t="s">
        <v>25</v>
      </c>
      <c r="BN8" s="979" t="s">
        <v>24</v>
      </c>
      <c r="BO8" s="979" t="s">
        <v>25</v>
      </c>
      <c r="BP8" s="979" t="s">
        <v>24</v>
      </c>
      <c r="BQ8" s="979" t="s">
        <v>25</v>
      </c>
      <c r="BR8" s="979" t="s">
        <v>24</v>
      </c>
      <c r="BS8" s="979" t="s">
        <v>25</v>
      </c>
      <c r="BT8" s="979" t="s">
        <v>24</v>
      </c>
      <c r="BU8" s="979" t="s">
        <v>25</v>
      </c>
      <c r="BV8" s="979" t="s">
        <v>24</v>
      </c>
      <c r="BW8" s="979" t="s">
        <v>25</v>
      </c>
      <c r="BX8" s="979" t="s">
        <v>24</v>
      </c>
      <c r="BY8" s="979" t="s">
        <v>25</v>
      </c>
      <c r="BZ8" s="979" t="s">
        <v>24</v>
      </c>
      <c r="CA8" s="979" t="s">
        <v>25</v>
      </c>
      <c r="CB8" s="979" t="s">
        <v>24</v>
      </c>
      <c r="CC8" s="979" t="s">
        <v>25</v>
      </c>
      <c r="CD8" s="979" t="s">
        <v>24</v>
      </c>
      <c r="CE8" s="979" t="s">
        <v>25</v>
      </c>
      <c r="CF8" s="979" t="s">
        <v>24</v>
      </c>
      <c r="CG8" s="979" t="s">
        <v>25</v>
      </c>
      <c r="CH8" s="979" t="s">
        <v>24</v>
      </c>
      <c r="CI8" s="979" t="s">
        <v>25</v>
      </c>
      <c r="CJ8" s="979" t="s">
        <v>24</v>
      </c>
      <c r="CK8" s="979" t="s">
        <v>25</v>
      </c>
      <c r="CL8" s="979" t="s">
        <v>24</v>
      </c>
      <c r="CM8" s="979" t="s">
        <v>25</v>
      </c>
      <c r="CN8" s="979" t="s">
        <v>24</v>
      </c>
      <c r="CO8" s="979" t="s">
        <v>25</v>
      </c>
      <c r="CP8" s="979" t="s">
        <v>24</v>
      </c>
      <c r="CQ8" s="979" t="s">
        <v>25</v>
      </c>
      <c r="CR8" s="979" t="s">
        <v>24</v>
      </c>
      <c r="CS8" s="979" t="s">
        <v>25</v>
      </c>
      <c r="CT8" s="979" t="s">
        <v>24</v>
      </c>
      <c r="CU8" s="979" t="s">
        <v>25</v>
      </c>
      <c r="CV8" s="979" t="s">
        <v>24</v>
      </c>
      <c r="CW8" s="979" t="s">
        <v>25</v>
      </c>
      <c r="CX8" s="979" t="s">
        <v>24</v>
      </c>
      <c r="CY8" s="979" t="s">
        <v>25</v>
      </c>
      <c r="CZ8" s="979" t="s">
        <v>24</v>
      </c>
      <c r="DA8" s="979"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 ca="1">'SC-I'!J53</f>
        <v>3705039095</v>
      </c>
      <c r="K10" s="271">
        <f ca="1">'SC-I'!K53</f>
        <v>0</v>
      </c>
      <c r="L10" s="271">
        <f ca="1">'SC-I'!L53</f>
        <v>19829295</v>
      </c>
      <c r="M10" s="271">
        <f ca="1">'SC-I'!M53</f>
        <v>0</v>
      </c>
      <c r="N10" s="271">
        <f ca="1">'SC-I'!N53</f>
        <v>2236796790</v>
      </c>
      <c r="O10" s="271">
        <f ca="1">'SC-I'!O53</f>
        <v>0</v>
      </c>
      <c r="P10" s="271">
        <f ca="1">'SC-I'!P53</f>
        <v>3343381600</v>
      </c>
      <c r="Q10" s="271">
        <f ca="1">'SC-I'!Q53</f>
        <v>0</v>
      </c>
      <c r="R10" s="271">
        <f ca="1">'SC-I'!R53</f>
        <v>162420936</v>
      </c>
      <c r="S10" s="271">
        <f ca="1">'SC-I'!S53</f>
        <v>0</v>
      </c>
      <c r="T10" s="271">
        <f ca="1">'SC-I'!T53</f>
        <v>1500000000</v>
      </c>
      <c r="U10" s="271">
        <f ca="1">'SC-I'!U53</f>
        <v>0</v>
      </c>
      <c r="V10" s="271">
        <f ca="1">'SC-I'!V53</f>
        <v>0</v>
      </c>
      <c r="W10" s="271">
        <f ca="1">'SC-I'!W53</f>
        <v>0</v>
      </c>
      <c r="X10" s="271">
        <f ca="1">'SC-I'!X53</f>
        <v>2772400000</v>
      </c>
      <c r="Y10" s="271">
        <f ca="1">'SC-I'!Y53</f>
        <v>0</v>
      </c>
      <c r="Z10" s="271">
        <f ca="1">'SC-I'!Z53</f>
        <v>526519887</v>
      </c>
      <c r="AA10" s="271">
        <f ca="1">'SC-I'!AA53</f>
        <v>0</v>
      </c>
      <c r="AB10" s="271">
        <f ca="1">'SC-I'!AB53</f>
        <v>0</v>
      </c>
      <c r="AC10" s="271">
        <f ca="1">'SC-I'!AC53</f>
        <v>0</v>
      </c>
      <c r="AD10" s="271">
        <f ca="1">'SC-I'!AD53</f>
        <v>0</v>
      </c>
      <c r="AE10" s="271">
        <f ca="1">'SC-I'!AE53</f>
        <v>0</v>
      </c>
      <c r="AF10" s="271">
        <f ca="1">'SC-I'!AF53</f>
        <v>9386323824</v>
      </c>
      <c r="AG10" s="271">
        <f ca="1">'SC-I'!AG53</f>
        <v>0</v>
      </c>
      <c r="AH10" s="271">
        <f ca="1">'SC-I'!AH53</f>
        <v>7490743648</v>
      </c>
      <c r="AI10" s="271">
        <f ca="1">'SC-I'!AI53</f>
        <v>0</v>
      </c>
      <c r="AJ10" s="271">
        <f ca="1">'SC-I'!AJ53</f>
        <v>3807898863</v>
      </c>
      <c r="AK10" s="271">
        <f ca="1">'SC-I'!AK53</f>
        <v>0</v>
      </c>
      <c r="AL10" s="271">
        <f ca="1">'SC-I'!AL53</f>
        <v>3790918485</v>
      </c>
      <c r="AM10" s="271">
        <f ca="1">'SC-I'!AM53</f>
        <v>0</v>
      </c>
      <c r="AN10" s="271">
        <f ca="1">'SC-I'!AN53</f>
        <v>5405781300</v>
      </c>
      <c r="AO10" s="271">
        <f ca="1">'SC-I'!AO53</f>
        <v>0</v>
      </c>
      <c r="AP10" s="271">
        <f ca="1">'SC-I'!AP53</f>
        <v>0</v>
      </c>
      <c r="AQ10" s="271">
        <f ca="1">'SC-I'!AQ53</f>
        <v>9132359256</v>
      </c>
      <c r="AR10" s="271">
        <f ca="1">'SC-I'!AR53</f>
        <v>0</v>
      </c>
      <c r="AS10" s="271">
        <f ca="1">'SC-I'!AS53</f>
        <v>600642360</v>
      </c>
      <c r="AT10" s="271">
        <f ca="1">'SC-I'!AT53</f>
        <v>0</v>
      </c>
      <c r="AU10" s="271">
        <f ca="1">'SC-I'!AU53</f>
        <v>0</v>
      </c>
      <c r="AV10" s="271">
        <f ca="1">'SC-I'!AV53</f>
        <v>0</v>
      </c>
      <c r="AW10" s="271">
        <f ca="1">'SC-I'!AW53</f>
        <v>476953252</v>
      </c>
      <c r="AX10" s="271">
        <f ca="1">'SC-I'!AX53</f>
        <v>0</v>
      </c>
      <c r="AY10" s="271">
        <f ca="1">'SC-I'!AY53</f>
        <v>0</v>
      </c>
      <c r="AZ10" s="271">
        <f ca="1">'SC-I'!AZ53</f>
        <v>0</v>
      </c>
      <c r="BA10" s="271">
        <f ca="1">'SC-I'!BA53</f>
        <v>0</v>
      </c>
      <c r="BB10" s="271">
        <f ca="1">'SC-I'!BB53</f>
        <v>0</v>
      </c>
      <c r="BC10" s="271">
        <f ca="1">'SC-I'!BC53</f>
        <v>0</v>
      </c>
      <c r="BD10" s="271">
        <f ca="1">'SC-I'!BD53</f>
        <v>0</v>
      </c>
      <c r="BE10" s="271">
        <f ca="1">'SC-I'!BE53</f>
        <v>3313435</v>
      </c>
      <c r="BF10" s="271">
        <f ca="1">'SC-I'!BF53</f>
        <v>3389804</v>
      </c>
      <c r="BG10" s="271">
        <f ca="1">'SC-I'!BG53</f>
        <v>0</v>
      </c>
      <c r="BH10" s="271">
        <f ca="1">'SC-I'!BH53</f>
        <v>0</v>
      </c>
      <c r="BI10" s="271">
        <f ca="1">'SC-I'!BI53</f>
        <v>0</v>
      </c>
      <c r="BJ10" s="271">
        <f ca="1">'SC-I'!BJ53</f>
        <v>0</v>
      </c>
      <c r="BK10" s="271">
        <f ca="1">'SC-I'!BK53</f>
        <v>0</v>
      </c>
      <c r="BL10" s="271">
        <f ca="1">'SC-I'!BL53</f>
        <v>0</v>
      </c>
      <c r="BM10" s="271">
        <f ca="1">'SC-I'!BM53</f>
        <v>40272309</v>
      </c>
      <c r="BN10" s="271">
        <f ca="1">'SC-I'!BN53</f>
        <v>0</v>
      </c>
      <c r="BO10" s="271">
        <f ca="1">'SC-I'!BO53</f>
        <v>6403142</v>
      </c>
      <c r="BP10" s="271">
        <f ca="1">'SC-I'!BP53</f>
        <v>0</v>
      </c>
      <c r="BQ10" s="271">
        <f ca="1">'SC-I'!BQ53</f>
        <v>2761373</v>
      </c>
      <c r="BR10" s="271">
        <f ca="1">'SC-I'!BR53</f>
        <v>0</v>
      </c>
      <c r="BS10" s="271">
        <f ca="1">'SC-I'!BS53</f>
        <v>0</v>
      </c>
      <c r="BT10" s="271">
        <f ca="1">'SC-I'!BT53</f>
        <v>0</v>
      </c>
      <c r="BU10" s="271">
        <f ca="1">'SC-I'!BU53</f>
        <v>2169121879</v>
      </c>
      <c r="BV10" s="271">
        <f ca="1">'SC-I'!BV53</f>
        <v>0</v>
      </c>
      <c r="BW10" s="271">
        <f ca="1">'SC-I'!BW53</f>
        <v>21202920500</v>
      </c>
      <c r="BX10" s="271">
        <f ca="1">'SC-I'!BX53</f>
        <v>0</v>
      </c>
      <c r="BY10" s="271">
        <f ca="1">'SC-I'!BY53</f>
        <v>10000000000</v>
      </c>
      <c r="BZ10" s="271">
        <f ca="1">'SC-I'!BZ53</f>
        <v>0</v>
      </c>
      <c r="CA10" s="271">
        <f ca="1">'SC-I'!CA53</f>
        <v>594397022.00000048</v>
      </c>
      <c r="CB10" s="271">
        <f ca="1">'SC-I'!CB53</f>
        <v>77701001</v>
      </c>
      <c r="CC10" s="271">
        <f ca="1">'SC-I'!CC53</f>
        <v>0</v>
      </c>
      <c r="CD10" s="271">
        <f ca="1">'SC-I'!CD53</f>
        <v>0</v>
      </c>
      <c r="CE10" s="271">
        <f ca="1">'SC-I'!CE53</f>
        <v>0</v>
      </c>
      <c r="CF10" s="271">
        <f ca="1">'SC-I'!CF53</f>
        <v>0</v>
      </c>
      <c r="CG10" s="271">
        <f ca="1">'SC-I'!CG53</f>
        <v>0</v>
      </c>
      <c r="CH10" s="271">
        <f ca="1">'SC-I'!CH53</f>
        <v>0</v>
      </c>
      <c r="CI10" s="271">
        <f ca="1">'SC-I'!CI53</f>
        <v>0</v>
      </c>
      <c r="CJ10" s="271">
        <f ca="1">'SC-I'!CJ53</f>
        <v>0</v>
      </c>
      <c r="CK10" s="271">
        <f ca="1">'SC-I'!CK53</f>
        <v>0</v>
      </c>
      <c r="CL10" s="271">
        <f ca="1">'SC-I'!CL53</f>
        <v>0</v>
      </c>
      <c r="CM10" s="271">
        <f ca="1">'SC-I'!CM53</f>
        <v>0</v>
      </c>
      <c r="CN10" s="271">
        <f ca="1">'SC-I'!CN53</f>
        <v>0</v>
      </c>
      <c r="CO10" s="271">
        <f ca="1">'SC-I'!CO53</f>
        <v>0</v>
      </c>
      <c r="CP10" s="271">
        <f ca="1">'SC-I'!CP53</f>
        <v>0</v>
      </c>
      <c r="CQ10" s="271">
        <f ca="1">'SC-I'!CQ53</f>
        <v>0</v>
      </c>
      <c r="CR10" s="271">
        <f ca="1">'SC-I'!CR53</f>
        <v>0</v>
      </c>
      <c r="CS10" s="271">
        <f ca="1">'SC-I'!CS53</f>
        <v>0</v>
      </c>
      <c r="CT10" s="271">
        <f ca="1">'SC-I'!CT53</f>
        <v>0</v>
      </c>
      <c r="CU10" s="271">
        <f ca="1">'SC-I'!CU53</f>
        <v>0</v>
      </c>
      <c r="CV10" s="271">
        <f ca="1">'SC-I'!CV53</f>
        <v>0</v>
      </c>
      <c r="CW10" s="271">
        <f ca="1">'SC-I'!CW53</f>
        <v>0</v>
      </c>
      <c r="CX10" s="271">
        <f ca="1">'SC-I'!CX53</f>
        <v>0</v>
      </c>
      <c r="CY10" s="271">
        <f ca="1">'SC-I'!CY53</f>
        <v>0</v>
      </c>
      <c r="CZ10" s="271">
        <f ca="1">'SC-I'!CZ53</f>
        <v>0</v>
      </c>
      <c r="DA10" s="271">
        <f ca="1">'SC-I'!DA53</f>
        <v>0</v>
      </c>
    </row>
    <row r="11" spans="1:105" s="272" customFormat="1" ht="15" customHeight="1">
      <c r="A11" s="63">
        <f t="array" aca="1" ref="A11" ca="1">IF(C11&lt;&gt;0,SUM(($C$11:C11&lt;&gt;0)*1),"")</f>
        <v>1</v>
      </c>
      <c r="B11" s="273" t="str">
        <f ca="1">IF(ROWS($1:1)&gt;COUNT(Dong7),"",OFFSET(TH!C$1,SMALL(Dong7,ROWS($1:1)),))</f>
        <v/>
      </c>
      <c r="C11" s="273" t="str">
        <f ca="1">IF(ROWS($1:1)&gt;COUNT(Dong7),"",OFFSET(TH!D$1,SMALL(Dong7,ROWS($1:1)),))</f>
        <v/>
      </c>
      <c r="D11" s="273" t="str">
        <f ca="1">IF(ROWS($1:1)&gt;COUNT(Dong7),"",OFFSET(TH!E$1,SMALL(Dong7,ROWS($1:1)),))</f>
        <v/>
      </c>
      <c r="E11" s="363" t="str">
        <f ca="1">IF(ROWS($1:1)&gt;COUNT(Dong7),"",OFFSET(TH!F$1,SMALL(Dong7,ROWS($1:1)),))</f>
        <v/>
      </c>
      <c r="F11" s="324" t="str">
        <f ca="1">IF(ROWS($1:1)&gt;COUNT(Dong7),"",OFFSET(TH!M$1,SMALL(Dong7,ROWS($1:1)),))</f>
        <v/>
      </c>
      <c r="G11" s="326" t="str">
        <f ca="1">IF(ROWS($1:1)&gt;COUNT(Dong7),"",OFFSET(TH!N$1,SMALL(Dong7,ROWS($1:1)),))</f>
        <v/>
      </c>
      <c r="H11" s="326" t="str">
        <f ca="1">IF(ROWS($1:1)&gt;COUNT(Dong7),"",OFFSET(TH!O$1,SMALL(Dong7,ROWS($1:1)),))</f>
        <v/>
      </c>
      <c r="I11" s="63">
        <f t="shared" ref="I11:I21" ca="1" si="0">A11</f>
        <v>1</v>
      </c>
      <c r="J11" s="275">
        <f ca="1">IF($G11="1111",$F11,0)</f>
        <v>0</v>
      </c>
      <c r="K11" s="275">
        <f ca="1">IF($H11="1111",$F11,0)</f>
        <v>0</v>
      </c>
      <c r="L11" s="275">
        <f t="shared" ref="L11:L50" ca="1" si="1">IF($G11="1121",$F11,0)</f>
        <v>0</v>
      </c>
      <c r="M11" s="275">
        <f t="shared" ref="M11:M50" ca="1" si="2">IF($H11="1121",$F11,0)</f>
        <v>0</v>
      </c>
      <c r="N11" s="275">
        <f t="shared" ref="N11:N50" ca="1" si="3">IF($G11="1122",$F11,0)</f>
        <v>0</v>
      </c>
      <c r="O11" s="275">
        <f t="shared" ref="O11:O50" ca="1" si="4">IF($H11="1122",$F11,0)</f>
        <v>0</v>
      </c>
      <c r="P11" s="275">
        <f t="shared" ref="P11:P50" ca="1" si="5">IF($G11="131",$F11,0)</f>
        <v>0</v>
      </c>
      <c r="Q11" s="275">
        <f t="shared" ref="Q11:Q50" ca="1" si="6">IF($H11="131",$F11,0)</f>
        <v>0</v>
      </c>
      <c r="R11" s="275">
        <f t="shared" ref="R11:R50" ca="1" si="7">IF($G11="1331",$F11,0)</f>
        <v>0</v>
      </c>
      <c r="S11" s="275">
        <f t="shared" ref="S11:S50" ca="1" si="8">IF($H11="1331",$F11,0)</f>
        <v>0</v>
      </c>
      <c r="T11" s="275">
        <f t="shared" ref="T11:T50" ca="1" si="9">IF($G11="1388",$F11,0)</f>
        <v>0</v>
      </c>
      <c r="U11" s="275">
        <f t="shared" ref="U11:U50" ca="1" si="10">IF($H11="1388",$F11,0)</f>
        <v>0</v>
      </c>
      <c r="V11" s="275">
        <f t="shared" ref="V11:V50" ca="1" si="11">IF($G11="141",$F11,0)</f>
        <v>0</v>
      </c>
      <c r="W11" s="275">
        <f t="shared" ref="W11:W50" ca="1" si="12">IF($H11="141",$F11,0)</f>
        <v>0</v>
      </c>
      <c r="X11" s="275">
        <f t="shared" ref="X11:X50" ca="1" si="13">IF($G11="1521",$F11,0)</f>
        <v>0</v>
      </c>
      <c r="Y11" s="275">
        <f t="shared" ref="Y11:Y50" ca="1" si="14">IF($H11="1521",$F11,0)</f>
        <v>0</v>
      </c>
      <c r="Z11" s="275">
        <f t="shared" ref="Z11:Z50" ca="1" si="15">IF($G11="1522",$F11,0)</f>
        <v>0</v>
      </c>
      <c r="AA11" s="275">
        <f t="shared" ref="AA11:AA50" ca="1" si="16">IF($H11="1522",$F11,0)</f>
        <v>0</v>
      </c>
      <c r="AB11" s="275">
        <f ca="1">IF($G11="153",$F11,0)</f>
        <v>0</v>
      </c>
      <c r="AC11" s="275">
        <f ca="1">IF($H11="153",$F11,0)</f>
        <v>0</v>
      </c>
      <c r="AD11" s="275">
        <f t="shared" ref="AD11:AD50" ca="1" si="17">IF($G11="154",$F11,0)</f>
        <v>0</v>
      </c>
      <c r="AE11" s="275">
        <f t="shared" ref="AE11:AE50" ca="1" si="18">IF($H11="154",$F11,0)</f>
        <v>0</v>
      </c>
      <c r="AF11" s="275">
        <f t="shared" ref="AF11:AF50" ca="1" si="19">IF($G11="155",$F11,0)</f>
        <v>0</v>
      </c>
      <c r="AG11" s="275">
        <f t="shared" ref="AG11:AG50"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0" ca="1" si="21">IF($G11="2141",$F11,0)</f>
        <v>0</v>
      </c>
      <c r="AQ11" s="275">
        <f t="shared" ref="AQ11:AQ50" ca="1" si="22">IF($H11="2141",$F11,0)</f>
        <v>0</v>
      </c>
      <c r="AR11" s="275">
        <f t="shared" ref="AR11:AR50" ca="1" si="23">IF($G11="2143",$F11,0)</f>
        <v>0</v>
      </c>
      <c r="AS11" s="275">
        <f t="shared" ref="AS11:AS50" ca="1" si="24">IF($H11="2143",$F11,0)</f>
        <v>0</v>
      </c>
      <c r="AT11" s="275">
        <f ca="1">IF($G11="2412",$F11,0)</f>
        <v>0</v>
      </c>
      <c r="AU11" s="275">
        <f ca="1">IF($H11="2412",$F11,0)</f>
        <v>0</v>
      </c>
      <c r="AV11" s="275">
        <f t="shared" ref="AV11:AV50" ca="1" si="25">IF($G11="331",$F11,0)</f>
        <v>0</v>
      </c>
      <c r="AW11" s="275">
        <f t="shared" ref="AW11:AW50" ca="1" si="26">IF($H11="331",$F11,0)</f>
        <v>0</v>
      </c>
      <c r="AX11" s="275">
        <f t="shared" ref="AX11:AX50" ca="1" si="27">IF($G11="33311",$F11,0)</f>
        <v>0</v>
      </c>
      <c r="AY11" s="275">
        <f t="shared" ref="AY11:AY50" ca="1" si="28">IF($H11="33311",$F11,0)</f>
        <v>0</v>
      </c>
      <c r="AZ11" s="275">
        <f t="shared" ref="AZ11:AZ50" ca="1" si="29">IF($G11="33312",$F11,0)</f>
        <v>0</v>
      </c>
      <c r="BA11" s="275">
        <f t="shared" ref="BA11:BA50" ca="1" si="30">IF($H11="33312",$F11,0)</f>
        <v>0</v>
      </c>
      <c r="BB11" s="275">
        <f t="shared" ref="BB11:BB50" ca="1" si="31">IF($G11="3333",$F11,0)</f>
        <v>0</v>
      </c>
      <c r="BC11" s="275">
        <f t="shared" ref="BC11:BC50" ca="1" si="32">IF($H11="3333",$F11,0)</f>
        <v>0</v>
      </c>
      <c r="BD11" s="275">
        <f t="shared" ref="BD11:BD50" ca="1" si="33">IF($G11="3334",$F11,0)</f>
        <v>0</v>
      </c>
      <c r="BE11" s="275">
        <f t="shared" ref="BE11:BE50" ca="1" si="34">IF($H11="3334",$F11,0)</f>
        <v>0</v>
      </c>
      <c r="BF11" s="275">
        <f t="shared" ref="BF11:BF50" ca="1" si="35">IF($G11="3335",$F11,0)</f>
        <v>0</v>
      </c>
      <c r="BG11" s="275">
        <f t="shared" ref="BG11:BG50" ca="1" si="36">IF($H11="3335",$F11,0)</f>
        <v>0</v>
      </c>
      <c r="BH11" s="275">
        <f ca="1">IF($G11="33382",$F11,0)</f>
        <v>0</v>
      </c>
      <c r="BI11" s="275">
        <f ca="1">IF($H11="33382",$F11,0)</f>
        <v>0</v>
      </c>
      <c r="BJ11" s="275">
        <f t="shared" ref="BJ11:BJ50" ca="1" si="37">IF($G11="3341",$F11,0)</f>
        <v>0</v>
      </c>
      <c r="BK11" s="275">
        <f t="shared" ref="BK11:BK50" ca="1" si="38">IF($H11="3341",$F11,0)</f>
        <v>0</v>
      </c>
      <c r="BL11" s="275">
        <f t="shared" ref="BL11:BL50" ca="1" si="39">IF($G11="3383",$F11,0)</f>
        <v>0</v>
      </c>
      <c r="BM11" s="275">
        <f t="shared" ref="BM11:BM50" ca="1" si="40">IF($H11="3383",$F11,0)</f>
        <v>0</v>
      </c>
      <c r="BN11" s="275">
        <f t="shared" ref="BN11:BN50" ca="1" si="41">IF($G11="3384",$F11,0)</f>
        <v>0</v>
      </c>
      <c r="BO11" s="275">
        <f t="shared" ref="BO11:BO50" ca="1" si="42">IF($H11="3384",$F11,0)</f>
        <v>0</v>
      </c>
      <c r="BP11" s="275">
        <f ca="1">IF($G11="3386",$F11,0)</f>
        <v>0</v>
      </c>
      <c r="BQ11" s="275">
        <f ca="1">IF($H11="3386",$F11,0)</f>
        <v>0</v>
      </c>
      <c r="BR11" s="275">
        <f t="shared" ref="BR11:BR50" ca="1" si="43">IF($G11="3388",$F11,0)</f>
        <v>0</v>
      </c>
      <c r="BS11" s="275">
        <f t="shared" ref="BS11:BS50" ca="1" si="44">IF($H11="3388",$F11,0)</f>
        <v>0</v>
      </c>
      <c r="BT11" s="275">
        <f ca="1">IF($G11="3411",$F11,0)</f>
        <v>0</v>
      </c>
      <c r="BU11" s="275">
        <f ca="1">IF($H11="3411",$F11,0)</f>
        <v>0</v>
      </c>
      <c r="BV11" s="275">
        <f ca="1">IF($G11="3412",$F11,0)</f>
        <v>0</v>
      </c>
      <c r="BW11" s="275">
        <f ca="1">IF($H11="3412",$F11,0)</f>
        <v>0</v>
      </c>
      <c r="BX11" s="275">
        <f t="shared" ref="BX11:BX50" ca="1" si="45">IF($G11="4111",$F11,0)</f>
        <v>0</v>
      </c>
      <c r="BY11" s="275">
        <f t="shared" ref="BY11:BY50" ca="1" si="46">IF($H11="4111",$F11,0)</f>
        <v>0</v>
      </c>
      <c r="BZ11" s="275">
        <f t="shared" ref="BZ11:BZ50" ca="1" si="47">IF($G11="4211",$F11,0)</f>
        <v>0</v>
      </c>
      <c r="CA11" s="275">
        <f t="shared" ref="CA11:CA50" ca="1" si="48">IF($H11="4211",$F11,0)</f>
        <v>0</v>
      </c>
      <c r="CB11" s="275">
        <f t="shared" ref="CB11:CB50" ca="1" si="49">IF($G11="4212",$F11,0)</f>
        <v>0</v>
      </c>
      <c r="CC11" s="275">
        <f t="shared" ref="CC11:CC50" ca="1" si="50">IF($H11="4212",$F11,0)</f>
        <v>0</v>
      </c>
      <c r="CD11" s="275">
        <f ca="1">IF($G11="5112N",$F11,0)</f>
        <v>0</v>
      </c>
      <c r="CE11" s="275">
        <f ca="1">IF($H11="5112N",$F11,0)</f>
        <v>0</v>
      </c>
      <c r="CF11" s="275">
        <f ca="1">IF($G11="5112X",$F11,0)</f>
        <v>0</v>
      </c>
      <c r="CG11" s="275">
        <f ca="1">IF($H11="5112X",$F11,0)</f>
        <v>0</v>
      </c>
      <c r="CH11" s="275">
        <f t="shared" ref="CH11:CH50" ca="1" si="51">IF($G11="515",$F11,0)</f>
        <v>0</v>
      </c>
      <c r="CI11" s="275">
        <f t="shared" ref="CI11:CI50" ca="1" si="52">IF($H11="515",$F11,0)</f>
        <v>0</v>
      </c>
      <c r="CJ11" s="275">
        <f ca="1">IF($G11="5213",$F11,0)</f>
        <v>0</v>
      </c>
      <c r="CK11" s="275">
        <f ca="1">IF($H11="5213",$F11,0)</f>
        <v>0</v>
      </c>
      <c r="CL11" s="275">
        <f t="shared" ref="CL11:CL50" ca="1" si="53">IF($G11="632",$F11,0)</f>
        <v>0</v>
      </c>
      <c r="CM11" s="275">
        <f t="shared" ref="CM11:CM50" ca="1" si="54">IF($H11="632",$F11,0)</f>
        <v>0</v>
      </c>
      <c r="CN11" s="275">
        <f t="shared" ref="CN11:CN50" ca="1" si="55">IF($G11="635",$F11,0)</f>
        <v>0</v>
      </c>
      <c r="CO11" s="275">
        <f t="shared" ref="CO11:CO50" ca="1" si="56">IF($H11="635",$F11,0)</f>
        <v>0</v>
      </c>
      <c r="CP11" s="275">
        <f ca="1">IF($G11="641",$F11,0)</f>
        <v>0</v>
      </c>
      <c r="CQ11" s="275">
        <f ca="1">IF($H11="641",$F11,0)</f>
        <v>0</v>
      </c>
      <c r="CR11" s="275">
        <f ca="1">IF($G11="642",$F11,0)</f>
        <v>0</v>
      </c>
      <c r="CS11" s="275">
        <f ca="1">IF($H11="642",$F11,0)</f>
        <v>0</v>
      </c>
      <c r="CT11" s="275">
        <f t="shared" ref="CT11:CT50" ca="1" si="57">IF($G11="711",$F11,0)</f>
        <v>0</v>
      </c>
      <c r="CU11" s="275">
        <f t="shared" ref="CU11:CU50" ca="1" si="58">IF($H11="711",$F11,0)</f>
        <v>0</v>
      </c>
      <c r="CV11" s="275">
        <f t="shared" ref="CV11:CV50" ca="1" si="59">IF($G11="811",$F11,0)</f>
        <v>0</v>
      </c>
      <c r="CW11" s="275">
        <f t="shared" ref="CW11:CW50" ca="1" si="60">IF($H11="811",$F11,0)</f>
        <v>0</v>
      </c>
      <c r="CX11" s="275">
        <f ca="1">IF($G11="821",$F11,0)</f>
        <v>0</v>
      </c>
      <c r="CY11" s="275">
        <f ca="1">IF($H11="821",$F11,0)</f>
        <v>0</v>
      </c>
      <c r="CZ11" s="275">
        <f ca="1">IF($G11="911",$F11,0)</f>
        <v>0</v>
      </c>
      <c r="DA11" s="275">
        <f ca="1">IF($H11="911",$F11,0)</f>
        <v>0</v>
      </c>
    </row>
    <row r="12" spans="1:105" s="272" customFormat="1" ht="15" customHeight="1">
      <c r="A12" s="63" t="str">
        <f t="array" ref="A12">IF(C12&lt;&gt;0,SUM(($C$11:C12&lt;&gt;0)*1),"")</f>
        <v/>
      </c>
      <c r="B12" s="273"/>
      <c r="C12" s="273"/>
      <c r="D12" s="273"/>
      <c r="E12" s="363"/>
      <c r="F12" s="324"/>
      <c r="G12" s="326"/>
      <c r="H12" s="326"/>
      <c r="I12" s="63" t="str">
        <f t="shared" si="0"/>
        <v/>
      </c>
      <c r="J12" s="275">
        <f t="shared" ref="J12:J50" si="61">IF($G12="1111",$F12,0)</f>
        <v>0</v>
      </c>
      <c r="K12" s="275">
        <f t="shared" ref="K12:K50" si="62">IF($H12="1111",$F12,0)</f>
        <v>0</v>
      </c>
      <c r="L12" s="275">
        <f t="shared" si="1"/>
        <v>0</v>
      </c>
      <c r="M12" s="275">
        <f t="shared" si="2"/>
        <v>0</v>
      </c>
      <c r="N12" s="275">
        <f t="shared" si="3"/>
        <v>0</v>
      </c>
      <c r="O12" s="275">
        <f t="shared" si="4"/>
        <v>0</v>
      </c>
      <c r="P12" s="275">
        <f t="shared" si="5"/>
        <v>0</v>
      </c>
      <c r="Q12" s="275">
        <f t="shared" si="6"/>
        <v>0</v>
      </c>
      <c r="R12" s="275">
        <f t="shared" si="7"/>
        <v>0</v>
      </c>
      <c r="S12" s="275">
        <f t="shared" si="8"/>
        <v>0</v>
      </c>
      <c r="T12" s="275">
        <f t="shared" si="9"/>
        <v>0</v>
      </c>
      <c r="U12" s="275">
        <f t="shared" si="10"/>
        <v>0</v>
      </c>
      <c r="V12" s="275">
        <f t="shared" si="11"/>
        <v>0</v>
      </c>
      <c r="W12" s="275">
        <f t="shared" si="12"/>
        <v>0</v>
      </c>
      <c r="X12" s="275">
        <f t="shared" si="13"/>
        <v>0</v>
      </c>
      <c r="Y12" s="275">
        <f t="shared" si="14"/>
        <v>0</v>
      </c>
      <c r="Z12" s="275">
        <f t="shared" si="15"/>
        <v>0</v>
      </c>
      <c r="AA12" s="275">
        <f t="shared" si="16"/>
        <v>0</v>
      </c>
      <c r="AB12" s="275">
        <f t="shared" ref="AB12:AB50" si="63">IF($G12="153",$F12,0)</f>
        <v>0</v>
      </c>
      <c r="AC12" s="275">
        <f t="shared" ref="AC12:AC50" si="64">IF($H12="153",$F12,0)</f>
        <v>0</v>
      </c>
      <c r="AD12" s="275">
        <f t="shared" si="17"/>
        <v>0</v>
      </c>
      <c r="AE12" s="275">
        <f t="shared" si="18"/>
        <v>0</v>
      </c>
      <c r="AF12" s="275">
        <f t="shared" si="19"/>
        <v>0</v>
      </c>
      <c r="AG12" s="275">
        <f t="shared" si="20"/>
        <v>0</v>
      </c>
      <c r="AH12" s="275">
        <f t="shared" ref="AH12:AH50" si="65">IF($G12="2111",$F12,0)</f>
        <v>0</v>
      </c>
      <c r="AI12" s="275">
        <f t="shared" ref="AI12:AI50" si="66">IF($H12="2111",$F12,0)</f>
        <v>0</v>
      </c>
      <c r="AJ12" s="275">
        <f t="shared" ref="AJ12:AJ50" si="67">IF($G12="2112",$F12,0)</f>
        <v>0</v>
      </c>
      <c r="AK12" s="275">
        <f t="shared" ref="AK12:AK50" si="68">IF($H12="2112",$F12,0)</f>
        <v>0</v>
      </c>
      <c r="AL12" s="275">
        <f t="shared" ref="AL12:AL50" si="69">IF($G12="2113",$F12,0)</f>
        <v>0</v>
      </c>
      <c r="AM12" s="275">
        <f t="shared" ref="AM12:AM50" si="70">IF($H12="2113",$F12,0)</f>
        <v>0</v>
      </c>
      <c r="AN12" s="275">
        <f t="shared" ref="AN12:AN50" si="71">IF($G12="2131",$F12,0)</f>
        <v>0</v>
      </c>
      <c r="AO12" s="275">
        <f t="shared" ref="AO12:AO50" si="72">IF($H12="2131",$F12,0)</f>
        <v>0</v>
      </c>
      <c r="AP12" s="275">
        <f t="shared" si="21"/>
        <v>0</v>
      </c>
      <c r="AQ12" s="275">
        <f t="shared" si="22"/>
        <v>0</v>
      </c>
      <c r="AR12" s="275">
        <f t="shared" si="23"/>
        <v>0</v>
      </c>
      <c r="AS12" s="275">
        <f t="shared" si="24"/>
        <v>0</v>
      </c>
      <c r="AT12" s="275">
        <f t="shared" ref="AT12:AT50" si="73">IF($G12="2412",$F12,0)</f>
        <v>0</v>
      </c>
      <c r="AU12" s="275">
        <f t="shared" ref="AU12:AU50" si="74">IF($H12="2412",$F12,0)</f>
        <v>0</v>
      </c>
      <c r="AV12" s="275">
        <f t="shared" si="25"/>
        <v>0</v>
      </c>
      <c r="AW12" s="275">
        <f t="shared" si="26"/>
        <v>0</v>
      </c>
      <c r="AX12" s="275">
        <f t="shared" si="27"/>
        <v>0</v>
      </c>
      <c r="AY12" s="275">
        <f t="shared" si="28"/>
        <v>0</v>
      </c>
      <c r="AZ12" s="275">
        <f t="shared" si="29"/>
        <v>0</v>
      </c>
      <c r="BA12" s="275">
        <f t="shared" si="30"/>
        <v>0</v>
      </c>
      <c r="BB12" s="275">
        <f t="shared" si="31"/>
        <v>0</v>
      </c>
      <c r="BC12" s="275">
        <f t="shared" si="32"/>
        <v>0</v>
      </c>
      <c r="BD12" s="275">
        <f t="shared" si="33"/>
        <v>0</v>
      </c>
      <c r="BE12" s="275">
        <f t="shared" si="34"/>
        <v>0</v>
      </c>
      <c r="BF12" s="275">
        <f t="shared" si="35"/>
        <v>0</v>
      </c>
      <c r="BG12" s="275">
        <f t="shared" si="36"/>
        <v>0</v>
      </c>
      <c r="BH12" s="275">
        <f t="shared" ref="BH12:BH50" si="75">IF($G12="33382",$F12,0)</f>
        <v>0</v>
      </c>
      <c r="BI12" s="275">
        <f t="shared" ref="BI12:BI50" si="76">IF($H12="33382",$F12,0)</f>
        <v>0</v>
      </c>
      <c r="BJ12" s="275">
        <f t="shared" si="37"/>
        <v>0</v>
      </c>
      <c r="BK12" s="275">
        <f t="shared" si="38"/>
        <v>0</v>
      </c>
      <c r="BL12" s="275">
        <f t="shared" si="39"/>
        <v>0</v>
      </c>
      <c r="BM12" s="275">
        <f t="shared" si="40"/>
        <v>0</v>
      </c>
      <c r="BN12" s="275">
        <f t="shared" si="41"/>
        <v>0</v>
      </c>
      <c r="BO12" s="275">
        <f t="shared" si="42"/>
        <v>0</v>
      </c>
      <c r="BP12" s="275">
        <f t="shared" ref="BP12:BP50" si="77">IF($G12="3386",$F12,0)</f>
        <v>0</v>
      </c>
      <c r="BQ12" s="275">
        <f t="shared" ref="BQ12:BQ50" si="78">IF($H12="3386",$F12,0)</f>
        <v>0</v>
      </c>
      <c r="BR12" s="275">
        <f t="shared" si="43"/>
        <v>0</v>
      </c>
      <c r="BS12" s="275">
        <f t="shared" si="44"/>
        <v>0</v>
      </c>
      <c r="BT12" s="275">
        <f t="shared" ref="BT12:BT50" si="79">IF($G12="3411",$F12,0)</f>
        <v>0</v>
      </c>
      <c r="BU12" s="275">
        <f t="shared" ref="BU12:BU50" si="80">IF($H12="3411",$F12,0)</f>
        <v>0</v>
      </c>
      <c r="BV12" s="275">
        <f t="shared" ref="BV12:BV50" si="81">IF($G12="3412",$F12,0)</f>
        <v>0</v>
      </c>
      <c r="BW12" s="275">
        <f t="shared" ref="BW12:BW50" si="82">IF($H12="3412",$F12,0)</f>
        <v>0</v>
      </c>
      <c r="BX12" s="275">
        <f t="shared" si="45"/>
        <v>0</v>
      </c>
      <c r="BY12" s="275">
        <f t="shared" si="46"/>
        <v>0</v>
      </c>
      <c r="BZ12" s="275">
        <f t="shared" si="47"/>
        <v>0</v>
      </c>
      <c r="CA12" s="275">
        <f t="shared" si="48"/>
        <v>0</v>
      </c>
      <c r="CB12" s="275">
        <f t="shared" si="49"/>
        <v>0</v>
      </c>
      <c r="CC12" s="275">
        <f t="shared" si="50"/>
        <v>0</v>
      </c>
      <c r="CD12" s="275">
        <f t="shared" ref="CD12:CD50" si="83">IF($G12="5112N",$F12,0)</f>
        <v>0</v>
      </c>
      <c r="CE12" s="275">
        <f t="shared" ref="CE12:CE50" si="84">IF($H12="5112N",$F12,0)</f>
        <v>0</v>
      </c>
      <c r="CF12" s="275">
        <f t="shared" ref="CF12:CF50" si="85">IF($G12="5112X",$F12,0)</f>
        <v>0</v>
      </c>
      <c r="CG12" s="275">
        <f t="shared" ref="CG12:CG50" si="86">IF($H12="5112X",$F12,0)</f>
        <v>0</v>
      </c>
      <c r="CH12" s="275">
        <f t="shared" si="51"/>
        <v>0</v>
      </c>
      <c r="CI12" s="275">
        <f t="shared" si="52"/>
        <v>0</v>
      </c>
      <c r="CJ12" s="275">
        <f t="shared" ref="CJ12:CJ50" si="87">IF($G12="5213",$F12,0)</f>
        <v>0</v>
      </c>
      <c r="CK12" s="275">
        <f t="shared" ref="CK12:CK50" si="88">IF($H12="5213",$F12,0)</f>
        <v>0</v>
      </c>
      <c r="CL12" s="275">
        <f t="shared" si="53"/>
        <v>0</v>
      </c>
      <c r="CM12" s="275">
        <f t="shared" si="54"/>
        <v>0</v>
      </c>
      <c r="CN12" s="275">
        <f t="shared" si="55"/>
        <v>0</v>
      </c>
      <c r="CO12" s="275">
        <f t="shared" si="56"/>
        <v>0</v>
      </c>
      <c r="CP12" s="275">
        <f t="shared" ref="CP12:CP50" si="89">IF($G12="641",$F12,0)</f>
        <v>0</v>
      </c>
      <c r="CQ12" s="275">
        <f t="shared" ref="CQ12:CQ50" si="90">IF($H12="641",$F12,0)</f>
        <v>0</v>
      </c>
      <c r="CR12" s="275">
        <f t="shared" ref="CR12:CR50" si="91">IF($G12="642",$F12,0)</f>
        <v>0</v>
      </c>
      <c r="CS12" s="275">
        <f t="shared" ref="CS12:CS50" si="92">IF($H12="642",$F12,0)</f>
        <v>0</v>
      </c>
      <c r="CT12" s="275">
        <f t="shared" si="57"/>
        <v>0</v>
      </c>
      <c r="CU12" s="275">
        <f t="shared" si="58"/>
        <v>0</v>
      </c>
      <c r="CV12" s="275">
        <f t="shared" si="59"/>
        <v>0</v>
      </c>
      <c r="CW12" s="275">
        <f t="shared" si="60"/>
        <v>0</v>
      </c>
      <c r="CX12" s="275">
        <f t="shared" ref="CX12:CX50" si="93">IF($G12="821",$F12,0)</f>
        <v>0</v>
      </c>
      <c r="CY12" s="275">
        <f t="shared" ref="CY12:CY50" si="94">IF($H12="821",$F12,0)</f>
        <v>0</v>
      </c>
      <c r="CZ12" s="275">
        <f t="shared" ref="CZ12:CZ50" si="95">IF($G12="911",$F12,0)</f>
        <v>0</v>
      </c>
      <c r="DA12" s="275">
        <f t="shared" ref="DA12:DA50" si="96">IF($H12="911",$F12,0)</f>
        <v>0</v>
      </c>
    </row>
    <row r="13" spans="1:105" s="272" customFormat="1" ht="15" customHeight="1">
      <c r="A13" s="63" t="str">
        <f t="array" ref="A13">IF(C13&lt;&gt;0,SUM(($C$11:C13&lt;&gt;0)*1),"")</f>
        <v/>
      </c>
      <c r="B13" s="273"/>
      <c r="C13" s="273"/>
      <c r="D13" s="273"/>
      <c r="E13" s="363"/>
      <c r="F13" s="324"/>
      <c r="G13" s="326"/>
      <c r="H13" s="326"/>
      <c r="I13" s="63" t="str">
        <f t="shared" si="0"/>
        <v/>
      </c>
      <c r="J13" s="275">
        <f t="shared" si="61"/>
        <v>0</v>
      </c>
      <c r="K13" s="275">
        <f t="shared" si="62"/>
        <v>0</v>
      </c>
      <c r="L13" s="275">
        <f t="shared" si="1"/>
        <v>0</v>
      </c>
      <c r="M13" s="275">
        <f t="shared" si="2"/>
        <v>0</v>
      </c>
      <c r="N13" s="275">
        <f t="shared" si="3"/>
        <v>0</v>
      </c>
      <c r="O13" s="275">
        <f t="shared" si="4"/>
        <v>0</v>
      </c>
      <c r="P13" s="275">
        <f t="shared" si="5"/>
        <v>0</v>
      </c>
      <c r="Q13" s="275">
        <f t="shared" si="6"/>
        <v>0</v>
      </c>
      <c r="R13" s="275">
        <f t="shared" si="7"/>
        <v>0</v>
      </c>
      <c r="S13" s="275">
        <f t="shared" si="8"/>
        <v>0</v>
      </c>
      <c r="T13" s="275">
        <f t="shared" si="9"/>
        <v>0</v>
      </c>
      <c r="U13" s="275">
        <f t="shared" si="10"/>
        <v>0</v>
      </c>
      <c r="V13" s="275">
        <f t="shared" si="11"/>
        <v>0</v>
      </c>
      <c r="W13" s="275">
        <f t="shared" si="12"/>
        <v>0</v>
      </c>
      <c r="X13" s="275">
        <f t="shared" si="13"/>
        <v>0</v>
      </c>
      <c r="Y13" s="275">
        <f t="shared" si="14"/>
        <v>0</v>
      </c>
      <c r="Z13" s="275">
        <f t="shared" si="15"/>
        <v>0</v>
      </c>
      <c r="AA13" s="275">
        <f t="shared" si="16"/>
        <v>0</v>
      </c>
      <c r="AB13" s="275">
        <f t="shared" si="63"/>
        <v>0</v>
      </c>
      <c r="AC13" s="275">
        <f t="shared" si="64"/>
        <v>0</v>
      </c>
      <c r="AD13" s="275">
        <f t="shared" si="17"/>
        <v>0</v>
      </c>
      <c r="AE13" s="275">
        <f t="shared" si="18"/>
        <v>0</v>
      </c>
      <c r="AF13" s="275">
        <f t="shared" si="19"/>
        <v>0</v>
      </c>
      <c r="AG13" s="275">
        <f t="shared" si="20"/>
        <v>0</v>
      </c>
      <c r="AH13" s="275">
        <f t="shared" si="65"/>
        <v>0</v>
      </c>
      <c r="AI13" s="275">
        <f t="shared" si="66"/>
        <v>0</v>
      </c>
      <c r="AJ13" s="275">
        <f t="shared" si="67"/>
        <v>0</v>
      </c>
      <c r="AK13" s="275">
        <f t="shared" si="68"/>
        <v>0</v>
      </c>
      <c r="AL13" s="275">
        <f t="shared" si="69"/>
        <v>0</v>
      </c>
      <c r="AM13" s="275">
        <f t="shared" si="70"/>
        <v>0</v>
      </c>
      <c r="AN13" s="275">
        <f t="shared" si="71"/>
        <v>0</v>
      </c>
      <c r="AO13" s="275">
        <f t="shared" si="72"/>
        <v>0</v>
      </c>
      <c r="AP13" s="275">
        <f t="shared" si="21"/>
        <v>0</v>
      </c>
      <c r="AQ13" s="275">
        <f t="shared" si="22"/>
        <v>0</v>
      </c>
      <c r="AR13" s="275">
        <f t="shared" si="23"/>
        <v>0</v>
      </c>
      <c r="AS13" s="275">
        <f t="shared" si="24"/>
        <v>0</v>
      </c>
      <c r="AT13" s="275">
        <f t="shared" si="73"/>
        <v>0</v>
      </c>
      <c r="AU13" s="275">
        <f t="shared" si="74"/>
        <v>0</v>
      </c>
      <c r="AV13" s="275">
        <f t="shared" si="25"/>
        <v>0</v>
      </c>
      <c r="AW13" s="275">
        <f t="shared" si="26"/>
        <v>0</v>
      </c>
      <c r="AX13" s="275">
        <f t="shared" si="27"/>
        <v>0</v>
      </c>
      <c r="AY13" s="275">
        <f t="shared" si="28"/>
        <v>0</v>
      </c>
      <c r="AZ13" s="275">
        <f t="shared" si="29"/>
        <v>0</v>
      </c>
      <c r="BA13" s="275">
        <f t="shared" si="30"/>
        <v>0</v>
      </c>
      <c r="BB13" s="275">
        <f t="shared" si="31"/>
        <v>0</v>
      </c>
      <c r="BC13" s="275">
        <f t="shared" si="32"/>
        <v>0</v>
      </c>
      <c r="BD13" s="275">
        <f t="shared" si="33"/>
        <v>0</v>
      </c>
      <c r="BE13" s="275">
        <f t="shared" si="34"/>
        <v>0</v>
      </c>
      <c r="BF13" s="275">
        <f t="shared" si="35"/>
        <v>0</v>
      </c>
      <c r="BG13" s="275">
        <f t="shared" si="36"/>
        <v>0</v>
      </c>
      <c r="BH13" s="275">
        <f t="shared" si="75"/>
        <v>0</v>
      </c>
      <c r="BI13" s="275">
        <f t="shared" si="76"/>
        <v>0</v>
      </c>
      <c r="BJ13" s="275">
        <f t="shared" si="37"/>
        <v>0</v>
      </c>
      <c r="BK13" s="275">
        <f t="shared" si="38"/>
        <v>0</v>
      </c>
      <c r="BL13" s="275">
        <f t="shared" si="39"/>
        <v>0</v>
      </c>
      <c r="BM13" s="275">
        <f t="shared" si="40"/>
        <v>0</v>
      </c>
      <c r="BN13" s="275">
        <f t="shared" si="41"/>
        <v>0</v>
      </c>
      <c r="BO13" s="275">
        <f t="shared" si="42"/>
        <v>0</v>
      </c>
      <c r="BP13" s="275">
        <f t="shared" si="77"/>
        <v>0</v>
      </c>
      <c r="BQ13" s="275">
        <f t="shared" si="78"/>
        <v>0</v>
      </c>
      <c r="BR13" s="275">
        <f t="shared" si="43"/>
        <v>0</v>
      </c>
      <c r="BS13" s="275">
        <f t="shared" si="44"/>
        <v>0</v>
      </c>
      <c r="BT13" s="275">
        <f t="shared" si="79"/>
        <v>0</v>
      </c>
      <c r="BU13" s="275">
        <f t="shared" si="80"/>
        <v>0</v>
      </c>
      <c r="BV13" s="275">
        <f t="shared" si="81"/>
        <v>0</v>
      </c>
      <c r="BW13" s="275">
        <f t="shared" si="82"/>
        <v>0</v>
      </c>
      <c r="BX13" s="275">
        <f t="shared" si="45"/>
        <v>0</v>
      </c>
      <c r="BY13" s="275">
        <f t="shared" si="46"/>
        <v>0</v>
      </c>
      <c r="BZ13" s="275">
        <f t="shared" si="47"/>
        <v>0</v>
      </c>
      <c r="CA13" s="275">
        <f t="shared" si="48"/>
        <v>0</v>
      </c>
      <c r="CB13" s="275">
        <f t="shared" si="49"/>
        <v>0</v>
      </c>
      <c r="CC13" s="275">
        <f t="shared" si="50"/>
        <v>0</v>
      </c>
      <c r="CD13" s="275">
        <f t="shared" si="83"/>
        <v>0</v>
      </c>
      <c r="CE13" s="275">
        <f t="shared" si="84"/>
        <v>0</v>
      </c>
      <c r="CF13" s="275">
        <f t="shared" si="85"/>
        <v>0</v>
      </c>
      <c r="CG13" s="275">
        <f t="shared" si="86"/>
        <v>0</v>
      </c>
      <c r="CH13" s="275">
        <f t="shared" si="51"/>
        <v>0</v>
      </c>
      <c r="CI13" s="275">
        <f t="shared" si="52"/>
        <v>0</v>
      </c>
      <c r="CJ13" s="275">
        <f t="shared" si="87"/>
        <v>0</v>
      </c>
      <c r="CK13" s="275">
        <f t="shared" si="88"/>
        <v>0</v>
      </c>
      <c r="CL13" s="275">
        <f t="shared" si="53"/>
        <v>0</v>
      </c>
      <c r="CM13" s="275">
        <f t="shared" si="54"/>
        <v>0</v>
      </c>
      <c r="CN13" s="275">
        <f t="shared" si="55"/>
        <v>0</v>
      </c>
      <c r="CO13" s="275">
        <f t="shared" si="56"/>
        <v>0</v>
      </c>
      <c r="CP13" s="275">
        <f t="shared" si="89"/>
        <v>0</v>
      </c>
      <c r="CQ13" s="275">
        <f t="shared" si="90"/>
        <v>0</v>
      </c>
      <c r="CR13" s="275">
        <f t="shared" si="91"/>
        <v>0</v>
      </c>
      <c r="CS13" s="275">
        <f t="shared" si="92"/>
        <v>0</v>
      </c>
      <c r="CT13" s="275">
        <f t="shared" si="57"/>
        <v>0</v>
      </c>
      <c r="CU13" s="275">
        <f t="shared" si="58"/>
        <v>0</v>
      </c>
      <c r="CV13" s="275">
        <f t="shared" si="59"/>
        <v>0</v>
      </c>
      <c r="CW13" s="275">
        <f t="shared" si="60"/>
        <v>0</v>
      </c>
      <c r="CX13" s="275">
        <f t="shared" si="93"/>
        <v>0</v>
      </c>
      <c r="CY13" s="275">
        <f t="shared" si="94"/>
        <v>0</v>
      </c>
      <c r="CZ13" s="275">
        <f t="shared" si="95"/>
        <v>0</v>
      </c>
      <c r="DA13" s="275">
        <f t="shared" si="96"/>
        <v>0</v>
      </c>
    </row>
    <row r="14" spans="1:105" s="272" customFormat="1" ht="15" customHeight="1">
      <c r="A14" s="63" t="str">
        <f t="array" ref="A14">IF(C14&lt;&gt;0,SUM(($C$11:C14&lt;&gt;0)*1),"")</f>
        <v/>
      </c>
      <c r="B14" s="273"/>
      <c r="C14" s="273"/>
      <c r="D14" s="273"/>
      <c r="E14" s="363"/>
      <c r="F14" s="324"/>
      <c r="G14" s="326"/>
      <c r="H14" s="326"/>
      <c r="I14" s="63" t="str">
        <f t="shared" si="0"/>
        <v/>
      </c>
      <c r="J14" s="275">
        <f t="shared" si="61"/>
        <v>0</v>
      </c>
      <c r="K14" s="275">
        <f t="shared" si="62"/>
        <v>0</v>
      </c>
      <c r="L14" s="275">
        <f t="shared" si="1"/>
        <v>0</v>
      </c>
      <c r="M14" s="275">
        <f t="shared" si="2"/>
        <v>0</v>
      </c>
      <c r="N14" s="275">
        <f t="shared" si="3"/>
        <v>0</v>
      </c>
      <c r="O14" s="275">
        <f t="shared" si="4"/>
        <v>0</v>
      </c>
      <c r="P14" s="275">
        <f t="shared" si="5"/>
        <v>0</v>
      </c>
      <c r="Q14" s="275">
        <f t="shared" si="6"/>
        <v>0</v>
      </c>
      <c r="R14" s="275">
        <f t="shared" si="7"/>
        <v>0</v>
      </c>
      <c r="S14" s="275">
        <f t="shared" si="8"/>
        <v>0</v>
      </c>
      <c r="T14" s="275">
        <f t="shared" si="9"/>
        <v>0</v>
      </c>
      <c r="U14" s="275">
        <f t="shared" si="10"/>
        <v>0</v>
      </c>
      <c r="V14" s="275">
        <f t="shared" si="11"/>
        <v>0</v>
      </c>
      <c r="W14" s="275">
        <f t="shared" si="12"/>
        <v>0</v>
      </c>
      <c r="X14" s="275">
        <f t="shared" si="13"/>
        <v>0</v>
      </c>
      <c r="Y14" s="275">
        <f t="shared" si="14"/>
        <v>0</v>
      </c>
      <c r="Z14" s="275">
        <f t="shared" si="15"/>
        <v>0</v>
      </c>
      <c r="AA14" s="275">
        <f t="shared" si="16"/>
        <v>0</v>
      </c>
      <c r="AB14" s="275">
        <f t="shared" si="63"/>
        <v>0</v>
      </c>
      <c r="AC14" s="275">
        <f t="shared" si="64"/>
        <v>0</v>
      </c>
      <c r="AD14" s="275">
        <f t="shared" si="17"/>
        <v>0</v>
      </c>
      <c r="AE14" s="275">
        <f t="shared" si="18"/>
        <v>0</v>
      </c>
      <c r="AF14" s="275">
        <f t="shared" si="19"/>
        <v>0</v>
      </c>
      <c r="AG14" s="275">
        <f t="shared" si="20"/>
        <v>0</v>
      </c>
      <c r="AH14" s="275">
        <f t="shared" si="65"/>
        <v>0</v>
      </c>
      <c r="AI14" s="275">
        <f t="shared" si="66"/>
        <v>0</v>
      </c>
      <c r="AJ14" s="275">
        <f t="shared" si="67"/>
        <v>0</v>
      </c>
      <c r="AK14" s="275">
        <f t="shared" si="68"/>
        <v>0</v>
      </c>
      <c r="AL14" s="275">
        <f t="shared" si="69"/>
        <v>0</v>
      </c>
      <c r="AM14" s="275">
        <f t="shared" si="70"/>
        <v>0</v>
      </c>
      <c r="AN14" s="275">
        <f t="shared" si="71"/>
        <v>0</v>
      </c>
      <c r="AO14" s="275">
        <f t="shared" si="72"/>
        <v>0</v>
      </c>
      <c r="AP14" s="275">
        <f t="shared" si="21"/>
        <v>0</v>
      </c>
      <c r="AQ14" s="275">
        <f t="shared" si="22"/>
        <v>0</v>
      </c>
      <c r="AR14" s="275">
        <f t="shared" si="23"/>
        <v>0</v>
      </c>
      <c r="AS14" s="275">
        <f t="shared" si="24"/>
        <v>0</v>
      </c>
      <c r="AT14" s="275">
        <f t="shared" si="73"/>
        <v>0</v>
      </c>
      <c r="AU14" s="275">
        <f t="shared" si="74"/>
        <v>0</v>
      </c>
      <c r="AV14" s="275">
        <f t="shared" si="25"/>
        <v>0</v>
      </c>
      <c r="AW14" s="275">
        <f t="shared" si="26"/>
        <v>0</v>
      </c>
      <c r="AX14" s="275">
        <f t="shared" si="27"/>
        <v>0</v>
      </c>
      <c r="AY14" s="275">
        <f t="shared" si="28"/>
        <v>0</v>
      </c>
      <c r="AZ14" s="275">
        <f t="shared" si="29"/>
        <v>0</v>
      </c>
      <c r="BA14" s="275">
        <f t="shared" si="30"/>
        <v>0</v>
      </c>
      <c r="BB14" s="275">
        <f t="shared" si="31"/>
        <v>0</v>
      </c>
      <c r="BC14" s="275">
        <f t="shared" si="32"/>
        <v>0</v>
      </c>
      <c r="BD14" s="275">
        <f t="shared" si="33"/>
        <v>0</v>
      </c>
      <c r="BE14" s="275">
        <f t="shared" si="34"/>
        <v>0</v>
      </c>
      <c r="BF14" s="275">
        <f t="shared" si="35"/>
        <v>0</v>
      </c>
      <c r="BG14" s="275">
        <f t="shared" si="36"/>
        <v>0</v>
      </c>
      <c r="BH14" s="275">
        <f t="shared" si="75"/>
        <v>0</v>
      </c>
      <c r="BI14" s="275">
        <f t="shared" si="76"/>
        <v>0</v>
      </c>
      <c r="BJ14" s="275">
        <f t="shared" si="37"/>
        <v>0</v>
      </c>
      <c r="BK14" s="275">
        <f t="shared" si="38"/>
        <v>0</v>
      </c>
      <c r="BL14" s="275">
        <f t="shared" si="39"/>
        <v>0</v>
      </c>
      <c r="BM14" s="275">
        <f t="shared" si="40"/>
        <v>0</v>
      </c>
      <c r="BN14" s="275">
        <f t="shared" si="41"/>
        <v>0</v>
      </c>
      <c r="BO14" s="275">
        <f t="shared" si="42"/>
        <v>0</v>
      </c>
      <c r="BP14" s="275">
        <f t="shared" si="77"/>
        <v>0</v>
      </c>
      <c r="BQ14" s="275">
        <f t="shared" si="78"/>
        <v>0</v>
      </c>
      <c r="BR14" s="275">
        <f t="shared" si="43"/>
        <v>0</v>
      </c>
      <c r="BS14" s="275">
        <f t="shared" si="44"/>
        <v>0</v>
      </c>
      <c r="BT14" s="275">
        <f t="shared" si="79"/>
        <v>0</v>
      </c>
      <c r="BU14" s="275">
        <f t="shared" si="80"/>
        <v>0</v>
      </c>
      <c r="BV14" s="275">
        <f t="shared" si="81"/>
        <v>0</v>
      </c>
      <c r="BW14" s="275">
        <f t="shared" si="82"/>
        <v>0</v>
      </c>
      <c r="BX14" s="275">
        <f t="shared" si="45"/>
        <v>0</v>
      </c>
      <c r="BY14" s="275">
        <f t="shared" si="46"/>
        <v>0</v>
      </c>
      <c r="BZ14" s="275">
        <f t="shared" si="47"/>
        <v>0</v>
      </c>
      <c r="CA14" s="275">
        <f t="shared" si="48"/>
        <v>0</v>
      </c>
      <c r="CB14" s="275">
        <f t="shared" si="49"/>
        <v>0</v>
      </c>
      <c r="CC14" s="275">
        <f t="shared" si="50"/>
        <v>0</v>
      </c>
      <c r="CD14" s="275">
        <f t="shared" si="83"/>
        <v>0</v>
      </c>
      <c r="CE14" s="275">
        <f t="shared" si="84"/>
        <v>0</v>
      </c>
      <c r="CF14" s="275">
        <f t="shared" si="85"/>
        <v>0</v>
      </c>
      <c r="CG14" s="275">
        <f t="shared" si="86"/>
        <v>0</v>
      </c>
      <c r="CH14" s="275">
        <f t="shared" si="51"/>
        <v>0</v>
      </c>
      <c r="CI14" s="275">
        <f t="shared" si="52"/>
        <v>0</v>
      </c>
      <c r="CJ14" s="275">
        <f t="shared" si="87"/>
        <v>0</v>
      </c>
      <c r="CK14" s="275">
        <f t="shared" si="88"/>
        <v>0</v>
      </c>
      <c r="CL14" s="275">
        <f t="shared" si="53"/>
        <v>0</v>
      </c>
      <c r="CM14" s="275">
        <f t="shared" si="54"/>
        <v>0</v>
      </c>
      <c r="CN14" s="275">
        <f t="shared" si="55"/>
        <v>0</v>
      </c>
      <c r="CO14" s="275">
        <f t="shared" si="56"/>
        <v>0</v>
      </c>
      <c r="CP14" s="275">
        <f t="shared" si="89"/>
        <v>0</v>
      </c>
      <c r="CQ14" s="275">
        <f t="shared" si="90"/>
        <v>0</v>
      </c>
      <c r="CR14" s="275">
        <f t="shared" si="91"/>
        <v>0</v>
      </c>
      <c r="CS14" s="275">
        <f t="shared" si="92"/>
        <v>0</v>
      </c>
      <c r="CT14" s="275">
        <f t="shared" si="57"/>
        <v>0</v>
      </c>
      <c r="CU14" s="275">
        <f t="shared" si="58"/>
        <v>0</v>
      </c>
      <c r="CV14" s="275">
        <f t="shared" si="59"/>
        <v>0</v>
      </c>
      <c r="CW14" s="275">
        <f t="shared" si="60"/>
        <v>0</v>
      </c>
      <c r="CX14" s="275">
        <f t="shared" si="93"/>
        <v>0</v>
      </c>
      <c r="CY14" s="275">
        <f t="shared" si="94"/>
        <v>0</v>
      </c>
      <c r="CZ14" s="275">
        <f t="shared" si="95"/>
        <v>0</v>
      </c>
      <c r="DA14" s="275">
        <f t="shared" si="96"/>
        <v>0</v>
      </c>
    </row>
    <row r="15" spans="1:105" s="272" customFormat="1" ht="15" customHeight="1">
      <c r="A15" s="63" t="str">
        <f t="array" ref="A15">IF(C15&lt;&gt;0,SUM(($C$11:C15&lt;&gt;0)*1),"")</f>
        <v/>
      </c>
      <c r="B15" s="273"/>
      <c r="C15" s="273"/>
      <c r="D15" s="273"/>
      <c r="E15" s="363"/>
      <c r="F15" s="324"/>
      <c r="G15" s="326"/>
      <c r="H15" s="326"/>
      <c r="I15" s="63" t="str">
        <f t="shared" si="0"/>
        <v/>
      </c>
      <c r="J15" s="275">
        <f t="shared" si="61"/>
        <v>0</v>
      </c>
      <c r="K15" s="275">
        <f t="shared" si="62"/>
        <v>0</v>
      </c>
      <c r="L15" s="275">
        <f t="shared" si="1"/>
        <v>0</v>
      </c>
      <c r="M15" s="275">
        <f t="shared" si="2"/>
        <v>0</v>
      </c>
      <c r="N15" s="275">
        <f t="shared" si="3"/>
        <v>0</v>
      </c>
      <c r="O15" s="275">
        <f t="shared" si="4"/>
        <v>0</v>
      </c>
      <c r="P15" s="275">
        <f t="shared" si="5"/>
        <v>0</v>
      </c>
      <c r="Q15" s="275">
        <f t="shared" si="6"/>
        <v>0</v>
      </c>
      <c r="R15" s="275">
        <f t="shared" si="7"/>
        <v>0</v>
      </c>
      <c r="S15" s="275">
        <f t="shared" si="8"/>
        <v>0</v>
      </c>
      <c r="T15" s="275">
        <f t="shared" si="9"/>
        <v>0</v>
      </c>
      <c r="U15" s="275">
        <f t="shared" si="10"/>
        <v>0</v>
      </c>
      <c r="V15" s="275">
        <f t="shared" si="11"/>
        <v>0</v>
      </c>
      <c r="W15" s="275">
        <f t="shared" si="12"/>
        <v>0</v>
      </c>
      <c r="X15" s="275">
        <f t="shared" si="13"/>
        <v>0</v>
      </c>
      <c r="Y15" s="275">
        <f t="shared" si="14"/>
        <v>0</v>
      </c>
      <c r="Z15" s="275">
        <f t="shared" si="15"/>
        <v>0</v>
      </c>
      <c r="AA15" s="275">
        <f t="shared" si="16"/>
        <v>0</v>
      </c>
      <c r="AB15" s="275">
        <f t="shared" si="63"/>
        <v>0</v>
      </c>
      <c r="AC15" s="275">
        <f t="shared" si="64"/>
        <v>0</v>
      </c>
      <c r="AD15" s="275">
        <f t="shared" si="17"/>
        <v>0</v>
      </c>
      <c r="AE15" s="275">
        <f t="shared" si="18"/>
        <v>0</v>
      </c>
      <c r="AF15" s="275">
        <f t="shared" si="19"/>
        <v>0</v>
      </c>
      <c r="AG15" s="275">
        <f t="shared" si="20"/>
        <v>0</v>
      </c>
      <c r="AH15" s="275">
        <f t="shared" si="65"/>
        <v>0</v>
      </c>
      <c r="AI15" s="275">
        <f t="shared" si="66"/>
        <v>0</v>
      </c>
      <c r="AJ15" s="275">
        <f t="shared" si="67"/>
        <v>0</v>
      </c>
      <c r="AK15" s="275">
        <f t="shared" si="68"/>
        <v>0</v>
      </c>
      <c r="AL15" s="275">
        <f t="shared" si="69"/>
        <v>0</v>
      </c>
      <c r="AM15" s="275">
        <f t="shared" si="70"/>
        <v>0</v>
      </c>
      <c r="AN15" s="275">
        <f t="shared" si="71"/>
        <v>0</v>
      </c>
      <c r="AO15" s="275">
        <f t="shared" si="72"/>
        <v>0</v>
      </c>
      <c r="AP15" s="275">
        <f t="shared" si="21"/>
        <v>0</v>
      </c>
      <c r="AQ15" s="275">
        <f t="shared" si="22"/>
        <v>0</v>
      </c>
      <c r="AR15" s="275">
        <f t="shared" si="23"/>
        <v>0</v>
      </c>
      <c r="AS15" s="275">
        <f t="shared" si="24"/>
        <v>0</v>
      </c>
      <c r="AT15" s="275">
        <f t="shared" si="73"/>
        <v>0</v>
      </c>
      <c r="AU15" s="275">
        <f t="shared" si="74"/>
        <v>0</v>
      </c>
      <c r="AV15" s="275">
        <f t="shared" si="25"/>
        <v>0</v>
      </c>
      <c r="AW15" s="275">
        <f t="shared" si="26"/>
        <v>0</v>
      </c>
      <c r="AX15" s="275">
        <f t="shared" si="27"/>
        <v>0</v>
      </c>
      <c r="AY15" s="275">
        <f t="shared" si="28"/>
        <v>0</v>
      </c>
      <c r="AZ15" s="275">
        <f t="shared" si="29"/>
        <v>0</v>
      </c>
      <c r="BA15" s="275">
        <f t="shared" si="30"/>
        <v>0</v>
      </c>
      <c r="BB15" s="275">
        <f t="shared" si="31"/>
        <v>0</v>
      </c>
      <c r="BC15" s="275">
        <f t="shared" si="32"/>
        <v>0</v>
      </c>
      <c r="BD15" s="275">
        <f t="shared" si="33"/>
        <v>0</v>
      </c>
      <c r="BE15" s="275">
        <f t="shared" si="34"/>
        <v>0</v>
      </c>
      <c r="BF15" s="275">
        <f t="shared" si="35"/>
        <v>0</v>
      </c>
      <c r="BG15" s="275">
        <f t="shared" si="36"/>
        <v>0</v>
      </c>
      <c r="BH15" s="275">
        <f t="shared" si="75"/>
        <v>0</v>
      </c>
      <c r="BI15" s="275">
        <f t="shared" si="76"/>
        <v>0</v>
      </c>
      <c r="BJ15" s="275">
        <f t="shared" si="37"/>
        <v>0</v>
      </c>
      <c r="BK15" s="275">
        <f t="shared" si="38"/>
        <v>0</v>
      </c>
      <c r="BL15" s="275">
        <f t="shared" si="39"/>
        <v>0</v>
      </c>
      <c r="BM15" s="275">
        <f t="shared" si="40"/>
        <v>0</v>
      </c>
      <c r="BN15" s="275">
        <f t="shared" si="41"/>
        <v>0</v>
      </c>
      <c r="BO15" s="275">
        <f t="shared" si="42"/>
        <v>0</v>
      </c>
      <c r="BP15" s="275">
        <f t="shared" si="77"/>
        <v>0</v>
      </c>
      <c r="BQ15" s="275">
        <f t="shared" si="78"/>
        <v>0</v>
      </c>
      <c r="BR15" s="275">
        <f t="shared" si="43"/>
        <v>0</v>
      </c>
      <c r="BS15" s="275">
        <f t="shared" si="44"/>
        <v>0</v>
      </c>
      <c r="BT15" s="275">
        <f t="shared" si="79"/>
        <v>0</v>
      </c>
      <c r="BU15" s="275">
        <f t="shared" si="80"/>
        <v>0</v>
      </c>
      <c r="BV15" s="275">
        <f t="shared" si="81"/>
        <v>0</v>
      </c>
      <c r="BW15" s="275">
        <f t="shared" si="82"/>
        <v>0</v>
      </c>
      <c r="BX15" s="275">
        <f t="shared" si="45"/>
        <v>0</v>
      </c>
      <c r="BY15" s="275">
        <f t="shared" si="46"/>
        <v>0</v>
      </c>
      <c r="BZ15" s="275">
        <f t="shared" si="47"/>
        <v>0</v>
      </c>
      <c r="CA15" s="275">
        <f t="shared" si="48"/>
        <v>0</v>
      </c>
      <c r="CB15" s="275">
        <f t="shared" si="49"/>
        <v>0</v>
      </c>
      <c r="CC15" s="275">
        <f t="shared" si="50"/>
        <v>0</v>
      </c>
      <c r="CD15" s="275">
        <f t="shared" si="83"/>
        <v>0</v>
      </c>
      <c r="CE15" s="275">
        <f t="shared" si="84"/>
        <v>0</v>
      </c>
      <c r="CF15" s="275">
        <f t="shared" si="85"/>
        <v>0</v>
      </c>
      <c r="CG15" s="275">
        <f t="shared" si="86"/>
        <v>0</v>
      </c>
      <c r="CH15" s="275">
        <f t="shared" si="51"/>
        <v>0</v>
      </c>
      <c r="CI15" s="275">
        <f t="shared" si="52"/>
        <v>0</v>
      </c>
      <c r="CJ15" s="275">
        <f t="shared" si="87"/>
        <v>0</v>
      </c>
      <c r="CK15" s="275">
        <f t="shared" si="88"/>
        <v>0</v>
      </c>
      <c r="CL15" s="275">
        <f t="shared" si="53"/>
        <v>0</v>
      </c>
      <c r="CM15" s="275">
        <f t="shared" si="54"/>
        <v>0</v>
      </c>
      <c r="CN15" s="275">
        <f t="shared" si="55"/>
        <v>0</v>
      </c>
      <c r="CO15" s="275">
        <f t="shared" si="56"/>
        <v>0</v>
      </c>
      <c r="CP15" s="275">
        <f t="shared" si="89"/>
        <v>0</v>
      </c>
      <c r="CQ15" s="275">
        <f t="shared" si="90"/>
        <v>0</v>
      </c>
      <c r="CR15" s="275">
        <f t="shared" si="91"/>
        <v>0</v>
      </c>
      <c r="CS15" s="275">
        <f t="shared" si="92"/>
        <v>0</v>
      </c>
      <c r="CT15" s="275">
        <f t="shared" si="57"/>
        <v>0</v>
      </c>
      <c r="CU15" s="275">
        <f t="shared" si="58"/>
        <v>0</v>
      </c>
      <c r="CV15" s="275">
        <f t="shared" si="59"/>
        <v>0</v>
      </c>
      <c r="CW15" s="275">
        <f t="shared" si="60"/>
        <v>0</v>
      </c>
      <c r="CX15" s="275">
        <f t="shared" si="93"/>
        <v>0</v>
      </c>
      <c r="CY15" s="275">
        <f t="shared" si="94"/>
        <v>0</v>
      </c>
      <c r="CZ15" s="275">
        <f t="shared" si="95"/>
        <v>0</v>
      </c>
      <c r="DA15" s="275">
        <f t="shared" si="96"/>
        <v>0</v>
      </c>
    </row>
    <row r="16" spans="1:105" s="272" customFormat="1" ht="15" customHeight="1">
      <c r="A16" s="63" t="str">
        <f t="array" ref="A16">IF(C16&lt;&gt;0,SUM(($C$11:C16&lt;&gt;0)*1),"")</f>
        <v/>
      </c>
      <c r="B16" s="273"/>
      <c r="C16" s="273"/>
      <c r="D16" s="273"/>
      <c r="E16" s="363"/>
      <c r="F16" s="324"/>
      <c r="G16" s="326"/>
      <c r="H16" s="326"/>
      <c r="I16" s="63" t="str">
        <f t="shared" si="0"/>
        <v/>
      </c>
      <c r="J16" s="275">
        <f t="shared" si="61"/>
        <v>0</v>
      </c>
      <c r="K16" s="275">
        <f t="shared" si="62"/>
        <v>0</v>
      </c>
      <c r="L16" s="275">
        <f t="shared" si="1"/>
        <v>0</v>
      </c>
      <c r="M16" s="275">
        <f t="shared" si="2"/>
        <v>0</v>
      </c>
      <c r="N16" s="275">
        <f t="shared" si="3"/>
        <v>0</v>
      </c>
      <c r="O16" s="275">
        <f t="shared" si="4"/>
        <v>0</v>
      </c>
      <c r="P16" s="275">
        <f t="shared" si="5"/>
        <v>0</v>
      </c>
      <c r="Q16" s="275">
        <f t="shared" si="6"/>
        <v>0</v>
      </c>
      <c r="R16" s="275">
        <f t="shared" si="7"/>
        <v>0</v>
      </c>
      <c r="S16" s="275">
        <f t="shared" si="8"/>
        <v>0</v>
      </c>
      <c r="T16" s="275">
        <f t="shared" si="9"/>
        <v>0</v>
      </c>
      <c r="U16" s="275">
        <f t="shared" si="10"/>
        <v>0</v>
      </c>
      <c r="V16" s="275">
        <f t="shared" si="11"/>
        <v>0</v>
      </c>
      <c r="W16" s="275">
        <f t="shared" si="12"/>
        <v>0</v>
      </c>
      <c r="X16" s="275">
        <f t="shared" si="13"/>
        <v>0</v>
      </c>
      <c r="Y16" s="275">
        <f t="shared" si="14"/>
        <v>0</v>
      </c>
      <c r="Z16" s="275">
        <f t="shared" si="15"/>
        <v>0</v>
      </c>
      <c r="AA16" s="275">
        <f t="shared" si="16"/>
        <v>0</v>
      </c>
      <c r="AB16" s="275">
        <f t="shared" si="63"/>
        <v>0</v>
      </c>
      <c r="AC16" s="275">
        <f t="shared" si="64"/>
        <v>0</v>
      </c>
      <c r="AD16" s="275">
        <f t="shared" si="17"/>
        <v>0</v>
      </c>
      <c r="AE16" s="275">
        <f t="shared" si="18"/>
        <v>0</v>
      </c>
      <c r="AF16" s="275">
        <f t="shared" si="19"/>
        <v>0</v>
      </c>
      <c r="AG16" s="275">
        <f t="shared" si="20"/>
        <v>0</v>
      </c>
      <c r="AH16" s="275">
        <f t="shared" si="65"/>
        <v>0</v>
      </c>
      <c r="AI16" s="275">
        <f t="shared" si="66"/>
        <v>0</v>
      </c>
      <c r="AJ16" s="275">
        <f t="shared" si="67"/>
        <v>0</v>
      </c>
      <c r="AK16" s="275">
        <f t="shared" si="68"/>
        <v>0</v>
      </c>
      <c r="AL16" s="275">
        <f t="shared" si="69"/>
        <v>0</v>
      </c>
      <c r="AM16" s="275">
        <f t="shared" si="70"/>
        <v>0</v>
      </c>
      <c r="AN16" s="275">
        <f t="shared" si="71"/>
        <v>0</v>
      </c>
      <c r="AO16" s="275">
        <f t="shared" si="72"/>
        <v>0</v>
      </c>
      <c r="AP16" s="275">
        <f t="shared" si="21"/>
        <v>0</v>
      </c>
      <c r="AQ16" s="275">
        <f t="shared" si="22"/>
        <v>0</v>
      </c>
      <c r="AR16" s="275">
        <f t="shared" si="23"/>
        <v>0</v>
      </c>
      <c r="AS16" s="275">
        <f t="shared" si="24"/>
        <v>0</v>
      </c>
      <c r="AT16" s="275">
        <f t="shared" si="73"/>
        <v>0</v>
      </c>
      <c r="AU16" s="275">
        <f t="shared" si="74"/>
        <v>0</v>
      </c>
      <c r="AV16" s="275">
        <f t="shared" si="25"/>
        <v>0</v>
      </c>
      <c r="AW16" s="275">
        <f t="shared" si="26"/>
        <v>0</v>
      </c>
      <c r="AX16" s="275">
        <f t="shared" si="27"/>
        <v>0</v>
      </c>
      <c r="AY16" s="275">
        <f t="shared" si="28"/>
        <v>0</v>
      </c>
      <c r="AZ16" s="275">
        <f t="shared" si="29"/>
        <v>0</v>
      </c>
      <c r="BA16" s="275">
        <f t="shared" si="30"/>
        <v>0</v>
      </c>
      <c r="BB16" s="275">
        <f t="shared" si="31"/>
        <v>0</v>
      </c>
      <c r="BC16" s="275">
        <f t="shared" si="32"/>
        <v>0</v>
      </c>
      <c r="BD16" s="275">
        <f t="shared" si="33"/>
        <v>0</v>
      </c>
      <c r="BE16" s="275">
        <f t="shared" si="34"/>
        <v>0</v>
      </c>
      <c r="BF16" s="275">
        <f t="shared" si="35"/>
        <v>0</v>
      </c>
      <c r="BG16" s="275">
        <f t="shared" si="36"/>
        <v>0</v>
      </c>
      <c r="BH16" s="275">
        <f t="shared" si="75"/>
        <v>0</v>
      </c>
      <c r="BI16" s="275">
        <f t="shared" si="76"/>
        <v>0</v>
      </c>
      <c r="BJ16" s="275">
        <f t="shared" si="37"/>
        <v>0</v>
      </c>
      <c r="BK16" s="275">
        <f t="shared" si="38"/>
        <v>0</v>
      </c>
      <c r="BL16" s="275">
        <f t="shared" si="39"/>
        <v>0</v>
      </c>
      <c r="BM16" s="275">
        <f t="shared" si="40"/>
        <v>0</v>
      </c>
      <c r="BN16" s="275">
        <f t="shared" si="41"/>
        <v>0</v>
      </c>
      <c r="BO16" s="275">
        <f t="shared" si="42"/>
        <v>0</v>
      </c>
      <c r="BP16" s="275">
        <f t="shared" si="77"/>
        <v>0</v>
      </c>
      <c r="BQ16" s="275">
        <f t="shared" si="78"/>
        <v>0</v>
      </c>
      <c r="BR16" s="275">
        <f t="shared" si="43"/>
        <v>0</v>
      </c>
      <c r="BS16" s="275">
        <f t="shared" si="44"/>
        <v>0</v>
      </c>
      <c r="BT16" s="275">
        <f t="shared" si="79"/>
        <v>0</v>
      </c>
      <c r="BU16" s="275">
        <f t="shared" si="80"/>
        <v>0</v>
      </c>
      <c r="BV16" s="275">
        <f t="shared" si="81"/>
        <v>0</v>
      </c>
      <c r="BW16" s="275">
        <f t="shared" si="82"/>
        <v>0</v>
      </c>
      <c r="BX16" s="275">
        <f t="shared" si="45"/>
        <v>0</v>
      </c>
      <c r="BY16" s="275">
        <f t="shared" si="46"/>
        <v>0</v>
      </c>
      <c r="BZ16" s="275">
        <f t="shared" si="47"/>
        <v>0</v>
      </c>
      <c r="CA16" s="275">
        <f t="shared" si="48"/>
        <v>0</v>
      </c>
      <c r="CB16" s="275">
        <f t="shared" si="49"/>
        <v>0</v>
      </c>
      <c r="CC16" s="275">
        <f t="shared" si="50"/>
        <v>0</v>
      </c>
      <c r="CD16" s="275">
        <f t="shared" si="83"/>
        <v>0</v>
      </c>
      <c r="CE16" s="275">
        <f t="shared" si="84"/>
        <v>0</v>
      </c>
      <c r="CF16" s="275">
        <f t="shared" si="85"/>
        <v>0</v>
      </c>
      <c r="CG16" s="275">
        <f t="shared" si="86"/>
        <v>0</v>
      </c>
      <c r="CH16" s="275">
        <f t="shared" si="51"/>
        <v>0</v>
      </c>
      <c r="CI16" s="275">
        <f t="shared" si="52"/>
        <v>0</v>
      </c>
      <c r="CJ16" s="275">
        <f t="shared" si="87"/>
        <v>0</v>
      </c>
      <c r="CK16" s="275">
        <f t="shared" si="88"/>
        <v>0</v>
      </c>
      <c r="CL16" s="275">
        <f t="shared" si="53"/>
        <v>0</v>
      </c>
      <c r="CM16" s="275">
        <f t="shared" si="54"/>
        <v>0</v>
      </c>
      <c r="CN16" s="275">
        <f t="shared" si="55"/>
        <v>0</v>
      </c>
      <c r="CO16" s="275">
        <f t="shared" si="56"/>
        <v>0</v>
      </c>
      <c r="CP16" s="275">
        <f t="shared" si="89"/>
        <v>0</v>
      </c>
      <c r="CQ16" s="275">
        <f t="shared" si="90"/>
        <v>0</v>
      </c>
      <c r="CR16" s="275">
        <f t="shared" si="91"/>
        <v>0</v>
      </c>
      <c r="CS16" s="275">
        <f t="shared" si="92"/>
        <v>0</v>
      </c>
      <c r="CT16" s="275">
        <f t="shared" si="57"/>
        <v>0</v>
      </c>
      <c r="CU16" s="275">
        <f t="shared" si="58"/>
        <v>0</v>
      </c>
      <c r="CV16" s="275">
        <f t="shared" si="59"/>
        <v>0</v>
      </c>
      <c r="CW16" s="275">
        <f t="shared" si="60"/>
        <v>0</v>
      </c>
      <c r="CX16" s="275">
        <f t="shared" si="93"/>
        <v>0</v>
      </c>
      <c r="CY16" s="275">
        <f t="shared" si="94"/>
        <v>0</v>
      </c>
      <c r="CZ16" s="275">
        <f t="shared" si="95"/>
        <v>0</v>
      </c>
      <c r="DA16" s="275">
        <f t="shared" si="96"/>
        <v>0</v>
      </c>
    </row>
    <row r="17" spans="1:105" s="272" customFormat="1" ht="15" customHeight="1">
      <c r="A17" s="63" t="str">
        <f t="array" ref="A17">IF(C17&lt;&gt;0,SUM(($C$11:C17&lt;&gt;0)*1),"")</f>
        <v/>
      </c>
      <c r="B17" s="273"/>
      <c r="C17" s="273"/>
      <c r="D17" s="273"/>
      <c r="E17" s="363"/>
      <c r="F17" s="324"/>
      <c r="G17" s="326"/>
      <c r="H17" s="326"/>
      <c r="I17" s="63" t="str">
        <f t="shared" si="0"/>
        <v/>
      </c>
      <c r="J17" s="275">
        <f t="shared" si="61"/>
        <v>0</v>
      </c>
      <c r="K17" s="275">
        <f t="shared" si="62"/>
        <v>0</v>
      </c>
      <c r="L17" s="275">
        <f t="shared" si="1"/>
        <v>0</v>
      </c>
      <c r="M17" s="275">
        <f t="shared" si="2"/>
        <v>0</v>
      </c>
      <c r="N17" s="275">
        <f t="shared" si="3"/>
        <v>0</v>
      </c>
      <c r="O17" s="275">
        <f t="shared" si="4"/>
        <v>0</v>
      </c>
      <c r="P17" s="275">
        <f t="shared" si="5"/>
        <v>0</v>
      </c>
      <c r="Q17" s="275">
        <f t="shared" si="6"/>
        <v>0</v>
      </c>
      <c r="R17" s="275">
        <f t="shared" si="7"/>
        <v>0</v>
      </c>
      <c r="S17" s="275">
        <f t="shared" si="8"/>
        <v>0</v>
      </c>
      <c r="T17" s="275">
        <f t="shared" si="9"/>
        <v>0</v>
      </c>
      <c r="U17" s="275">
        <f t="shared" si="10"/>
        <v>0</v>
      </c>
      <c r="V17" s="275">
        <f t="shared" si="11"/>
        <v>0</v>
      </c>
      <c r="W17" s="275">
        <f t="shared" si="12"/>
        <v>0</v>
      </c>
      <c r="X17" s="275">
        <f t="shared" si="13"/>
        <v>0</v>
      </c>
      <c r="Y17" s="275">
        <f t="shared" si="14"/>
        <v>0</v>
      </c>
      <c r="Z17" s="275">
        <f t="shared" si="15"/>
        <v>0</v>
      </c>
      <c r="AA17" s="275">
        <f t="shared" si="16"/>
        <v>0</v>
      </c>
      <c r="AB17" s="275">
        <f t="shared" si="63"/>
        <v>0</v>
      </c>
      <c r="AC17" s="275">
        <f t="shared" si="64"/>
        <v>0</v>
      </c>
      <c r="AD17" s="275">
        <f t="shared" si="17"/>
        <v>0</v>
      </c>
      <c r="AE17" s="275">
        <f t="shared" si="18"/>
        <v>0</v>
      </c>
      <c r="AF17" s="275">
        <f t="shared" si="19"/>
        <v>0</v>
      </c>
      <c r="AG17" s="275">
        <f t="shared" si="20"/>
        <v>0</v>
      </c>
      <c r="AH17" s="275">
        <f t="shared" si="65"/>
        <v>0</v>
      </c>
      <c r="AI17" s="275">
        <f t="shared" si="66"/>
        <v>0</v>
      </c>
      <c r="AJ17" s="275">
        <f t="shared" si="67"/>
        <v>0</v>
      </c>
      <c r="AK17" s="275">
        <f t="shared" si="68"/>
        <v>0</v>
      </c>
      <c r="AL17" s="275">
        <f t="shared" si="69"/>
        <v>0</v>
      </c>
      <c r="AM17" s="275">
        <f t="shared" si="70"/>
        <v>0</v>
      </c>
      <c r="AN17" s="275">
        <f t="shared" si="71"/>
        <v>0</v>
      </c>
      <c r="AO17" s="275">
        <f t="shared" si="72"/>
        <v>0</v>
      </c>
      <c r="AP17" s="275">
        <f t="shared" si="21"/>
        <v>0</v>
      </c>
      <c r="AQ17" s="275">
        <f t="shared" si="22"/>
        <v>0</v>
      </c>
      <c r="AR17" s="275">
        <f t="shared" si="23"/>
        <v>0</v>
      </c>
      <c r="AS17" s="275">
        <f t="shared" si="24"/>
        <v>0</v>
      </c>
      <c r="AT17" s="275">
        <f t="shared" si="73"/>
        <v>0</v>
      </c>
      <c r="AU17" s="275">
        <f t="shared" si="74"/>
        <v>0</v>
      </c>
      <c r="AV17" s="275">
        <f t="shared" si="25"/>
        <v>0</v>
      </c>
      <c r="AW17" s="275">
        <f t="shared" si="26"/>
        <v>0</v>
      </c>
      <c r="AX17" s="275">
        <f t="shared" si="27"/>
        <v>0</v>
      </c>
      <c r="AY17" s="275">
        <f t="shared" si="28"/>
        <v>0</v>
      </c>
      <c r="AZ17" s="275">
        <f t="shared" si="29"/>
        <v>0</v>
      </c>
      <c r="BA17" s="275">
        <f t="shared" si="30"/>
        <v>0</v>
      </c>
      <c r="BB17" s="275">
        <f t="shared" si="31"/>
        <v>0</v>
      </c>
      <c r="BC17" s="275">
        <f t="shared" si="32"/>
        <v>0</v>
      </c>
      <c r="BD17" s="275">
        <f t="shared" si="33"/>
        <v>0</v>
      </c>
      <c r="BE17" s="275">
        <f t="shared" si="34"/>
        <v>0</v>
      </c>
      <c r="BF17" s="275">
        <f t="shared" si="35"/>
        <v>0</v>
      </c>
      <c r="BG17" s="275">
        <f t="shared" si="36"/>
        <v>0</v>
      </c>
      <c r="BH17" s="275">
        <f t="shared" si="75"/>
        <v>0</v>
      </c>
      <c r="BI17" s="275">
        <f t="shared" si="76"/>
        <v>0</v>
      </c>
      <c r="BJ17" s="275">
        <f t="shared" si="37"/>
        <v>0</v>
      </c>
      <c r="BK17" s="275">
        <f t="shared" si="38"/>
        <v>0</v>
      </c>
      <c r="BL17" s="275">
        <f t="shared" si="39"/>
        <v>0</v>
      </c>
      <c r="BM17" s="275">
        <f t="shared" si="40"/>
        <v>0</v>
      </c>
      <c r="BN17" s="275">
        <f t="shared" si="41"/>
        <v>0</v>
      </c>
      <c r="BO17" s="275">
        <f t="shared" si="42"/>
        <v>0</v>
      </c>
      <c r="BP17" s="275">
        <f t="shared" si="77"/>
        <v>0</v>
      </c>
      <c r="BQ17" s="275">
        <f t="shared" si="78"/>
        <v>0</v>
      </c>
      <c r="BR17" s="275">
        <f t="shared" si="43"/>
        <v>0</v>
      </c>
      <c r="BS17" s="275">
        <f t="shared" si="44"/>
        <v>0</v>
      </c>
      <c r="BT17" s="275">
        <f t="shared" si="79"/>
        <v>0</v>
      </c>
      <c r="BU17" s="275">
        <f t="shared" si="80"/>
        <v>0</v>
      </c>
      <c r="BV17" s="275">
        <f t="shared" si="81"/>
        <v>0</v>
      </c>
      <c r="BW17" s="275">
        <f t="shared" si="82"/>
        <v>0</v>
      </c>
      <c r="BX17" s="275">
        <f t="shared" si="45"/>
        <v>0</v>
      </c>
      <c r="BY17" s="275">
        <f t="shared" si="46"/>
        <v>0</v>
      </c>
      <c r="BZ17" s="275">
        <f t="shared" si="47"/>
        <v>0</v>
      </c>
      <c r="CA17" s="275">
        <f t="shared" si="48"/>
        <v>0</v>
      </c>
      <c r="CB17" s="275">
        <f t="shared" si="49"/>
        <v>0</v>
      </c>
      <c r="CC17" s="275">
        <f t="shared" si="50"/>
        <v>0</v>
      </c>
      <c r="CD17" s="275">
        <f t="shared" si="83"/>
        <v>0</v>
      </c>
      <c r="CE17" s="275">
        <f t="shared" si="84"/>
        <v>0</v>
      </c>
      <c r="CF17" s="275">
        <f t="shared" si="85"/>
        <v>0</v>
      </c>
      <c r="CG17" s="275">
        <f t="shared" si="86"/>
        <v>0</v>
      </c>
      <c r="CH17" s="275">
        <f t="shared" si="51"/>
        <v>0</v>
      </c>
      <c r="CI17" s="275">
        <f t="shared" si="52"/>
        <v>0</v>
      </c>
      <c r="CJ17" s="275">
        <f t="shared" si="87"/>
        <v>0</v>
      </c>
      <c r="CK17" s="275">
        <f t="shared" si="88"/>
        <v>0</v>
      </c>
      <c r="CL17" s="275">
        <f t="shared" si="53"/>
        <v>0</v>
      </c>
      <c r="CM17" s="275">
        <f t="shared" si="54"/>
        <v>0</v>
      </c>
      <c r="CN17" s="275">
        <f t="shared" si="55"/>
        <v>0</v>
      </c>
      <c r="CO17" s="275">
        <f t="shared" si="56"/>
        <v>0</v>
      </c>
      <c r="CP17" s="275">
        <f t="shared" si="89"/>
        <v>0</v>
      </c>
      <c r="CQ17" s="275">
        <f t="shared" si="90"/>
        <v>0</v>
      </c>
      <c r="CR17" s="275">
        <f t="shared" si="91"/>
        <v>0</v>
      </c>
      <c r="CS17" s="275">
        <f t="shared" si="92"/>
        <v>0</v>
      </c>
      <c r="CT17" s="275">
        <f t="shared" si="57"/>
        <v>0</v>
      </c>
      <c r="CU17" s="275">
        <f t="shared" si="58"/>
        <v>0</v>
      </c>
      <c r="CV17" s="275">
        <f t="shared" si="59"/>
        <v>0</v>
      </c>
      <c r="CW17" s="275">
        <f t="shared" si="60"/>
        <v>0</v>
      </c>
      <c r="CX17" s="275">
        <f t="shared" si="93"/>
        <v>0</v>
      </c>
      <c r="CY17" s="275">
        <f t="shared" si="94"/>
        <v>0</v>
      </c>
      <c r="CZ17" s="275">
        <f t="shared" si="95"/>
        <v>0</v>
      </c>
      <c r="DA17" s="275">
        <f t="shared" si="96"/>
        <v>0</v>
      </c>
    </row>
    <row r="18" spans="1:105" s="272" customFormat="1" ht="15" customHeight="1">
      <c r="A18" s="63" t="str">
        <f t="array" ref="A18">IF(C18&lt;&gt;0,SUM(($C$11:C18&lt;&gt;0)*1),"")</f>
        <v/>
      </c>
      <c r="B18" s="273"/>
      <c r="C18" s="273"/>
      <c r="D18" s="273"/>
      <c r="E18" s="363"/>
      <c r="F18" s="324"/>
      <c r="G18" s="326"/>
      <c r="H18" s="326"/>
      <c r="I18" s="63" t="str">
        <f t="shared" si="0"/>
        <v/>
      </c>
      <c r="J18" s="275">
        <f t="shared" si="61"/>
        <v>0</v>
      </c>
      <c r="K18" s="275">
        <f t="shared" si="62"/>
        <v>0</v>
      </c>
      <c r="L18" s="275">
        <f t="shared" si="1"/>
        <v>0</v>
      </c>
      <c r="M18" s="275">
        <f t="shared" si="2"/>
        <v>0</v>
      </c>
      <c r="N18" s="275">
        <f t="shared" si="3"/>
        <v>0</v>
      </c>
      <c r="O18" s="275">
        <f t="shared" si="4"/>
        <v>0</v>
      </c>
      <c r="P18" s="275">
        <f t="shared" si="5"/>
        <v>0</v>
      </c>
      <c r="Q18" s="275">
        <f t="shared" si="6"/>
        <v>0</v>
      </c>
      <c r="R18" s="275">
        <f t="shared" si="7"/>
        <v>0</v>
      </c>
      <c r="S18" s="275">
        <f t="shared" si="8"/>
        <v>0</v>
      </c>
      <c r="T18" s="275">
        <f t="shared" si="9"/>
        <v>0</v>
      </c>
      <c r="U18" s="275">
        <f t="shared" si="10"/>
        <v>0</v>
      </c>
      <c r="V18" s="275">
        <f t="shared" si="11"/>
        <v>0</v>
      </c>
      <c r="W18" s="275">
        <f t="shared" si="12"/>
        <v>0</v>
      </c>
      <c r="X18" s="275">
        <f t="shared" si="13"/>
        <v>0</v>
      </c>
      <c r="Y18" s="275">
        <f t="shared" si="14"/>
        <v>0</v>
      </c>
      <c r="Z18" s="275">
        <f t="shared" si="15"/>
        <v>0</v>
      </c>
      <c r="AA18" s="275">
        <f t="shared" si="16"/>
        <v>0</v>
      </c>
      <c r="AB18" s="275">
        <f t="shared" si="63"/>
        <v>0</v>
      </c>
      <c r="AC18" s="275">
        <f t="shared" si="64"/>
        <v>0</v>
      </c>
      <c r="AD18" s="275">
        <f t="shared" si="17"/>
        <v>0</v>
      </c>
      <c r="AE18" s="275">
        <f t="shared" si="18"/>
        <v>0</v>
      </c>
      <c r="AF18" s="275">
        <f t="shared" si="19"/>
        <v>0</v>
      </c>
      <c r="AG18" s="275">
        <f t="shared" si="20"/>
        <v>0</v>
      </c>
      <c r="AH18" s="275">
        <f t="shared" si="65"/>
        <v>0</v>
      </c>
      <c r="AI18" s="275">
        <f t="shared" si="66"/>
        <v>0</v>
      </c>
      <c r="AJ18" s="275">
        <f t="shared" si="67"/>
        <v>0</v>
      </c>
      <c r="AK18" s="275">
        <f t="shared" si="68"/>
        <v>0</v>
      </c>
      <c r="AL18" s="275">
        <f t="shared" si="69"/>
        <v>0</v>
      </c>
      <c r="AM18" s="275">
        <f t="shared" si="70"/>
        <v>0</v>
      </c>
      <c r="AN18" s="275">
        <f t="shared" si="71"/>
        <v>0</v>
      </c>
      <c r="AO18" s="275">
        <f t="shared" si="72"/>
        <v>0</v>
      </c>
      <c r="AP18" s="275">
        <f t="shared" si="21"/>
        <v>0</v>
      </c>
      <c r="AQ18" s="275">
        <f t="shared" si="22"/>
        <v>0</v>
      </c>
      <c r="AR18" s="275">
        <f t="shared" si="23"/>
        <v>0</v>
      </c>
      <c r="AS18" s="275">
        <f t="shared" si="24"/>
        <v>0</v>
      </c>
      <c r="AT18" s="275">
        <f t="shared" si="73"/>
        <v>0</v>
      </c>
      <c r="AU18" s="275">
        <f t="shared" si="74"/>
        <v>0</v>
      </c>
      <c r="AV18" s="275">
        <f t="shared" si="25"/>
        <v>0</v>
      </c>
      <c r="AW18" s="275">
        <f t="shared" si="26"/>
        <v>0</v>
      </c>
      <c r="AX18" s="275">
        <f t="shared" si="27"/>
        <v>0</v>
      </c>
      <c r="AY18" s="275">
        <f t="shared" si="28"/>
        <v>0</v>
      </c>
      <c r="AZ18" s="275">
        <f t="shared" si="29"/>
        <v>0</v>
      </c>
      <c r="BA18" s="275">
        <f t="shared" si="30"/>
        <v>0</v>
      </c>
      <c r="BB18" s="275">
        <f t="shared" si="31"/>
        <v>0</v>
      </c>
      <c r="BC18" s="275">
        <f t="shared" si="32"/>
        <v>0</v>
      </c>
      <c r="BD18" s="275">
        <f t="shared" si="33"/>
        <v>0</v>
      </c>
      <c r="BE18" s="275">
        <f t="shared" si="34"/>
        <v>0</v>
      </c>
      <c r="BF18" s="275">
        <f t="shared" si="35"/>
        <v>0</v>
      </c>
      <c r="BG18" s="275">
        <f t="shared" si="36"/>
        <v>0</v>
      </c>
      <c r="BH18" s="275">
        <f t="shared" si="75"/>
        <v>0</v>
      </c>
      <c r="BI18" s="275">
        <f t="shared" si="76"/>
        <v>0</v>
      </c>
      <c r="BJ18" s="275">
        <f t="shared" si="37"/>
        <v>0</v>
      </c>
      <c r="BK18" s="275">
        <f t="shared" si="38"/>
        <v>0</v>
      </c>
      <c r="BL18" s="275">
        <f t="shared" si="39"/>
        <v>0</v>
      </c>
      <c r="BM18" s="275">
        <f t="shared" si="40"/>
        <v>0</v>
      </c>
      <c r="BN18" s="275">
        <f t="shared" si="41"/>
        <v>0</v>
      </c>
      <c r="BO18" s="275">
        <f t="shared" si="42"/>
        <v>0</v>
      </c>
      <c r="BP18" s="275">
        <f t="shared" si="77"/>
        <v>0</v>
      </c>
      <c r="BQ18" s="275">
        <f t="shared" si="78"/>
        <v>0</v>
      </c>
      <c r="BR18" s="275">
        <f t="shared" si="43"/>
        <v>0</v>
      </c>
      <c r="BS18" s="275">
        <f t="shared" si="44"/>
        <v>0</v>
      </c>
      <c r="BT18" s="275">
        <f t="shared" si="79"/>
        <v>0</v>
      </c>
      <c r="BU18" s="275">
        <f t="shared" si="80"/>
        <v>0</v>
      </c>
      <c r="BV18" s="275">
        <f t="shared" si="81"/>
        <v>0</v>
      </c>
      <c r="BW18" s="275">
        <f t="shared" si="82"/>
        <v>0</v>
      </c>
      <c r="BX18" s="275">
        <f t="shared" si="45"/>
        <v>0</v>
      </c>
      <c r="BY18" s="275">
        <f t="shared" si="46"/>
        <v>0</v>
      </c>
      <c r="BZ18" s="275">
        <f t="shared" si="47"/>
        <v>0</v>
      </c>
      <c r="CA18" s="275">
        <f t="shared" si="48"/>
        <v>0</v>
      </c>
      <c r="CB18" s="275">
        <f t="shared" si="49"/>
        <v>0</v>
      </c>
      <c r="CC18" s="275">
        <f t="shared" si="50"/>
        <v>0</v>
      </c>
      <c r="CD18" s="275">
        <f t="shared" si="83"/>
        <v>0</v>
      </c>
      <c r="CE18" s="275">
        <f t="shared" si="84"/>
        <v>0</v>
      </c>
      <c r="CF18" s="275">
        <f t="shared" si="85"/>
        <v>0</v>
      </c>
      <c r="CG18" s="275">
        <f t="shared" si="86"/>
        <v>0</v>
      </c>
      <c r="CH18" s="275">
        <f t="shared" si="51"/>
        <v>0</v>
      </c>
      <c r="CI18" s="275">
        <f t="shared" si="52"/>
        <v>0</v>
      </c>
      <c r="CJ18" s="275">
        <f t="shared" si="87"/>
        <v>0</v>
      </c>
      <c r="CK18" s="275">
        <f t="shared" si="88"/>
        <v>0</v>
      </c>
      <c r="CL18" s="275">
        <f t="shared" si="53"/>
        <v>0</v>
      </c>
      <c r="CM18" s="275">
        <f t="shared" si="54"/>
        <v>0</v>
      </c>
      <c r="CN18" s="275">
        <f t="shared" si="55"/>
        <v>0</v>
      </c>
      <c r="CO18" s="275">
        <f t="shared" si="56"/>
        <v>0</v>
      </c>
      <c r="CP18" s="275">
        <f t="shared" si="89"/>
        <v>0</v>
      </c>
      <c r="CQ18" s="275">
        <f t="shared" si="90"/>
        <v>0</v>
      </c>
      <c r="CR18" s="275">
        <f t="shared" si="91"/>
        <v>0</v>
      </c>
      <c r="CS18" s="275">
        <f t="shared" si="92"/>
        <v>0</v>
      </c>
      <c r="CT18" s="275">
        <f t="shared" si="57"/>
        <v>0</v>
      </c>
      <c r="CU18" s="275">
        <f t="shared" si="58"/>
        <v>0</v>
      </c>
      <c r="CV18" s="275">
        <f t="shared" si="59"/>
        <v>0</v>
      </c>
      <c r="CW18" s="275">
        <f t="shared" si="60"/>
        <v>0</v>
      </c>
      <c r="CX18" s="275">
        <f t="shared" si="93"/>
        <v>0</v>
      </c>
      <c r="CY18" s="275">
        <f t="shared" si="94"/>
        <v>0</v>
      </c>
      <c r="CZ18" s="275">
        <f t="shared" si="95"/>
        <v>0</v>
      </c>
      <c r="DA18" s="275">
        <f t="shared" si="96"/>
        <v>0</v>
      </c>
    </row>
    <row r="19" spans="1:105" s="272" customFormat="1" ht="15" customHeight="1">
      <c r="A19" s="63" t="str">
        <f t="array" ref="A19">IF(C19&lt;&gt;0,SUM(($C$11:C19&lt;&gt;0)*1),"")</f>
        <v/>
      </c>
      <c r="B19" s="273"/>
      <c r="C19" s="273"/>
      <c r="D19" s="273"/>
      <c r="E19" s="363"/>
      <c r="F19" s="324"/>
      <c r="G19" s="326"/>
      <c r="H19" s="326"/>
      <c r="I19" s="63" t="str">
        <f t="shared" si="0"/>
        <v/>
      </c>
      <c r="J19" s="275">
        <f t="shared" si="61"/>
        <v>0</v>
      </c>
      <c r="K19" s="275">
        <f t="shared" si="62"/>
        <v>0</v>
      </c>
      <c r="L19" s="275">
        <f t="shared" si="1"/>
        <v>0</v>
      </c>
      <c r="M19" s="275">
        <f t="shared" si="2"/>
        <v>0</v>
      </c>
      <c r="N19" s="275">
        <f t="shared" si="3"/>
        <v>0</v>
      </c>
      <c r="O19" s="275">
        <f t="shared" si="4"/>
        <v>0</v>
      </c>
      <c r="P19" s="275">
        <f t="shared" si="5"/>
        <v>0</v>
      </c>
      <c r="Q19" s="275">
        <f t="shared" si="6"/>
        <v>0</v>
      </c>
      <c r="R19" s="275">
        <f t="shared" si="7"/>
        <v>0</v>
      </c>
      <c r="S19" s="275">
        <f t="shared" si="8"/>
        <v>0</v>
      </c>
      <c r="T19" s="275">
        <f t="shared" si="9"/>
        <v>0</v>
      </c>
      <c r="U19" s="275">
        <f t="shared" si="10"/>
        <v>0</v>
      </c>
      <c r="V19" s="275">
        <f t="shared" si="11"/>
        <v>0</v>
      </c>
      <c r="W19" s="275">
        <f t="shared" si="12"/>
        <v>0</v>
      </c>
      <c r="X19" s="275">
        <f t="shared" si="13"/>
        <v>0</v>
      </c>
      <c r="Y19" s="275">
        <f t="shared" si="14"/>
        <v>0</v>
      </c>
      <c r="Z19" s="275">
        <f t="shared" si="15"/>
        <v>0</v>
      </c>
      <c r="AA19" s="275">
        <f t="shared" si="16"/>
        <v>0</v>
      </c>
      <c r="AB19" s="275">
        <f t="shared" si="63"/>
        <v>0</v>
      </c>
      <c r="AC19" s="275">
        <f t="shared" si="64"/>
        <v>0</v>
      </c>
      <c r="AD19" s="275">
        <f t="shared" si="17"/>
        <v>0</v>
      </c>
      <c r="AE19" s="275">
        <f t="shared" si="18"/>
        <v>0</v>
      </c>
      <c r="AF19" s="275">
        <f t="shared" si="19"/>
        <v>0</v>
      </c>
      <c r="AG19" s="275">
        <f t="shared" si="20"/>
        <v>0</v>
      </c>
      <c r="AH19" s="275">
        <f t="shared" si="65"/>
        <v>0</v>
      </c>
      <c r="AI19" s="275">
        <f t="shared" si="66"/>
        <v>0</v>
      </c>
      <c r="AJ19" s="275">
        <f t="shared" si="67"/>
        <v>0</v>
      </c>
      <c r="AK19" s="275">
        <f t="shared" si="68"/>
        <v>0</v>
      </c>
      <c r="AL19" s="275">
        <f t="shared" si="69"/>
        <v>0</v>
      </c>
      <c r="AM19" s="275">
        <f t="shared" si="70"/>
        <v>0</v>
      </c>
      <c r="AN19" s="275">
        <f t="shared" si="71"/>
        <v>0</v>
      </c>
      <c r="AO19" s="275">
        <f t="shared" si="72"/>
        <v>0</v>
      </c>
      <c r="AP19" s="275">
        <f t="shared" si="21"/>
        <v>0</v>
      </c>
      <c r="AQ19" s="275">
        <f t="shared" si="22"/>
        <v>0</v>
      </c>
      <c r="AR19" s="275">
        <f t="shared" si="23"/>
        <v>0</v>
      </c>
      <c r="AS19" s="275">
        <f t="shared" si="24"/>
        <v>0</v>
      </c>
      <c r="AT19" s="275">
        <f t="shared" si="73"/>
        <v>0</v>
      </c>
      <c r="AU19" s="275">
        <f t="shared" si="74"/>
        <v>0</v>
      </c>
      <c r="AV19" s="275">
        <f t="shared" si="25"/>
        <v>0</v>
      </c>
      <c r="AW19" s="275">
        <f t="shared" si="26"/>
        <v>0</v>
      </c>
      <c r="AX19" s="275">
        <f t="shared" si="27"/>
        <v>0</v>
      </c>
      <c r="AY19" s="275">
        <f t="shared" si="28"/>
        <v>0</v>
      </c>
      <c r="AZ19" s="275">
        <f t="shared" si="29"/>
        <v>0</v>
      </c>
      <c r="BA19" s="275">
        <f t="shared" si="30"/>
        <v>0</v>
      </c>
      <c r="BB19" s="275">
        <f t="shared" si="31"/>
        <v>0</v>
      </c>
      <c r="BC19" s="275">
        <f t="shared" si="32"/>
        <v>0</v>
      </c>
      <c r="BD19" s="275">
        <f t="shared" si="33"/>
        <v>0</v>
      </c>
      <c r="BE19" s="275">
        <f t="shared" si="34"/>
        <v>0</v>
      </c>
      <c r="BF19" s="275">
        <f t="shared" si="35"/>
        <v>0</v>
      </c>
      <c r="BG19" s="275">
        <f t="shared" si="36"/>
        <v>0</v>
      </c>
      <c r="BH19" s="275">
        <f t="shared" si="75"/>
        <v>0</v>
      </c>
      <c r="BI19" s="275">
        <f t="shared" si="76"/>
        <v>0</v>
      </c>
      <c r="BJ19" s="275">
        <f t="shared" si="37"/>
        <v>0</v>
      </c>
      <c r="BK19" s="275">
        <f t="shared" si="38"/>
        <v>0</v>
      </c>
      <c r="BL19" s="275">
        <f t="shared" si="39"/>
        <v>0</v>
      </c>
      <c r="BM19" s="275">
        <f t="shared" si="40"/>
        <v>0</v>
      </c>
      <c r="BN19" s="275">
        <f t="shared" si="41"/>
        <v>0</v>
      </c>
      <c r="BO19" s="275">
        <f t="shared" si="42"/>
        <v>0</v>
      </c>
      <c r="BP19" s="275">
        <f t="shared" si="77"/>
        <v>0</v>
      </c>
      <c r="BQ19" s="275">
        <f t="shared" si="78"/>
        <v>0</v>
      </c>
      <c r="BR19" s="275">
        <f t="shared" si="43"/>
        <v>0</v>
      </c>
      <c r="BS19" s="275">
        <f t="shared" si="44"/>
        <v>0</v>
      </c>
      <c r="BT19" s="275">
        <f t="shared" si="79"/>
        <v>0</v>
      </c>
      <c r="BU19" s="275">
        <f t="shared" si="80"/>
        <v>0</v>
      </c>
      <c r="BV19" s="275">
        <f t="shared" si="81"/>
        <v>0</v>
      </c>
      <c r="BW19" s="275">
        <f t="shared" si="82"/>
        <v>0</v>
      </c>
      <c r="BX19" s="275">
        <f t="shared" si="45"/>
        <v>0</v>
      </c>
      <c r="BY19" s="275">
        <f t="shared" si="46"/>
        <v>0</v>
      </c>
      <c r="BZ19" s="275">
        <f t="shared" si="47"/>
        <v>0</v>
      </c>
      <c r="CA19" s="275">
        <f t="shared" si="48"/>
        <v>0</v>
      </c>
      <c r="CB19" s="275">
        <f t="shared" si="49"/>
        <v>0</v>
      </c>
      <c r="CC19" s="275">
        <f t="shared" si="50"/>
        <v>0</v>
      </c>
      <c r="CD19" s="275">
        <f t="shared" si="83"/>
        <v>0</v>
      </c>
      <c r="CE19" s="275">
        <f t="shared" si="84"/>
        <v>0</v>
      </c>
      <c r="CF19" s="275">
        <f t="shared" si="85"/>
        <v>0</v>
      </c>
      <c r="CG19" s="275">
        <f t="shared" si="86"/>
        <v>0</v>
      </c>
      <c r="CH19" s="275">
        <f t="shared" si="51"/>
        <v>0</v>
      </c>
      <c r="CI19" s="275">
        <f t="shared" si="52"/>
        <v>0</v>
      </c>
      <c r="CJ19" s="275">
        <f t="shared" si="87"/>
        <v>0</v>
      </c>
      <c r="CK19" s="275">
        <f t="shared" si="88"/>
        <v>0</v>
      </c>
      <c r="CL19" s="275">
        <f t="shared" si="53"/>
        <v>0</v>
      </c>
      <c r="CM19" s="275">
        <f t="shared" si="54"/>
        <v>0</v>
      </c>
      <c r="CN19" s="275">
        <f t="shared" si="55"/>
        <v>0</v>
      </c>
      <c r="CO19" s="275">
        <f t="shared" si="56"/>
        <v>0</v>
      </c>
      <c r="CP19" s="275">
        <f t="shared" si="89"/>
        <v>0</v>
      </c>
      <c r="CQ19" s="275">
        <f t="shared" si="90"/>
        <v>0</v>
      </c>
      <c r="CR19" s="275">
        <f t="shared" si="91"/>
        <v>0</v>
      </c>
      <c r="CS19" s="275">
        <f t="shared" si="92"/>
        <v>0</v>
      </c>
      <c r="CT19" s="275">
        <f t="shared" si="57"/>
        <v>0</v>
      </c>
      <c r="CU19" s="275">
        <f t="shared" si="58"/>
        <v>0</v>
      </c>
      <c r="CV19" s="275">
        <f t="shared" si="59"/>
        <v>0</v>
      </c>
      <c r="CW19" s="275">
        <f t="shared" si="60"/>
        <v>0</v>
      </c>
      <c r="CX19" s="275">
        <f t="shared" si="93"/>
        <v>0</v>
      </c>
      <c r="CY19" s="275">
        <f t="shared" si="94"/>
        <v>0</v>
      </c>
      <c r="CZ19" s="275">
        <f t="shared" si="95"/>
        <v>0</v>
      </c>
      <c r="DA19" s="275">
        <f t="shared" si="96"/>
        <v>0</v>
      </c>
    </row>
    <row r="20" spans="1:105" s="272" customFormat="1" ht="15" customHeight="1">
      <c r="A20" s="63" t="str">
        <f t="array" ref="A20">IF(C20&lt;&gt;0,SUM(($C$11:C20&lt;&gt;0)*1),"")</f>
        <v/>
      </c>
      <c r="B20" s="273"/>
      <c r="C20" s="273"/>
      <c r="D20" s="273"/>
      <c r="E20" s="363"/>
      <c r="F20" s="324"/>
      <c r="G20" s="326"/>
      <c r="H20" s="326"/>
      <c r="I20" s="63" t="str">
        <f t="shared" si="0"/>
        <v/>
      </c>
      <c r="J20" s="275">
        <f t="shared" si="61"/>
        <v>0</v>
      </c>
      <c r="K20" s="275">
        <f t="shared" si="62"/>
        <v>0</v>
      </c>
      <c r="L20" s="275">
        <f t="shared" si="1"/>
        <v>0</v>
      </c>
      <c r="M20" s="275">
        <f t="shared" si="2"/>
        <v>0</v>
      </c>
      <c r="N20" s="275">
        <f t="shared" si="3"/>
        <v>0</v>
      </c>
      <c r="O20" s="275">
        <f t="shared" si="4"/>
        <v>0</v>
      </c>
      <c r="P20" s="275">
        <f t="shared" si="5"/>
        <v>0</v>
      </c>
      <c r="Q20" s="275">
        <f t="shared" si="6"/>
        <v>0</v>
      </c>
      <c r="R20" s="275">
        <f t="shared" si="7"/>
        <v>0</v>
      </c>
      <c r="S20" s="275">
        <f t="shared" si="8"/>
        <v>0</v>
      </c>
      <c r="T20" s="275">
        <f t="shared" si="9"/>
        <v>0</v>
      </c>
      <c r="U20" s="275">
        <f t="shared" si="10"/>
        <v>0</v>
      </c>
      <c r="V20" s="275">
        <f t="shared" si="11"/>
        <v>0</v>
      </c>
      <c r="W20" s="275">
        <f t="shared" si="12"/>
        <v>0</v>
      </c>
      <c r="X20" s="275">
        <f t="shared" si="13"/>
        <v>0</v>
      </c>
      <c r="Y20" s="275">
        <f t="shared" si="14"/>
        <v>0</v>
      </c>
      <c r="Z20" s="275">
        <f t="shared" si="15"/>
        <v>0</v>
      </c>
      <c r="AA20" s="275">
        <f t="shared" si="16"/>
        <v>0</v>
      </c>
      <c r="AB20" s="275">
        <f t="shared" si="63"/>
        <v>0</v>
      </c>
      <c r="AC20" s="275">
        <f t="shared" si="64"/>
        <v>0</v>
      </c>
      <c r="AD20" s="275">
        <f t="shared" si="17"/>
        <v>0</v>
      </c>
      <c r="AE20" s="275">
        <f t="shared" si="18"/>
        <v>0</v>
      </c>
      <c r="AF20" s="275">
        <f t="shared" si="19"/>
        <v>0</v>
      </c>
      <c r="AG20" s="275">
        <f t="shared" si="20"/>
        <v>0</v>
      </c>
      <c r="AH20" s="275">
        <f t="shared" si="65"/>
        <v>0</v>
      </c>
      <c r="AI20" s="275">
        <f t="shared" si="66"/>
        <v>0</v>
      </c>
      <c r="AJ20" s="275">
        <f t="shared" si="67"/>
        <v>0</v>
      </c>
      <c r="AK20" s="275">
        <f t="shared" si="68"/>
        <v>0</v>
      </c>
      <c r="AL20" s="275">
        <f t="shared" si="69"/>
        <v>0</v>
      </c>
      <c r="AM20" s="275">
        <f t="shared" si="70"/>
        <v>0</v>
      </c>
      <c r="AN20" s="275">
        <f t="shared" si="71"/>
        <v>0</v>
      </c>
      <c r="AO20" s="275">
        <f t="shared" si="72"/>
        <v>0</v>
      </c>
      <c r="AP20" s="275">
        <f t="shared" si="21"/>
        <v>0</v>
      </c>
      <c r="AQ20" s="275">
        <f t="shared" si="22"/>
        <v>0</v>
      </c>
      <c r="AR20" s="275">
        <f t="shared" si="23"/>
        <v>0</v>
      </c>
      <c r="AS20" s="275">
        <f t="shared" si="24"/>
        <v>0</v>
      </c>
      <c r="AT20" s="275">
        <f t="shared" si="73"/>
        <v>0</v>
      </c>
      <c r="AU20" s="275">
        <f t="shared" si="74"/>
        <v>0</v>
      </c>
      <c r="AV20" s="275">
        <f t="shared" si="25"/>
        <v>0</v>
      </c>
      <c r="AW20" s="275">
        <f t="shared" si="26"/>
        <v>0</v>
      </c>
      <c r="AX20" s="275">
        <f t="shared" si="27"/>
        <v>0</v>
      </c>
      <c r="AY20" s="275">
        <f t="shared" si="28"/>
        <v>0</v>
      </c>
      <c r="AZ20" s="275">
        <f t="shared" si="29"/>
        <v>0</v>
      </c>
      <c r="BA20" s="275">
        <f t="shared" si="30"/>
        <v>0</v>
      </c>
      <c r="BB20" s="275">
        <f t="shared" si="31"/>
        <v>0</v>
      </c>
      <c r="BC20" s="275">
        <f t="shared" si="32"/>
        <v>0</v>
      </c>
      <c r="BD20" s="275">
        <f t="shared" si="33"/>
        <v>0</v>
      </c>
      <c r="BE20" s="275">
        <f t="shared" si="34"/>
        <v>0</v>
      </c>
      <c r="BF20" s="275">
        <f t="shared" si="35"/>
        <v>0</v>
      </c>
      <c r="BG20" s="275">
        <f t="shared" si="36"/>
        <v>0</v>
      </c>
      <c r="BH20" s="275">
        <f t="shared" si="75"/>
        <v>0</v>
      </c>
      <c r="BI20" s="275">
        <f t="shared" si="76"/>
        <v>0</v>
      </c>
      <c r="BJ20" s="275">
        <f t="shared" si="37"/>
        <v>0</v>
      </c>
      <c r="BK20" s="275">
        <f t="shared" si="38"/>
        <v>0</v>
      </c>
      <c r="BL20" s="275">
        <f t="shared" si="39"/>
        <v>0</v>
      </c>
      <c r="BM20" s="275">
        <f t="shared" si="40"/>
        <v>0</v>
      </c>
      <c r="BN20" s="275">
        <f t="shared" si="41"/>
        <v>0</v>
      </c>
      <c r="BO20" s="275">
        <f t="shared" si="42"/>
        <v>0</v>
      </c>
      <c r="BP20" s="275">
        <f t="shared" si="77"/>
        <v>0</v>
      </c>
      <c r="BQ20" s="275">
        <f t="shared" si="78"/>
        <v>0</v>
      </c>
      <c r="BR20" s="275">
        <f t="shared" si="43"/>
        <v>0</v>
      </c>
      <c r="BS20" s="275">
        <f t="shared" si="44"/>
        <v>0</v>
      </c>
      <c r="BT20" s="275">
        <f t="shared" si="79"/>
        <v>0</v>
      </c>
      <c r="BU20" s="275">
        <f t="shared" si="80"/>
        <v>0</v>
      </c>
      <c r="BV20" s="275">
        <f t="shared" si="81"/>
        <v>0</v>
      </c>
      <c r="BW20" s="275">
        <f t="shared" si="82"/>
        <v>0</v>
      </c>
      <c r="BX20" s="275">
        <f t="shared" si="45"/>
        <v>0</v>
      </c>
      <c r="BY20" s="275">
        <f t="shared" si="46"/>
        <v>0</v>
      </c>
      <c r="BZ20" s="275">
        <f t="shared" si="47"/>
        <v>0</v>
      </c>
      <c r="CA20" s="275">
        <f t="shared" si="48"/>
        <v>0</v>
      </c>
      <c r="CB20" s="275">
        <f t="shared" si="49"/>
        <v>0</v>
      </c>
      <c r="CC20" s="275">
        <f t="shared" si="50"/>
        <v>0</v>
      </c>
      <c r="CD20" s="275">
        <f t="shared" si="83"/>
        <v>0</v>
      </c>
      <c r="CE20" s="275">
        <f t="shared" si="84"/>
        <v>0</v>
      </c>
      <c r="CF20" s="275">
        <f t="shared" si="85"/>
        <v>0</v>
      </c>
      <c r="CG20" s="275">
        <f t="shared" si="86"/>
        <v>0</v>
      </c>
      <c r="CH20" s="275">
        <f t="shared" si="51"/>
        <v>0</v>
      </c>
      <c r="CI20" s="275">
        <f t="shared" si="52"/>
        <v>0</v>
      </c>
      <c r="CJ20" s="275">
        <f t="shared" si="87"/>
        <v>0</v>
      </c>
      <c r="CK20" s="275">
        <f t="shared" si="88"/>
        <v>0</v>
      </c>
      <c r="CL20" s="275">
        <f t="shared" si="53"/>
        <v>0</v>
      </c>
      <c r="CM20" s="275">
        <f t="shared" si="54"/>
        <v>0</v>
      </c>
      <c r="CN20" s="275">
        <f t="shared" si="55"/>
        <v>0</v>
      </c>
      <c r="CO20" s="275">
        <f t="shared" si="56"/>
        <v>0</v>
      </c>
      <c r="CP20" s="275">
        <f t="shared" si="89"/>
        <v>0</v>
      </c>
      <c r="CQ20" s="275">
        <f t="shared" si="90"/>
        <v>0</v>
      </c>
      <c r="CR20" s="275">
        <f t="shared" si="91"/>
        <v>0</v>
      </c>
      <c r="CS20" s="275">
        <f t="shared" si="92"/>
        <v>0</v>
      </c>
      <c r="CT20" s="275">
        <f t="shared" si="57"/>
        <v>0</v>
      </c>
      <c r="CU20" s="275">
        <f t="shared" si="58"/>
        <v>0</v>
      </c>
      <c r="CV20" s="275">
        <f t="shared" si="59"/>
        <v>0</v>
      </c>
      <c r="CW20" s="275">
        <f t="shared" si="60"/>
        <v>0</v>
      </c>
      <c r="CX20" s="275">
        <f t="shared" si="93"/>
        <v>0</v>
      </c>
      <c r="CY20" s="275">
        <f t="shared" si="94"/>
        <v>0</v>
      </c>
      <c r="CZ20" s="275">
        <f t="shared" si="95"/>
        <v>0</v>
      </c>
      <c r="DA20" s="275">
        <f t="shared" si="96"/>
        <v>0</v>
      </c>
    </row>
    <row r="21" spans="1:105" s="272" customFormat="1" ht="15" customHeight="1">
      <c r="A21" s="63" t="str">
        <f t="array" ref="A21">IF(C21&lt;&gt;0,SUM(($C$11:C21&lt;&gt;0)*1),"")</f>
        <v/>
      </c>
      <c r="B21" s="273"/>
      <c r="C21" s="273"/>
      <c r="D21" s="273"/>
      <c r="E21" s="363"/>
      <c r="F21" s="324"/>
      <c r="G21" s="326"/>
      <c r="H21" s="326"/>
      <c r="I21" s="63" t="str">
        <f t="shared" si="0"/>
        <v/>
      </c>
      <c r="J21" s="275">
        <f t="shared" si="61"/>
        <v>0</v>
      </c>
      <c r="K21" s="275">
        <f t="shared" si="62"/>
        <v>0</v>
      </c>
      <c r="L21" s="275">
        <f t="shared" si="1"/>
        <v>0</v>
      </c>
      <c r="M21" s="275">
        <f t="shared" si="2"/>
        <v>0</v>
      </c>
      <c r="N21" s="275">
        <f t="shared" si="3"/>
        <v>0</v>
      </c>
      <c r="O21" s="275">
        <f t="shared" si="4"/>
        <v>0</v>
      </c>
      <c r="P21" s="275">
        <f t="shared" si="5"/>
        <v>0</v>
      </c>
      <c r="Q21" s="275">
        <f t="shared" si="6"/>
        <v>0</v>
      </c>
      <c r="R21" s="275">
        <f t="shared" si="7"/>
        <v>0</v>
      </c>
      <c r="S21" s="275">
        <f t="shared" si="8"/>
        <v>0</v>
      </c>
      <c r="T21" s="275">
        <f t="shared" si="9"/>
        <v>0</v>
      </c>
      <c r="U21" s="275">
        <f t="shared" si="10"/>
        <v>0</v>
      </c>
      <c r="V21" s="275">
        <f t="shared" si="11"/>
        <v>0</v>
      </c>
      <c r="W21" s="275">
        <f t="shared" si="12"/>
        <v>0</v>
      </c>
      <c r="X21" s="275">
        <f t="shared" si="13"/>
        <v>0</v>
      </c>
      <c r="Y21" s="275">
        <f t="shared" si="14"/>
        <v>0</v>
      </c>
      <c r="Z21" s="275">
        <f t="shared" si="15"/>
        <v>0</v>
      </c>
      <c r="AA21" s="275">
        <f t="shared" si="16"/>
        <v>0</v>
      </c>
      <c r="AB21" s="275">
        <f t="shared" si="63"/>
        <v>0</v>
      </c>
      <c r="AC21" s="275">
        <f t="shared" si="64"/>
        <v>0</v>
      </c>
      <c r="AD21" s="275">
        <f t="shared" si="17"/>
        <v>0</v>
      </c>
      <c r="AE21" s="275">
        <f t="shared" si="18"/>
        <v>0</v>
      </c>
      <c r="AF21" s="275">
        <f t="shared" si="19"/>
        <v>0</v>
      </c>
      <c r="AG21" s="275">
        <f t="shared" si="20"/>
        <v>0</v>
      </c>
      <c r="AH21" s="275">
        <f t="shared" si="65"/>
        <v>0</v>
      </c>
      <c r="AI21" s="275">
        <f t="shared" si="66"/>
        <v>0</v>
      </c>
      <c r="AJ21" s="275">
        <f t="shared" si="67"/>
        <v>0</v>
      </c>
      <c r="AK21" s="275">
        <f t="shared" si="68"/>
        <v>0</v>
      </c>
      <c r="AL21" s="275">
        <f t="shared" si="69"/>
        <v>0</v>
      </c>
      <c r="AM21" s="275">
        <f t="shared" si="70"/>
        <v>0</v>
      </c>
      <c r="AN21" s="275">
        <f t="shared" si="71"/>
        <v>0</v>
      </c>
      <c r="AO21" s="275">
        <f t="shared" si="72"/>
        <v>0</v>
      </c>
      <c r="AP21" s="275">
        <f t="shared" si="21"/>
        <v>0</v>
      </c>
      <c r="AQ21" s="275">
        <f t="shared" si="22"/>
        <v>0</v>
      </c>
      <c r="AR21" s="275">
        <f t="shared" si="23"/>
        <v>0</v>
      </c>
      <c r="AS21" s="275">
        <f t="shared" si="24"/>
        <v>0</v>
      </c>
      <c r="AT21" s="275">
        <f t="shared" si="73"/>
        <v>0</v>
      </c>
      <c r="AU21" s="275">
        <f t="shared" si="74"/>
        <v>0</v>
      </c>
      <c r="AV21" s="275">
        <f t="shared" si="25"/>
        <v>0</v>
      </c>
      <c r="AW21" s="275">
        <f t="shared" si="26"/>
        <v>0</v>
      </c>
      <c r="AX21" s="275">
        <f t="shared" si="27"/>
        <v>0</v>
      </c>
      <c r="AY21" s="275">
        <f t="shared" si="28"/>
        <v>0</v>
      </c>
      <c r="AZ21" s="275">
        <f t="shared" si="29"/>
        <v>0</v>
      </c>
      <c r="BA21" s="275">
        <f t="shared" si="30"/>
        <v>0</v>
      </c>
      <c r="BB21" s="275">
        <f t="shared" si="31"/>
        <v>0</v>
      </c>
      <c r="BC21" s="275">
        <f t="shared" si="32"/>
        <v>0</v>
      </c>
      <c r="BD21" s="275">
        <f t="shared" si="33"/>
        <v>0</v>
      </c>
      <c r="BE21" s="275">
        <f t="shared" si="34"/>
        <v>0</v>
      </c>
      <c r="BF21" s="275">
        <f t="shared" si="35"/>
        <v>0</v>
      </c>
      <c r="BG21" s="275">
        <f t="shared" si="36"/>
        <v>0</v>
      </c>
      <c r="BH21" s="275">
        <f t="shared" si="75"/>
        <v>0</v>
      </c>
      <c r="BI21" s="275">
        <f t="shared" si="76"/>
        <v>0</v>
      </c>
      <c r="BJ21" s="275">
        <f t="shared" si="37"/>
        <v>0</v>
      </c>
      <c r="BK21" s="275">
        <f t="shared" si="38"/>
        <v>0</v>
      </c>
      <c r="BL21" s="275">
        <f t="shared" si="39"/>
        <v>0</v>
      </c>
      <c r="BM21" s="275">
        <f t="shared" si="40"/>
        <v>0</v>
      </c>
      <c r="BN21" s="275">
        <f t="shared" si="41"/>
        <v>0</v>
      </c>
      <c r="BO21" s="275">
        <f t="shared" si="42"/>
        <v>0</v>
      </c>
      <c r="BP21" s="275">
        <f t="shared" si="77"/>
        <v>0</v>
      </c>
      <c r="BQ21" s="275">
        <f t="shared" si="78"/>
        <v>0</v>
      </c>
      <c r="BR21" s="275">
        <f t="shared" si="43"/>
        <v>0</v>
      </c>
      <c r="BS21" s="275">
        <f t="shared" si="44"/>
        <v>0</v>
      </c>
      <c r="BT21" s="275">
        <f t="shared" si="79"/>
        <v>0</v>
      </c>
      <c r="BU21" s="275">
        <f t="shared" si="80"/>
        <v>0</v>
      </c>
      <c r="BV21" s="275">
        <f t="shared" si="81"/>
        <v>0</v>
      </c>
      <c r="BW21" s="275">
        <f t="shared" si="82"/>
        <v>0</v>
      </c>
      <c r="BX21" s="275">
        <f t="shared" si="45"/>
        <v>0</v>
      </c>
      <c r="BY21" s="275">
        <f t="shared" si="46"/>
        <v>0</v>
      </c>
      <c r="BZ21" s="275">
        <f t="shared" si="47"/>
        <v>0</v>
      </c>
      <c r="CA21" s="275">
        <f t="shared" si="48"/>
        <v>0</v>
      </c>
      <c r="CB21" s="275">
        <f t="shared" si="49"/>
        <v>0</v>
      </c>
      <c r="CC21" s="275">
        <f t="shared" si="50"/>
        <v>0</v>
      </c>
      <c r="CD21" s="275">
        <f t="shared" si="83"/>
        <v>0</v>
      </c>
      <c r="CE21" s="275">
        <f t="shared" si="84"/>
        <v>0</v>
      </c>
      <c r="CF21" s="275">
        <f t="shared" si="85"/>
        <v>0</v>
      </c>
      <c r="CG21" s="275">
        <f t="shared" si="86"/>
        <v>0</v>
      </c>
      <c r="CH21" s="275">
        <f t="shared" si="51"/>
        <v>0</v>
      </c>
      <c r="CI21" s="275">
        <f t="shared" si="52"/>
        <v>0</v>
      </c>
      <c r="CJ21" s="275">
        <f t="shared" si="87"/>
        <v>0</v>
      </c>
      <c r="CK21" s="275">
        <f t="shared" si="88"/>
        <v>0</v>
      </c>
      <c r="CL21" s="275">
        <f t="shared" si="53"/>
        <v>0</v>
      </c>
      <c r="CM21" s="275">
        <f t="shared" si="54"/>
        <v>0</v>
      </c>
      <c r="CN21" s="275">
        <f t="shared" si="55"/>
        <v>0</v>
      </c>
      <c r="CO21" s="275">
        <f t="shared" si="56"/>
        <v>0</v>
      </c>
      <c r="CP21" s="275">
        <f t="shared" si="89"/>
        <v>0</v>
      </c>
      <c r="CQ21" s="275">
        <f t="shared" si="90"/>
        <v>0</v>
      </c>
      <c r="CR21" s="275">
        <f t="shared" si="91"/>
        <v>0</v>
      </c>
      <c r="CS21" s="275">
        <f t="shared" si="92"/>
        <v>0</v>
      </c>
      <c r="CT21" s="275">
        <f t="shared" si="57"/>
        <v>0</v>
      </c>
      <c r="CU21" s="275">
        <f t="shared" si="58"/>
        <v>0</v>
      </c>
      <c r="CV21" s="275">
        <f t="shared" si="59"/>
        <v>0</v>
      </c>
      <c r="CW21" s="275">
        <f t="shared" si="60"/>
        <v>0</v>
      </c>
      <c r="CX21" s="275">
        <f t="shared" si="93"/>
        <v>0</v>
      </c>
      <c r="CY21" s="275">
        <f t="shared" si="94"/>
        <v>0</v>
      </c>
      <c r="CZ21" s="275">
        <f t="shared" si="95"/>
        <v>0</v>
      </c>
      <c r="DA21" s="275">
        <f t="shared" si="96"/>
        <v>0</v>
      </c>
    </row>
    <row r="22" spans="1:105" s="272" customFormat="1" ht="15" customHeight="1">
      <c r="A22" s="63" t="str">
        <f t="array" ref="A22">IF(C22&lt;&gt;0,SUM(($C$11:C22&lt;&gt;0)*1),"")</f>
        <v/>
      </c>
      <c r="B22" s="273"/>
      <c r="C22" s="273"/>
      <c r="D22" s="273"/>
      <c r="E22" s="363"/>
      <c r="F22" s="324"/>
      <c r="G22" s="326"/>
      <c r="H22" s="326"/>
      <c r="I22" s="63" t="str">
        <f t="shared" ref="I22:I50" si="97">A22</f>
        <v/>
      </c>
      <c r="J22" s="275">
        <f t="shared" si="61"/>
        <v>0</v>
      </c>
      <c r="K22" s="275">
        <f t="shared" si="62"/>
        <v>0</v>
      </c>
      <c r="L22" s="275">
        <f t="shared" si="1"/>
        <v>0</v>
      </c>
      <c r="M22" s="275">
        <f t="shared" si="2"/>
        <v>0</v>
      </c>
      <c r="N22" s="275">
        <f t="shared" si="3"/>
        <v>0</v>
      </c>
      <c r="O22" s="275">
        <f t="shared" si="4"/>
        <v>0</v>
      </c>
      <c r="P22" s="275">
        <f t="shared" si="5"/>
        <v>0</v>
      </c>
      <c r="Q22" s="275">
        <f t="shared" si="6"/>
        <v>0</v>
      </c>
      <c r="R22" s="275">
        <f t="shared" si="7"/>
        <v>0</v>
      </c>
      <c r="S22" s="275">
        <f t="shared" si="8"/>
        <v>0</v>
      </c>
      <c r="T22" s="275">
        <f t="shared" si="9"/>
        <v>0</v>
      </c>
      <c r="U22" s="275">
        <f t="shared" si="10"/>
        <v>0</v>
      </c>
      <c r="V22" s="275">
        <f t="shared" si="11"/>
        <v>0</v>
      </c>
      <c r="W22" s="275">
        <f t="shared" si="12"/>
        <v>0</v>
      </c>
      <c r="X22" s="275">
        <f t="shared" si="13"/>
        <v>0</v>
      </c>
      <c r="Y22" s="275">
        <f t="shared" si="14"/>
        <v>0</v>
      </c>
      <c r="Z22" s="275">
        <f t="shared" si="15"/>
        <v>0</v>
      </c>
      <c r="AA22" s="275">
        <f t="shared" si="16"/>
        <v>0</v>
      </c>
      <c r="AB22" s="275">
        <f t="shared" si="63"/>
        <v>0</v>
      </c>
      <c r="AC22" s="275">
        <f t="shared" si="64"/>
        <v>0</v>
      </c>
      <c r="AD22" s="275">
        <f t="shared" si="17"/>
        <v>0</v>
      </c>
      <c r="AE22" s="275">
        <f t="shared" si="18"/>
        <v>0</v>
      </c>
      <c r="AF22" s="275">
        <f t="shared" si="19"/>
        <v>0</v>
      </c>
      <c r="AG22" s="275">
        <f t="shared" si="20"/>
        <v>0</v>
      </c>
      <c r="AH22" s="275">
        <f t="shared" si="65"/>
        <v>0</v>
      </c>
      <c r="AI22" s="275">
        <f t="shared" si="66"/>
        <v>0</v>
      </c>
      <c r="AJ22" s="275">
        <f t="shared" si="67"/>
        <v>0</v>
      </c>
      <c r="AK22" s="275">
        <f t="shared" si="68"/>
        <v>0</v>
      </c>
      <c r="AL22" s="275">
        <f t="shared" si="69"/>
        <v>0</v>
      </c>
      <c r="AM22" s="275">
        <f t="shared" si="70"/>
        <v>0</v>
      </c>
      <c r="AN22" s="275">
        <f t="shared" si="71"/>
        <v>0</v>
      </c>
      <c r="AO22" s="275">
        <f t="shared" si="72"/>
        <v>0</v>
      </c>
      <c r="AP22" s="275">
        <f t="shared" si="21"/>
        <v>0</v>
      </c>
      <c r="AQ22" s="275">
        <f t="shared" si="22"/>
        <v>0</v>
      </c>
      <c r="AR22" s="275">
        <f t="shared" si="23"/>
        <v>0</v>
      </c>
      <c r="AS22" s="275">
        <f t="shared" si="24"/>
        <v>0</v>
      </c>
      <c r="AT22" s="275">
        <f t="shared" si="73"/>
        <v>0</v>
      </c>
      <c r="AU22" s="275">
        <f t="shared" si="74"/>
        <v>0</v>
      </c>
      <c r="AV22" s="275">
        <f t="shared" si="25"/>
        <v>0</v>
      </c>
      <c r="AW22" s="275">
        <f t="shared" si="26"/>
        <v>0</v>
      </c>
      <c r="AX22" s="275">
        <f t="shared" si="27"/>
        <v>0</v>
      </c>
      <c r="AY22" s="275">
        <f t="shared" si="28"/>
        <v>0</v>
      </c>
      <c r="AZ22" s="275">
        <f t="shared" si="29"/>
        <v>0</v>
      </c>
      <c r="BA22" s="275">
        <f t="shared" si="30"/>
        <v>0</v>
      </c>
      <c r="BB22" s="275">
        <f t="shared" si="31"/>
        <v>0</v>
      </c>
      <c r="BC22" s="275">
        <f t="shared" si="32"/>
        <v>0</v>
      </c>
      <c r="BD22" s="275">
        <f t="shared" si="33"/>
        <v>0</v>
      </c>
      <c r="BE22" s="275">
        <f t="shared" si="34"/>
        <v>0</v>
      </c>
      <c r="BF22" s="275">
        <f t="shared" si="35"/>
        <v>0</v>
      </c>
      <c r="BG22" s="275">
        <f t="shared" si="36"/>
        <v>0</v>
      </c>
      <c r="BH22" s="275">
        <f t="shared" si="75"/>
        <v>0</v>
      </c>
      <c r="BI22" s="275">
        <f t="shared" si="76"/>
        <v>0</v>
      </c>
      <c r="BJ22" s="275">
        <f t="shared" si="37"/>
        <v>0</v>
      </c>
      <c r="BK22" s="275">
        <f t="shared" si="38"/>
        <v>0</v>
      </c>
      <c r="BL22" s="275">
        <f t="shared" si="39"/>
        <v>0</v>
      </c>
      <c r="BM22" s="275">
        <f t="shared" si="40"/>
        <v>0</v>
      </c>
      <c r="BN22" s="275">
        <f t="shared" si="41"/>
        <v>0</v>
      </c>
      <c r="BO22" s="275">
        <f t="shared" si="42"/>
        <v>0</v>
      </c>
      <c r="BP22" s="275">
        <f t="shared" si="77"/>
        <v>0</v>
      </c>
      <c r="BQ22" s="275">
        <f t="shared" si="78"/>
        <v>0</v>
      </c>
      <c r="BR22" s="275">
        <f t="shared" si="43"/>
        <v>0</v>
      </c>
      <c r="BS22" s="275">
        <f t="shared" si="44"/>
        <v>0</v>
      </c>
      <c r="BT22" s="275">
        <f t="shared" si="79"/>
        <v>0</v>
      </c>
      <c r="BU22" s="275">
        <f t="shared" si="80"/>
        <v>0</v>
      </c>
      <c r="BV22" s="275">
        <f t="shared" si="81"/>
        <v>0</v>
      </c>
      <c r="BW22" s="275">
        <f t="shared" si="82"/>
        <v>0</v>
      </c>
      <c r="BX22" s="275">
        <f t="shared" si="45"/>
        <v>0</v>
      </c>
      <c r="BY22" s="275">
        <f t="shared" si="46"/>
        <v>0</v>
      </c>
      <c r="BZ22" s="275">
        <f t="shared" si="47"/>
        <v>0</v>
      </c>
      <c r="CA22" s="275">
        <f t="shared" si="48"/>
        <v>0</v>
      </c>
      <c r="CB22" s="275">
        <f t="shared" si="49"/>
        <v>0</v>
      </c>
      <c r="CC22" s="275">
        <f t="shared" si="50"/>
        <v>0</v>
      </c>
      <c r="CD22" s="275">
        <f t="shared" si="83"/>
        <v>0</v>
      </c>
      <c r="CE22" s="275">
        <f t="shared" si="84"/>
        <v>0</v>
      </c>
      <c r="CF22" s="275">
        <f t="shared" si="85"/>
        <v>0</v>
      </c>
      <c r="CG22" s="275">
        <f t="shared" si="86"/>
        <v>0</v>
      </c>
      <c r="CH22" s="275">
        <f t="shared" si="51"/>
        <v>0</v>
      </c>
      <c r="CI22" s="275">
        <f t="shared" si="52"/>
        <v>0</v>
      </c>
      <c r="CJ22" s="275">
        <f t="shared" si="87"/>
        <v>0</v>
      </c>
      <c r="CK22" s="275">
        <f t="shared" si="88"/>
        <v>0</v>
      </c>
      <c r="CL22" s="275">
        <f t="shared" si="53"/>
        <v>0</v>
      </c>
      <c r="CM22" s="275">
        <f t="shared" si="54"/>
        <v>0</v>
      </c>
      <c r="CN22" s="275">
        <f t="shared" si="55"/>
        <v>0</v>
      </c>
      <c r="CO22" s="275">
        <f t="shared" si="56"/>
        <v>0</v>
      </c>
      <c r="CP22" s="275">
        <f t="shared" si="89"/>
        <v>0</v>
      </c>
      <c r="CQ22" s="275">
        <f t="shared" si="90"/>
        <v>0</v>
      </c>
      <c r="CR22" s="275">
        <f t="shared" si="91"/>
        <v>0</v>
      </c>
      <c r="CS22" s="275">
        <f t="shared" si="92"/>
        <v>0</v>
      </c>
      <c r="CT22" s="275">
        <f t="shared" si="57"/>
        <v>0</v>
      </c>
      <c r="CU22" s="275">
        <f t="shared" si="58"/>
        <v>0</v>
      </c>
      <c r="CV22" s="275">
        <f t="shared" si="59"/>
        <v>0</v>
      </c>
      <c r="CW22" s="275">
        <f t="shared" si="60"/>
        <v>0</v>
      </c>
      <c r="CX22" s="275">
        <f t="shared" si="93"/>
        <v>0</v>
      </c>
      <c r="CY22" s="275">
        <f t="shared" si="94"/>
        <v>0</v>
      </c>
      <c r="CZ22" s="275">
        <f t="shared" si="95"/>
        <v>0</v>
      </c>
      <c r="DA22" s="275">
        <f t="shared" si="96"/>
        <v>0</v>
      </c>
    </row>
    <row r="23" spans="1:105" s="272" customFormat="1" ht="15" customHeight="1">
      <c r="A23" s="63" t="str">
        <f t="array" ref="A23">IF(C23&lt;&gt;0,SUM(($C$11:C23&lt;&gt;0)*1),"")</f>
        <v/>
      </c>
      <c r="B23" s="273"/>
      <c r="C23" s="273"/>
      <c r="D23" s="273"/>
      <c r="E23" s="363"/>
      <c r="F23" s="324"/>
      <c r="G23" s="326"/>
      <c r="H23" s="326"/>
      <c r="I23" s="63" t="str">
        <f t="shared" si="97"/>
        <v/>
      </c>
      <c r="J23" s="275">
        <f t="shared" si="61"/>
        <v>0</v>
      </c>
      <c r="K23" s="275">
        <f t="shared" si="62"/>
        <v>0</v>
      </c>
      <c r="L23" s="275">
        <f t="shared" si="1"/>
        <v>0</v>
      </c>
      <c r="M23" s="275">
        <f t="shared" si="2"/>
        <v>0</v>
      </c>
      <c r="N23" s="275">
        <f t="shared" si="3"/>
        <v>0</v>
      </c>
      <c r="O23" s="275">
        <f t="shared" si="4"/>
        <v>0</v>
      </c>
      <c r="P23" s="275">
        <f t="shared" si="5"/>
        <v>0</v>
      </c>
      <c r="Q23" s="275">
        <f t="shared" si="6"/>
        <v>0</v>
      </c>
      <c r="R23" s="275">
        <f t="shared" si="7"/>
        <v>0</v>
      </c>
      <c r="S23" s="275">
        <f t="shared" si="8"/>
        <v>0</v>
      </c>
      <c r="T23" s="275">
        <f t="shared" si="9"/>
        <v>0</v>
      </c>
      <c r="U23" s="275">
        <f t="shared" si="10"/>
        <v>0</v>
      </c>
      <c r="V23" s="275">
        <f t="shared" si="11"/>
        <v>0</v>
      </c>
      <c r="W23" s="275">
        <f t="shared" si="12"/>
        <v>0</v>
      </c>
      <c r="X23" s="275">
        <f t="shared" si="13"/>
        <v>0</v>
      </c>
      <c r="Y23" s="275">
        <f t="shared" si="14"/>
        <v>0</v>
      </c>
      <c r="Z23" s="275">
        <f t="shared" si="15"/>
        <v>0</v>
      </c>
      <c r="AA23" s="275">
        <f t="shared" si="16"/>
        <v>0</v>
      </c>
      <c r="AB23" s="275">
        <f t="shared" si="63"/>
        <v>0</v>
      </c>
      <c r="AC23" s="275">
        <f t="shared" si="64"/>
        <v>0</v>
      </c>
      <c r="AD23" s="275">
        <f t="shared" si="17"/>
        <v>0</v>
      </c>
      <c r="AE23" s="275">
        <f t="shared" si="18"/>
        <v>0</v>
      </c>
      <c r="AF23" s="275">
        <f t="shared" si="19"/>
        <v>0</v>
      </c>
      <c r="AG23" s="275">
        <f t="shared" si="20"/>
        <v>0</v>
      </c>
      <c r="AH23" s="275">
        <f t="shared" si="65"/>
        <v>0</v>
      </c>
      <c r="AI23" s="275">
        <f t="shared" si="66"/>
        <v>0</v>
      </c>
      <c r="AJ23" s="275">
        <f t="shared" si="67"/>
        <v>0</v>
      </c>
      <c r="AK23" s="275">
        <f t="shared" si="68"/>
        <v>0</v>
      </c>
      <c r="AL23" s="275">
        <f t="shared" si="69"/>
        <v>0</v>
      </c>
      <c r="AM23" s="275">
        <f t="shared" si="70"/>
        <v>0</v>
      </c>
      <c r="AN23" s="275">
        <f t="shared" si="71"/>
        <v>0</v>
      </c>
      <c r="AO23" s="275">
        <f t="shared" si="72"/>
        <v>0</v>
      </c>
      <c r="AP23" s="275">
        <f t="shared" si="21"/>
        <v>0</v>
      </c>
      <c r="AQ23" s="275">
        <f t="shared" si="22"/>
        <v>0</v>
      </c>
      <c r="AR23" s="275">
        <f t="shared" si="23"/>
        <v>0</v>
      </c>
      <c r="AS23" s="275">
        <f t="shared" si="24"/>
        <v>0</v>
      </c>
      <c r="AT23" s="275">
        <f t="shared" si="73"/>
        <v>0</v>
      </c>
      <c r="AU23" s="275">
        <f t="shared" si="74"/>
        <v>0</v>
      </c>
      <c r="AV23" s="275">
        <f t="shared" si="25"/>
        <v>0</v>
      </c>
      <c r="AW23" s="275">
        <f t="shared" si="26"/>
        <v>0</v>
      </c>
      <c r="AX23" s="275">
        <f t="shared" si="27"/>
        <v>0</v>
      </c>
      <c r="AY23" s="275">
        <f t="shared" si="28"/>
        <v>0</v>
      </c>
      <c r="AZ23" s="275">
        <f t="shared" si="29"/>
        <v>0</v>
      </c>
      <c r="BA23" s="275">
        <f t="shared" si="30"/>
        <v>0</v>
      </c>
      <c r="BB23" s="275">
        <f t="shared" si="31"/>
        <v>0</v>
      </c>
      <c r="BC23" s="275">
        <f t="shared" si="32"/>
        <v>0</v>
      </c>
      <c r="BD23" s="275">
        <f t="shared" si="33"/>
        <v>0</v>
      </c>
      <c r="BE23" s="275">
        <f t="shared" si="34"/>
        <v>0</v>
      </c>
      <c r="BF23" s="275">
        <f t="shared" si="35"/>
        <v>0</v>
      </c>
      <c r="BG23" s="275">
        <f t="shared" si="36"/>
        <v>0</v>
      </c>
      <c r="BH23" s="275">
        <f t="shared" si="75"/>
        <v>0</v>
      </c>
      <c r="BI23" s="275">
        <f t="shared" si="76"/>
        <v>0</v>
      </c>
      <c r="BJ23" s="275">
        <f t="shared" si="37"/>
        <v>0</v>
      </c>
      <c r="BK23" s="275">
        <f t="shared" si="38"/>
        <v>0</v>
      </c>
      <c r="BL23" s="275">
        <f t="shared" si="39"/>
        <v>0</v>
      </c>
      <c r="BM23" s="275">
        <f t="shared" si="40"/>
        <v>0</v>
      </c>
      <c r="BN23" s="275">
        <f t="shared" si="41"/>
        <v>0</v>
      </c>
      <c r="BO23" s="275">
        <f t="shared" si="42"/>
        <v>0</v>
      </c>
      <c r="BP23" s="275">
        <f t="shared" si="77"/>
        <v>0</v>
      </c>
      <c r="BQ23" s="275">
        <f t="shared" si="78"/>
        <v>0</v>
      </c>
      <c r="BR23" s="275">
        <f t="shared" si="43"/>
        <v>0</v>
      </c>
      <c r="BS23" s="275">
        <f t="shared" si="44"/>
        <v>0</v>
      </c>
      <c r="BT23" s="275">
        <f t="shared" si="79"/>
        <v>0</v>
      </c>
      <c r="BU23" s="275">
        <f t="shared" si="80"/>
        <v>0</v>
      </c>
      <c r="BV23" s="275">
        <f t="shared" si="81"/>
        <v>0</v>
      </c>
      <c r="BW23" s="275">
        <f t="shared" si="82"/>
        <v>0</v>
      </c>
      <c r="BX23" s="275">
        <f t="shared" si="45"/>
        <v>0</v>
      </c>
      <c r="BY23" s="275">
        <f t="shared" si="46"/>
        <v>0</v>
      </c>
      <c r="BZ23" s="275">
        <f t="shared" si="47"/>
        <v>0</v>
      </c>
      <c r="CA23" s="275">
        <f t="shared" si="48"/>
        <v>0</v>
      </c>
      <c r="CB23" s="275">
        <f t="shared" si="49"/>
        <v>0</v>
      </c>
      <c r="CC23" s="275">
        <f t="shared" si="50"/>
        <v>0</v>
      </c>
      <c r="CD23" s="275">
        <f t="shared" si="83"/>
        <v>0</v>
      </c>
      <c r="CE23" s="275">
        <f t="shared" si="84"/>
        <v>0</v>
      </c>
      <c r="CF23" s="275">
        <f t="shared" si="85"/>
        <v>0</v>
      </c>
      <c r="CG23" s="275">
        <f t="shared" si="86"/>
        <v>0</v>
      </c>
      <c r="CH23" s="275">
        <f t="shared" si="51"/>
        <v>0</v>
      </c>
      <c r="CI23" s="275">
        <f t="shared" si="52"/>
        <v>0</v>
      </c>
      <c r="CJ23" s="275">
        <f t="shared" si="87"/>
        <v>0</v>
      </c>
      <c r="CK23" s="275">
        <f t="shared" si="88"/>
        <v>0</v>
      </c>
      <c r="CL23" s="275">
        <f t="shared" si="53"/>
        <v>0</v>
      </c>
      <c r="CM23" s="275">
        <f t="shared" si="54"/>
        <v>0</v>
      </c>
      <c r="CN23" s="275">
        <f t="shared" si="55"/>
        <v>0</v>
      </c>
      <c r="CO23" s="275">
        <f t="shared" si="56"/>
        <v>0</v>
      </c>
      <c r="CP23" s="275">
        <f t="shared" si="89"/>
        <v>0</v>
      </c>
      <c r="CQ23" s="275">
        <f t="shared" si="90"/>
        <v>0</v>
      </c>
      <c r="CR23" s="275">
        <f t="shared" si="91"/>
        <v>0</v>
      </c>
      <c r="CS23" s="275">
        <f t="shared" si="92"/>
        <v>0</v>
      </c>
      <c r="CT23" s="275">
        <f t="shared" si="57"/>
        <v>0</v>
      </c>
      <c r="CU23" s="275">
        <f t="shared" si="58"/>
        <v>0</v>
      </c>
      <c r="CV23" s="275">
        <f t="shared" si="59"/>
        <v>0</v>
      </c>
      <c r="CW23" s="275">
        <f t="shared" si="60"/>
        <v>0</v>
      </c>
      <c r="CX23" s="275">
        <f t="shared" si="93"/>
        <v>0</v>
      </c>
      <c r="CY23" s="275">
        <f t="shared" si="94"/>
        <v>0</v>
      </c>
      <c r="CZ23" s="275">
        <f t="shared" si="95"/>
        <v>0</v>
      </c>
      <c r="DA23" s="275">
        <f t="shared" si="96"/>
        <v>0</v>
      </c>
    </row>
    <row r="24" spans="1:105" s="272" customFormat="1" ht="15" customHeight="1">
      <c r="A24" s="63" t="str">
        <f t="array" ref="A24">IF(C24&lt;&gt;0,SUM(($C$11:C24&lt;&gt;0)*1),"")</f>
        <v/>
      </c>
      <c r="B24" s="273"/>
      <c r="C24" s="273"/>
      <c r="D24" s="273"/>
      <c r="E24" s="363"/>
      <c r="F24" s="324"/>
      <c r="G24" s="326"/>
      <c r="H24" s="326"/>
      <c r="I24" s="63" t="str">
        <f t="shared" si="97"/>
        <v/>
      </c>
      <c r="J24" s="275">
        <f t="shared" si="61"/>
        <v>0</v>
      </c>
      <c r="K24" s="275">
        <f t="shared" si="62"/>
        <v>0</v>
      </c>
      <c r="L24" s="275">
        <f t="shared" si="1"/>
        <v>0</v>
      </c>
      <c r="M24" s="275">
        <f t="shared" si="2"/>
        <v>0</v>
      </c>
      <c r="N24" s="275">
        <f t="shared" si="3"/>
        <v>0</v>
      </c>
      <c r="O24" s="275">
        <f t="shared" si="4"/>
        <v>0</v>
      </c>
      <c r="P24" s="275">
        <f t="shared" si="5"/>
        <v>0</v>
      </c>
      <c r="Q24" s="275">
        <f t="shared" si="6"/>
        <v>0</v>
      </c>
      <c r="R24" s="275">
        <f t="shared" si="7"/>
        <v>0</v>
      </c>
      <c r="S24" s="275">
        <f t="shared" si="8"/>
        <v>0</v>
      </c>
      <c r="T24" s="275">
        <f t="shared" si="9"/>
        <v>0</v>
      </c>
      <c r="U24" s="275">
        <f t="shared" si="10"/>
        <v>0</v>
      </c>
      <c r="V24" s="275">
        <f t="shared" si="11"/>
        <v>0</v>
      </c>
      <c r="W24" s="275">
        <f t="shared" si="12"/>
        <v>0</v>
      </c>
      <c r="X24" s="275">
        <f t="shared" si="13"/>
        <v>0</v>
      </c>
      <c r="Y24" s="275">
        <f t="shared" si="14"/>
        <v>0</v>
      </c>
      <c r="Z24" s="275">
        <f t="shared" si="15"/>
        <v>0</v>
      </c>
      <c r="AA24" s="275">
        <f t="shared" si="16"/>
        <v>0</v>
      </c>
      <c r="AB24" s="275">
        <f t="shared" si="63"/>
        <v>0</v>
      </c>
      <c r="AC24" s="275">
        <f t="shared" si="64"/>
        <v>0</v>
      </c>
      <c r="AD24" s="275">
        <f t="shared" si="17"/>
        <v>0</v>
      </c>
      <c r="AE24" s="275">
        <f t="shared" si="18"/>
        <v>0</v>
      </c>
      <c r="AF24" s="275">
        <f t="shared" si="19"/>
        <v>0</v>
      </c>
      <c r="AG24" s="275">
        <f t="shared" si="20"/>
        <v>0</v>
      </c>
      <c r="AH24" s="275">
        <f t="shared" si="65"/>
        <v>0</v>
      </c>
      <c r="AI24" s="275">
        <f t="shared" si="66"/>
        <v>0</v>
      </c>
      <c r="AJ24" s="275">
        <f t="shared" si="67"/>
        <v>0</v>
      </c>
      <c r="AK24" s="275">
        <f t="shared" si="68"/>
        <v>0</v>
      </c>
      <c r="AL24" s="275">
        <f t="shared" si="69"/>
        <v>0</v>
      </c>
      <c r="AM24" s="275">
        <f t="shared" si="70"/>
        <v>0</v>
      </c>
      <c r="AN24" s="275">
        <f t="shared" si="71"/>
        <v>0</v>
      </c>
      <c r="AO24" s="275">
        <f t="shared" si="72"/>
        <v>0</v>
      </c>
      <c r="AP24" s="275">
        <f t="shared" si="21"/>
        <v>0</v>
      </c>
      <c r="AQ24" s="275">
        <f t="shared" si="22"/>
        <v>0</v>
      </c>
      <c r="AR24" s="275">
        <f t="shared" si="23"/>
        <v>0</v>
      </c>
      <c r="AS24" s="275">
        <f t="shared" si="24"/>
        <v>0</v>
      </c>
      <c r="AT24" s="275">
        <f t="shared" si="73"/>
        <v>0</v>
      </c>
      <c r="AU24" s="275">
        <f t="shared" si="74"/>
        <v>0</v>
      </c>
      <c r="AV24" s="275">
        <f t="shared" si="25"/>
        <v>0</v>
      </c>
      <c r="AW24" s="275">
        <f t="shared" si="26"/>
        <v>0</v>
      </c>
      <c r="AX24" s="275">
        <f t="shared" si="27"/>
        <v>0</v>
      </c>
      <c r="AY24" s="275">
        <f t="shared" si="28"/>
        <v>0</v>
      </c>
      <c r="AZ24" s="275">
        <f t="shared" si="29"/>
        <v>0</v>
      </c>
      <c r="BA24" s="275">
        <f t="shared" si="30"/>
        <v>0</v>
      </c>
      <c r="BB24" s="275">
        <f t="shared" si="31"/>
        <v>0</v>
      </c>
      <c r="BC24" s="275">
        <f t="shared" si="32"/>
        <v>0</v>
      </c>
      <c r="BD24" s="275">
        <f t="shared" si="33"/>
        <v>0</v>
      </c>
      <c r="BE24" s="275">
        <f t="shared" si="34"/>
        <v>0</v>
      </c>
      <c r="BF24" s="275">
        <f t="shared" si="35"/>
        <v>0</v>
      </c>
      <c r="BG24" s="275">
        <f t="shared" si="36"/>
        <v>0</v>
      </c>
      <c r="BH24" s="275">
        <f t="shared" si="75"/>
        <v>0</v>
      </c>
      <c r="BI24" s="275">
        <f t="shared" si="76"/>
        <v>0</v>
      </c>
      <c r="BJ24" s="275">
        <f t="shared" si="37"/>
        <v>0</v>
      </c>
      <c r="BK24" s="275">
        <f t="shared" si="38"/>
        <v>0</v>
      </c>
      <c r="BL24" s="275">
        <f t="shared" si="39"/>
        <v>0</v>
      </c>
      <c r="BM24" s="275">
        <f t="shared" si="40"/>
        <v>0</v>
      </c>
      <c r="BN24" s="275">
        <f t="shared" si="41"/>
        <v>0</v>
      </c>
      <c r="BO24" s="275">
        <f t="shared" si="42"/>
        <v>0</v>
      </c>
      <c r="BP24" s="275">
        <f t="shared" si="77"/>
        <v>0</v>
      </c>
      <c r="BQ24" s="275">
        <f t="shared" si="78"/>
        <v>0</v>
      </c>
      <c r="BR24" s="275">
        <f t="shared" si="43"/>
        <v>0</v>
      </c>
      <c r="BS24" s="275">
        <f t="shared" si="44"/>
        <v>0</v>
      </c>
      <c r="BT24" s="275">
        <f t="shared" si="79"/>
        <v>0</v>
      </c>
      <c r="BU24" s="275">
        <f t="shared" si="80"/>
        <v>0</v>
      </c>
      <c r="BV24" s="275">
        <f t="shared" si="81"/>
        <v>0</v>
      </c>
      <c r="BW24" s="275">
        <f t="shared" si="82"/>
        <v>0</v>
      </c>
      <c r="BX24" s="275">
        <f t="shared" si="45"/>
        <v>0</v>
      </c>
      <c r="BY24" s="275">
        <f t="shared" si="46"/>
        <v>0</v>
      </c>
      <c r="BZ24" s="275">
        <f t="shared" si="47"/>
        <v>0</v>
      </c>
      <c r="CA24" s="275">
        <f t="shared" si="48"/>
        <v>0</v>
      </c>
      <c r="CB24" s="275">
        <f t="shared" si="49"/>
        <v>0</v>
      </c>
      <c r="CC24" s="275">
        <f t="shared" si="50"/>
        <v>0</v>
      </c>
      <c r="CD24" s="275">
        <f t="shared" si="83"/>
        <v>0</v>
      </c>
      <c r="CE24" s="275">
        <f t="shared" si="84"/>
        <v>0</v>
      </c>
      <c r="CF24" s="275">
        <f t="shared" si="85"/>
        <v>0</v>
      </c>
      <c r="CG24" s="275">
        <f t="shared" si="86"/>
        <v>0</v>
      </c>
      <c r="CH24" s="275">
        <f t="shared" si="51"/>
        <v>0</v>
      </c>
      <c r="CI24" s="275">
        <f t="shared" si="52"/>
        <v>0</v>
      </c>
      <c r="CJ24" s="275">
        <f t="shared" si="87"/>
        <v>0</v>
      </c>
      <c r="CK24" s="275">
        <f t="shared" si="88"/>
        <v>0</v>
      </c>
      <c r="CL24" s="275">
        <f t="shared" si="53"/>
        <v>0</v>
      </c>
      <c r="CM24" s="275">
        <f t="shared" si="54"/>
        <v>0</v>
      </c>
      <c r="CN24" s="275">
        <f t="shared" si="55"/>
        <v>0</v>
      </c>
      <c r="CO24" s="275">
        <f t="shared" si="56"/>
        <v>0</v>
      </c>
      <c r="CP24" s="275">
        <f t="shared" si="89"/>
        <v>0</v>
      </c>
      <c r="CQ24" s="275">
        <f t="shared" si="90"/>
        <v>0</v>
      </c>
      <c r="CR24" s="275">
        <f t="shared" si="91"/>
        <v>0</v>
      </c>
      <c r="CS24" s="275">
        <f t="shared" si="92"/>
        <v>0</v>
      </c>
      <c r="CT24" s="275">
        <f t="shared" si="57"/>
        <v>0</v>
      </c>
      <c r="CU24" s="275">
        <f t="shared" si="58"/>
        <v>0</v>
      </c>
      <c r="CV24" s="275">
        <f t="shared" si="59"/>
        <v>0</v>
      </c>
      <c r="CW24" s="275">
        <f t="shared" si="60"/>
        <v>0</v>
      </c>
      <c r="CX24" s="275">
        <f t="shared" si="93"/>
        <v>0</v>
      </c>
      <c r="CY24" s="275">
        <f t="shared" si="94"/>
        <v>0</v>
      </c>
      <c r="CZ24" s="275">
        <f t="shared" si="95"/>
        <v>0</v>
      </c>
      <c r="DA24" s="275">
        <f t="shared" si="96"/>
        <v>0</v>
      </c>
    </row>
    <row r="25" spans="1:105" s="272" customFormat="1" ht="15" customHeight="1">
      <c r="A25" s="63" t="str">
        <f t="array" ref="A25">IF(C25&lt;&gt;0,SUM(($C$11:C25&lt;&gt;0)*1),"")</f>
        <v/>
      </c>
      <c r="B25" s="273"/>
      <c r="C25" s="273"/>
      <c r="D25" s="273"/>
      <c r="E25" s="363"/>
      <c r="F25" s="324"/>
      <c r="G25" s="326"/>
      <c r="H25" s="326"/>
      <c r="I25" s="63" t="str">
        <f t="shared" si="97"/>
        <v/>
      </c>
      <c r="J25" s="275">
        <f t="shared" si="61"/>
        <v>0</v>
      </c>
      <c r="K25" s="275">
        <f t="shared" si="62"/>
        <v>0</v>
      </c>
      <c r="L25" s="275">
        <f t="shared" si="1"/>
        <v>0</v>
      </c>
      <c r="M25" s="275">
        <f t="shared" si="2"/>
        <v>0</v>
      </c>
      <c r="N25" s="275">
        <f t="shared" si="3"/>
        <v>0</v>
      </c>
      <c r="O25" s="275">
        <f t="shared" si="4"/>
        <v>0</v>
      </c>
      <c r="P25" s="275">
        <f t="shared" si="5"/>
        <v>0</v>
      </c>
      <c r="Q25" s="275">
        <f t="shared" si="6"/>
        <v>0</v>
      </c>
      <c r="R25" s="275">
        <f t="shared" si="7"/>
        <v>0</v>
      </c>
      <c r="S25" s="275">
        <f t="shared" si="8"/>
        <v>0</v>
      </c>
      <c r="T25" s="275">
        <f t="shared" si="9"/>
        <v>0</v>
      </c>
      <c r="U25" s="275">
        <f t="shared" si="10"/>
        <v>0</v>
      </c>
      <c r="V25" s="275">
        <f t="shared" si="11"/>
        <v>0</v>
      </c>
      <c r="W25" s="275">
        <f t="shared" si="12"/>
        <v>0</v>
      </c>
      <c r="X25" s="275">
        <f t="shared" si="13"/>
        <v>0</v>
      </c>
      <c r="Y25" s="275">
        <f t="shared" si="14"/>
        <v>0</v>
      </c>
      <c r="Z25" s="275">
        <f t="shared" si="15"/>
        <v>0</v>
      </c>
      <c r="AA25" s="275">
        <f t="shared" si="16"/>
        <v>0</v>
      </c>
      <c r="AB25" s="275">
        <f t="shared" si="63"/>
        <v>0</v>
      </c>
      <c r="AC25" s="275">
        <f t="shared" si="64"/>
        <v>0</v>
      </c>
      <c r="AD25" s="275">
        <f t="shared" si="17"/>
        <v>0</v>
      </c>
      <c r="AE25" s="275">
        <f t="shared" si="18"/>
        <v>0</v>
      </c>
      <c r="AF25" s="275">
        <f t="shared" si="19"/>
        <v>0</v>
      </c>
      <c r="AG25" s="275">
        <f t="shared" si="20"/>
        <v>0</v>
      </c>
      <c r="AH25" s="275">
        <f t="shared" si="65"/>
        <v>0</v>
      </c>
      <c r="AI25" s="275">
        <f t="shared" si="66"/>
        <v>0</v>
      </c>
      <c r="AJ25" s="275">
        <f t="shared" si="67"/>
        <v>0</v>
      </c>
      <c r="AK25" s="275">
        <f t="shared" si="68"/>
        <v>0</v>
      </c>
      <c r="AL25" s="275">
        <f t="shared" si="69"/>
        <v>0</v>
      </c>
      <c r="AM25" s="275">
        <f t="shared" si="70"/>
        <v>0</v>
      </c>
      <c r="AN25" s="275">
        <f t="shared" si="71"/>
        <v>0</v>
      </c>
      <c r="AO25" s="275">
        <f t="shared" si="72"/>
        <v>0</v>
      </c>
      <c r="AP25" s="275">
        <f t="shared" si="21"/>
        <v>0</v>
      </c>
      <c r="AQ25" s="275">
        <f t="shared" si="22"/>
        <v>0</v>
      </c>
      <c r="AR25" s="275">
        <f t="shared" si="23"/>
        <v>0</v>
      </c>
      <c r="AS25" s="275">
        <f t="shared" si="24"/>
        <v>0</v>
      </c>
      <c r="AT25" s="275">
        <f t="shared" si="73"/>
        <v>0</v>
      </c>
      <c r="AU25" s="275">
        <f t="shared" si="74"/>
        <v>0</v>
      </c>
      <c r="AV25" s="275">
        <f t="shared" si="25"/>
        <v>0</v>
      </c>
      <c r="AW25" s="275">
        <f t="shared" si="26"/>
        <v>0</v>
      </c>
      <c r="AX25" s="275">
        <f t="shared" si="27"/>
        <v>0</v>
      </c>
      <c r="AY25" s="275">
        <f t="shared" si="28"/>
        <v>0</v>
      </c>
      <c r="AZ25" s="275">
        <f t="shared" si="29"/>
        <v>0</v>
      </c>
      <c r="BA25" s="275">
        <f t="shared" si="30"/>
        <v>0</v>
      </c>
      <c r="BB25" s="275">
        <f t="shared" si="31"/>
        <v>0</v>
      </c>
      <c r="BC25" s="275">
        <f t="shared" si="32"/>
        <v>0</v>
      </c>
      <c r="BD25" s="275">
        <f t="shared" si="33"/>
        <v>0</v>
      </c>
      <c r="BE25" s="275">
        <f t="shared" si="34"/>
        <v>0</v>
      </c>
      <c r="BF25" s="275">
        <f t="shared" si="35"/>
        <v>0</v>
      </c>
      <c r="BG25" s="275">
        <f t="shared" si="36"/>
        <v>0</v>
      </c>
      <c r="BH25" s="275">
        <f t="shared" si="75"/>
        <v>0</v>
      </c>
      <c r="BI25" s="275">
        <f t="shared" si="76"/>
        <v>0</v>
      </c>
      <c r="BJ25" s="275">
        <f t="shared" si="37"/>
        <v>0</v>
      </c>
      <c r="BK25" s="275">
        <f t="shared" si="38"/>
        <v>0</v>
      </c>
      <c r="BL25" s="275">
        <f t="shared" si="39"/>
        <v>0</v>
      </c>
      <c r="BM25" s="275">
        <f t="shared" si="40"/>
        <v>0</v>
      </c>
      <c r="BN25" s="275">
        <f t="shared" si="41"/>
        <v>0</v>
      </c>
      <c r="BO25" s="275">
        <f t="shared" si="42"/>
        <v>0</v>
      </c>
      <c r="BP25" s="275">
        <f t="shared" si="77"/>
        <v>0</v>
      </c>
      <c r="BQ25" s="275">
        <f t="shared" si="78"/>
        <v>0</v>
      </c>
      <c r="BR25" s="275">
        <f t="shared" si="43"/>
        <v>0</v>
      </c>
      <c r="BS25" s="275">
        <f t="shared" si="44"/>
        <v>0</v>
      </c>
      <c r="BT25" s="275">
        <f t="shared" si="79"/>
        <v>0</v>
      </c>
      <c r="BU25" s="275">
        <f t="shared" si="80"/>
        <v>0</v>
      </c>
      <c r="BV25" s="275">
        <f t="shared" si="81"/>
        <v>0</v>
      </c>
      <c r="BW25" s="275">
        <f t="shared" si="82"/>
        <v>0</v>
      </c>
      <c r="BX25" s="275">
        <f t="shared" si="45"/>
        <v>0</v>
      </c>
      <c r="BY25" s="275">
        <f t="shared" si="46"/>
        <v>0</v>
      </c>
      <c r="BZ25" s="275">
        <f t="shared" si="47"/>
        <v>0</v>
      </c>
      <c r="CA25" s="275">
        <f t="shared" si="48"/>
        <v>0</v>
      </c>
      <c r="CB25" s="275">
        <f t="shared" si="49"/>
        <v>0</v>
      </c>
      <c r="CC25" s="275">
        <f t="shared" si="50"/>
        <v>0</v>
      </c>
      <c r="CD25" s="275">
        <f t="shared" si="83"/>
        <v>0</v>
      </c>
      <c r="CE25" s="275">
        <f t="shared" si="84"/>
        <v>0</v>
      </c>
      <c r="CF25" s="275">
        <f t="shared" si="85"/>
        <v>0</v>
      </c>
      <c r="CG25" s="275">
        <f t="shared" si="86"/>
        <v>0</v>
      </c>
      <c r="CH25" s="275">
        <f t="shared" si="51"/>
        <v>0</v>
      </c>
      <c r="CI25" s="275">
        <f t="shared" si="52"/>
        <v>0</v>
      </c>
      <c r="CJ25" s="275">
        <f t="shared" si="87"/>
        <v>0</v>
      </c>
      <c r="CK25" s="275">
        <f t="shared" si="88"/>
        <v>0</v>
      </c>
      <c r="CL25" s="275">
        <f t="shared" si="53"/>
        <v>0</v>
      </c>
      <c r="CM25" s="275">
        <f t="shared" si="54"/>
        <v>0</v>
      </c>
      <c r="CN25" s="275">
        <f t="shared" si="55"/>
        <v>0</v>
      </c>
      <c r="CO25" s="275">
        <f t="shared" si="56"/>
        <v>0</v>
      </c>
      <c r="CP25" s="275">
        <f t="shared" si="89"/>
        <v>0</v>
      </c>
      <c r="CQ25" s="275">
        <f t="shared" si="90"/>
        <v>0</v>
      </c>
      <c r="CR25" s="275">
        <f t="shared" si="91"/>
        <v>0</v>
      </c>
      <c r="CS25" s="275">
        <f t="shared" si="92"/>
        <v>0</v>
      </c>
      <c r="CT25" s="275">
        <f t="shared" si="57"/>
        <v>0</v>
      </c>
      <c r="CU25" s="275">
        <f t="shared" si="58"/>
        <v>0</v>
      </c>
      <c r="CV25" s="275">
        <f t="shared" si="59"/>
        <v>0</v>
      </c>
      <c r="CW25" s="275">
        <f t="shared" si="60"/>
        <v>0</v>
      </c>
      <c r="CX25" s="275">
        <f t="shared" si="93"/>
        <v>0</v>
      </c>
      <c r="CY25" s="275">
        <f t="shared" si="94"/>
        <v>0</v>
      </c>
      <c r="CZ25" s="275">
        <f t="shared" si="95"/>
        <v>0</v>
      </c>
      <c r="DA25" s="275">
        <f t="shared" si="96"/>
        <v>0</v>
      </c>
    </row>
    <row r="26" spans="1:105" s="272" customFormat="1" ht="15" customHeight="1">
      <c r="A26" s="63" t="str">
        <f t="array" ref="A26">IF(C26&lt;&gt;0,SUM(($C$11:C26&lt;&gt;0)*1),"")</f>
        <v/>
      </c>
      <c r="B26" s="273"/>
      <c r="C26" s="273"/>
      <c r="D26" s="273"/>
      <c r="E26" s="363"/>
      <c r="F26" s="324"/>
      <c r="G26" s="326"/>
      <c r="H26" s="326"/>
      <c r="I26" s="63" t="str">
        <f t="shared" si="97"/>
        <v/>
      </c>
      <c r="J26" s="275">
        <f t="shared" si="61"/>
        <v>0</v>
      </c>
      <c r="K26" s="275">
        <f t="shared" si="62"/>
        <v>0</v>
      </c>
      <c r="L26" s="275">
        <f t="shared" si="1"/>
        <v>0</v>
      </c>
      <c r="M26" s="275">
        <f t="shared" si="2"/>
        <v>0</v>
      </c>
      <c r="N26" s="275">
        <f t="shared" si="3"/>
        <v>0</v>
      </c>
      <c r="O26" s="275">
        <f t="shared" si="4"/>
        <v>0</v>
      </c>
      <c r="P26" s="275">
        <f t="shared" si="5"/>
        <v>0</v>
      </c>
      <c r="Q26" s="275">
        <f t="shared" si="6"/>
        <v>0</v>
      </c>
      <c r="R26" s="275">
        <f t="shared" si="7"/>
        <v>0</v>
      </c>
      <c r="S26" s="275">
        <f t="shared" si="8"/>
        <v>0</v>
      </c>
      <c r="T26" s="275">
        <f t="shared" si="9"/>
        <v>0</v>
      </c>
      <c r="U26" s="275">
        <f t="shared" si="10"/>
        <v>0</v>
      </c>
      <c r="V26" s="275">
        <f t="shared" si="11"/>
        <v>0</v>
      </c>
      <c r="W26" s="275">
        <f t="shared" si="12"/>
        <v>0</v>
      </c>
      <c r="X26" s="275">
        <f t="shared" si="13"/>
        <v>0</v>
      </c>
      <c r="Y26" s="275">
        <f t="shared" si="14"/>
        <v>0</v>
      </c>
      <c r="Z26" s="275">
        <f t="shared" si="15"/>
        <v>0</v>
      </c>
      <c r="AA26" s="275">
        <f t="shared" si="16"/>
        <v>0</v>
      </c>
      <c r="AB26" s="275">
        <f t="shared" si="63"/>
        <v>0</v>
      </c>
      <c r="AC26" s="275">
        <f t="shared" si="64"/>
        <v>0</v>
      </c>
      <c r="AD26" s="275">
        <f t="shared" si="17"/>
        <v>0</v>
      </c>
      <c r="AE26" s="275">
        <f t="shared" si="18"/>
        <v>0</v>
      </c>
      <c r="AF26" s="275">
        <f t="shared" si="19"/>
        <v>0</v>
      </c>
      <c r="AG26" s="275">
        <f t="shared" si="20"/>
        <v>0</v>
      </c>
      <c r="AH26" s="275">
        <f t="shared" si="65"/>
        <v>0</v>
      </c>
      <c r="AI26" s="275">
        <f t="shared" si="66"/>
        <v>0</v>
      </c>
      <c r="AJ26" s="275">
        <f t="shared" si="67"/>
        <v>0</v>
      </c>
      <c r="AK26" s="275">
        <f t="shared" si="68"/>
        <v>0</v>
      </c>
      <c r="AL26" s="275">
        <f t="shared" si="69"/>
        <v>0</v>
      </c>
      <c r="AM26" s="275">
        <f t="shared" si="70"/>
        <v>0</v>
      </c>
      <c r="AN26" s="275">
        <f t="shared" si="71"/>
        <v>0</v>
      </c>
      <c r="AO26" s="275">
        <f t="shared" si="72"/>
        <v>0</v>
      </c>
      <c r="AP26" s="275">
        <f t="shared" si="21"/>
        <v>0</v>
      </c>
      <c r="AQ26" s="275">
        <f t="shared" si="22"/>
        <v>0</v>
      </c>
      <c r="AR26" s="275">
        <f t="shared" si="23"/>
        <v>0</v>
      </c>
      <c r="AS26" s="275">
        <f t="shared" si="24"/>
        <v>0</v>
      </c>
      <c r="AT26" s="275">
        <f t="shared" si="73"/>
        <v>0</v>
      </c>
      <c r="AU26" s="275">
        <f t="shared" si="74"/>
        <v>0</v>
      </c>
      <c r="AV26" s="275">
        <f t="shared" si="25"/>
        <v>0</v>
      </c>
      <c r="AW26" s="275">
        <f t="shared" si="26"/>
        <v>0</v>
      </c>
      <c r="AX26" s="275">
        <f t="shared" si="27"/>
        <v>0</v>
      </c>
      <c r="AY26" s="275">
        <f t="shared" si="28"/>
        <v>0</v>
      </c>
      <c r="AZ26" s="275">
        <f t="shared" si="29"/>
        <v>0</v>
      </c>
      <c r="BA26" s="275">
        <f t="shared" si="30"/>
        <v>0</v>
      </c>
      <c r="BB26" s="275">
        <f t="shared" si="31"/>
        <v>0</v>
      </c>
      <c r="BC26" s="275">
        <f t="shared" si="32"/>
        <v>0</v>
      </c>
      <c r="BD26" s="275">
        <f t="shared" si="33"/>
        <v>0</v>
      </c>
      <c r="BE26" s="275">
        <f t="shared" si="34"/>
        <v>0</v>
      </c>
      <c r="BF26" s="275">
        <f t="shared" si="35"/>
        <v>0</v>
      </c>
      <c r="BG26" s="275">
        <f t="shared" si="36"/>
        <v>0</v>
      </c>
      <c r="BH26" s="275">
        <f t="shared" si="75"/>
        <v>0</v>
      </c>
      <c r="BI26" s="275">
        <f t="shared" si="76"/>
        <v>0</v>
      </c>
      <c r="BJ26" s="275">
        <f t="shared" si="37"/>
        <v>0</v>
      </c>
      <c r="BK26" s="275">
        <f t="shared" si="38"/>
        <v>0</v>
      </c>
      <c r="BL26" s="275">
        <f t="shared" si="39"/>
        <v>0</v>
      </c>
      <c r="BM26" s="275">
        <f t="shared" si="40"/>
        <v>0</v>
      </c>
      <c r="BN26" s="275">
        <f t="shared" si="41"/>
        <v>0</v>
      </c>
      <c r="BO26" s="275">
        <f t="shared" si="42"/>
        <v>0</v>
      </c>
      <c r="BP26" s="275">
        <f t="shared" si="77"/>
        <v>0</v>
      </c>
      <c r="BQ26" s="275">
        <f t="shared" si="78"/>
        <v>0</v>
      </c>
      <c r="BR26" s="275">
        <f t="shared" si="43"/>
        <v>0</v>
      </c>
      <c r="BS26" s="275">
        <f t="shared" si="44"/>
        <v>0</v>
      </c>
      <c r="BT26" s="275">
        <f t="shared" si="79"/>
        <v>0</v>
      </c>
      <c r="BU26" s="275">
        <f t="shared" si="80"/>
        <v>0</v>
      </c>
      <c r="BV26" s="275">
        <f t="shared" si="81"/>
        <v>0</v>
      </c>
      <c r="BW26" s="275">
        <f t="shared" si="82"/>
        <v>0</v>
      </c>
      <c r="BX26" s="275">
        <f t="shared" si="45"/>
        <v>0</v>
      </c>
      <c r="BY26" s="275">
        <f t="shared" si="46"/>
        <v>0</v>
      </c>
      <c r="BZ26" s="275">
        <f t="shared" si="47"/>
        <v>0</v>
      </c>
      <c r="CA26" s="275">
        <f t="shared" si="48"/>
        <v>0</v>
      </c>
      <c r="CB26" s="275">
        <f t="shared" si="49"/>
        <v>0</v>
      </c>
      <c r="CC26" s="275">
        <f t="shared" si="50"/>
        <v>0</v>
      </c>
      <c r="CD26" s="275">
        <f t="shared" si="83"/>
        <v>0</v>
      </c>
      <c r="CE26" s="275">
        <f t="shared" si="84"/>
        <v>0</v>
      </c>
      <c r="CF26" s="275">
        <f t="shared" si="85"/>
        <v>0</v>
      </c>
      <c r="CG26" s="275">
        <f t="shared" si="86"/>
        <v>0</v>
      </c>
      <c r="CH26" s="275">
        <f t="shared" si="51"/>
        <v>0</v>
      </c>
      <c r="CI26" s="275">
        <f t="shared" si="52"/>
        <v>0</v>
      </c>
      <c r="CJ26" s="275">
        <f t="shared" si="87"/>
        <v>0</v>
      </c>
      <c r="CK26" s="275">
        <f t="shared" si="88"/>
        <v>0</v>
      </c>
      <c r="CL26" s="275">
        <f t="shared" si="53"/>
        <v>0</v>
      </c>
      <c r="CM26" s="275">
        <f t="shared" si="54"/>
        <v>0</v>
      </c>
      <c r="CN26" s="275">
        <f t="shared" si="55"/>
        <v>0</v>
      </c>
      <c r="CO26" s="275">
        <f t="shared" si="56"/>
        <v>0</v>
      </c>
      <c r="CP26" s="275">
        <f t="shared" si="89"/>
        <v>0</v>
      </c>
      <c r="CQ26" s="275">
        <f t="shared" si="90"/>
        <v>0</v>
      </c>
      <c r="CR26" s="275">
        <f t="shared" si="91"/>
        <v>0</v>
      </c>
      <c r="CS26" s="275">
        <f t="shared" si="92"/>
        <v>0</v>
      </c>
      <c r="CT26" s="275">
        <f t="shared" si="57"/>
        <v>0</v>
      </c>
      <c r="CU26" s="275">
        <f t="shared" si="58"/>
        <v>0</v>
      </c>
      <c r="CV26" s="275">
        <f t="shared" si="59"/>
        <v>0</v>
      </c>
      <c r="CW26" s="275">
        <f t="shared" si="60"/>
        <v>0</v>
      </c>
      <c r="CX26" s="275">
        <f t="shared" si="93"/>
        <v>0</v>
      </c>
      <c r="CY26" s="275">
        <f t="shared" si="94"/>
        <v>0</v>
      </c>
      <c r="CZ26" s="275">
        <f t="shared" si="95"/>
        <v>0</v>
      </c>
      <c r="DA26" s="275">
        <f t="shared" si="96"/>
        <v>0</v>
      </c>
    </row>
    <row r="27" spans="1:105" s="272" customFormat="1" ht="15" customHeight="1">
      <c r="A27" s="63" t="str">
        <f t="array" ref="A27">IF(C27&lt;&gt;0,SUM(($C$11:C27&lt;&gt;0)*1),"")</f>
        <v/>
      </c>
      <c r="B27" s="273"/>
      <c r="C27" s="273"/>
      <c r="D27" s="273"/>
      <c r="E27" s="363"/>
      <c r="F27" s="324"/>
      <c r="G27" s="326"/>
      <c r="H27" s="326"/>
      <c r="I27" s="63" t="str">
        <f t="shared" si="97"/>
        <v/>
      </c>
      <c r="J27" s="275">
        <f t="shared" si="61"/>
        <v>0</v>
      </c>
      <c r="K27" s="275">
        <f t="shared" si="62"/>
        <v>0</v>
      </c>
      <c r="L27" s="275">
        <f t="shared" si="1"/>
        <v>0</v>
      </c>
      <c r="M27" s="275">
        <f t="shared" si="2"/>
        <v>0</v>
      </c>
      <c r="N27" s="275">
        <f t="shared" si="3"/>
        <v>0</v>
      </c>
      <c r="O27" s="275">
        <f t="shared" si="4"/>
        <v>0</v>
      </c>
      <c r="P27" s="275">
        <f t="shared" si="5"/>
        <v>0</v>
      </c>
      <c r="Q27" s="275">
        <f t="shared" si="6"/>
        <v>0</v>
      </c>
      <c r="R27" s="275">
        <f t="shared" si="7"/>
        <v>0</v>
      </c>
      <c r="S27" s="275">
        <f t="shared" si="8"/>
        <v>0</v>
      </c>
      <c r="T27" s="275">
        <f t="shared" si="9"/>
        <v>0</v>
      </c>
      <c r="U27" s="275">
        <f t="shared" si="10"/>
        <v>0</v>
      </c>
      <c r="V27" s="275">
        <f t="shared" si="11"/>
        <v>0</v>
      </c>
      <c r="W27" s="275">
        <f t="shared" si="12"/>
        <v>0</v>
      </c>
      <c r="X27" s="275">
        <f t="shared" si="13"/>
        <v>0</v>
      </c>
      <c r="Y27" s="275">
        <f t="shared" si="14"/>
        <v>0</v>
      </c>
      <c r="Z27" s="275">
        <f t="shared" si="15"/>
        <v>0</v>
      </c>
      <c r="AA27" s="275">
        <f t="shared" si="16"/>
        <v>0</v>
      </c>
      <c r="AB27" s="275">
        <f t="shared" si="63"/>
        <v>0</v>
      </c>
      <c r="AC27" s="275">
        <f t="shared" si="64"/>
        <v>0</v>
      </c>
      <c r="AD27" s="275">
        <f t="shared" si="17"/>
        <v>0</v>
      </c>
      <c r="AE27" s="275">
        <f t="shared" si="18"/>
        <v>0</v>
      </c>
      <c r="AF27" s="275">
        <f t="shared" si="19"/>
        <v>0</v>
      </c>
      <c r="AG27" s="275">
        <f t="shared" si="20"/>
        <v>0</v>
      </c>
      <c r="AH27" s="275">
        <f t="shared" si="65"/>
        <v>0</v>
      </c>
      <c r="AI27" s="275">
        <f t="shared" si="66"/>
        <v>0</v>
      </c>
      <c r="AJ27" s="275">
        <f t="shared" si="67"/>
        <v>0</v>
      </c>
      <c r="AK27" s="275">
        <f t="shared" si="68"/>
        <v>0</v>
      </c>
      <c r="AL27" s="275">
        <f t="shared" si="69"/>
        <v>0</v>
      </c>
      <c r="AM27" s="275">
        <f t="shared" si="70"/>
        <v>0</v>
      </c>
      <c r="AN27" s="275">
        <f t="shared" si="71"/>
        <v>0</v>
      </c>
      <c r="AO27" s="275">
        <f t="shared" si="72"/>
        <v>0</v>
      </c>
      <c r="AP27" s="275">
        <f t="shared" si="21"/>
        <v>0</v>
      </c>
      <c r="AQ27" s="275">
        <f t="shared" si="22"/>
        <v>0</v>
      </c>
      <c r="AR27" s="275">
        <f t="shared" si="23"/>
        <v>0</v>
      </c>
      <c r="AS27" s="275">
        <f t="shared" si="24"/>
        <v>0</v>
      </c>
      <c r="AT27" s="275">
        <f t="shared" si="73"/>
        <v>0</v>
      </c>
      <c r="AU27" s="275">
        <f t="shared" si="74"/>
        <v>0</v>
      </c>
      <c r="AV27" s="275">
        <f t="shared" si="25"/>
        <v>0</v>
      </c>
      <c r="AW27" s="275">
        <f t="shared" si="26"/>
        <v>0</v>
      </c>
      <c r="AX27" s="275">
        <f t="shared" si="27"/>
        <v>0</v>
      </c>
      <c r="AY27" s="275">
        <f t="shared" si="28"/>
        <v>0</v>
      </c>
      <c r="AZ27" s="275">
        <f t="shared" si="29"/>
        <v>0</v>
      </c>
      <c r="BA27" s="275">
        <f t="shared" si="30"/>
        <v>0</v>
      </c>
      <c r="BB27" s="275">
        <f t="shared" si="31"/>
        <v>0</v>
      </c>
      <c r="BC27" s="275">
        <f t="shared" si="32"/>
        <v>0</v>
      </c>
      <c r="BD27" s="275">
        <f t="shared" si="33"/>
        <v>0</v>
      </c>
      <c r="BE27" s="275">
        <f t="shared" si="34"/>
        <v>0</v>
      </c>
      <c r="BF27" s="275">
        <f t="shared" si="35"/>
        <v>0</v>
      </c>
      <c r="BG27" s="275">
        <f t="shared" si="36"/>
        <v>0</v>
      </c>
      <c r="BH27" s="275">
        <f t="shared" si="75"/>
        <v>0</v>
      </c>
      <c r="BI27" s="275">
        <f t="shared" si="76"/>
        <v>0</v>
      </c>
      <c r="BJ27" s="275">
        <f t="shared" si="37"/>
        <v>0</v>
      </c>
      <c r="BK27" s="275">
        <f t="shared" si="38"/>
        <v>0</v>
      </c>
      <c r="BL27" s="275">
        <f t="shared" si="39"/>
        <v>0</v>
      </c>
      <c r="BM27" s="275">
        <f t="shared" si="40"/>
        <v>0</v>
      </c>
      <c r="BN27" s="275">
        <f t="shared" si="41"/>
        <v>0</v>
      </c>
      <c r="BO27" s="275">
        <f t="shared" si="42"/>
        <v>0</v>
      </c>
      <c r="BP27" s="275">
        <f t="shared" si="77"/>
        <v>0</v>
      </c>
      <c r="BQ27" s="275">
        <f t="shared" si="78"/>
        <v>0</v>
      </c>
      <c r="BR27" s="275">
        <f t="shared" si="43"/>
        <v>0</v>
      </c>
      <c r="BS27" s="275">
        <f t="shared" si="44"/>
        <v>0</v>
      </c>
      <c r="BT27" s="275">
        <f t="shared" si="79"/>
        <v>0</v>
      </c>
      <c r="BU27" s="275">
        <f t="shared" si="80"/>
        <v>0</v>
      </c>
      <c r="BV27" s="275">
        <f t="shared" si="81"/>
        <v>0</v>
      </c>
      <c r="BW27" s="275">
        <f t="shared" si="82"/>
        <v>0</v>
      </c>
      <c r="BX27" s="275">
        <f t="shared" si="45"/>
        <v>0</v>
      </c>
      <c r="BY27" s="275">
        <f t="shared" si="46"/>
        <v>0</v>
      </c>
      <c r="BZ27" s="275">
        <f t="shared" si="47"/>
        <v>0</v>
      </c>
      <c r="CA27" s="275">
        <f t="shared" si="48"/>
        <v>0</v>
      </c>
      <c r="CB27" s="275">
        <f t="shared" si="49"/>
        <v>0</v>
      </c>
      <c r="CC27" s="275">
        <f t="shared" si="50"/>
        <v>0</v>
      </c>
      <c r="CD27" s="275">
        <f t="shared" si="83"/>
        <v>0</v>
      </c>
      <c r="CE27" s="275">
        <f t="shared" si="84"/>
        <v>0</v>
      </c>
      <c r="CF27" s="275">
        <f t="shared" si="85"/>
        <v>0</v>
      </c>
      <c r="CG27" s="275">
        <f t="shared" si="86"/>
        <v>0</v>
      </c>
      <c r="CH27" s="275">
        <f t="shared" si="51"/>
        <v>0</v>
      </c>
      <c r="CI27" s="275">
        <f t="shared" si="52"/>
        <v>0</v>
      </c>
      <c r="CJ27" s="275">
        <f t="shared" si="87"/>
        <v>0</v>
      </c>
      <c r="CK27" s="275">
        <f t="shared" si="88"/>
        <v>0</v>
      </c>
      <c r="CL27" s="275">
        <f t="shared" si="53"/>
        <v>0</v>
      </c>
      <c r="CM27" s="275">
        <f t="shared" si="54"/>
        <v>0</v>
      </c>
      <c r="CN27" s="275">
        <f t="shared" si="55"/>
        <v>0</v>
      </c>
      <c r="CO27" s="275">
        <f t="shared" si="56"/>
        <v>0</v>
      </c>
      <c r="CP27" s="275">
        <f t="shared" si="89"/>
        <v>0</v>
      </c>
      <c r="CQ27" s="275">
        <f t="shared" si="90"/>
        <v>0</v>
      </c>
      <c r="CR27" s="275">
        <f t="shared" si="91"/>
        <v>0</v>
      </c>
      <c r="CS27" s="275">
        <f t="shared" si="92"/>
        <v>0</v>
      </c>
      <c r="CT27" s="275">
        <f t="shared" si="57"/>
        <v>0</v>
      </c>
      <c r="CU27" s="275">
        <f t="shared" si="58"/>
        <v>0</v>
      </c>
      <c r="CV27" s="275">
        <f t="shared" si="59"/>
        <v>0</v>
      </c>
      <c r="CW27" s="275">
        <f t="shared" si="60"/>
        <v>0</v>
      </c>
      <c r="CX27" s="275">
        <f t="shared" si="93"/>
        <v>0</v>
      </c>
      <c r="CY27" s="275">
        <f t="shared" si="94"/>
        <v>0</v>
      </c>
      <c r="CZ27" s="275">
        <f t="shared" si="95"/>
        <v>0</v>
      </c>
      <c r="DA27" s="275">
        <f t="shared" si="96"/>
        <v>0</v>
      </c>
    </row>
    <row r="28" spans="1:105" s="272" customFormat="1" ht="15" customHeight="1">
      <c r="A28" s="63" t="str">
        <f t="array" ref="A28">IF(C28&lt;&gt;0,SUM(($C$11:C28&lt;&gt;0)*1),"")</f>
        <v/>
      </c>
      <c r="B28" s="273"/>
      <c r="C28" s="273"/>
      <c r="D28" s="273"/>
      <c r="E28" s="363"/>
      <c r="F28" s="324"/>
      <c r="G28" s="326"/>
      <c r="H28" s="326"/>
      <c r="I28" s="63" t="str">
        <f t="shared" si="97"/>
        <v/>
      </c>
      <c r="J28" s="275">
        <f t="shared" si="61"/>
        <v>0</v>
      </c>
      <c r="K28" s="275">
        <f t="shared" si="62"/>
        <v>0</v>
      </c>
      <c r="L28" s="275">
        <f t="shared" si="1"/>
        <v>0</v>
      </c>
      <c r="M28" s="275">
        <f t="shared" si="2"/>
        <v>0</v>
      </c>
      <c r="N28" s="275">
        <f t="shared" si="3"/>
        <v>0</v>
      </c>
      <c r="O28" s="275">
        <f t="shared" si="4"/>
        <v>0</v>
      </c>
      <c r="P28" s="275">
        <f t="shared" si="5"/>
        <v>0</v>
      </c>
      <c r="Q28" s="275">
        <f t="shared" si="6"/>
        <v>0</v>
      </c>
      <c r="R28" s="275">
        <f t="shared" si="7"/>
        <v>0</v>
      </c>
      <c r="S28" s="275">
        <f t="shared" si="8"/>
        <v>0</v>
      </c>
      <c r="T28" s="275">
        <f t="shared" si="9"/>
        <v>0</v>
      </c>
      <c r="U28" s="275">
        <f t="shared" si="10"/>
        <v>0</v>
      </c>
      <c r="V28" s="275">
        <f t="shared" si="11"/>
        <v>0</v>
      </c>
      <c r="W28" s="275">
        <f t="shared" si="12"/>
        <v>0</v>
      </c>
      <c r="X28" s="275">
        <f t="shared" si="13"/>
        <v>0</v>
      </c>
      <c r="Y28" s="275">
        <f t="shared" si="14"/>
        <v>0</v>
      </c>
      <c r="Z28" s="275">
        <f t="shared" si="15"/>
        <v>0</v>
      </c>
      <c r="AA28" s="275">
        <f t="shared" si="16"/>
        <v>0</v>
      </c>
      <c r="AB28" s="275">
        <f t="shared" si="63"/>
        <v>0</v>
      </c>
      <c r="AC28" s="275">
        <f t="shared" si="64"/>
        <v>0</v>
      </c>
      <c r="AD28" s="275">
        <f t="shared" si="17"/>
        <v>0</v>
      </c>
      <c r="AE28" s="275">
        <f t="shared" si="18"/>
        <v>0</v>
      </c>
      <c r="AF28" s="275">
        <f t="shared" si="19"/>
        <v>0</v>
      </c>
      <c r="AG28" s="275">
        <f t="shared" si="20"/>
        <v>0</v>
      </c>
      <c r="AH28" s="275">
        <f t="shared" si="65"/>
        <v>0</v>
      </c>
      <c r="AI28" s="275">
        <f t="shared" si="66"/>
        <v>0</v>
      </c>
      <c r="AJ28" s="275">
        <f t="shared" si="67"/>
        <v>0</v>
      </c>
      <c r="AK28" s="275">
        <f t="shared" si="68"/>
        <v>0</v>
      </c>
      <c r="AL28" s="275">
        <f t="shared" si="69"/>
        <v>0</v>
      </c>
      <c r="AM28" s="275">
        <f t="shared" si="70"/>
        <v>0</v>
      </c>
      <c r="AN28" s="275">
        <f t="shared" si="71"/>
        <v>0</v>
      </c>
      <c r="AO28" s="275">
        <f t="shared" si="72"/>
        <v>0</v>
      </c>
      <c r="AP28" s="275">
        <f t="shared" si="21"/>
        <v>0</v>
      </c>
      <c r="AQ28" s="275">
        <f t="shared" si="22"/>
        <v>0</v>
      </c>
      <c r="AR28" s="275">
        <f t="shared" si="23"/>
        <v>0</v>
      </c>
      <c r="AS28" s="275">
        <f t="shared" si="24"/>
        <v>0</v>
      </c>
      <c r="AT28" s="275">
        <f t="shared" si="73"/>
        <v>0</v>
      </c>
      <c r="AU28" s="275">
        <f t="shared" si="74"/>
        <v>0</v>
      </c>
      <c r="AV28" s="275">
        <f t="shared" si="25"/>
        <v>0</v>
      </c>
      <c r="AW28" s="275">
        <f t="shared" si="26"/>
        <v>0</v>
      </c>
      <c r="AX28" s="275">
        <f t="shared" si="27"/>
        <v>0</v>
      </c>
      <c r="AY28" s="275">
        <f t="shared" si="28"/>
        <v>0</v>
      </c>
      <c r="AZ28" s="275">
        <f t="shared" si="29"/>
        <v>0</v>
      </c>
      <c r="BA28" s="275">
        <f t="shared" si="30"/>
        <v>0</v>
      </c>
      <c r="BB28" s="275">
        <f t="shared" si="31"/>
        <v>0</v>
      </c>
      <c r="BC28" s="275">
        <f t="shared" si="32"/>
        <v>0</v>
      </c>
      <c r="BD28" s="275">
        <f t="shared" si="33"/>
        <v>0</v>
      </c>
      <c r="BE28" s="275">
        <f t="shared" si="34"/>
        <v>0</v>
      </c>
      <c r="BF28" s="275">
        <f t="shared" si="35"/>
        <v>0</v>
      </c>
      <c r="BG28" s="275">
        <f t="shared" si="36"/>
        <v>0</v>
      </c>
      <c r="BH28" s="275">
        <f t="shared" si="75"/>
        <v>0</v>
      </c>
      <c r="BI28" s="275">
        <f t="shared" si="76"/>
        <v>0</v>
      </c>
      <c r="BJ28" s="275">
        <f t="shared" si="37"/>
        <v>0</v>
      </c>
      <c r="BK28" s="275">
        <f t="shared" si="38"/>
        <v>0</v>
      </c>
      <c r="BL28" s="275">
        <f t="shared" si="39"/>
        <v>0</v>
      </c>
      <c r="BM28" s="275">
        <f t="shared" si="40"/>
        <v>0</v>
      </c>
      <c r="BN28" s="275">
        <f t="shared" si="41"/>
        <v>0</v>
      </c>
      <c r="BO28" s="275">
        <f t="shared" si="42"/>
        <v>0</v>
      </c>
      <c r="BP28" s="275">
        <f t="shared" si="77"/>
        <v>0</v>
      </c>
      <c r="BQ28" s="275">
        <f t="shared" si="78"/>
        <v>0</v>
      </c>
      <c r="BR28" s="275">
        <f t="shared" si="43"/>
        <v>0</v>
      </c>
      <c r="BS28" s="275">
        <f t="shared" si="44"/>
        <v>0</v>
      </c>
      <c r="BT28" s="275">
        <f t="shared" si="79"/>
        <v>0</v>
      </c>
      <c r="BU28" s="275">
        <f t="shared" si="80"/>
        <v>0</v>
      </c>
      <c r="BV28" s="275">
        <f t="shared" si="81"/>
        <v>0</v>
      </c>
      <c r="BW28" s="275">
        <f t="shared" si="82"/>
        <v>0</v>
      </c>
      <c r="BX28" s="275">
        <f t="shared" si="45"/>
        <v>0</v>
      </c>
      <c r="BY28" s="275">
        <f t="shared" si="46"/>
        <v>0</v>
      </c>
      <c r="BZ28" s="275">
        <f t="shared" si="47"/>
        <v>0</v>
      </c>
      <c r="CA28" s="275">
        <f t="shared" si="48"/>
        <v>0</v>
      </c>
      <c r="CB28" s="275">
        <f t="shared" si="49"/>
        <v>0</v>
      </c>
      <c r="CC28" s="275">
        <f t="shared" si="50"/>
        <v>0</v>
      </c>
      <c r="CD28" s="275">
        <f t="shared" si="83"/>
        <v>0</v>
      </c>
      <c r="CE28" s="275">
        <f t="shared" si="84"/>
        <v>0</v>
      </c>
      <c r="CF28" s="275">
        <f t="shared" si="85"/>
        <v>0</v>
      </c>
      <c r="CG28" s="275">
        <f t="shared" si="86"/>
        <v>0</v>
      </c>
      <c r="CH28" s="275">
        <f t="shared" si="51"/>
        <v>0</v>
      </c>
      <c r="CI28" s="275">
        <f t="shared" si="52"/>
        <v>0</v>
      </c>
      <c r="CJ28" s="275">
        <f t="shared" si="87"/>
        <v>0</v>
      </c>
      <c r="CK28" s="275">
        <f t="shared" si="88"/>
        <v>0</v>
      </c>
      <c r="CL28" s="275">
        <f t="shared" si="53"/>
        <v>0</v>
      </c>
      <c r="CM28" s="275">
        <f t="shared" si="54"/>
        <v>0</v>
      </c>
      <c r="CN28" s="275">
        <f t="shared" si="55"/>
        <v>0</v>
      </c>
      <c r="CO28" s="275">
        <f t="shared" si="56"/>
        <v>0</v>
      </c>
      <c r="CP28" s="275">
        <f t="shared" si="89"/>
        <v>0</v>
      </c>
      <c r="CQ28" s="275">
        <f t="shared" si="90"/>
        <v>0</v>
      </c>
      <c r="CR28" s="275">
        <f t="shared" si="91"/>
        <v>0</v>
      </c>
      <c r="CS28" s="275">
        <f t="shared" si="92"/>
        <v>0</v>
      </c>
      <c r="CT28" s="275">
        <f t="shared" si="57"/>
        <v>0</v>
      </c>
      <c r="CU28" s="275">
        <f t="shared" si="58"/>
        <v>0</v>
      </c>
      <c r="CV28" s="275">
        <f t="shared" si="59"/>
        <v>0</v>
      </c>
      <c r="CW28" s="275">
        <f t="shared" si="60"/>
        <v>0</v>
      </c>
      <c r="CX28" s="275">
        <f t="shared" si="93"/>
        <v>0</v>
      </c>
      <c r="CY28" s="275">
        <f t="shared" si="94"/>
        <v>0</v>
      </c>
      <c r="CZ28" s="275">
        <f t="shared" si="95"/>
        <v>0</v>
      </c>
      <c r="DA28" s="275">
        <f t="shared" si="96"/>
        <v>0</v>
      </c>
    </row>
    <row r="29" spans="1:105" s="272" customFormat="1" ht="15" customHeight="1">
      <c r="A29" s="63" t="str">
        <f t="array" ref="A29">IF(C29&lt;&gt;0,SUM(($C$11:C29&lt;&gt;0)*1),"")</f>
        <v/>
      </c>
      <c r="B29" s="273"/>
      <c r="C29" s="273"/>
      <c r="D29" s="273"/>
      <c r="E29" s="363"/>
      <c r="F29" s="324"/>
      <c r="G29" s="326"/>
      <c r="H29" s="326"/>
      <c r="I29" s="63" t="str">
        <f t="shared" si="97"/>
        <v/>
      </c>
      <c r="J29" s="275">
        <f t="shared" si="61"/>
        <v>0</v>
      </c>
      <c r="K29" s="275">
        <f t="shared" si="62"/>
        <v>0</v>
      </c>
      <c r="L29" s="275">
        <f t="shared" si="1"/>
        <v>0</v>
      </c>
      <c r="M29" s="275">
        <f t="shared" si="2"/>
        <v>0</v>
      </c>
      <c r="N29" s="275">
        <f t="shared" si="3"/>
        <v>0</v>
      </c>
      <c r="O29" s="275">
        <f t="shared" si="4"/>
        <v>0</v>
      </c>
      <c r="P29" s="275">
        <f t="shared" si="5"/>
        <v>0</v>
      </c>
      <c r="Q29" s="275">
        <f t="shared" si="6"/>
        <v>0</v>
      </c>
      <c r="R29" s="275">
        <f t="shared" si="7"/>
        <v>0</v>
      </c>
      <c r="S29" s="275">
        <f t="shared" si="8"/>
        <v>0</v>
      </c>
      <c r="T29" s="275">
        <f t="shared" si="9"/>
        <v>0</v>
      </c>
      <c r="U29" s="275">
        <f t="shared" si="10"/>
        <v>0</v>
      </c>
      <c r="V29" s="275">
        <f t="shared" si="11"/>
        <v>0</v>
      </c>
      <c r="W29" s="275">
        <f t="shared" si="12"/>
        <v>0</v>
      </c>
      <c r="X29" s="275">
        <f t="shared" si="13"/>
        <v>0</v>
      </c>
      <c r="Y29" s="275">
        <f t="shared" si="14"/>
        <v>0</v>
      </c>
      <c r="Z29" s="275">
        <f t="shared" si="15"/>
        <v>0</v>
      </c>
      <c r="AA29" s="275">
        <f t="shared" si="16"/>
        <v>0</v>
      </c>
      <c r="AB29" s="275">
        <f t="shared" si="63"/>
        <v>0</v>
      </c>
      <c r="AC29" s="275">
        <f t="shared" si="64"/>
        <v>0</v>
      </c>
      <c r="AD29" s="275">
        <f t="shared" si="17"/>
        <v>0</v>
      </c>
      <c r="AE29" s="275">
        <f t="shared" si="18"/>
        <v>0</v>
      </c>
      <c r="AF29" s="275">
        <f t="shared" si="19"/>
        <v>0</v>
      </c>
      <c r="AG29" s="275">
        <f t="shared" si="20"/>
        <v>0</v>
      </c>
      <c r="AH29" s="275">
        <f t="shared" si="65"/>
        <v>0</v>
      </c>
      <c r="AI29" s="275">
        <f t="shared" si="66"/>
        <v>0</v>
      </c>
      <c r="AJ29" s="275">
        <f t="shared" si="67"/>
        <v>0</v>
      </c>
      <c r="AK29" s="275">
        <f t="shared" si="68"/>
        <v>0</v>
      </c>
      <c r="AL29" s="275">
        <f t="shared" si="69"/>
        <v>0</v>
      </c>
      <c r="AM29" s="275">
        <f t="shared" si="70"/>
        <v>0</v>
      </c>
      <c r="AN29" s="275">
        <f t="shared" si="71"/>
        <v>0</v>
      </c>
      <c r="AO29" s="275">
        <f t="shared" si="72"/>
        <v>0</v>
      </c>
      <c r="AP29" s="275">
        <f t="shared" si="21"/>
        <v>0</v>
      </c>
      <c r="AQ29" s="275">
        <f t="shared" si="22"/>
        <v>0</v>
      </c>
      <c r="AR29" s="275">
        <f t="shared" si="23"/>
        <v>0</v>
      </c>
      <c r="AS29" s="275">
        <f t="shared" si="24"/>
        <v>0</v>
      </c>
      <c r="AT29" s="275">
        <f t="shared" si="73"/>
        <v>0</v>
      </c>
      <c r="AU29" s="275">
        <f t="shared" si="74"/>
        <v>0</v>
      </c>
      <c r="AV29" s="275">
        <f t="shared" si="25"/>
        <v>0</v>
      </c>
      <c r="AW29" s="275">
        <f t="shared" si="26"/>
        <v>0</v>
      </c>
      <c r="AX29" s="275">
        <f t="shared" si="27"/>
        <v>0</v>
      </c>
      <c r="AY29" s="275">
        <f t="shared" si="28"/>
        <v>0</v>
      </c>
      <c r="AZ29" s="275">
        <f t="shared" si="29"/>
        <v>0</v>
      </c>
      <c r="BA29" s="275">
        <f t="shared" si="30"/>
        <v>0</v>
      </c>
      <c r="BB29" s="275">
        <f t="shared" si="31"/>
        <v>0</v>
      </c>
      <c r="BC29" s="275">
        <f t="shared" si="32"/>
        <v>0</v>
      </c>
      <c r="BD29" s="275">
        <f t="shared" si="33"/>
        <v>0</v>
      </c>
      <c r="BE29" s="275">
        <f t="shared" si="34"/>
        <v>0</v>
      </c>
      <c r="BF29" s="275">
        <f t="shared" si="35"/>
        <v>0</v>
      </c>
      <c r="BG29" s="275">
        <f t="shared" si="36"/>
        <v>0</v>
      </c>
      <c r="BH29" s="275">
        <f t="shared" si="75"/>
        <v>0</v>
      </c>
      <c r="BI29" s="275">
        <f t="shared" si="76"/>
        <v>0</v>
      </c>
      <c r="BJ29" s="275">
        <f t="shared" si="37"/>
        <v>0</v>
      </c>
      <c r="BK29" s="275">
        <f t="shared" si="38"/>
        <v>0</v>
      </c>
      <c r="BL29" s="275">
        <f t="shared" si="39"/>
        <v>0</v>
      </c>
      <c r="BM29" s="275">
        <f t="shared" si="40"/>
        <v>0</v>
      </c>
      <c r="BN29" s="275">
        <f t="shared" si="41"/>
        <v>0</v>
      </c>
      <c r="BO29" s="275">
        <f t="shared" si="42"/>
        <v>0</v>
      </c>
      <c r="BP29" s="275">
        <f t="shared" si="77"/>
        <v>0</v>
      </c>
      <c r="BQ29" s="275">
        <f t="shared" si="78"/>
        <v>0</v>
      </c>
      <c r="BR29" s="275">
        <f t="shared" si="43"/>
        <v>0</v>
      </c>
      <c r="BS29" s="275">
        <f t="shared" si="44"/>
        <v>0</v>
      </c>
      <c r="BT29" s="275">
        <f t="shared" si="79"/>
        <v>0</v>
      </c>
      <c r="BU29" s="275">
        <f t="shared" si="80"/>
        <v>0</v>
      </c>
      <c r="BV29" s="275">
        <f t="shared" si="81"/>
        <v>0</v>
      </c>
      <c r="BW29" s="275">
        <f t="shared" si="82"/>
        <v>0</v>
      </c>
      <c r="BX29" s="275">
        <f t="shared" si="45"/>
        <v>0</v>
      </c>
      <c r="BY29" s="275">
        <f t="shared" si="46"/>
        <v>0</v>
      </c>
      <c r="BZ29" s="275">
        <f t="shared" si="47"/>
        <v>0</v>
      </c>
      <c r="CA29" s="275">
        <f t="shared" si="48"/>
        <v>0</v>
      </c>
      <c r="CB29" s="275">
        <f t="shared" si="49"/>
        <v>0</v>
      </c>
      <c r="CC29" s="275">
        <f t="shared" si="50"/>
        <v>0</v>
      </c>
      <c r="CD29" s="275">
        <f t="shared" si="83"/>
        <v>0</v>
      </c>
      <c r="CE29" s="275">
        <f t="shared" si="84"/>
        <v>0</v>
      </c>
      <c r="CF29" s="275">
        <f t="shared" si="85"/>
        <v>0</v>
      </c>
      <c r="CG29" s="275">
        <f t="shared" si="86"/>
        <v>0</v>
      </c>
      <c r="CH29" s="275">
        <f t="shared" si="51"/>
        <v>0</v>
      </c>
      <c r="CI29" s="275">
        <f t="shared" si="52"/>
        <v>0</v>
      </c>
      <c r="CJ29" s="275">
        <f t="shared" si="87"/>
        <v>0</v>
      </c>
      <c r="CK29" s="275">
        <f t="shared" si="88"/>
        <v>0</v>
      </c>
      <c r="CL29" s="275">
        <f t="shared" si="53"/>
        <v>0</v>
      </c>
      <c r="CM29" s="275">
        <f t="shared" si="54"/>
        <v>0</v>
      </c>
      <c r="CN29" s="275">
        <f t="shared" si="55"/>
        <v>0</v>
      </c>
      <c r="CO29" s="275">
        <f t="shared" si="56"/>
        <v>0</v>
      </c>
      <c r="CP29" s="275">
        <f t="shared" si="89"/>
        <v>0</v>
      </c>
      <c r="CQ29" s="275">
        <f t="shared" si="90"/>
        <v>0</v>
      </c>
      <c r="CR29" s="275">
        <f t="shared" si="91"/>
        <v>0</v>
      </c>
      <c r="CS29" s="275">
        <f t="shared" si="92"/>
        <v>0</v>
      </c>
      <c r="CT29" s="275">
        <f t="shared" si="57"/>
        <v>0</v>
      </c>
      <c r="CU29" s="275">
        <f t="shared" si="58"/>
        <v>0</v>
      </c>
      <c r="CV29" s="275">
        <f t="shared" si="59"/>
        <v>0</v>
      </c>
      <c r="CW29" s="275">
        <f t="shared" si="60"/>
        <v>0</v>
      </c>
      <c r="CX29" s="275">
        <f t="shared" si="93"/>
        <v>0</v>
      </c>
      <c r="CY29" s="275">
        <f t="shared" si="94"/>
        <v>0</v>
      </c>
      <c r="CZ29" s="275">
        <f t="shared" si="95"/>
        <v>0</v>
      </c>
      <c r="DA29" s="275">
        <f t="shared" si="96"/>
        <v>0</v>
      </c>
    </row>
    <row r="30" spans="1:105" s="272" customFormat="1" ht="15" customHeight="1">
      <c r="A30" s="63" t="str">
        <f t="array" ref="A30">IF(C30&lt;&gt;0,SUM(($C$11:C30&lt;&gt;0)*1),"")</f>
        <v/>
      </c>
      <c r="B30" s="273"/>
      <c r="C30" s="273"/>
      <c r="D30" s="273"/>
      <c r="E30" s="363"/>
      <c r="F30" s="324"/>
      <c r="G30" s="326"/>
      <c r="H30" s="326"/>
      <c r="I30" s="63" t="str">
        <f t="shared" si="97"/>
        <v/>
      </c>
      <c r="J30" s="275">
        <f t="shared" si="61"/>
        <v>0</v>
      </c>
      <c r="K30" s="275">
        <f t="shared" si="62"/>
        <v>0</v>
      </c>
      <c r="L30" s="275">
        <f t="shared" si="1"/>
        <v>0</v>
      </c>
      <c r="M30" s="275">
        <f t="shared" si="2"/>
        <v>0</v>
      </c>
      <c r="N30" s="275">
        <f t="shared" si="3"/>
        <v>0</v>
      </c>
      <c r="O30" s="275">
        <f t="shared" si="4"/>
        <v>0</v>
      </c>
      <c r="P30" s="275">
        <f t="shared" si="5"/>
        <v>0</v>
      </c>
      <c r="Q30" s="275">
        <f t="shared" si="6"/>
        <v>0</v>
      </c>
      <c r="R30" s="275">
        <f t="shared" si="7"/>
        <v>0</v>
      </c>
      <c r="S30" s="275">
        <f t="shared" si="8"/>
        <v>0</v>
      </c>
      <c r="T30" s="275">
        <f t="shared" si="9"/>
        <v>0</v>
      </c>
      <c r="U30" s="275">
        <f t="shared" si="10"/>
        <v>0</v>
      </c>
      <c r="V30" s="275">
        <f t="shared" si="11"/>
        <v>0</v>
      </c>
      <c r="W30" s="275">
        <f t="shared" si="12"/>
        <v>0</v>
      </c>
      <c r="X30" s="275">
        <f t="shared" si="13"/>
        <v>0</v>
      </c>
      <c r="Y30" s="275">
        <f t="shared" si="14"/>
        <v>0</v>
      </c>
      <c r="Z30" s="275">
        <f t="shared" si="15"/>
        <v>0</v>
      </c>
      <c r="AA30" s="275">
        <f t="shared" si="16"/>
        <v>0</v>
      </c>
      <c r="AB30" s="275">
        <f t="shared" si="63"/>
        <v>0</v>
      </c>
      <c r="AC30" s="275">
        <f t="shared" si="64"/>
        <v>0</v>
      </c>
      <c r="AD30" s="275">
        <f t="shared" si="17"/>
        <v>0</v>
      </c>
      <c r="AE30" s="275">
        <f t="shared" si="18"/>
        <v>0</v>
      </c>
      <c r="AF30" s="275">
        <f t="shared" si="19"/>
        <v>0</v>
      </c>
      <c r="AG30" s="275">
        <f t="shared" si="20"/>
        <v>0</v>
      </c>
      <c r="AH30" s="275">
        <f t="shared" si="65"/>
        <v>0</v>
      </c>
      <c r="AI30" s="275">
        <f t="shared" si="66"/>
        <v>0</v>
      </c>
      <c r="AJ30" s="275">
        <f t="shared" si="67"/>
        <v>0</v>
      </c>
      <c r="AK30" s="275">
        <f t="shared" si="68"/>
        <v>0</v>
      </c>
      <c r="AL30" s="275">
        <f t="shared" si="69"/>
        <v>0</v>
      </c>
      <c r="AM30" s="275">
        <f t="shared" si="70"/>
        <v>0</v>
      </c>
      <c r="AN30" s="275">
        <f t="shared" si="71"/>
        <v>0</v>
      </c>
      <c r="AO30" s="275">
        <f t="shared" si="72"/>
        <v>0</v>
      </c>
      <c r="AP30" s="275">
        <f t="shared" si="21"/>
        <v>0</v>
      </c>
      <c r="AQ30" s="275">
        <f t="shared" si="22"/>
        <v>0</v>
      </c>
      <c r="AR30" s="275">
        <f t="shared" si="23"/>
        <v>0</v>
      </c>
      <c r="AS30" s="275">
        <f t="shared" si="24"/>
        <v>0</v>
      </c>
      <c r="AT30" s="275">
        <f t="shared" si="73"/>
        <v>0</v>
      </c>
      <c r="AU30" s="275">
        <f t="shared" si="74"/>
        <v>0</v>
      </c>
      <c r="AV30" s="275">
        <f t="shared" si="25"/>
        <v>0</v>
      </c>
      <c r="AW30" s="275">
        <f t="shared" si="26"/>
        <v>0</v>
      </c>
      <c r="AX30" s="275">
        <f t="shared" si="27"/>
        <v>0</v>
      </c>
      <c r="AY30" s="275">
        <f t="shared" si="28"/>
        <v>0</v>
      </c>
      <c r="AZ30" s="275">
        <f t="shared" si="29"/>
        <v>0</v>
      </c>
      <c r="BA30" s="275">
        <f t="shared" si="30"/>
        <v>0</v>
      </c>
      <c r="BB30" s="275">
        <f t="shared" si="31"/>
        <v>0</v>
      </c>
      <c r="BC30" s="275">
        <f t="shared" si="32"/>
        <v>0</v>
      </c>
      <c r="BD30" s="275">
        <f t="shared" si="33"/>
        <v>0</v>
      </c>
      <c r="BE30" s="275">
        <f t="shared" si="34"/>
        <v>0</v>
      </c>
      <c r="BF30" s="275">
        <f t="shared" si="35"/>
        <v>0</v>
      </c>
      <c r="BG30" s="275">
        <f t="shared" si="36"/>
        <v>0</v>
      </c>
      <c r="BH30" s="275">
        <f t="shared" si="75"/>
        <v>0</v>
      </c>
      <c r="BI30" s="275">
        <f t="shared" si="76"/>
        <v>0</v>
      </c>
      <c r="BJ30" s="275">
        <f t="shared" si="37"/>
        <v>0</v>
      </c>
      <c r="BK30" s="275">
        <f t="shared" si="38"/>
        <v>0</v>
      </c>
      <c r="BL30" s="275">
        <f t="shared" si="39"/>
        <v>0</v>
      </c>
      <c r="BM30" s="275">
        <f t="shared" si="40"/>
        <v>0</v>
      </c>
      <c r="BN30" s="275">
        <f t="shared" si="41"/>
        <v>0</v>
      </c>
      <c r="BO30" s="275">
        <f t="shared" si="42"/>
        <v>0</v>
      </c>
      <c r="BP30" s="275">
        <f t="shared" si="77"/>
        <v>0</v>
      </c>
      <c r="BQ30" s="275">
        <f t="shared" si="78"/>
        <v>0</v>
      </c>
      <c r="BR30" s="275">
        <f t="shared" si="43"/>
        <v>0</v>
      </c>
      <c r="BS30" s="275">
        <f t="shared" si="44"/>
        <v>0</v>
      </c>
      <c r="BT30" s="275">
        <f t="shared" si="79"/>
        <v>0</v>
      </c>
      <c r="BU30" s="275">
        <f t="shared" si="80"/>
        <v>0</v>
      </c>
      <c r="BV30" s="275">
        <f t="shared" si="81"/>
        <v>0</v>
      </c>
      <c r="BW30" s="275">
        <f t="shared" si="82"/>
        <v>0</v>
      </c>
      <c r="BX30" s="275">
        <f t="shared" si="45"/>
        <v>0</v>
      </c>
      <c r="BY30" s="275">
        <f t="shared" si="46"/>
        <v>0</v>
      </c>
      <c r="BZ30" s="275">
        <f t="shared" si="47"/>
        <v>0</v>
      </c>
      <c r="CA30" s="275">
        <f t="shared" si="48"/>
        <v>0</v>
      </c>
      <c r="CB30" s="275">
        <f t="shared" si="49"/>
        <v>0</v>
      </c>
      <c r="CC30" s="275">
        <f t="shared" si="50"/>
        <v>0</v>
      </c>
      <c r="CD30" s="275">
        <f t="shared" si="83"/>
        <v>0</v>
      </c>
      <c r="CE30" s="275">
        <f t="shared" si="84"/>
        <v>0</v>
      </c>
      <c r="CF30" s="275">
        <f t="shared" si="85"/>
        <v>0</v>
      </c>
      <c r="CG30" s="275">
        <f t="shared" si="86"/>
        <v>0</v>
      </c>
      <c r="CH30" s="275">
        <f t="shared" si="51"/>
        <v>0</v>
      </c>
      <c r="CI30" s="275">
        <f t="shared" si="52"/>
        <v>0</v>
      </c>
      <c r="CJ30" s="275">
        <f t="shared" si="87"/>
        <v>0</v>
      </c>
      <c r="CK30" s="275">
        <f t="shared" si="88"/>
        <v>0</v>
      </c>
      <c r="CL30" s="275">
        <f t="shared" si="53"/>
        <v>0</v>
      </c>
      <c r="CM30" s="275">
        <f t="shared" si="54"/>
        <v>0</v>
      </c>
      <c r="CN30" s="275">
        <f t="shared" si="55"/>
        <v>0</v>
      </c>
      <c r="CO30" s="275">
        <f t="shared" si="56"/>
        <v>0</v>
      </c>
      <c r="CP30" s="275">
        <f t="shared" si="89"/>
        <v>0</v>
      </c>
      <c r="CQ30" s="275">
        <f t="shared" si="90"/>
        <v>0</v>
      </c>
      <c r="CR30" s="275">
        <f t="shared" si="91"/>
        <v>0</v>
      </c>
      <c r="CS30" s="275">
        <f t="shared" si="92"/>
        <v>0</v>
      </c>
      <c r="CT30" s="275">
        <f t="shared" si="57"/>
        <v>0</v>
      </c>
      <c r="CU30" s="275">
        <f t="shared" si="58"/>
        <v>0</v>
      </c>
      <c r="CV30" s="275">
        <f t="shared" si="59"/>
        <v>0</v>
      </c>
      <c r="CW30" s="275">
        <f t="shared" si="60"/>
        <v>0</v>
      </c>
      <c r="CX30" s="275">
        <f t="shared" si="93"/>
        <v>0</v>
      </c>
      <c r="CY30" s="275">
        <f t="shared" si="94"/>
        <v>0</v>
      </c>
      <c r="CZ30" s="275">
        <f t="shared" si="95"/>
        <v>0</v>
      </c>
      <c r="DA30" s="275">
        <f t="shared" si="96"/>
        <v>0</v>
      </c>
    </row>
    <row r="31" spans="1:105" s="272" customFormat="1" ht="15" customHeight="1">
      <c r="A31" s="63" t="str">
        <f t="array" ref="A31">IF(C31&lt;&gt;0,SUM(($C$11:C31&lt;&gt;0)*1),"")</f>
        <v/>
      </c>
      <c r="B31" s="273"/>
      <c r="C31" s="273"/>
      <c r="D31" s="273"/>
      <c r="E31" s="363"/>
      <c r="F31" s="324"/>
      <c r="G31" s="326"/>
      <c r="H31" s="326"/>
      <c r="I31" s="63" t="str">
        <f t="shared" si="97"/>
        <v/>
      </c>
      <c r="J31" s="275">
        <f t="shared" si="61"/>
        <v>0</v>
      </c>
      <c r="K31" s="275">
        <f t="shared" si="62"/>
        <v>0</v>
      </c>
      <c r="L31" s="275">
        <f t="shared" si="1"/>
        <v>0</v>
      </c>
      <c r="M31" s="275">
        <f t="shared" si="2"/>
        <v>0</v>
      </c>
      <c r="N31" s="275">
        <f t="shared" si="3"/>
        <v>0</v>
      </c>
      <c r="O31" s="275">
        <f t="shared" si="4"/>
        <v>0</v>
      </c>
      <c r="P31" s="275">
        <f t="shared" si="5"/>
        <v>0</v>
      </c>
      <c r="Q31" s="275">
        <f t="shared" si="6"/>
        <v>0</v>
      </c>
      <c r="R31" s="275">
        <f t="shared" si="7"/>
        <v>0</v>
      </c>
      <c r="S31" s="275">
        <f t="shared" si="8"/>
        <v>0</v>
      </c>
      <c r="T31" s="275">
        <f t="shared" si="9"/>
        <v>0</v>
      </c>
      <c r="U31" s="275">
        <f t="shared" si="10"/>
        <v>0</v>
      </c>
      <c r="V31" s="275">
        <f t="shared" si="11"/>
        <v>0</v>
      </c>
      <c r="W31" s="275">
        <f t="shared" si="12"/>
        <v>0</v>
      </c>
      <c r="X31" s="275">
        <f t="shared" si="13"/>
        <v>0</v>
      </c>
      <c r="Y31" s="275">
        <f t="shared" si="14"/>
        <v>0</v>
      </c>
      <c r="Z31" s="275">
        <f t="shared" si="15"/>
        <v>0</v>
      </c>
      <c r="AA31" s="275">
        <f t="shared" si="16"/>
        <v>0</v>
      </c>
      <c r="AB31" s="275">
        <f t="shared" si="63"/>
        <v>0</v>
      </c>
      <c r="AC31" s="275">
        <f t="shared" si="64"/>
        <v>0</v>
      </c>
      <c r="AD31" s="275">
        <f t="shared" si="17"/>
        <v>0</v>
      </c>
      <c r="AE31" s="275">
        <f t="shared" si="18"/>
        <v>0</v>
      </c>
      <c r="AF31" s="275">
        <f t="shared" si="19"/>
        <v>0</v>
      </c>
      <c r="AG31" s="275">
        <f t="shared" si="20"/>
        <v>0</v>
      </c>
      <c r="AH31" s="275">
        <f t="shared" si="65"/>
        <v>0</v>
      </c>
      <c r="AI31" s="275">
        <f t="shared" si="66"/>
        <v>0</v>
      </c>
      <c r="AJ31" s="275">
        <f t="shared" si="67"/>
        <v>0</v>
      </c>
      <c r="AK31" s="275">
        <f t="shared" si="68"/>
        <v>0</v>
      </c>
      <c r="AL31" s="275">
        <f t="shared" si="69"/>
        <v>0</v>
      </c>
      <c r="AM31" s="275">
        <f t="shared" si="70"/>
        <v>0</v>
      </c>
      <c r="AN31" s="275">
        <f t="shared" si="71"/>
        <v>0</v>
      </c>
      <c r="AO31" s="275">
        <f t="shared" si="72"/>
        <v>0</v>
      </c>
      <c r="AP31" s="275">
        <f t="shared" si="21"/>
        <v>0</v>
      </c>
      <c r="AQ31" s="275">
        <f t="shared" si="22"/>
        <v>0</v>
      </c>
      <c r="AR31" s="275">
        <f t="shared" si="23"/>
        <v>0</v>
      </c>
      <c r="AS31" s="275">
        <f t="shared" si="24"/>
        <v>0</v>
      </c>
      <c r="AT31" s="275">
        <f t="shared" si="73"/>
        <v>0</v>
      </c>
      <c r="AU31" s="275">
        <f t="shared" si="74"/>
        <v>0</v>
      </c>
      <c r="AV31" s="275">
        <f t="shared" si="25"/>
        <v>0</v>
      </c>
      <c r="AW31" s="275">
        <f t="shared" si="26"/>
        <v>0</v>
      </c>
      <c r="AX31" s="275">
        <f t="shared" si="27"/>
        <v>0</v>
      </c>
      <c r="AY31" s="275">
        <f t="shared" si="28"/>
        <v>0</v>
      </c>
      <c r="AZ31" s="275">
        <f t="shared" si="29"/>
        <v>0</v>
      </c>
      <c r="BA31" s="275">
        <f t="shared" si="30"/>
        <v>0</v>
      </c>
      <c r="BB31" s="275">
        <f t="shared" si="31"/>
        <v>0</v>
      </c>
      <c r="BC31" s="275">
        <f t="shared" si="32"/>
        <v>0</v>
      </c>
      <c r="BD31" s="275">
        <f t="shared" si="33"/>
        <v>0</v>
      </c>
      <c r="BE31" s="275">
        <f t="shared" si="34"/>
        <v>0</v>
      </c>
      <c r="BF31" s="275">
        <f t="shared" si="35"/>
        <v>0</v>
      </c>
      <c r="BG31" s="275">
        <f t="shared" si="36"/>
        <v>0</v>
      </c>
      <c r="BH31" s="275">
        <f t="shared" si="75"/>
        <v>0</v>
      </c>
      <c r="BI31" s="275">
        <f t="shared" si="76"/>
        <v>0</v>
      </c>
      <c r="BJ31" s="275">
        <f t="shared" si="37"/>
        <v>0</v>
      </c>
      <c r="BK31" s="275">
        <f t="shared" si="38"/>
        <v>0</v>
      </c>
      <c r="BL31" s="275">
        <f t="shared" si="39"/>
        <v>0</v>
      </c>
      <c r="BM31" s="275">
        <f t="shared" si="40"/>
        <v>0</v>
      </c>
      <c r="BN31" s="275">
        <f t="shared" si="41"/>
        <v>0</v>
      </c>
      <c r="BO31" s="275">
        <f t="shared" si="42"/>
        <v>0</v>
      </c>
      <c r="BP31" s="275">
        <f t="shared" si="77"/>
        <v>0</v>
      </c>
      <c r="BQ31" s="275">
        <f t="shared" si="78"/>
        <v>0</v>
      </c>
      <c r="BR31" s="275">
        <f t="shared" si="43"/>
        <v>0</v>
      </c>
      <c r="BS31" s="275">
        <f t="shared" si="44"/>
        <v>0</v>
      </c>
      <c r="BT31" s="275">
        <f t="shared" si="79"/>
        <v>0</v>
      </c>
      <c r="BU31" s="275">
        <f t="shared" si="80"/>
        <v>0</v>
      </c>
      <c r="BV31" s="275">
        <f t="shared" si="81"/>
        <v>0</v>
      </c>
      <c r="BW31" s="275">
        <f t="shared" si="82"/>
        <v>0</v>
      </c>
      <c r="BX31" s="275">
        <f t="shared" si="45"/>
        <v>0</v>
      </c>
      <c r="BY31" s="275">
        <f t="shared" si="46"/>
        <v>0</v>
      </c>
      <c r="BZ31" s="275">
        <f t="shared" si="47"/>
        <v>0</v>
      </c>
      <c r="CA31" s="275">
        <f t="shared" si="48"/>
        <v>0</v>
      </c>
      <c r="CB31" s="275">
        <f t="shared" si="49"/>
        <v>0</v>
      </c>
      <c r="CC31" s="275">
        <f t="shared" si="50"/>
        <v>0</v>
      </c>
      <c r="CD31" s="275">
        <f t="shared" si="83"/>
        <v>0</v>
      </c>
      <c r="CE31" s="275">
        <f t="shared" si="84"/>
        <v>0</v>
      </c>
      <c r="CF31" s="275">
        <f t="shared" si="85"/>
        <v>0</v>
      </c>
      <c r="CG31" s="275">
        <f t="shared" si="86"/>
        <v>0</v>
      </c>
      <c r="CH31" s="275">
        <f t="shared" si="51"/>
        <v>0</v>
      </c>
      <c r="CI31" s="275">
        <f t="shared" si="52"/>
        <v>0</v>
      </c>
      <c r="CJ31" s="275">
        <f t="shared" si="87"/>
        <v>0</v>
      </c>
      <c r="CK31" s="275">
        <f t="shared" si="88"/>
        <v>0</v>
      </c>
      <c r="CL31" s="275">
        <f t="shared" si="53"/>
        <v>0</v>
      </c>
      <c r="CM31" s="275">
        <f t="shared" si="54"/>
        <v>0</v>
      </c>
      <c r="CN31" s="275">
        <f t="shared" si="55"/>
        <v>0</v>
      </c>
      <c r="CO31" s="275">
        <f t="shared" si="56"/>
        <v>0</v>
      </c>
      <c r="CP31" s="275">
        <f t="shared" si="89"/>
        <v>0</v>
      </c>
      <c r="CQ31" s="275">
        <f t="shared" si="90"/>
        <v>0</v>
      </c>
      <c r="CR31" s="275">
        <f t="shared" si="91"/>
        <v>0</v>
      </c>
      <c r="CS31" s="275">
        <f t="shared" si="92"/>
        <v>0</v>
      </c>
      <c r="CT31" s="275">
        <f t="shared" si="57"/>
        <v>0</v>
      </c>
      <c r="CU31" s="275">
        <f t="shared" si="58"/>
        <v>0</v>
      </c>
      <c r="CV31" s="275">
        <f t="shared" si="59"/>
        <v>0</v>
      </c>
      <c r="CW31" s="275">
        <f t="shared" si="60"/>
        <v>0</v>
      </c>
      <c r="CX31" s="275">
        <f t="shared" si="93"/>
        <v>0</v>
      </c>
      <c r="CY31" s="275">
        <f t="shared" si="94"/>
        <v>0</v>
      </c>
      <c r="CZ31" s="275">
        <f t="shared" si="95"/>
        <v>0</v>
      </c>
      <c r="DA31" s="275">
        <f t="shared" si="96"/>
        <v>0</v>
      </c>
    </row>
    <row r="32" spans="1:105" s="272" customFormat="1" ht="15" customHeight="1">
      <c r="A32" s="63" t="str">
        <f t="array" ref="A32">IF(C32&lt;&gt;0,SUM(($C$11:C32&lt;&gt;0)*1),"")</f>
        <v/>
      </c>
      <c r="B32" s="273"/>
      <c r="C32" s="273"/>
      <c r="D32" s="273"/>
      <c r="E32" s="363"/>
      <c r="F32" s="324"/>
      <c r="G32" s="326"/>
      <c r="H32" s="326"/>
      <c r="I32" s="63" t="str">
        <f t="shared" si="97"/>
        <v/>
      </c>
      <c r="J32" s="275">
        <f t="shared" si="61"/>
        <v>0</v>
      </c>
      <c r="K32" s="275">
        <f t="shared" si="62"/>
        <v>0</v>
      </c>
      <c r="L32" s="275">
        <f t="shared" si="1"/>
        <v>0</v>
      </c>
      <c r="M32" s="275">
        <f t="shared" si="2"/>
        <v>0</v>
      </c>
      <c r="N32" s="275">
        <f t="shared" si="3"/>
        <v>0</v>
      </c>
      <c r="O32" s="275">
        <f t="shared" si="4"/>
        <v>0</v>
      </c>
      <c r="P32" s="275">
        <f t="shared" si="5"/>
        <v>0</v>
      </c>
      <c r="Q32" s="275">
        <f t="shared" si="6"/>
        <v>0</v>
      </c>
      <c r="R32" s="275">
        <f t="shared" si="7"/>
        <v>0</v>
      </c>
      <c r="S32" s="275">
        <f t="shared" si="8"/>
        <v>0</v>
      </c>
      <c r="T32" s="275">
        <f t="shared" si="9"/>
        <v>0</v>
      </c>
      <c r="U32" s="275">
        <f t="shared" si="10"/>
        <v>0</v>
      </c>
      <c r="V32" s="275">
        <f t="shared" si="11"/>
        <v>0</v>
      </c>
      <c r="W32" s="275">
        <f t="shared" si="12"/>
        <v>0</v>
      </c>
      <c r="X32" s="275">
        <f t="shared" si="13"/>
        <v>0</v>
      </c>
      <c r="Y32" s="275">
        <f t="shared" si="14"/>
        <v>0</v>
      </c>
      <c r="Z32" s="275">
        <f t="shared" si="15"/>
        <v>0</v>
      </c>
      <c r="AA32" s="275">
        <f t="shared" si="16"/>
        <v>0</v>
      </c>
      <c r="AB32" s="275">
        <f t="shared" si="63"/>
        <v>0</v>
      </c>
      <c r="AC32" s="275">
        <f t="shared" si="64"/>
        <v>0</v>
      </c>
      <c r="AD32" s="275">
        <f t="shared" si="17"/>
        <v>0</v>
      </c>
      <c r="AE32" s="275">
        <f t="shared" si="18"/>
        <v>0</v>
      </c>
      <c r="AF32" s="275">
        <f t="shared" si="19"/>
        <v>0</v>
      </c>
      <c r="AG32" s="275">
        <f t="shared" si="20"/>
        <v>0</v>
      </c>
      <c r="AH32" s="275">
        <f t="shared" si="65"/>
        <v>0</v>
      </c>
      <c r="AI32" s="275">
        <f t="shared" si="66"/>
        <v>0</v>
      </c>
      <c r="AJ32" s="275">
        <f t="shared" si="67"/>
        <v>0</v>
      </c>
      <c r="AK32" s="275">
        <f t="shared" si="68"/>
        <v>0</v>
      </c>
      <c r="AL32" s="275">
        <f t="shared" si="69"/>
        <v>0</v>
      </c>
      <c r="AM32" s="275">
        <f t="shared" si="70"/>
        <v>0</v>
      </c>
      <c r="AN32" s="275">
        <f t="shared" si="71"/>
        <v>0</v>
      </c>
      <c r="AO32" s="275">
        <f t="shared" si="72"/>
        <v>0</v>
      </c>
      <c r="AP32" s="275">
        <f t="shared" si="21"/>
        <v>0</v>
      </c>
      <c r="AQ32" s="275">
        <f t="shared" si="22"/>
        <v>0</v>
      </c>
      <c r="AR32" s="275">
        <f t="shared" si="23"/>
        <v>0</v>
      </c>
      <c r="AS32" s="275">
        <f t="shared" si="24"/>
        <v>0</v>
      </c>
      <c r="AT32" s="275">
        <f t="shared" si="73"/>
        <v>0</v>
      </c>
      <c r="AU32" s="275">
        <f t="shared" si="74"/>
        <v>0</v>
      </c>
      <c r="AV32" s="275">
        <f t="shared" si="25"/>
        <v>0</v>
      </c>
      <c r="AW32" s="275">
        <f t="shared" si="26"/>
        <v>0</v>
      </c>
      <c r="AX32" s="275">
        <f t="shared" si="27"/>
        <v>0</v>
      </c>
      <c r="AY32" s="275">
        <f t="shared" si="28"/>
        <v>0</v>
      </c>
      <c r="AZ32" s="275">
        <f t="shared" si="29"/>
        <v>0</v>
      </c>
      <c r="BA32" s="275">
        <f t="shared" si="30"/>
        <v>0</v>
      </c>
      <c r="BB32" s="275">
        <f t="shared" si="31"/>
        <v>0</v>
      </c>
      <c r="BC32" s="275">
        <f t="shared" si="32"/>
        <v>0</v>
      </c>
      <c r="BD32" s="275">
        <f t="shared" si="33"/>
        <v>0</v>
      </c>
      <c r="BE32" s="275">
        <f t="shared" si="34"/>
        <v>0</v>
      </c>
      <c r="BF32" s="275">
        <f t="shared" si="35"/>
        <v>0</v>
      </c>
      <c r="BG32" s="275">
        <f t="shared" si="36"/>
        <v>0</v>
      </c>
      <c r="BH32" s="275">
        <f t="shared" si="75"/>
        <v>0</v>
      </c>
      <c r="BI32" s="275">
        <f t="shared" si="76"/>
        <v>0</v>
      </c>
      <c r="BJ32" s="275">
        <f t="shared" si="37"/>
        <v>0</v>
      </c>
      <c r="BK32" s="275">
        <f t="shared" si="38"/>
        <v>0</v>
      </c>
      <c r="BL32" s="275">
        <f t="shared" si="39"/>
        <v>0</v>
      </c>
      <c r="BM32" s="275">
        <f t="shared" si="40"/>
        <v>0</v>
      </c>
      <c r="BN32" s="275">
        <f t="shared" si="41"/>
        <v>0</v>
      </c>
      <c r="BO32" s="275">
        <f t="shared" si="42"/>
        <v>0</v>
      </c>
      <c r="BP32" s="275">
        <f t="shared" si="77"/>
        <v>0</v>
      </c>
      <c r="BQ32" s="275">
        <f t="shared" si="78"/>
        <v>0</v>
      </c>
      <c r="BR32" s="275">
        <f t="shared" si="43"/>
        <v>0</v>
      </c>
      <c r="BS32" s="275">
        <f t="shared" si="44"/>
        <v>0</v>
      </c>
      <c r="BT32" s="275">
        <f t="shared" si="79"/>
        <v>0</v>
      </c>
      <c r="BU32" s="275">
        <f t="shared" si="80"/>
        <v>0</v>
      </c>
      <c r="BV32" s="275">
        <f t="shared" si="81"/>
        <v>0</v>
      </c>
      <c r="BW32" s="275">
        <f t="shared" si="82"/>
        <v>0</v>
      </c>
      <c r="BX32" s="275">
        <f t="shared" si="45"/>
        <v>0</v>
      </c>
      <c r="BY32" s="275">
        <f t="shared" si="46"/>
        <v>0</v>
      </c>
      <c r="BZ32" s="275">
        <f t="shared" si="47"/>
        <v>0</v>
      </c>
      <c r="CA32" s="275">
        <f t="shared" si="48"/>
        <v>0</v>
      </c>
      <c r="CB32" s="275">
        <f t="shared" si="49"/>
        <v>0</v>
      </c>
      <c r="CC32" s="275">
        <f t="shared" si="50"/>
        <v>0</v>
      </c>
      <c r="CD32" s="275">
        <f t="shared" si="83"/>
        <v>0</v>
      </c>
      <c r="CE32" s="275">
        <f t="shared" si="84"/>
        <v>0</v>
      </c>
      <c r="CF32" s="275">
        <f t="shared" si="85"/>
        <v>0</v>
      </c>
      <c r="CG32" s="275">
        <f t="shared" si="86"/>
        <v>0</v>
      </c>
      <c r="CH32" s="275">
        <f t="shared" si="51"/>
        <v>0</v>
      </c>
      <c r="CI32" s="275">
        <f t="shared" si="52"/>
        <v>0</v>
      </c>
      <c r="CJ32" s="275">
        <f t="shared" si="87"/>
        <v>0</v>
      </c>
      <c r="CK32" s="275">
        <f t="shared" si="88"/>
        <v>0</v>
      </c>
      <c r="CL32" s="275">
        <f t="shared" si="53"/>
        <v>0</v>
      </c>
      <c r="CM32" s="275">
        <f t="shared" si="54"/>
        <v>0</v>
      </c>
      <c r="CN32" s="275">
        <f t="shared" si="55"/>
        <v>0</v>
      </c>
      <c r="CO32" s="275">
        <f t="shared" si="56"/>
        <v>0</v>
      </c>
      <c r="CP32" s="275">
        <f t="shared" si="89"/>
        <v>0</v>
      </c>
      <c r="CQ32" s="275">
        <f t="shared" si="90"/>
        <v>0</v>
      </c>
      <c r="CR32" s="275">
        <f t="shared" si="91"/>
        <v>0</v>
      </c>
      <c r="CS32" s="275">
        <f t="shared" si="92"/>
        <v>0</v>
      </c>
      <c r="CT32" s="275">
        <f t="shared" si="57"/>
        <v>0</v>
      </c>
      <c r="CU32" s="275">
        <f t="shared" si="58"/>
        <v>0</v>
      </c>
      <c r="CV32" s="275">
        <f t="shared" si="59"/>
        <v>0</v>
      </c>
      <c r="CW32" s="275">
        <f t="shared" si="60"/>
        <v>0</v>
      </c>
      <c r="CX32" s="275">
        <f t="shared" si="93"/>
        <v>0</v>
      </c>
      <c r="CY32" s="275">
        <f t="shared" si="94"/>
        <v>0</v>
      </c>
      <c r="CZ32" s="275">
        <f t="shared" si="95"/>
        <v>0</v>
      </c>
      <c r="DA32" s="275">
        <f t="shared" si="96"/>
        <v>0</v>
      </c>
    </row>
    <row r="33" spans="1:105" s="272" customFormat="1" ht="15" customHeight="1">
      <c r="A33" s="63" t="str">
        <f t="array" ref="A33">IF(C33&lt;&gt;0,SUM(($C$11:C33&lt;&gt;0)*1),"")</f>
        <v/>
      </c>
      <c r="B33" s="273"/>
      <c r="C33" s="273"/>
      <c r="D33" s="273"/>
      <c r="E33" s="363"/>
      <c r="F33" s="324"/>
      <c r="G33" s="326"/>
      <c r="H33" s="326"/>
      <c r="I33" s="63" t="str">
        <f t="shared" si="97"/>
        <v/>
      </c>
      <c r="J33" s="275">
        <f t="shared" si="61"/>
        <v>0</v>
      </c>
      <c r="K33" s="275">
        <f t="shared" si="62"/>
        <v>0</v>
      </c>
      <c r="L33" s="275">
        <f t="shared" si="1"/>
        <v>0</v>
      </c>
      <c r="M33" s="275">
        <f t="shared" si="2"/>
        <v>0</v>
      </c>
      <c r="N33" s="275">
        <f t="shared" si="3"/>
        <v>0</v>
      </c>
      <c r="O33" s="275">
        <f t="shared" si="4"/>
        <v>0</v>
      </c>
      <c r="P33" s="275">
        <f t="shared" si="5"/>
        <v>0</v>
      </c>
      <c r="Q33" s="275">
        <f t="shared" si="6"/>
        <v>0</v>
      </c>
      <c r="R33" s="275">
        <f t="shared" si="7"/>
        <v>0</v>
      </c>
      <c r="S33" s="275">
        <f t="shared" si="8"/>
        <v>0</v>
      </c>
      <c r="T33" s="275">
        <f t="shared" si="9"/>
        <v>0</v>
      </c>
      <c r="U33" s="275">
        <f t="shared" si="10"/>
        <v>0</v>
      </c>
      <c r="V33" s="275">
        <f t="shared" si="11"/>
        <v>0</v>
      </c>
      <c r="W33" s="275">
        <f t="shared" si="12"/>
        <v>0</v>
      </c>
      <c r="X33" s="275">
        <f t="shared" si="13"/>
        <v>0</v>
      </c>
      <c r="Y33" s="275">
        <f t="shared" si="14"/>
        <v>0</v>
      </c>
      <c r="Z33" s="275">
        <f t="shared" si="15"/>
        <v>0</v>
      </c>
      <c r="AA33" s="275">
        <f t="shared" si="16"/>
        <v>0</v>
      </c>
      <c r="AB33" s="275">
        <f t="shared" si="63"/>
        <v>0</v>
      </c>
      <c r="AC33" s="275">
        <f t="shared" si="64"/>
        <v>0</v>
      </c>
      <c r="AD33" s="275">
        <f t="shared" si="17"/>
        <v>0</v>
      </c>
      <c r="AE33" s="275">
        <f t="shared" si="18"/>
        <v>0</v>
      </c>
      <c r="AF33" s="275">
        <f t="shared" si="19"/>
        <v>0</v>
      </c>
      <c r="AG33" s="275">
        <f t="shared" si="20"/>
        <v>0</v>
      </c>
      <c r="AH33" s="275">
        <f t="shared" si="65"/>
        <v>0</v>
      </c>
      <c r="AI33" s="275">
        <f t="shared" si="66"/>
        <v>0</v>
      </c>
      <c r="AJ33" s="275">
        <f t="shared" si="67"/>
        <v>0</v>
      </c>
      <c r="AK33" s="275">
        <f t="shared" si="68"/>
        <v>0</v>
      </c>
      <c r="AL33" s="275">
        <f t="shared" si="69"/>
        <v>0</v>
      </c>
      <c r="AM33" s="275">
        <f t="shared" si="70"/>
        <v>0</v>
      </c>
      <c r="AN33" s="275">
        <f t="shared" si="71"/>
        <v>0</v>
      </c>
      <c r="AO33" s="275">
        <f t="shared" si="72"/>
        <v>0</v>
      </c>
      <c r="AP33" s="275">
        <f t="shared" si="21"/>
        <v>0</v>
      </c>
      <c r="AQ33" s="275">
        <f t="shared" si="22"/>
        <v>0</v>
      </c>
      <c r="AR33" s="275">
        <f t="shared" si="23"/>
        <v>0</v>
      </c>
      <c r="AS33" s="275">
        <f t="shared" si="24"/>
        <v>0</v>
      </c>
      <c r="AT33" s="275">
        <f t="shared" si="73"/>
        <v>0</v>
      </c>
      <c r="AU33" s="275">
        <f t="shared" si="74"/>
        <v>0</v>
      </c>
      <c r="AV33" s="275">
        <f t="shared" si="25"/>
        <v>0</v>
      </c>
      <c r="AW33" s="275">
        <f t="shared" si="26"/>
        <v>0</v>
      </c>
      <c r="AX33" s="275">
        <f t="shared" si="27"/>
        <v>0</v>
      </c>
      <c r="AY33" s="275">
        <f t="shared" si="28"/>
        <v>0</v>
      </c>
      <c r="AZ33" s="275">
        <f t="shared" si="29"/>
        <v>0</v>
      </c>
      <c r="BA33" s="275">
        <f t="shared" si="30"/>
        <v>0</v>
      </c>
      <c r="BB33" s="275">
        <f t="shared" si="31"/>
        <v>0</v>
      </c>
      <c r="BC33" s="275">
        <f t="shared" si="32"/>
        <v>0</v>
      </c>
      <c r="BD33" s="275">
        <f t="shared" si="33"/>
        <v>0</v>
      </c>
      <c r="BE33" s="275">
        <f t="shared" si="34"/>
        <v>0</v>
      </c>
      <c r="BF33" s="275">
        <f t="shared" si="35"/>
        <v>0</v>
      </c>
      <c r="BG33" s="275">
        <f t="shared" si="36"/>
        <v>0</v>
      </c>
      <c r="BH33" s="275">
        <f t="shared" si="75"/>
        <v>0</v>
      </c>
      <c r="BI33" s="275">
        <f t="shared" si="76"/>
        <v>0</v>
      </c>
      <c r="BJ33" s="275">
        <f t="shared" si="37"/>
        <v>0</v>
      </c>
      <c r="BK33" s="275">
        <f t="shared" si="38"/>
        <v>0</v>
      </c>
      <c r="BL33" s="275">
        <f t="shared" si="39"/>
        <v>0</v>
      </c>
      <c r="BM33" s="275">
        <f t="shared" si="40"/>
        <v>0</v>
      </c>
      <c r="BN33" s="275">
        <f t="shared" si="41"/>
        <v>0</v>
      </c>
      <c r="BO33" s="275">
        <f t="shared" si="42"/>
        <v>0</v>
      </c>
      <c r="BP33" s="275">
        <f t="shared" si="77"/>
        <v>0</v>
      </c>
      <c r="BQ33" s="275">
        <f t="shared" si="78"/>
        <v>0</v>
      </c>
      <c r="BR33" s="275">
        <f t="shared" si="43"/>
        <v>0</v>
      </c>
      <c r="BS33" s="275">
        <f t="shared" si="44"/>
        <v>0</v>
      </c>
      <c r="BT33" s="275">
        <f t="shared" si="79"/>
        <v>0</v>
      </c>
      <c r="BU33" s="275">
        <f t="shared" si="80"/>
        <v>0</v>
      </c>
      <c r="BV33" s="275">
        <f t="shared" si="81"/>
        <v>0</v>
      </c>
      <c r="BW33" s="275">
        <f t="shared" si="82"/>
        <v>0</v>
      </c>
      <c r="BX33" s="275">
        <f t="shared" si="45"/>
        <v>0</v>
      </c>
      <c r="BY33" s="275">
        <f t="shared" si="46"/>
        <v>0</v>
      </c>
      <c r="BZ33" s="275">
        <f t="shared" si="47"/>
        <v>0</v>
      </c>
      <c r="CA33" s="275">
        <f t="shared" si="48"/>
        <v>0</v>
      </c>
      <c r="CB33" s="275">
        <f t="shared" si="49"/>
        <v>0</v>
      </c>
      <c r="CC33" s="275">
        <f t="shared" si="50"/>
        <v>0</v>
      </c>
      <c r="CD33" s="275">
        <f t="shared" si="83"/>
        <v>0</v>
      </c>
      <c r="CE33" s="275">
        <f t="shared" si="84"/>
        <v>0</v>
      </c>
      <c r="CF33" s="275">
        <f t="shared" si="85"/>
        <v>0</v>
      </c>
      <c r="CG33" s="275">
        <f t="shared" si="86"/>
        <v>0</v>
      </c>
      <c r="CH33" s="275">
        <f t="shared" si="51"/>
        <v>0</v>
      </c>
      <c r="CI33" s="275">
        <f t="shared" si="52"/>
        <v>0</v>
      </c>
      <c r="CJ33" s="275">
        <f t="shared" si="87"/>
        <v>0</v>
      </c>
      <c r="CK33" s="275">
        <f t="shared" si="88"/>
        <v>0</v>
      </c>
      <c r="CL33" s="275">
        <f t="shared" si="53"/>
        <v>0</v>
      </c>
      <c r="CM33" s="275">
        <f t="shared" si="54"/>
        <v>0</v>
      </c>
      <c r="CN33" s="275">
        <f t="shared" si="55"/>
        <v>0</v>
      </c>
      <c r="CO33" s="275">
        <f t="shared" si="56"/>
        <v>0</v>
      </c>
      <c r="CP33" s="275">
        <f t="shared" si="89"/>
        <v>0</v>
      </c>
      <c r="CQ33" s="275">
        <f t="shared" si="90"/>
        <v>0</v>
      </c>
      <c r="CR33" s="275">
        <f t="shared" si="91"/>
        <v>0</v>
      </c>
      <c r="CS33" s="275">
        <f t="shared" si="92"/>
        <v>0</v>
      </c>
      <c r="CT33" s="275">
        <f t="shared" si="57"/>
        <v>0</v>
      </c>
      <c r="CU33" s="275">
        <f t="shared" si="58"/>
        <v>0</v>
      </c>
      <c r="CV33" s="275">
        <f t="shared" si="59"/>
        <v>0</v>
      </c>
      <c r="CW33" s="275">
        <f t="shared" si="60"/>
        <v>0</v>
      </c>
      <c r="CX33" s="275">
        <f t="shared" si="93"/>
        <v>0</v>
      </c>
      <c r="CY33" s="275">
        <f t="shared" si="94"/>
        <v>0</v>
      </c>
      <c r="CZ33" s="275">
        <f t="shared" si="95"/>
        <v>0</v>
      </c>
      <c r="DA33" s="275">
        <f t="shared" si="96"/>
        <v>0</v>
      </c>
    </row>
    <row r="34" spans="1:105" s="272" customFormat="1" ht="15" customHeight="1">
      <c r="A34" s="63" t="str">
        <f t="array" ref="A34">IF(C34&lt;&gt;0,SUM(($C$11:C34&lt;&gt;0)*1),"")</f>
        <v/>
      </c>
      <c r="B34" s="273"/>
      <c r="C34" s="273"/>
      <c r="D34" s="273"/>
      <c r="E34" s="363"/>
      <c r="F34" s="324"/>
      <c r="G34" s="326"/>
      <c r="H34" s="326"/>
      <c r="I34" s="63" t="str">
        <f t="shared" si="97"/>
        <v/>
      </c>
      <c r="J34" s="275">
        <f t="shared" si="61"/>
        <v>0</v>
      </c>
      <c r="K34" s="275">
        <f t="shared" si="62"/>
        <v>0</v>
      </c>
      <c r="L34" s="275">
        <f t="shared" si="1"/>
        <v>0</v>
      </c>
      <c r="M34" s="275">
        <f t="shared" si="2"/>
        <v>0</v>
      </c>
      <c r="N34" s="275">
        <f t="shared" si="3"/>
        <v>0</v>
      </c>
      <c r="O34" s="275">
        <f t="shared" si="4"/>
        <v>0</v>
      </c>
      <c r="P34" s="275">
        <f t="shared" si="5"/>
        <v>0</v>
      </c>
      <c r="Q34" s="275">
        <f t="shared" si="6"/>
        <v>0</v>
      </c>
      <c r="R34" s="275">
        <f t="shared" si="7"/>
        <v>0</v>
      </c>
      <c r="S34" s="275">
        <f t="shared" si="8"/>
        <v>0</v>
      </c>
      <c r="T34" s="275">
        <f t="shared" si="9"/>
        <v>0</v>
      </c>
      <c r="U34" s="275">
        <f t="shared" si="10"/>
        <v>0</v>
      </c>
      <c r="V34" s="275">
        <f t="shared" si="11"/>
        <v>0</v>
      </c>
      <c r="W34" s="275">
        <f t="shared" si="12"/>
        <v>0</v>
      </c>
      <c r="X34" s="275">
        <f t="shared" si="13"/>
        <v>0</v>
      </c>
      <c r="Y34" s="275">
        <f t="shared" si="14"/>
        <v>0</v>
      </c>
      <c r="Z34" s="275">
        <f t="shared" si="15"/>
        <v>0</v>
      </c>
      <c r="AA34" s="275">
        <f t="shared" si="16"/>
        <v>0</v>
      </c>
      <c r="AB34" s="275">
        <f t="shared" si="63"/>
        <v>0</v>
      </c>
      <c r="AC34" s="275">
        <f t="shared" si="64"/>
        <v>0</v>
      </c>
      <c r="AD34" s="275">
        <f t="shared" si="17"/>
        <v>0</v>
      </c>
      <c r="AE34" s="275">
        <f t="shared" si="18"/>
        <v>0</v>
      </c>
      <c r="AF34" s="275">
        <f t="shared" si="19"/>
        <v>0</v>
      </c>
      <c r="AG34" s="275">
        <f t="shared" si="20"/>
        <v>0</v>
      </c>
      <c r="AH34" s="275">
        <f t="shared" si="65"/>
        <v>0</v>
      </c>
      <c r="AI34" s="275">
        <f t="shared" si="66"/>
        <v>0</v>
      </c>
      <c r="AJ34" s="275">
        <f t="shared" si="67"/>
        <v>0</v>
      </c>
      <c r="AK34" s="275">
        <f t="shared" si="68"/>
        <v>0</v>
      </c>
      <c r="AL34" s="275">
        <f t="shared" si="69"/>
        <v>0</v>
      </c>
      <c r="AM34" s="275">
        <f t="shared" si="70"/>
        <v>0</v>
      </c>
      <c r="AN34" s="275">
        <f t="shared" si="71"/>
        <v>0</v>
      </c>
      <c r="AO34" s="275">
        <f t="shared" si="72"/>
        <v>0</v>
      </c>
      <c r="AP34" s="275">
        <f t="shared" si="21"/>
        <v>0</v>
      </c>
      <c r="AQ34" s="275">
        <f t="shared" si="22"/>
        <v>0</v>
      </c>
      <c r="AR34" s="275">
        <f t="shared" si="23"/>
        <v>0</v>
      </c>
      <c r="AS34" s="275">
        <f t="shared" si="24"/>
        <v>0</v>
      </c>
      <c r="AT34" s="275">
        <f t="shared" si="73"/>
        <v>0</v>
      </c>
      <c r="AU34" s="275">
        <f t="shared" si="74"/>
        <v>0</v>
      </c>
      <c r="AV34" s="275">
        <f t="shared" si="25"/>
        <v>0</v>
      </c>
      <c r="AW34" s="275">
        <f t="shared" si="26"/>
        <v>0</v>
      </c>
      <c r="AX34" s="275">
        <f t="shared" si="27"/>
        <v>0</v>
      </c>
      <c r="AY34" s="275">
        <f t="shared" si="28"/>
        <v>0</v>
      </c>
      <c r="AZ34" s="275">
        <f t="shared" si="29"/>
        <v>0</v>
      </c>
      <c r="BA34" s="275">
        <f t="shared" si="30"/>
        <v>0</v>
      </c>
      <c r="BB34" s="275">
        <f t="shared" si="31"/>
        <v>0</v>
      </c>
      <c r="BC34" s="275">
        <f t="shared" si="32"/>
        <v>0</v>
      </c>
      <c r="BD34" s="275">
        <f t="shared" si="33"/>
        <v>0</v>
      </c>
      <c r="BE34" s="275">
        <f t="shared" si="34"/>
        <v>0</v>
      </c>
      <c r="BF34" s="275">
        <f t="shared" si="35"/>
        <v>0</v>
      </c>
      <c r="BG34" s="275">
        <f t="shared" si="36"/>
        <v>0</v>
      </c>
      <c r="BH34" s="275">
        <f t="shared" si="75"/>
        <v>0</v>
      </c>
      <c r="BI34" s="275">
        <f t="shared" si="76"/>
        <v>0</v>
      </c>
      <c r="BJ34" s="275">
        <f t="shared" si="37"/>
        <v>0</v>
      </c>
      <c r="BK34" s="275">
        <f t="shared" si="38"/>
        <v>0</v>
      </c>
      <c r="BL34" s="275">
        <f t="shared" si="39"/>
        <v>0</v>
      </c>
      <c r="BM34" s="275">
        <f t="shared" si="40"/>
        <v>0</v>
      </c>
      <c r="BN34" s="275">
        <f t="shared" si="41"/>
        <v>0</v>
      </c>
      <c r="BO34" s="275">
        <f t="shared" si="42"/>
        <v>0</v>
      </c>
      <c r="BP34" s="275">
        <f t="shared" si="77"/>
        <v>0</v>
      </c>
      <c r="BQ34" s="275">
        <f t="shared" si="78"/>
        <v>0</v>
      </c>
      <c r="BR34" s="275">
        <f t="shared" si="43"/>
        <v>0</v>
      </c>
      <c r="BS34" s="275">
        <f t="shared" si="44"/>
        <v>0</v>
      </c>
      <c r="BT34" s="275">
        <f t="shared" si="79"/>
        <v>0</v>
      </c>
      <c r="BU34" s="275">
        <f t="shared" si="80"/>
        <v>0</v>
      </c>
      <c r="BV34" s="275">
        <f t="shared" si="81"/>
        <v>0</v>
      </c>
      <c r="BW34" s="275">
        <f t="shared" si="82"/>
        <v>0</v>
      </c>
      <c r="BX34" s="275">
        <f t="shared" si="45"/>
        <v>0</v>
      </c>
      <c r="BY34" s="275">
        <f t="shared" si="46"/>
        <v>0</v>
      </c>
      <c r="BZ34" s="275">
        <f t="shared" si="47"/>
        <v>0</v>
      </c>
      <c r="CA34" s="275">
        <f t="shared" si="48"/>
        <v>0</v>
      </c>
      <c r="CB34" s="275">
        <f t="shared" si="49"/>
        <v>0</v>
      </c>
      <c r="CC34" s="275">
        <f t="shared" si="50"/>
        <v>0</v>
      </c>
      <c r="CD34" s="275">
        <f t="shared" si="83"/>
        <v>0</v>
      </c>
      <c r="CE34" s="275">
        <f t="shared" si="84"/>
        <v>0</v>
      </c>
      <c r="CF34" s="275">
        <f t="shared" si="85"/>
        <v>0</v>
      </c>
      <c r="CG34" s="275">
        <f t="shared" si="86"/>
        <v>0</v>
      </c>
      <c r="CH34" s="275">
        <f t="shared" si="51"/>
        <v>0</v>
      </c>
      <c r="CI34" s="275">
        <f t="shared" si="52"/>
        <v>0</v>
      </c>
      <c r="CJ34" s="275">
        <f t="shared" si="87"/>
        <v>0</v>
      </c>
      <c r="CK34" s="275">
        <f t="shared" si="88"/>
        <v>0</v>
      </c>
      <c r="CL34" s="275">
        <f t="shared" si="53"/>
        <v>0</v>
      </c>
      <c r="CM34" s="275">
        <f t="shared" si="54"/>
        <v>0</v>
      </c>
      <c r="CN34" s="275">
        <f t="shared" si="55"/>
        <v>0</v>
      </c>
      <c r="CO34" s="275">
        <f t="shared" si="56"/>
        <v>0</v>
      </c>
      <c r="CP34" s="275">
        <f t="shared" si="89"/>
        <v>0</v>
      </c>
      <c r="CQ34" s="275">
        <f t="shared" si="90"/>
        <v>0</v>
      </c>
      <c r="CR34" s="275">
        <f t="shared" si="91"/>
        <v>0</v>
      </c>
      <c r="CS34" s="275">
        <f t="shared" si="92"/>
        <v>0</v>
      </c>
      <c r="CT34" s="275">
        <f t="shared" si="57"/>
        <v>0</v>
      </c>
      <c r="CU34" s="275">
        <f t="shared" si="58"/>
        <v>0</v>
      </c>
      <c r="CV34" s="275">
        <f t="shared" si="59"/>
        <v>0</v>
      </c>
      <c r="CW34" s="275">
        <f t="shared" si="60"/>
        <v>0</v>
      </c>
      <c r="CX34" s="275">
        <f t="shared" si="93"/>
        <v>0</v>
      </c>
      <c r="CY34" s="275">
        <f t="shared" si="94"/>
        <v>0</v>
      </c>
      <c r="CZ34" s="275">
        <f t="shared" si="95"/>
        <v>0</v>
      </c>
      <c r="DA34" s="275">
        <f t="shared" si="96"/>
        <v>0</v>
      </c>
    </row>
    <row r="35" spans="1:105" s="272" customFormat="1" ht="15" customHeight="1">
      <c r="A35" s="63" t="str">
        <f t="array" ref="A35">IF(C35&lt;&gt;0,SUM(($C$11:C35&lt;&gt;0)*1),"")</f>
        <v/>
      </c>
      <c r="B35" s="273"/>
      <c r="C35" s="273"/>
      <c r="D35" s="273"/>
      <c r="E35" s="363"/>
      <c r="F35" s="324"/>
      <c r="G35" s="326"/>
      <c r="H35" s="326"/>
      <c r="I35" s="63" t="str">
        <f t="shared" si="97"/>
        <v/>
      </c>
      <c r="J35" s="275">
        <f t="shared" si="61"/>
        <v>0</v>
      </c>
      <c r="K35" s="275">
        <f t="shared" si="62"/>
        <v>0</v>
      </c>
      <c r="L35" s="275">
        <f t="shared" si="1"/>
        <v>0</v>
      </c>
      <c r="M35" s="275">
        <f t="shared" si="2"/>
        <v>0</v>
      </c>
      <c r="N35" s="275">
        <f t="shared" si="3"/>
        <v>0</v>
      </c>
      <c r="O35" s="275">
        <f t="shared" si="4"/>
        <v>0</v>
      </c>
      <c r="P35" s="275">
        <f t="shared" si="5"/>
        <v>0</v>
      </c>
      <c r="Q35" s="275">
        <f t="shared" si="6"/>
        <v>0</v>
      </c>
      <c r="R35" s="275">
        <f t="shared" si="7"/>
        <v>0</v>
      </c>
      <c r="S35" s="275">
        <f t="shared" si="8"/>
        <v>0</v>
      </c>
      <c r="T35" s="275">
        <f t="shared" si="9"/>
        <v>0</v>
      </c>
      <c r="U35" s="275">
        <f t="shared" si="10"/>
        <v>0</v>
      </c>
      <c r="V35" s="275">
        <f t="shared" si="11"/>
        <v>0</v>
      </c>
      <c r="W35" s="275">
        <f t="shared" si="12"/>
        <v>0</v>
      </c>
      <c r="X35" s="275">
        <f t="shared" si="13"/>
        <v>0</v>
      </c>
      <c r="Y35" s="275">
        <f t="shared" si="14"/>
        <v>0</v>
      </c>
      <c r="Z35" s="275">
        <f t="shared" si="15"/>
        <v>0</v>
      </c>
      <c r="AA35" s="275">
        <f t="shared" si="16"/>
        <v>0</v>
      </c>
      <c r="AB35" s="275">
        <f t="shared" si="63"/>
        <v>0</v>
      </c>
      <c r="AC35" s="275">
        <f t="shared" si="64"/>
        <v>0</v>
      </c>
      <c r="AD35" s="275">
        <f t="shared" si="17"/>
        <v>0</v>
      </c>
      <c r="AE35" s="275">
        <f t="shared" si="18"/>
        <v>0</v>
      </c>
      <c r="AF35" s="275">
        <f t="shared" si="19"/>
        <v>0</v>
      </c>
      <c r="AG35" s="275">
        <f t="shared" si="20"/>
        <v>0</v>
      </c>
      <c r="AH35" s="275">
        <f t="shared" si="65"/>
        <v>0</v>
      </c>
      <c r="AI35" s="275">
        <f t="shared" si="66"/>
        <v>0</v>
      </c>
      <c r="AJ35" s="275">
        <f t="shared" si="67"/>
        <v>0</v>
      </c>
      <c r="AK35" s="275">
        <f t="shared" si="68"/>
        <v>0</v>
      </c>
      <c r="AL35" s="275">
        <f t="shared" si="69"/>
        <v>0</v>
      </c>
      <c r="AM35" s="275">
        <f t="shared" si="70"/>
        <v>0</v>
      </c>
      <c r="AN35" s="275">
        <f t="shared" si="71"/>
        <v>0</v>
      </c>
      <c r="AO35" s="275">
        <f t="shared" si="72"/>
        <v>0</v>
      </c>
      <c r="AP35" s="275">
        <f t="shared" si="21"/>
        <v>0</v>
      </c>
      <c r="AQ35" s="275">
        <f t="shared" si="22"/>
        <v>0</v>
      </c>
      <c r="AR35" s="275">
        <f t="shared" si="23"/>
        <v>0</v>
      </c>
      <c r="AS35" s="275">
        <f t="shared" si="24"/>
        <v>0</v>
      </c>
      <c r="AT35" s="275">
        <f t="shared" si="73"/>
        <v>0</v>
      </c>
      <c r="AU35" s="275">
        <f t="shared" si="74"/>
        <v>0</v>
      </c>
      <c r="AV35" s="275">
        <f t="shared" si="25"/>
        <v>0</v>
      </c>
      <c r="AW35" s="275">
        <f t="shared" si="26"/>
        <v>0</v>
      </c>
      <c r="AX35" s="275">
        <f t="shared" si="27"/>
        <v>0</v>
      </c>
      <c r="AY35" s="275">
        <f t="shared" si="28"/>
        <v>0</v>
      </c>
      <c r="AZ35" s="275">
        <f t="shared" si="29"/>
        <v>0</v>
      </c>
      <c r="BA35" s="275">
        <f t="shared" si="30"/>
        <v>0</v>
      </c>
      <c r="BB35" s="275">
        <f t="shared" si="31"/>
        <v>0</v>
      </c>
      <c r="BC35" s="275">
        <f t="shared" si="32"/>
        <v>0</v>
      </c>
      <c r="BD35" s="275">
        <f t="shared" si="33"/>
        <v>0</v>
      </c>
      <c r="BE35" s="275">
        <f t="shared" si="34"/>
        <v>0</v>
      </c>
      <c r="BF35" s="275">
        <f t="shared" si="35"/>
        <v>0</v>
      </c>
      <c r="BG35" s="275">
        <f t="shared" si="36"/>
        <v>0</v>
      </c>
      <c r="BH35" s="275">
        <f t="shared" si="75"/>
        <v>0</v>
      </c>
      <c r="BI35" s="275">
        <f t="shared" si="76"/>
        <v>0</v>
      </c>
      <c r="BJ35" s="275">
        <f t="shared" si="37"/>
        <v>0</v>
      </c>
      <c r="BK35" s="275">
        <f t="shared" si="38"/>
        <v>0</v>
      </c>
      <c r="BL35" s="275">
        <f t="shared" si="39"/>
        <v>0</v>
      </c>
      <c r="BM35" s="275">
        <f t="shared" si="40"/>
        <v>0</v>
      </c>
      <c r="BN35" s="275">
        <f t="shared" si="41"/>
        <v>0</v>
      </c>
      <c r="BO35" s="275">
        <f t="shared" si="42"/>
        <v>0</v>
      </c>
      <c r="BP35" s="275">
        <f t="shared" si="77"/>
        <v>0</v>
      </c>
      <c r="BQ35" s="275">
        <f t="shared" si="78"/>
        <v>0</v>
      </c>
      <c r="BR35" s="275">
        <f t="shared" si="43"/>
        <v>0</v>
      </c>
      <c r="BS35" s="275">
        <f t="shared" si="44"/>
        <v>0</v>
      </c>
      <c r="BT35" s="275">
        <f t="shared" si="79"/>
        <v>0</v>
      </c>
      <c r="BU35" s="275">
        <f t="shared" si="80"/>
        <v>0</v>
      </c>
      <c r="BV35" s="275">
        <f t="shared" si="81"/>
        <v>0</v>
      </c>
      <c r="BW35" s="275">
        <f t="shared" si="82"/>
        <v>0</v>
      </c>
      <c r="BX35" s="275">
        <f t="shared" si="45"/>
        <v>0</v>
      </c>
      <c r="BY35" s="275">
        <f t="shared" si="46"/>
        <v>0</v>
      </c>
      <c r="BZ35" s="275">
        <f t="shared" si="47"/>
        <v>0</v>
      </c>
      <c r="CA35" s="275">
        <f t="shared" si="48"/>
        <v>0</v>
      </c>
      <c r="CB35" s="275">
        <f t="shared" si="49"/>
        <v>0</v>
      </c>
      <c r="CC35" s="275">
        <f t="shared" si="50"/>
        <v>0</v>
      </c>
      <c r="CD35" s="275">
        <f t="shared" si="83"/>
        <v>0</v>
      </c>
      <c r="CE35" s="275">
        <f t="shared" si="84"/>
        <v>0</v>
      </c>
      <c r="CF35" s="275">
        <f t="shared" si="85"/>
        <v>0</v>
      </c>
      <c r="CG35" s="275">
        <f t="shared" si="86"/>
        <v>0</v>
      </c>
      <c r="CH35" s="275">
        <f t="shared" si="51"/>
        <v>0</v>
      </c>
      <c r="CI35" s="275">
        <f t="shared" si="52"/>
        <v>0</v>
      </c>
      <c r="CJ35" s="275">
        <f t="shared" si="87"/>
        <v>0</v>
      </c>
      <c r="CK35" s="275">
        <f t="shared" si="88"/>
        <v>0</v>
      </c>
      <c r="CL35" s="275">
        <f t="shared" si="53"/>
        <v>0</v>
      </c>
      <c r="CM35" s="275">
        <f t="shared" si="54"/>
        <v>0</v>
      </c>
      <c r="CN35" s="275">
        <f t="shared" si="55"/>
        <v>0</v>
      </c>
      <c r="CO35" s="275">
        <f t="shared" si="56"/>
        <v>0</v>
      </c>
      <c r="CP35" s="275">
        <f t="shared" si="89"/>
        <v>0</v>
      </c>
      <c r="CQ35" s="275">
        <f t="shared" si="90"/>
        <v>0</v>
      </c>
      <c r="CR35" s="275">
        <f t="shared" si="91"/>
        <v>0</v>
      </c>
      <c r="CS35" s="275">
        <f t="shared" si="92"/>
        <v>0</v>
      </c>
      <c r="CT35" s="275">
        <f t="shared" si="57"/>
        <v>0</v>
      </c>
      <c r="CU35" s="275">
        <f t="shared" si="58"/>
        <v>0</v>
      </c>
      <c r="CV35" s="275">
        <f t="shared" si="59"/>
        <v>0</v>
      </c>
      <c r="CW35" s="275">
        <f t="shared" si="60"/>
        <v>0</v>
      </c>
      <c r="CX35" s="275">
        <f t="shared" si="93"/>
        <v>0</v>
      </c>
      <c r="CY35" s="275">
        <f t="shared" si="94"/>
        <v>0</v>
      </c>
      <c r="CZ35" s="275">
        <f t="shared" si="95"/>
        <v>0</v>
      </c>
      <c r="DA35" s="275">
        <f t="shared" si="96"/>
        <v>0</v>
      </c>
    </row>
    <row r="36" spans="1:105" s="272" customFormat="1" ht="15" customHeight="1">
      <c r="A36" s="63" t="str">
        <f t="array" ref="A36">IF(C36&lt;&gt;0,SUM(($C$11:C36&lt;&gt;0)*1),"")</f>
        <v/>
      </c>
      <c r="B36" s="273"/>
      <c r="C36" s="273"/>
      <c r="D36" s="273"/>
      <c r="E36" s="363"/>
      <c r="F36" s="324"/>
      <c r="G36" s="326"/>
      <c r="H36" s="326"/>
      <c r="I36" s="63" t="str">
        <f t="shared" si="97"/>
        <v/>
      </c>
      <c r="J36" s="275">
        <f t="shared" si="61"/>
        <v>0</v>
      </c>
      <c r="K36" s="275">
        <f t="shared" si="62"/>
        <v>0</v>
      </c>
      <c r="L36" s="275">
        <f t="shared" si="1"/>
        <v>0</v>
      </c>
      <c r="M36" s="275">
        <f t="shared" si="2"/>
        <v>0</v>
      </c>
      <c r="N36" s="275">
        <f t="shared" si="3"/>
        <v>0</v>
      </c>
      <c r="O36" s="275">
        <f t="shared" si="4"/>
        <v>0</v>
      </c>
      <c r="P36" s="275">
        <f t="shared" si="5"/>
        <v>0</v>
      </c>
      <c r="Q36" s="275">
        <f t="shared" si="6"/>
        <v>0</v>
      </c>
      <c r="R36" s="275">
        <f t="shared" si="7"/>
        <v>0</v>
      </c>
      <c r="S36" s="275">
        <f t="shared" si="8"/>
        <v>0</v>
      </c>
      <c r="T36" s="275">
        <f t="shared" si="9"/>
        <v>0</v>
      </c>
      <c r="U36" s="275">
        <f t="shared" si="10"/>
        <v>0</v>
      </c>
      <c r="V36" s="275">
        <f t="shared" si="11"/>
        <v>0</v>
      </c>
      <c r="W36" s="275">
        <f t="shared" si="12"/>
        <v>0</v>
      </c>
      <c r="X36" s="275">
        <f t="shared" si="13"/>
        <v>0</v>
      </c>
      <c r="Y36" s="275">
        <f t="shared" si="14"/>
        <v>0</v>
      </c>
      <c r="Z36" s="275">
        <f t="shared" si="15"/>
        <v>0</v>
      </c>
      <c r="AA36" s="275">
        <f t="shared" si="16"/>
        <v>0</v>
      </c>
      <c r="AB36" s="275">
        <f t="shared" si="63"/>
        <v>0</v>
      </c>
      <c r="AC36" s="275">
        <f t="shared" si="64"/>
        <v>0</v>
      </c>
      <c r="AD36" s="275">
        <f t="shared" si="17"/>
        <v>0</v>
      </c>
      <c r="AE36" s="275">
        <f t="shared" si="18"/>
        <v>0</v>
      </c>
      <c r="AF36" s="275">
        <f t="shared" si="19"/>
        <v>0</v>
      </c>
      <c r="AG36" s="275">
        <f t="shared" si="20"/>
        <v>0</v>
      </c>
      <c r="AH36" s="275">
        <f t="shared" si="65"/>
        <v>0</v>
      </c>
      <c r="AI36" s="275">
        <f t="shared" si="66"/>
        <v>0</v>
      </c>
      <c r="AJ36" s="275">
        <f t="shared" si="67"/>
        <v>0</v>
      </c>
      <c r="AK36" s="275">
        <f t="shared" si="68"/>
        <v>0</v>
      </c>
      <c r="AL36" s="275">
        <f t="shared" si="69"/>
        <v>0</v>
      </c>
      <c r="AM36" s="275">
        <f t="shared" si="70"/>
        <v>0</v>
      </c>
      <c r="AN36" s="275">
        <f t="shared" si="71"/>
        <v>0</v>
      </c>
      <c r="AO36" s="275">
        <f t="shared" si="72"/>
        <v>0</v>
      </c>
      <c r="AP36" s="275">
        <f t="shared" si="21"/>
        <v>0</v>
      </c>
      <c r="AQ36" s="275">
        <f t="shared" si="22"/>
        <v>0</v>
      </c>
      <c r="AR36" s="275">
        <f t="shared" si="23"/>
        <v>0</v>
      </c>
      <c r="AS36" s="275">
        <f t="shared" si="24"/>
        <v>0</v>
      </c>
      <c r="AT36" s="275">
        <f t="shared" si="73"/>
        <v>0</v>
      </c>
      <c r="AU36" s="275">
        <f t="shared" si="74"/>
        <v>0</v>
      </c>
      <c r="AV36" s="275">
        <f t="shared" si="25"/>
        <v>0</v>
      </c>
      <c r="AW36" s="275">
        <f t="shared" si="26"/>
        <v>0</v>
      </c>
      <c r="AX36" s="275">
        <f t="shared" si="27"/>
        <v>0</v>
      </c>
      <c r="AY36" s="275">
        <f t="shared" si="28"/>
        <v>0</v>
      </c>
      <c r="AZ36" s="275">
        <f t="shared" si="29"/>
        <v>0</v>
      </c>
      <c r="BA36" s="275">
        <f t="shared" si="30"/>
        <v>0</v>
      </c>
      <c r="BB36" s="275">
        <f t="shared" si="31"/>
        <v>0</v>
      </c>
      <c r="BC36" s="275">
        <f t="shared" si="32"/>
        <v>0</v>
      </c>
      <c r="BD36" s="275">
        <f t="shared" si="33"/>
        <v>0</v>
      </c>
      <c r="BE36" s="275">
        <f t="shared" si="34"/>
        <v>0</v>
      </c>
      <c r="BF36" s="275">
        <f t="shared" si="35"/>
        <v>0</v>
      </c>
      <c r="BG36" s="275">
        <f t="shared" si="36"/>
        <v>0</v>
      </c>
      <c r="BH36" s="275">
        <f t="shared" si="75"/>
        <v>0</v>
      </c>
      <c r="BI36" s="275">
        <f t="shared" si="76"/>
        <v>0</v>
      </c>
      <c r="BJ36" s="275">
        <f t="shared" si="37"/>
        <v>0</v>
      </c>
      <c r="BK36" s="275">
        <f t="shared" si="38"/>
        <v>0</v>
      </c>
      <c r="BL36" s="275">
        <f t="shared" si="39"/>
        <v>0</v>
      </c>
      <c r="BM36" s="275">
        <f t="shared" si="40"/>
        <v>0</v>
      </c>
      <c r="BN36" s="275">
        <f t="shared" si="41"/>
        <v>0</v>
      </c>
      <c r="BO36" s="275">
        <f t="shared" si="42"/>
        <v>0</v>
      </c>
      <c r="BP36" s="275">
        <f t="shared" si="77"/>
        <v>0</v>
      </c>
      <c r="BQ36" s="275">
        <f t="shared" si="78"/>
        <v>0</v>
      </c>
      <c r="BR36" s="275">
        <f t="shared" si="43"/>
        <v>0</v>
      </c>
      <c r="BS36" s="275">
        <f t="shared" si="44"/>
        <v>0</v>
      </c>
      <c r="BT36" s="275">
        <f t="shared" si="79"/>
        <v>0</v>
      </c>
      <c r="BU36" s="275">
        <f t="shared" si="80"/>
        <v>0</v>
      </c>
      <c r="BV36" s="275">
        <f t="shared" si="81"/>
        <v>0</v>
      </c>
      <c r="BW36" s="275">
        <f t="shared" si="82"/>
        <v>0</v>
      </c>
      <c r="BX36" s="275">
        <f t="shared" si="45"/>
        <v>0</v>
      </c>
      <c r="BY36" s="275">
        <f t="shared" si="46"/>
        <v>0</v>
      </c>
      <c r="BZ36" s="275">
        <f t="shared" si="47"/>
        <v>0</v>
      </c>
      <c r="CA36" s="275">
        <f t="shared" si="48"/>
        <v>0</v>
      </c>
      <c r="CB36" s="275">
        <f t="shared" si="49"/>
        <v>0</v>
      </c>
      <c r="CC36" s="275">
        <f t="shared" si="50"/>
        <v>0</v>
      </c>
      <c r="CD36" s="275">
        <f t="shared" si="83"/>
        <v>0</v>
      </c>
      <c r="CE36" s="275">
        <f t="shared" si="84"/>
        <v>0</v>
      </c>
      <c r="CF36" s="275">
        <f t="shared" si="85"/>
        <v>0</v>
      </c>
      <c r="CG36" s="275">
        <f t="shared" si="86"/>
        <v>0</v>
      </c>
      <c r="CH36" s="275">
        <f t="shared" si="51"/>
        <v>0</v>
      </c>
      <c r="CI36" s="275">
        <f t="shared" si="52"/>
        <v>0</v>
      </c>
      <c r="CJ36" s="275">
        <f t="shared" si="87"/>
        <v>0</v>
      </c>
      <c r="CK36" s="275">
        <f t="shared" si="88"/>
        <v>0</v>
      </c>
      <c r="CL36" s="275">
        <f t="shared" si="53"/>
        <v>0</v>
      </c>
      <c r="CM36" s="275">
        <f t="shared" si="54"/>
        <v>0</v>
      </c>
      <c r="CN36" s="275">
        <f t="shared" si="55"/>
        <v>0</v>
      </c>
      <c r="CO36" s="275">
        <f t="shared" si="56"/>
        <v>0</v>
      </c>
      <c r="CP36" s="275">
        <f t="shared" si="89"/>
        <v>0</v>
      </c>
      <c r="CQ36" s="275">
        <f t="shared" si="90"/>
        <v>0</v>
      </c>
      <c r="CR36" s="275">
        <f t="shared" si="91"/>
        <v>0</v>
      </c>
      <c r="CS36" s="275">
        <f t="shared" si="92"/>
        <v>0</v>
      </c>
      <c r="CT36" s="275">
        <f t="shared" si="57"/>
        <v>0</v>
      </c>
      <c r="CU36" s="275">
        <f t="shared" si="58"/>
        <v>0</v>
      </c>
      <c r="CV36" s="275">
        <f t="shared" si="59"/>
        <v>0</v>
      </c>
      <c r="CW36" s="275">
        <f t="shared" si="60"/>
        <v>0</v>
      </c>
      <c r="CX36" s="275">
        <f t="shared" si="93"/>
        <v>0</v>
      </c>
      <c r="CY36" s="275">
        <f t="shared" si="94"/>
        <v>0</v>
      </c>
      <c r="CZ36" s="275">
        <f t="shared" si="95"/>
        <v>0</v>
      </c>
      <c r="DA36" s="275">
        <f t="shared" si="96"/>
        <v>0</v>
      </c>
    </row>
    <row r="37" spans="1:105" s="272" customFormat="1" ht="15" customHeight="1">
      <c r="A37" s="63" t="str">
        <f t="array" ref="A37">IF(C37&lt;&gt;0,SUM(($C$11:C37&lt;&gt;0)*1),"")</f>
        <v/>
      </c>
      <c r="B37" s="273"/>
      <c r="C37" s="273"/>
      <c r="D37" s="273"/>
      <c r="E37" s="363"/>
      <c r="F37" s="324"/>
      <c r="G37" s="326"/>
      <c r="H37" s="326"/>
      <c r="I37" s="63" t="str">
        <f t="shared" si="97"/>
        <v/>
      </c>
      <c r="J37" s="275">
        <f t="shared" si="61"/>
        <v>0</v>
      </c>
      <c r="K37" s="275">
        <f t="shared" si="62"/>
        <v>0</v>
      </c>
      <c r="L37" s="275">
        <f t="shared" si="1"/>
        <v>0</v>
      </c>
      <c r="M37" s="275">
        <f t="shared" si="2"/>
        <v>0</v>
      </c>
      <c r="N37" s="275">
        <f t="shared" si="3"/>
        <v>0</v>
      </c>
      <c r="O37" s="275">
        <f t="shared" si="4"/>
        <v>0</v>
      </c>
      <c r="P37" s="275">
        <f t="shared" si="5"/>
        <v>0</v>
      </c>
      <c r="Q37" s="275">
        <f t="shared" si="6"/>
        <v>0</v>
      </c>
      <c r="R37" s="275">
        <f t="shared" si="7"/>
        <v>0</v>
      </c>
      <c r="S37" s="275">
        <f t="shared" si="8"/>
        <v>0</v>
      </c>
      <c r="T37" s="275">
        <f t="shared" si="9"/>
        <v>0</v>
      </c>
      <c r="U37" s="275">
        <f t="shared" si="10"/>
        <v>0</v>
      </c>
      <c r="V37" s="275">
        <f t="shared" si="11"/>
        <v>0</v>
      </c>
      <c r="W37" s="275">
        <f t="shared" si="12"/>
        <v>0</v>
      </c>
      <c r="X37" s="275">
        <f t="shared" si="13"/>
        <v>0</v>
      </c>
      <c r="Y37" s="275">
        <f t="shared" si="14"/>
        <v>0</v>
      </c>
      <c r="Z37" s="275">
        <f t="shared" si="15"/>
        <v>0</v>
      </c>
      <c r="AA37" s="275">
        <f t="shared" si="16"/>
        <v>0</v>
      </c>
      <c r="AB37" s="275">
        <f t="shared" si="63"/>
        <v>0</v>
      </c>
      <c r="AC37" s="275">
        <f t="shared" si="64"/>
        <v>0</v>
      </c>
      <c r="AD37" s="275">
        <f t="shared" si="17"/>
        <v>0</v>
      </c>
      <c r="AE37" s="275">
        <f t="shared" si="18"/>
        <v>0</v>
      </c>
      <c r="AF37" s="275">
        <f t="shared" si="19"/>
        <v>0</v>
      </c>
      <c r="AG37" s="275">
        <f t="shared" si="20"/>
        <v>0</v>
      </c>
      <c r="AH37" s="275">
        <f t="shared" si="65"/>
        <v>0</v>
      </c>
      <c r="AI37" s="275">
        <f t="shared" si="66"/>
        <v>0</v>
      </c>
      <c r="AJ37" s="275">
        <f t="shared" si="67"/>
        <v>0</v>
      </c>
      <c r="AK37" s="275">
        <f t="shared" si="68"/>
        <v>0</v>
      </c>
      <c r="AL37" s="275">
        <f t="shared" si="69"/>
        <v>0</v>
      </c>
      <c r="AM37" s="275">
        <f t="shared" si="70"/>
        <v>0</v>
      </c>
      <c r="AN37" s="275">
        <f t="shared" si="71"/>
        <v>0</v>
      </c>
      <c r="AO37" s="275">
        <f t="shared" si="72"/>
        <v>0</v>
      </c>
      <c r="AP37" s="275">
        <f t="shared" si="21"/>
        <v>0</v>
      </c>
      <c r="AQ37" s="275">
        <f t="shared" si="22"/>
        <v>0</v>
      </c>
      <c r="AR37" s="275">
        <f t="shared" si="23"/>
        <v>0</v>
      </c>
      <c r="AS37" s="275">
        <f t="shared" si="24"/>
        <v>0</v>
      </c>
      <c r="AT37" s="275">
        <f t="shared" si="73"/>
        <v>0</v>
      </c>
      <c r="AU37" s="275">
        <f t="shared" si="74"/>
        <v>0</v>
      </c>
      <c r="AV37" s="275">
        <f t="shared" si="25"/>
        <v>0</v>
      </c>
      <c r="AW37" s="275">
        <f t="shared" si="26"/>
        <v>0</v>
      </c>
      <c r="AX37" s="275">
        <f t="shared" si="27"/>
        <v>0</v>
      </c>
      <c r="AY37" s="275">
        <f t="shared" si="28"/>
        <v>0</v>
      </c>
      <c r="AZ37" s="275">
        <f t="shared" si="29"/>
        <v>0</v>
      </c>
      <c r="BA37" s="275">
        <f t="shared" si="30"/>
        <v>0</v>
      </c>
      <c r="BB37" s="275">
        <f t="shared" si="31"/>
        <v>0</v>
      </c>
      <c r="BC37" s="275">
        <f t="shared" si="32"/>
        <v>0</v>
      </c>
      <c r="BD37" s="275">
        <f t="shared" si="33"/>
        <v>0</v>
      </c>
      <c r="BE37" s="275">
        <f t="shared" si="34"/>
        <v>0</v>
      </c>
      <c r="BF37" s="275">
        <f t="shared" si="35"/>
        <v>0</v>
      </c>
      <c r="BG37" s="275">
        <f t="shared" si="36"/>
        <v>0</v>
      </c>
      <c r="BH37" s="275">
        <f t="shared" si="75"/>
        <v>0</v>
      </c>
      <c r="BI37" s="275">
        <f t="shared" si="76"/>
        <v>0</v>
      </c>
      <c r="BJ37" s="275">
        <f t="shared" si="37"/>
        <v>0</v>
      </c>
      <c r="BK37" s="275">
        <f t="shared" si="38"/>
        <v>0</v>
      </c>
      <c r="BL37" s="275">
        <f t="shared" si="39"/>
        <v>0</v>
      </c>
      <c r="BM37" s="275">
        <f t="shared" si="40"/>
        <v>0</v>
      </c>
      <c r="BN37" s="275">
        <f t="shared" si="41"/>
        <v>0</v>
      </c>
      <c r="BO37" s="275">
        <f t="shared" si="42"/>
        <v>0</v>
      </c>
      <c r="BP37" s="275">
        <f t="shared" si="77"/>
        <v>0</v>
      </c>
      <c r="BQ37" s="275">
        <f t="shared" si="78"/>
        <v>0</v>
      </c>
      <c r="BR37" s="275">
        <f t="shared" si="43"/>
        <v>0</v>
      </c>
      <c r="BS37" s="275">
        <f t="shared" si="44"/>
        <v>0</v>
      </c>
      <c r="BT37" s="275">
        <f t="shared" si="79"/>
        <v>0</v>
      </c>
      <c r="BU37" s="275">
        <f t="shared" si="80"/>
        <v>0</v>
      </c>
      <c r="BV37" s="275">
        <f t="shared" si="81"/>
        <v>0</v>
      </c>
      <c r="BW37" s="275">
        <f t="shared" si="82"/>
        <v>0</v>
      </c>
      <c r="BX37" s="275">
        <f t="shared" si="45"/>
        <v>0</v>
      </c>
      <c r="BY37" s="275">
        <f t="shared" si="46"/>
        <v>0</v>
      </c>
      <c r="BZ37" s="275">
        <f t="shared" si="47"/>
        <v>0</v>
      </c>
      <c r="CA37" s="275">
        <f t="shared" si="48"/>
        <v>0</v>
      </c>
      <c r="CB37" s="275">
        <f t="shared" si="49"/>
        <v>0</v>
      </c>
      <c r="CC37" s="275">
        <f t="shared" si="50"/>
        <v>0</v>
      </c>
      <c r="CD37" s="275">
        <f t="shared" si="83"/>
        <v>0</v>
      </c>
      <c r="CE37" s="275">
        <f t="shared" si="84"/>
        <v>0</v>
      </c>
      <c r="CF37" s="275">
        <f t="shared" si="85"/>
        <v>0</v>
      </c>
      <c r="CG37" s="275">
        <f t="shared" si="86"/>
        <v>0</v>
      </c>
      <c r="CH37" s="275">
        <f t="shared" si="51"/>
        <v>0</v>
      </c>
      <c r="CI37" s="275">
        <f t="shared" si="52"/>
        <v>0</v>
      </c>
      <c r="CJ37" s="275">
        <f t="shared" si="87"/>
        <v>0</v>
      </c>
      <c r="CK37" s="275">
        <f t="shared" si="88"/>
        <v>0</v>
      </c>
      <c r="CL37" s="275">
        <f t="shared" si="53"/>
        <v>0</v>
      </c>
      <c r="CM37" s="275">
        <f t="shared" si="54"/>
        <v>0</v>
      </c>
      <c r="CN37" s="275">
        <f t="shared" si="55"/>
        <v>0</v>
      </c>
      <c r="CO37" s="275">
        <f t="shared" si="56"/>
        <v>0</v>
      </c>
      <c r="CP37" s="275">
        <f t="shared" si="89"/>
        <v>0</v>
      </c>
      <c r="CQ37" s="275">
        <f t="shared" si="90"/>
        <v>0</v>
      </c>
      <c r="CR37" s="275">
        <f t="shared" si="91"/>
        <v>0</v>
      </c>
      <c r="CS37" s="275">
        <f t="shared" si="92"/>
        <v>0</v>
      </c>
      <c r="CT37" s="275">
        <f t="shared" si="57"/>
        <v>0</v>
      </c>
      <c r="CU37" s="275">
        <f t="shared" si="58"/>
        <v>0</v>
      </c>
      <c r="CV37" s="275">
        <f t="shared" si="59"/>
        <v>0</v>
      </c>
      <c r="CW37" s="275">
        <f t="shared" si="60"/>
        <v>0</v>
      </c>
      <c r="CX37" s="275">
        <f t="shared" si="93"/>
        <v>0</v>
      </c>
      <c r="CY37" s="275">
        <f t="shared" si="94"/>
        <v>0</v>
      </c>
      <c r="CZ37" s="275">
        <f t="shared" si="95"/>
        <v>0</v>
      </c>
      <c r="DA37" s="275">
        <f t="shared" si="96"/>
        <v>0</v>
      </c>
    </row>
    <row r="38" spans="1:105" s="272" customFormat="1" ht="15" customHeight="1">
      <c r="A38" s="63" t="str">
        <f t="array" ref="A38">IF(C38&lt;&gt;0,SUM(($C$11:C38&lt;&gt;0)*1),"")</f>
        <v/>
      </c>
      <c r="B38" s="273"/>
      <c r="C38" s="273"/>
      <c r="D38" s="273"/>
      <c r="E38" s="363"/>
      <c r="F38" s="324"/>
      <c r="G38" s="326"/>
      <c r="H38" s="326"/>
      <c r="I38" s="63" t="str">
        <f t="shared" si="97"/>
        <v/>
      </c>
      <c r="J38" s="275">
        <f t="shared" si="61"/>
        <v>0</v>
      </c>
      <c r="K38" s="275">
        <f t="shared" si="62"/>
        <v>0</v>
      </c>
      <c r="L38" s="275">
        <f t="shared" si="1"/>
        <v>0</v>
      </c>
      <c r="M38" s="275">
        <f t="shared" si="2"/>
        <v>0</v>
      </c>
      <c r="N38" s="275">
        <f t="shared" si="3"/>
        <v>0</v>
      </c>
      <c r="O38" s="275">
        <f t="shared" si="4"/>
        <v>0</v>
      </c>
      <c r="P38" s="275">
        <f t="shared" si="5"/>
        <v>0</v>
      </c>
      <c r="Q38" s="275">
        <f t="shared" si="6"/>
        <v>0</v>
      </c>
      <c r="R38" s="275">
        <f t="shared" si="7"/>
        <v>0</v>
      </c>
      <c r="S38" s="275">
        <f t="shared" si="8"/>
        <v>0</v>
      </c>
      <c r="T38" s="275">
        <f t="shared" si="9"/>
        <v>0</v>
      </c>
      <c r="U38" s="275">
        <f t="shared" si="10"/>
        <v>0</v>
      </c>
      <c r="V38" s="275">
        <f t="shared" si="11"/>
        <v>0</v>
      </c>
      <c r="W38" s="275">
        <f t="shared" si="12"/>
        <v>0</v>
      </c>
      <c r="X38" s="275">
        <f t="shared" si="13"/>
        <v>0</v>
      </c>
      <c r="Y38" s="275">
        <f t="shared" si="14"/>
        <v>0</v>
      </c>
      <c r="Z38" s="275">
        <f t="shared" si="15"/>
        <v>0</v>
      </c>
      <c r="AA38" s="275">
        <f t="shared" si="16"/>
        <v>0</v>
      </c>
      <c r="AB38" s="275">
        <f t="shared" si="63"/>
        <v>0</v>
      </c>
      <c r="AC38" s="275">
        <f t="shared" si="64"/>
        <v>0</v>
      </c>
      <c r="AD38" s="275">
        <f t="shared" si="17"/>
        <v>0</v>
      </c>
      <c r="AE38" s="275">
        <f t="shared" si="18"/>
        <v>0</v>
      </c>
      <c r="AF38" s="275">
        <f t="shared" si="19"/>
        <v>0</v>
      </c>
      <c r="AG38" s="275">
        <f t="shared" si="20"/>
        <v>0</v>
      </c>
      <c r="AH38" s="275">
        <f t="shared" si="65"/>
        <v>0</v>
      </c>
      <c r="AI38" s="275">
        <f t="shared" si="66"/>
        <v>0</v>
      </c>
      <c r="AJ38" s="275">
        <f t="shared" si="67"/>
        <v>0</v>
      </c>
      <c r="AK38" s="275">
        <f t="shared" si="68"/>
        <v>0</v>
      </c>
      <c r="AL38" s="275">
        <f t="shared" si="69"/>
        <v>0</v>
      </c>
      <c r="AM38" s="275">
        <f t="shared" si="70"/>
        <v>0</v>
      </c>
      <c r="AN38" s="275">
        <f t="shared" si="71"/>
        <v>0</v>
      </c>
      <c r="AO38" s="275">
        <f t="shared" si="72"/>
        <v>0</v>
      </c>
      <c r="AP38" s="275">
        <f t="shared" si="21"/>
        <v>0</v>
      </c>
      <c r="AQ38" s="275">
        <f t="shared" si="22"/>
        <v>0</v>
      </c>
      <c r="AR38" s="275">
        <f t="shared" si="23"/>
        <v>0</v>
      </c>
      <c r="AS38" s="275">
        <f t="shared" si="24"/>
        <v>0</v>
      </c>
      <c r="AT38" s="275">
        <f t="shared" si="73"/>
        <v>0</v>
      </c>
      <c r="AU38" s="275">
        <f t="shared" si="74"/>
        <v>0</v>
      </c>
      <c r="AV38" s="275">
        <f t="shared" si="25"/>
        <v>0</v>
      </c>
      <c r="AW38" s="275">
        <f t="shared" si="26"/>
        <v>0</v>
      </c>
      <c r="AX38" s="275">
        <f t="shared" si="27"/>
        <v>0</v>
      </c>
      <c r="AY38" s="275">
        <f t="shared" si="28"/>
        <v>0</v>
      </c>
      <c r="AZ38" s="275">
        <f t="shared" si="29"/>
        <v>0</v>
      </c>
      <c r="BA38" s="275">
        <f t="shared" si="30"/>
        <v>0</v>
      </c>
      <c r="BB38" s="275">
        <f t="shared" si="31"/>
        <v>0</v>
      </c>
      <c r="BC38" s="275">
        <f t="shared" si="32"/>
        <v>0</v>
      </c>
      <c r="BD38" s="275">
        <f t="shared" si="33"/>
        <v>0</v>
      </c>
      <c r="BE38" s="275">
        <f t="shared" si="34"/>
        <v>0</v>
      </c>
      <c r="BF38" s="275">
        <f t="shared" si="35"/>
        <v>0</v>
      </c>
      <c r="BG38" s="275">
        <f t="shared" si="36"/>
        <v>0</v>
      </c>
      <c r="BH38" s="275">
        <f t="shared" si="75"/>
        <v>0</v>
      </c>
      <c r="BI38" s="275">
        <f t="shared" si="76"/>
        <v>0</v>
      </c>
      <c r="BJ38" s="275">
        <f t="shared" si="37"/>
        <v>0</v>
      </c>
      <c r="BK38" s="275">
        <f t="shared" si="38"/>
        <v>0</v>
      </c>
      <c r="BL38" s="275">
        <f t="shared" si="39"/>
        <v>0</v>
      </c>
      <c r="BM38" s="275">
        <f t="shared" si="40"/>
        <v>0</v>
      </c>
      <c r="BN38" s="275">
        <f t="shared" si="41"/>
        <v>0</v>
      </c>
      <c r="BO38" s="275">
        <f t="shared" si="42"/>
        <v>0</v>
      </c>
      <c r="BP38" s="275">
        <f t="shared" si="77"/>
        <v>0</v>
      </c>
      <c r="BQ38" s="275">
        <f t="shared" si="78"/>
        <v>0</v>
      </c>
      <c r="BR38" s="275">
        <f t="shared" si="43"/>
        <v>0</v>
      </c>
      <c r="BS38" s="275">
        <f t="shared" si="44"/>
        <v>0</v>
      </c>
      <c r="BT38" s="275">
        <f t="shared" si="79"/>
        <v>0</v>
      </c>
      <c r="BU38" s="275">
        <f t="shared" si="80"/>
        <v>0</v>
      </c>
      <c r="BV38" s="275">
        <f t="shared" si="81"/>
        <v>0</v>
      </c>
      <c r="BW38" s="275">
        <f t="shared" si="82"/>
        <v>0</v>
      </c>
      <c r="BX38" s="275">
        <f t="shared" si="45"/>
        <v>0</v>
      </c>
      <c r="BY38" s="275">
        <f t="shared" si="46"/>
        <v>0</v>
      </c>
      <c r="BZ38" s="275">
        <f t="shared" si="47"/>
        <v>0</v>
      </c>
      <c r="CA38" s="275">
        <f t="shared" si="48"/>
        <v>0</v>
      </c>
      <c r="CB38" s="275">
        <f t="shared" si="49"/>
        <v>0</v>
      </c>
      <c r="CC38" s="275">
        <f t="shared" si="50"/>
        <v>0</v>
      </c>
      <c r="CD38" s="275">
        <f t="shared" si="83"/>
        <v>0</v>
      </c>
      <c r="CE38" s="275">
        <f t="shared" si="84"/>
        <v>0</v>
      </c>
      <c r="CF38" s="275">
        <f t="shared" si="85"/>
        <v>0</v>
      </c>
      <c r="CG38" s="275">
        <f t="shared" si="86"/>
        <v>0</v>
      </c>
      <c r="CH38" s="275">
        <f t="shared" si="51"/>
        <v>0</v>
      </c>
      <c r="CI38" s="275">
        <f t="shared" si="52"/>
        <v>0</v>
      </c>
      <c r="CJ38" s="275">
        <f t="shared" si="87"/>
        <v>0</v>
      </c>
      <c r="CK38" s="275">
        <f t="shared" si="88"/>
        <v>0</v>
      </c>
      <c r="CL38" s="275">
        <f t="shared" si="53"/>
        <v>0</v>
      </c>
      <c r="CM38" s="275">
        <f t="shared" si="54"/>
        <v>0</v>
      </c>
      <c r="CN38" s="275">
        <f t="shared" si="55"/>
        <v>0</v>
      </c>
      <c r="CO38" s="275">
        <f t="shared" si="56"/>
        <v>0</v>
      </c>
      <c r="CP38" s="275">
        <f t="shared" si="89"/>
        <v>0</v>
      </c>
      <c r="CQ38" s="275">
        <f t="shared" si="90"/>
        <v>0</v>
      </c>
      <c r="CR38" s="275">
        <f t="shared" si="91"/>
        <v>0</v>
      </c>
      <c r="CS38" s="275">
        <f t="shared" si="92"/>
        <v>0</v>
      </c>
      <c r="CT38" s="275">
        <f t="shared" si="57"/>
        <v>0</v>
      </c>
      <c r="CU38" s="275">
        <f t="shared" si="58"/>
        <v>0</v>
      </c>
      <c r="CV38" s="275">
        <f t="shared" si="59"/>
        <v>0</v>
      </c>
      <c r="CW38" s="275">
        <f t="shared" si="60"/>
        <v>0</v>
      </c>
      <c r="CX38" s="275">
        <f t="shared" si="93"/>
        <v>0</v>
      </c>
      <c r="CY38" s="275">
        <f t="shared" si="94"/>
        <v>0</v>
      </c>
      <c r="CZ38" s="275">
        <f t="shared" si="95"/>
        <v>0</v>
      </c>
      <c r="DA38" s="275">
        <f t="shared" si="96"/>
        <v>0</v>
      </c>
    </row>
    <row r="39" spans="1:105" s="272" customFormat="1" ht="15" customHeight="1">
      <c r="A39" s="63" t="str">
        <f t="array" ref="A39">IF(C39&lt;&gt;0,SUM(($C$11:C39&lt;&gt;0)*1),"")</f>
        <v/>
      </c>
      <c r="B39" s="273"/>
      <c r="C39" s="273"/>
      <c r="D39" s="273"/>
      <c r="E39" s="363"/>
      <c r="F39" s="324"/>
      <c r="G39" s="326"/>
      <c r="H39" s="326"/>
      <c r="I39" s="63" t="str">
        <f t="shared" si="97"/>
        <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si="73"/>
        <v>0</v>
      </c>
      <c r="AU39" s="275">
        <f t="shared" si="74"/>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si="81"/>
        <v>0</v>
      </c>
      <c r="BW39" s="275">
        <f t="shared" si="82"/>
        <v>0</v>
      </c>
      <c r="BX39" s="275">
        <f t="shared" si="45"/>
        <v>0</v>
      </c>
      <c r="BY39" s="275">
        <f t="shared" si="46"/>
        <v>0</v>
      </c>
      <c r="BZ39" s="275">
        <f t="shared" si="47"/>
        <v>0</v>
      </c>
      <c r="CA39" s="275">
        <f t="shared" si="48"/>
        <v>0</v>
      </c>
      <c r="CB39" s="275">
        <f t="shared" si="49"/>
        <v>0</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5" customHeight="1">
      <c r="A40" s="63">
        <f t="array" aca="1" ref="A40" ca="1">IF(C40&lt;&gt;0,SUM(($C$11:C40&lt;&gt;0)*1),"")</f>
        <v>2</v>
      </c>
      <c r="B40" s="273">
        <v>42551</v>
      </c>
      <c r="C40" s="276" t="s">
        <v>115</v>
      </c>
      <c r="D40" s="276">
        <f t="shared" ref="D40:D50" si="98">B40</f>
        <v>42551</v>
      </c>
      <c r="E40" s="960" t="s">
        <v>923</v>
      </c>
      <c r="F40" s="961">
        <f ca="1">AY52</f>
        <v>0</v>
      </c>
      <c r="G40" s="962" t="s">
        <v>928</v>
      </c>
      <c r="H40" s="962" t="s">
        <v>9</v>
      </c>
      <c r="I40" s="63">
        <f t="shared" ca="1" si="97"/>
        <v>2</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73"/>
        <v>0</v>
      </c>
      <c r="AU40" s="275">
        <f t="shared" si="74"/>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81"/>
        <v>0</v>
      </c>
      <c r="BW40" s="275">
        <f t="shared" si="8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5" customHeight="1">
      <c r="A41" s="63">
        <f t="array" aca="1" ref="A41" ca="1">IF(C41&lt;&gt;0,SUM(($C$11:C41&lt;&gt;0)*1),"")</f>
        <v>3</v>
      </c>
      <c r="B41" s="273">
        <v>42551</v>
      </c>
      <c r="C41" s="276" t="s">
        <v>115</v>
      </c>
      <c r="D41" s="276">
        <f t="shared" si="98"/>
        <v>42551</v>
      </c>
      <c r="E41" s="960" t="s">
        <v>924</v>
      </c>
      <c r="F41" s="961">
        <f ca="1">CL52</f>
        <v>0</v>
      </c>
      <c r="G41" s="962" t="s">
        <v>109</v>
      </c>
      <c r="H41" s="962" t="s">
        <v>294</v>
      </c>
      <c r="I41" s="63">
        <f t="shared" ca="1" si="97"/>
        <v>3</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73"/>
        <v>0</v>
      </c>
      <c r="AU41" s="275">
        <f t="shared" si="74"/>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81"/>
        <v>0</v>
      </c>
      <c r="BW41" s="275">
        <f t="shared" si="8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5" customHeight="1">
      <c r="A42" s="63">
        <f t="array" aca="1" ref="A42" ca="1">IF(C42&lt;&gt;0,SUM(($C$11:C42&lt;&gt;0)*1),"")</f>
        <v>4</v>
      </c>
      <c r="B42" s="273">
        <v>42551</v>
      </c>
      <c r="C42" s="276" t="s">
        <v>115</v>
      </c>
      <c r="D42" s="276">
        <f t="shared" si="98"/>
        <v>42551</v>
      </c>
      <c r="E42" s="960" t="s">
        <v>116</v>
      </c>
      <c r="F42" s="961">
        <f ca="1">CN52</f>
        <v>0</v>
      </c>
      <c r="G42" s="962" t="s">
        <v>109</v>
      </c>
      <c r="H42" s="962" t="s">
        <v>99</v>
      </c>
      <c r="I42" s="63">
        <f t="shared" ca="1" si="97"/>
        <v>4</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73"/>
        <v>0</v>
      </c>
      <c r="AU42" s="275">
        <f t="shared" si="74"/>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81"/>
        <v>0</v>
      </c>
      <c r="BW42" s="275">
        <f t="shared" si="8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5" customHeight="1">
      <c r="A43" s="63">
        <f t="array" aca="1" ref="A43" ca="1">IF(C43&lt;&gt;0,SUM(($C$11:C43&lt;&gt;0)*1),"")</f>
        <v>5</v>
      </c>
      <c r="B43" s="273">
        <v>42551</v>
      </c>
      <c r="C43" s="276" t="s">
        <v>115</v>
      </c>
      <c r="D43" s="276">
        <f t="shared" si="98"/>
        <v>42551</v>
      </c>
      <c r="E43" s="960" t="s">
        <v>925</v>
      </c>
      <c r="F43" s="961">
        <f ca="1">CP52</f>
        <v>0</v>
      </c>
      <c r="G43" s="962" t="s">
        <v>109</v>
      </c>
      <c r="H43" s="962" t="s">
        <v>588</v>
      </c>
      <c r="I43" s="63">
        <f t="shared" ca="1" si="97"/>
        <v>5</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73"/>
        <v>0</v>
      </c>
      <c r="AU43" s="275">
        <f t="shared" si="74"/>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81"/>
        <v>0</v>
      </c>
      <c r="BW43" s="275">
        <f t="shared" si="8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5" customHeight="1">
      <c r="A44" s="63">
        <f t="array" aca="1" ref="A44" ca="1">IF(C44&lt;&gt;0,SUM(($C$11:C44&lt;&gt;0)*1),"")</f>
        <v>6</v>
      </c>
      <c r="B44" s="273">
        <v>42551</v>
      </c>
      <c r="C44" s="276" t="s">
        <v>115</v>
      </c>
      <c r="D44" s="276">
        <f t="shared" si="98"/>
        <v>42551</v>
      </c>
      <c r="E44" s="960" t="s">
        <v>117</v>
      </c>
      <c r="F44" s="961">
        <f ca="1">CR52</f>
        <v>0</v>
      </c>
      <c r="G44" s="962" t="s">
        <v>109</v>
      </c>
      <c r="H44" s="962" t="s">
        <v>101</v>
      </c>
      <c r="I44" s="63">
        <f t="shared" ca="1" si="97"/>
        <v>6</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73"/>
        <v>0</v>
      </c>
      <c r="AU44" s="275">
        <f t="shared" si="74"/>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81"/>
        <v>0</v>
      </c>
      <c r="BW44" s="275">
        <f t="shared" si="8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5" customHeight="1">
      <c r="A45" s="63">
        <f t="array" aca="1" ref="A45" ca="1">IF(C45&lt;&gt;0,SUM(($C$11:C45&lt;&gt;0)*1),"")</f>
        <v>7</v>
      </c>
      <c r="B45" s="273">
        <v>42551</v>
      </c>
      <c r="C45" s="276" t="s">
        <v>115</v>
      </c>
      <c r="D45" s="276">
        <f t="shared" si="98"/>
        <v>42551</v>
      </c>
      <c r="E45" s="960" t="s">
        <v>214</v>
      </c>
      <c r="F45" s="961"/>
      <c r="G45" s="962" t="s">
        <v>109</v>
      </c>
      <c r="H45" s="962" t="s">
        <v>94</v>
      </c>
      <c r="I45" s="63">
        <f t="shared" ca="1" si="97"/>
        <v>7</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73"/>
        <v>0</v>
      </c>
      <c r="AU45" s="275">
        <f t="shared" si="74"/>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81"/>
        <v>0</v>
      </c>
      <c r="BW45" s="275">
        <f t="shared" si="8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5" customHeight="1">
      <c r="A46" s="63">
        <f t="array" aca="1" ref="A46" ca="1">IF(C46&lt;&gt;0,SUM(($C$11:C46&lt;&gt;0)*1),"")</f>
        <v>8</v>
      </c>
      <c r="B46" s="273">
        <v>42551</v>
      </c>
      <c r="C46" s="276" t="s">
        <v>115</v>
      </c>
      <c r="D46" s="276">
        <f t="shared" si="98"/>
        <v>42551</v>
      </c>
      <c r="E46" s="960" t="s">
        <v>118</v>
      </c>
      <c r="F46" s="961">
        <f ca="1">CI52</f>
        <v>0</v>
      </c>
      <c r="G46" s="962" t="s">
        <v>43</v>
      </c>
      <c r="H46" s="962" t="s">
        <v>109</v>
      </c>
      <c r="I46" s="63">
        <f t="shared" ca="1" si="97"/>
        <v>8</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73"/>
        <v>0</v>
      </c>
      <c r="AU46" s="275">
        <f t="shared" si="74"/>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81"/>
        <v>0</v>
      </c>
      <c r="BW46" s="275">
        <f t="shared" si="8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5" customHeight="1">
      <c r="A47" s="63">
        <f t="array" aca="1" ref="A47" ca="1">IF(C47&lt;&gt;0,SUM(($C$11:C47&lt;&gt;0)*1),"")</f>
        <v>9</v>
      </c>
      <c r="B47" s="273">
        <v>42551</v>
      </c>
      <c r="C47" s="276" t="s">
        <v>115</v>
      </c>
      <c r="D47" s="276">
        <f t="shared" si="98"/>
        <v>42551</v>
      </c>
      <c r="E47" s="960" t="s">
        <v>926</v>
      </c>
      <c r="F47" s="961">
        <f ca="1">CE52</f>
        <v>0</v>
      </c>
      <c r="G47" s="962" t="s">
        <v>296</v>
      </c>
      <c r="H47" s="962" t="s">
        <v>109</v>
      </c>
      <c r="I47" s="63">
        <f t="shared" ca="1" si="97"/>
        <v>9</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73"/>
        <v>0</v>
      </c>
      <c r="AU47" s="275">
        <f t="shared" si="74"/>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81"/>
        <v>0</v>
      </c>
      <c r="BW47" s="275">
        <f t="shared" si="8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5" customHeight="1">
      <c r="A48" s="63">
        <f t="array" aca="1" ref="A48" ca="1">IF(C48&lt;&gt;0,SUM(($C$11:C48&lt;&gt;0)*1),"")</f>
        <v>10</v>
      </c>
      <c r="B48" s="273">
        <v>42551</v>
      </c>
      <c r="C48" s="276" t="s">
        <v>115</v>
      </c>
      <c r="D48" s="276">
        <f t="shared" si="98"/>
        <v>42551</v>
      </c>
      <c r="E48" s="960" t="s">
        <v>927</v>
      </c>
      <c r="F48" s="961">
        <f ca="1">CG52</f>
        <v>0</v>
      </c>
      <c r="G48" s="962" t="s">
        <v>298</v>
      </c>
      <c r="H48" s="962" t="s">
        <v>109</v>
      </c>
      <c r="I48" s="63">
        <f t="shared" ca="1" si="97"/>
        <v>10</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73"/>
        <v>0</v>
      </c>
      <c r="AU48" s="275">
        <f t="shared" si="74"/>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81"/>
        <v>0</v>
      </c>
      <c r="BW48" s="275">
        <f t="shared" si="8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5" customHeight="1">
      <c r="A49" s="63">
        <f t="array" aca="1" ref="A49" ca="1">IF(C49&lt;&gt;0,SUM(($C$11:C49&lt;&gt;0)*1),"")</f>
        <v>11</v>
      </c>
      <c r="B49" s="273">
        <v>42551</v>
      </c>
      <c r="C49" s="276" t="s">
        <v>115</v>
      </c>
      <c r="D49" s="276">
        <f t="shared" si="98"/>
        <v>42551</v>
      </c>
      <c r="E49" s="960" t="s">
        <v>119</v>
      </c>
      <c r="F49" s="961">
        <f ca="1">CU52</f>
        <v>0</v>
      </c>
      <c r="G49" s="962" t="s">
        <v>103</v>
      </c>
      <c r="H49" s="962" t="s">
        <v>109</v>
      </c>
      <c r="I49" s="63">
        <f t="shared" ca="1" si="97"/>
        <v>11</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73"/>
        <v>0</v>
      </c>
      <c r="AU49" s="275">
        <f t="shared" si="74"/>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81"/>
        <v>0</v>
      </c>
      <c r="BW49" s="275">
        <f t="shared" si="8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5" customHeight="1">
      <c r="A50" s="63">
        <f t="array" aca="1" ref="A50" ca="1">IF(C50&lt;&gt;0,SUM(($C$11:C50&lt;&gt;0)*1),"")</f>
        <v>12</v>
      </c>
      <c r="B50" s="273">
        <v>42551</v>
      </c>
      <c r="C50" s="276" t="s">
        <v>115</v>
      </c>
      <c r="D50" s="276">
        <f t="shared" si="98"/>
        <v>42551</v>
      </c>
      <c r="E50" s="960" t="s">
        <v>120</v>
      </c>
      <c r="F50" s="961">
        <f ca="1">CV52</f>
        <v>0</v>
      </c>
      <c r="G50" s="962" t="s">
        <v>109</v>
      </c>
      <c r="H50" s="962" t="s">
        <v>105</v>
      </c>
      <c r="I50" s="63">
        <f t="shared" ca="1" si="97"/>
        <v>12</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73"/>
        <v>0</v>
      </c>
      <c r="AU50" s="275">
        <f t="shared" si="74"/>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81"/>
        <v>0</v>
      </c>
      <c r="BW50" s="275">
        <f t="shared" si="8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5" customHeight="1">
      <c r="A51" s="63" t="str">
        <f t="array" ref="A51">IF(C51&lt;&gt;0,SUM(($C$11:C51&lt;&gt;0)*1),"")</f>
        <v/>
      </c>
      <c r="B51" s="239"/>
      <c r="C51" s="277"/>
      <c r="D51" s="239"/>
      <c r="E51" s="274"/>
      <c r="F51" s="65"/>
      <c r="G51" s="278"/>
      <c r="H51" s="278"/>
      <c r="I51" s="63" t="str">
        <f>A51</f>
        <v/>
      </c>
      <c r="J51" s="275">
        <f>IF($G51="1111",$F51,0)</f>
        <v>0</v>
      </c>
      <c r="K51" s="275">
        <f>IF($H51="1111",$F51,0)</f>
        <v>0</v>
      </c>
      <c r="L51" s="275">
        <f>IF($G51="1121",$F51,0)</f>
        <v>0</v>
      </c>
      <c r="M51" s="275">
        <f>IF($H51="1121",$F51,0)</f>
        <v>0</v>
      </c>
      <c r="N51" s="275">
        <f>IF($G51="1122",$F51,0)</f>
        <v>0</v>
      </c>
      <c r="O51" s="275">
        <f>IF($H51="1122",$F51,0)</f>
        <v>0</v>
      </c>
      <c r="P51" s="275">
        <f>IF($G51="131",$F51,0)</f>
        <v>0</v>
      </c>
      <c r="Q51" s="275">
        <f>IF($H51="131",$F51,0)</f>
        <v>0</v>
      </c>
      <c r="R51" s="275">
        <f>IF($G51="1331",$F51,0)</f>
        <v>0</v>
      </c>
      <c r="S51" s="275">
        <f>IF($H51="1331",$F51,0)</f>
        <v>0</v>
      </c>
      <c r="T51" s="275">
        <f>IF($G51="1388",$F51,0)</f>
        <v>0</v>
      </c>
      <c r="U51" s="275">
        <f>IF($H51="1388",$F51,0)</f>
        <v>0</v>
      </c>
      <c r="V51" s="275">
        <f>IF($G51="141",$F51,0)</f>
        <v>0</v>
      </c>
      <c r="W51" s="275">
        <f>IF($H51="141",$F51,0)</f>
        <v>0</v>
      </c>
      <c r="X51" s="275">
        <f>IF($G51="1521",$F51,0)</f>
        <v>0</v>
      </c>
      <c r="Y51" s="275">
        <f>IF($H51="1521",$F51,0)</f>
        <v>0</v>
      </c>
      <c r="Z51" s="275">
        <f>IF($G51="1522",$F51,0)</f>
        <v>0</v>
      </c>
      <c r="AA51" s="275">
        <f>IF($H51="1522",$F51,0)</f>
        <v>0</v>
      </c>
      <c r="AB51" s="275">
        <f>IF($G51="153",$F51,0)</f>
        <v>0</v>
      </c>
      <c r="AC51" s="275">
        <f>IF($H51="153",$F51,0)</f>
        <v>0</v>
      </c>
      <c r="AD51" s="275">
        <f>IF($G51="154",$F51,0)</f>
        <v>0</v>
      </c>
      <c r="AE51" s="275">
        <f>IF($H51="154",$F51,0)</f>
        <v>0</v>
      </c>
      <c r="AF51" s="275">
        <f>IF($G51="155",$F51,0)</f>
        <v>0</v>
      </c>
      <c r="AG51" s="275">
        <f>IF($H51="155",$F51,0)</f>
        <v>0</v>
      </c>
      <c r="AH51" s="275">
        <f>IF($G51="2111",$F51,0)</f>
        <v>0</v>
      </c>
      <c r="AI51" s="275">
        <f>IF($H51="2111",$F51,0)</f>
        <v>0</v>
      </c>
      <c r="AJ51" s="275">
        <f>IF($G51="2112",$F51,0)</f>
        <v>0</v>
      </c>
      <c r="AK51" s="275">
        <f>IF($H51="2112",$F51,0)</f>
        <v>0</v>
      </c>
      <c r="AL51" s="275">
        <f>IF($G51="2113",$F51,0)</f>
        <v>0</v>
      </c>
      <c r="AM51" s="275">
        <f>IF($H51="2113",$F51,0)</f>
        <v>0</v>
      </c>
      <c r="AN51" s="275">
        <f>IF($G51="2131",$F51,0)</f>
        <v>0</v>
      </c>
      <c r="AO51" s="275">
        <f>IF($H51="2131",$F51,0)</f>
        <v>0</v>
      </c>
      <c r="AP51" s="275">
        <f>IF($G51="2141",$F51,0)</f>
        <v>0</v>
      </c>
      <c r="AQ51" s="275">
        <f>IF($H51="2141",$F51,0)</f>
        <v>0</v>
      </c>
      <c r="AR51" s="275">
        <f>IF($G51="2143",$F51,0)</f>
        <v>0</v>
      </c>
      <c r="AS51" s="275">
        <f>IF($H51="2143",$F51,0)</f>
        <v>0</v>
      </c>
      <c r="AT51" s="275">
        <f>IF($G51="2412",$F51,0)</f>
        <v>0</v>
      </c>
      <c r="AU51" s="275">
        <f>IF($H51="2412",$F51,0)</f>
        <v>0</v>
      </c>
      <c r="AV51" s="275">
        <f>IF($G51="331",$F51,0)</f>
        <v>0</v>
      </c>
      <c r="AW51" s="275">
        <f>IF($H51="331",$F51,0)</f>
        <v>0</v>
      </c>
      <c r="AX51" s="275">
        <f>IF($G51="33311",$F51,0)</f>
        <v>0</v>
      </c>
      <c r="AY51" s="275">
        <f>IF($H51="33311",$F51,0)</f>
        <v>0</v>
      </c>
      <c r="AZ51" s="275">
        <f>IF($G51="33312",$F51,0)</f>
        <v>0</v>
      </c>
      <c r="BA51" s="275">
        <f>IF($H51="33312",$F51,0)</f>
        <v>0</v>
      </c>
      <c r="BB51" s="275">
        <f>IF($G51="3333",$F51,0)</f>
        <v>0</v>
      </c>
      <c r="BC51" s="275">
        <f>IF($H51="3333",$F51,0)</f>
        <v>0</v>
      </c>
      <c r="BD51" s="275">
        <f>IF($G51="3334",$F51,0)</f>
        <v>0</v>
      </c>
      <c r="BE51" s="275">
        <f>IF($H51="3334",$F51,0)</f>
        <v>0</v>
      </c>
      <c r="BF51" s="275">
        <f>IF($G51="3335",$F51,0)</f>
        <v>0</v>
      </c>
      <c r="BG51" s="275">
        <f>IF($H51="3335",$F51,0)</f>
        <v>0</v>
      </c>
      <c r="BH51" s="275">
        <f>IF($G51="33382",$F51,0)</f>
        <v>0</v>
      </c>
      <c r="BI51" s="275">
        <f>IF($H51="33382",$F51,0)</f>
        <v>0</v>
      </c>
      <c r="BJ51" s="275">
        <f>IF($G51="3341",$F51,0)</f>
        <v>0</v>
      </c>
      <c r="BK51" s="275">
        <f>IF($H51="3341",$F51,0)</f>
        <v>0</v>
      </c>
      <c r="BL51" s="275">
        <f>IF($G51="3383",$F51,0)</f>
        <v>0</v>
      </c>
      <c r="BM51" s="275">
        <f>IF($H51="3383",$F51,0)</f>
        <v>0</v>
      </c>
      <c r="BN51" s="275">
        <f>IF($G51="3384",$F51,0)</f>
        <v>0</v>
      </c>
      <c r="BO51" s="275">
        <f>IF($H51="3384",$F51,0)</f>
        <v>0</v>
      </c>
      <c r="BP51" s="275">
        <f>IF($G51="3386",$F51,0)</f>
        <v>0</v>
      </c>
      <c r="BQ51" s="275">
        <f>IF($H51="3386",$F51,0)</f>
        <v>0</v>
      </c>
      <c r="BR51" s="275">
        <f>IF($G51="3388",$F51,0)</f>
        <v>0</v>
      </c>
      <c r="BS51" s="275">
        <f>IF($H51="3388",$F51,0)</f>
        <v>0</v>
      </c>
      <c r="BT51" s="275">
        <f>IF($G51="3411",$F51,0)</f>
        <v>0</v>
      </c>
      <c r="BU51" s="275">
        <f>IF($H51="3411",$F51,0)</f>
        <v>0</v>
      </c>
      <c r="BV51" s="275">
        <f>IF($G51="3412",$F51,0)</f>
        <v>0</v>
      </c>
      <c r="BW51" s="275">
        <f>IF($H51="3412",$F51,0)</f>
        <v>0</v>
      </c>
      <c r="BX51" s="275">
        <f>IF($G51="4111",$F51,0)</f>
        <v>0</v>
      </c>
      <c r="BY51" s="275">
        <f>IF($H51="4111",$F51,0)</f>
        <v>0</v>
      </c>
      <c r="BZ51" s="275">
        <f>IF($G51="4211",$F51,0)</f>
        <v>0</v>
      </c>
      <c r="CA51" s="275">
        <f>IF($H51="4211",$F51,0)</f>
        <v>0</v>
      </c>
      <c r="CB51" s="275">
        <f>IF($G51="4212",$F51,0)</f>
        <v>0</v>
      </c>
      <c r="CC51" s="275">
        <f>IF($H51="4212",$F51,0)</f>
        <v>0</v>
      </c>
      <c r="CD51" s="275">
        <f>IF($G51="5112N",$F51,0)</f>
        <v>0</v>
      </c>
      <c r="CE51" s="275">
        <f>IF($H51="5112N",$F51,0)</f>
        <v>0</v>
      </c>
      <c r="CF51" s="275">
        <f>IF($G51="5112X",$F51,0)</f>
        <v>0</v>
      </c>
      <c r="CG51" s="275">
        <f>IF($H51="5112X",$F51,0)</f>
        <v>0</v>
      </c>
      <c r="CH51" s="275">
        <f>IF($G51="515",$F51,0)</f>
        <v>0</v>
      </c>
      <c r="CI51" s="275">
        <f>IF($H51="515",$F51,0)</f>
        <v>0</v>
      </c>
      <c r="CJ51" s="275">
        <f>IF($G51="5213",$F51,0)</f>
        <v>0</v>
      </c>
      <c r="CK51" s="275">
        <f>IF($H51="5213",$F51,0)</f>
        <v>0</v>
      </c>
      <c r="CL51" s="275">
        <f>IF($G51="632",$F51,0)</f>
        <v>0</v>
      </c>
      <c r="CM51" s="275">
        <f>IF($H51="632",$F51,0)</f>
        <v>0</v>
      </c>
      <c r="CN51" s="275">
        <f>IF($G51="635",$F51,0)</f>
        <v>0</v>
      </c>
      <c r="CO51" s="275">
        <f>IF($H51="635",$F51,0)</f>
        <v>0</v>
      </c>
      <c r="CP51" s="275">
        <f>IF($G51="641",$F51,0)</f>
        <v>0</v>
      </c>
      <c r="CQ51" s="275">
        <f>IF($H51="641",$F51,0)</f>
        <v>0</v>
      </c>
      <c r="CR51" s="275">
        <f>IF($G51="642",$F51,0)</f>
        <v>0</v>
      </c>
      <c r="CS51" s="275">
        <f>IF($H51="642",$F51,0)</f>
        <v>0</v>
      </c>
      <c r="CT51" s="275">
        <f>IF($G51="711",$F51,0)</f>
        <v>0</v>
      </c>
      <c r="CU51" s="275">
        <f>IF($H51="711",$F51,0)</f>
        <v>0</v>
      </c>
      <c r="CV51" s="275">
        <f>IF($G51="811",$F51,0)</f>
        <v>0</v>
      </c>
      <c r="CW51" s="275">
        <f>IF($H51="811",$F51,0)</f>
        <v>0</v>
      </c>
      <c r="CX51" s="275">
        <f>IF($G51="821",$F51,0)</f>
        <v>0</v>
      </c>
      <c r="CY51" s="275">
        <f>IF($H51="821",$F51,0)</f>
        <v>0</v>
      </c>
      <c r="CZ51" s="275">
        <f>IF($G51="911",$F51,0)</f>
        <v>0</v>
      </c>
      <c r="DA51" s="275">
        <f>IF($H51="911",$F51,0)</f>
        <v>0</v>
      </c>
    </row>
    <row r="52" spans="1:105" s="272" customFormat="1" ht="15" customHeight="1">
      <c r="A52" s="279"/>
      <c r="B52" s="279"/>
      <c r="C52" s="279"/>
      <c r="D52" s="279"/>
      <c r="E52" s="274" t="s">
        <v>174</v>
      </c>
      <c r="F52" s="279"/>
      <c r="G52" s="278"/>
      <c r="H52" s="278"/>
      <c r="I52" s="279"/>
      <c r="J52" s="279">
        <f t="shared" ref="J52:AO52" ca="1" si="99">SUM(J11:J51)</f>
        <v>0</v>
      </c>
      <c r="K52" s="279">
        <f t="shared" ca="1" si="99"/>
        <v>0</v>
      </c>
      <c r="L52" s="279">
        <f t="shared" ca="1" si="99"/>
        <v>0</v>
      </c>
      <c r="M52" s="279">
        <f t="shared" ca="1" si="99"/>
        <v>0</v>
      </c>
      <c r="N52" s="279">
        <f t="shared" ca="1" si="99"/>
        <v>0</v>
      </c>
      <c r="O52" s="279">
        <f t="shared" ca="1" si="99"/>
        <v>0</v>
      </c>
      <c r="P52" s="279">
        <f t="shared" ca="1" si="99"/>
        <v>0</v>
      </c>
      <c r="Q52" s="279">
        <f t="shared" ca="1" si="99"/>
        <v>0</v>
      </c>
      <c r="R52" s="279">
        <f t="shared" ca="1" si="99"/>
        <v>0</v>
      </c>
      <c r="S52" s="279">
        <f t="shared" ca="1" si="99"/>
        <v>0</v>
      </c>
      <c r="T52" s="279">
        <f t="shared" ca="1" si="99"/>
        <v>0</v>
      </c>
      <c r="U52" s="279">
        <f t="shared" ca="1" si="99"/>
        <v>0</v>
      </c>
      <c r="V52" s="279">
        <f t="shared" ca="1" si="99"/>
        <v>0</v>
      </c>
      <c r="W52" s="279">
        <f t="shared" ca="1" si="99"/>
        <v>0</v>
      </c>
      <c r="X52" s="279">
        <f t="shared" ca="1" si="99"/>
        <v>0</v>
      </c>
      <c r="Y52" s="279">
        <f t="shared" ca="1" si="99"/>
        <v>0</v>
      </c>
      <c r="Z52" s="279">
        <f t="shared" ca="1" si="99"/>
        <v>0</v>
      </c>
      <c r="AA52" s="279">
        <f t="shared" ca="1" si="99"/>
        <v>0</v>
      </c>
      <c r="AB52" s="279">
        <f t="shared" ca="1" si="99"/>
        <v>0</v>
      </c>
      <c r="AC52" s="279">
        <f t="shared" ca="1" si="99"/>
        <v>0</v>
      </c>
      <c r="AD52" s="279">
        <f t="shared" ca="1" si="99"/>
        <v>0</v>
      </c>
      <c r="AE52" s="279">
        <f t="shared" ca="1" si="99"/>
        <v>0</v>
      </c>
      <c r="AF52" s="279">
        <f t="shared" ca="1" si="99"/>
        <v>0</v>
      </c>
      <c r="AG52" s="279">
        <f t="shared" ca="1" si="99"/>
        <v>0</v>
      </c>
      <c r="AH52" s="279">
        <f t="shared" ca="1" si="99"/>
        <v>0</v>
      </c>
      <c r="AI52" s="279">
        <f t="shared" ca="1" si="99"/>
        <v>0</v>
      </c>
      <c r="AJ52" s="279">
        <f t="shared" ca="1" si="99"/>
        <v>0</v>
      </c>
      <c r="AK52" s="279">
        <f t="shared" ca="1" si="99"/>
        <v>0</v>
      </c>
      <c r="AL52" s="279">
        <f t="shared" ca="1" si="99"/>
        <v>0</v>
      </c>
      <c r="AM52" s="279">
        <f t="shared" ca="1" si="99"/>
        <v>0</v>
      </c>
      <c r="AN52" s="279">
        <f t="shared" ca="1" si="99"/>
        <v>0</v>
      </c>
      <c r="AO52" s="279">
        <f t="shared" ca="1" si="99"/>
        <v>0</v>
      </c>
      <c r="AP52" s="279">
        <f t="shared" ref="AP52:BU52" ca="1" si="100">SUM(AP11:AP51)</f>
        <v>0</v>
      </c>
      <c r="AQ52" s="279">
        <f t="shared" ca="1" si="100"/>
        <v>0</v>
      </c>
      <c r="AR52" s="279">
        <f t="shared" ca="1" si="100"/>
        <v>0</v>
      </c>
      <c r="AS52" s="279">
        <f t="shared" ca="1" si="100"/>
        <v>0</v>
      </c>
      <c r="AT52" s="279">
        <f t="shared" ca="1" si="100"/>
        <v>0</v>
      </c>
      <c r="AU52" s="279">
        <f t="shared" ca="1" si="100"/>
        <v>0</v>
      </c>
      <c r="AV52" s="279">
        <f t="shared" ca="1" si="100"/>
        <v>0</v>
      </c>
      <c r="AW52" s="279">
        <f t="shared" ca="1" si="100"/>
        <v>0</v>
      </c>
      <c r="AX52" s="279">
        <f t="shared" ca="1" si="100"/>
        <v>0</v>
      </c>
      <c r="AY52" s="279">
        <f t="shared" ca="1" si="100"/>
        <v>0</v>
      </c>
      <c r="AZ52" s="279">
        <f t="shared" ca="1" si="100"/>
        <v>0</v>
      </c>
      <c r="BA52" s="279">
        <f t="shared" ca="1" si="100"/>
        <v>0</v>
      </c>
      <c r="BB52" s="279">
        <f t="shared" ca="1" si="100"/>
        <v>0</v>
      </c>
      <c r="BC52" s="279">
        <f t="shared" ca="1" si="100"/>
        <v>0</v>
      </c>
      <c r="BD52" s="279">
        <f t="shared" ca="1" si="100"/>
        <v>0</v>
      </c>
      <c r="BE52" s="279">
        <f t="shared" ca="1" si="100"/>
        <v>0</v>
      </c>
      <c r="BF52" s="279">
        <f t="shared" ca="1" si="100"/>
        <v>0</v>
      </c>
      <c r="BG52" s="279">
        <f t="shared" ca="1" si="100"/>
        <v>0</v>
      </c>
      <c r="BH52" s="279">
        <f t="shared" ca="1" si="100"/>
        <v>0</v>
      </c>
      <c r="BI52" s="279">
        <f t="shared" ca="1" si="100"/>
        <v>0</v>
      </c>
      <c r="BJ52" s="279">
        <f t="shared" ca="1" si="100"/>
        <v>0</v>
      </c>
      <c r="BK52" s="279">
        <f t="shared" ca="1" si="100"/>
        <v>0</v>
      </c>
      <c r="BL52" s="279">
        <f t="shared" ca="1" si="100"/>
        <v>0</v>
      </c>
      <c r="BM52" s="279">
        <f t="shared" ca="1" si="100"/>
        <v>0</v>
      </c>
      <c r="BN52" s="279">
        <f t="shared" ca="1" si="100"/>
        <v>0</v>
      </c>
      <c r="BO52" s="279">
        <f t="shared" ca="1" si="100"/>
        <v>0</v>
      </c>
      <c r="BP52" s="279">
        <f t="shared" ca="1" si="100"/>
        <v>0</v>
      </c>
      <c r="BQ52" s="279">
        <f t="shared" ca="1" si="100"/>
        <v>0</v>
      </c>
      <c r="BR52" s="279">
        <f t="shared" ca="1" si="100"/>
        <v>0</v>
      </c>
      <c r="BS52" s="279">
        <f t="shared" ca="1" si="100"/>
        <v>0</v>
      </c>
      <c r="BT52" s="279">
        <f t="shared" ca="1" si="100"/>
        <v>0</v>
      </c>
      <c r="BU52" s="279">
        <f t="shared" ca="1" si="100"/>
        <v>0</v>
      </c>
      <c r="BV52" s="279">
        <f t="shared" ref="BV52:DA52" ca="1" si="101">SUM(BV11:BV51)</f>
        <v>0</v>
      </c>
      <c r="BW52" s="279">
        <f t="shared" ca="1" si="101"/>
        <v>0</v>
      </c>
      <c r="BX52" s="279">
        <f t="shared" ca="1" si="101"/>
        <v>0</v>
      </c>
      <c r="BY52" s="279">
        <f t="shared" ca="1" si="101"/>
        <v>0</v>
      </c>
      <c r="BZ52" s="279">
        <f t="shared" ca="1" si="101"/>
        <v>0</v>
      </c>
      <c r="CA52" s="279">
        <f t="shared" ca="1" si="101"/>
        <v>0</v>
      </c>
      <c r="CB52" s="279">
        <f t="shared" ca="1" si="101"/>
        <v>0</v>
      </c>
      <c r="CC52" s="279">
        <f t="shared" ca="1" si="101"/>
        <v>0</v>
      </c>
      <c r="CD52" s="279">
        <f t="shared" ca="1" si="101"/>
        <v>0</v>
      </c>
      <c r="CE52" s="279">
        <f t="shared" ca="1" si="101"/>
        <v>0</v>
      </c>
      <c r="CF52" s="279">
        <f t="shared" ca="1" si="101"/>
        <v>0</v>
      </c>
      <c r="CG52" s="279">
        <f t="shared" ca="1" si="101"/>
        <v>0</v>
      </c>
      <c r="CH52" s="279">
        <f t="shared" ca="1" si="101"/>
        <v>0</v>
      </c>
      <c r="CI52" s="279">
        <f t="shared" ca="1" si="101"/>
        <v>0</v>
      </c>
      <c r="CJ52" s="279">
        <f t="shared" ca="1" si="101"/>
        <v>0</v>
      </c>
      <c r="CK52" s="279">
        <f t="shared" ca="1" si="101"/>
        <v>0</v>
      </c>
      <c r="CL52" s="279">
        <f t="shared" ca="1" si="101"/>
        <v>0</v>
      </c>
      <c r="CM52" s="279">
        <f t="shared" ca="1" si="101"/>
        <v>0</v>
      </c>
      <c r="CN52" s="279">
        <f t="shared" ca="1" si="101"/>
        <v>0</v>
      </c>
      <c r="CO52" s="279">
        <f t="shared" ca="1" si="101"/>
        <v>0</v>
      </c>
      <c r="CP52" s="279">
        <f t="shared" ca="1" si="101"/>
        <v>0</v>
      </c>
      <c r="CQ52" s="279">
        <f t="shared" ca="1" si="101"/>
        <v>0</v>
      </c>
      <c r="CR52" s="279">
        <f t="shared" ca="1" si="101"/>
        <v>0</v>
      </c>
      <c r="CS52" s="279">
        <f t="shared" ca="1" si="101"/>
        <v>0</v>
      </c>
      <c r="CT52" s="279">
        <f t="shared" ca="1" si="101"/>
        <v>0</v>
      </c>
      <c r="CU52" s="279">
        <f t="shared" ca="1" si="101"/>
        <v>0</v>
      </c>
      <c r="CV52" s="279">
        <f t="shared" ca="1" si="101"/>
        <v>0</v>
      </c>
      <c r="CW52" s="279">
        <f t="shared" ca="1" si="101"/>
        <v>0</v>
      </c>
      <c r="CX52" s="279">
        <f t="shared" ca="1" si="101"/>
        <v>0</v>
      </c>
      <c r="CY52" s="279">
        <f t="shared" ca="1" si="101"/>
        <v>0</v>
      </c>
      <c r="CZ52" s="279">
        <f t="shared" ca="1" si="101"/>
        <v>0</v>
      </c>
      <c r="DA52" s="279">
        <f t="shared" ca="1" si="101"/>
        <v>0</v>
      </c>
    </row>
    <row r="53" spans="1:105" s="272" customFormat="1" ht="15" customHeight="1">
      <c r="A53" s="280"/>
      <c r="B53" s="280"/>
      <c r="C53" s="280"/>
      <c r="D53" s="280"/>
      <c r="E53" s="281" t="s">
        <v>215</v>
      </c>
      <c r="F53" s="280"/>
      <c r="G53" s="282"/>
      <c r="H53" s="282"/>
      <c r="I53" s="280"/>
      <c r="J53" s="302">
        <f ca="1">MAX(J10+J52-K10-K52,0)</f>
        <v>3705039095</v>
      </c>
      <c r="K53" s="302">
        <f ca="1">MAX(K10+K52-J10-J52,0)</f>
        <v>0</v>
      </c>
      <c r="L53" s="302">
        <f ca="1">MAX(L10+L52-M10-M52,0)</f>
        <v>19829295</v>
      </c>
      <c r="M53" s="302">
        <f ca="1">MAX(M10+M52-L10-L52,0)</f>
        <v>0</v>
      </c>
      <c r="N53" s="302">
        <f ca="1">MAX(N10+N52-O10-O52,0)</f>
        <v>2236796790</v>
      </c>
      <c r="O53" s="302">
        <f ca="1">MAX(O10+O52-N10-N52,0)</f>
        <v>0</v>
      </c>
      <c r="P53" s="302">
        <f ca="1">MAX(P10+P52-Q10-Q52,0)</f>
        <v>3343381600</v>
      </c>
      <c r="Q53" s="302">
        <f ca="1">MAX(Q10+Q52-P10-P52,0)</f>
        <v>0</v>
      </c>
      <c r="R53" s="302">
        <f ca="1">MAX(R10+R52-S10-S52,0)</f>
        <v>162420936</v>
      </c>
      <c r="S53" s="302">
        <f ca="1">MAX(S10+S52-R10-R52,0)</f>
        <v>0</v>
      </c>
      <c r="T53" s="302">
        <f ca="1">MAX(T10+T52-U10-U52,0)</f>
        <v>1500000000</v>
      </c>
      <c r="U53" s="302">
        <f ca="1">MAX(U10+U52-T10-T52,0)</f>
        <v>0</v>
      </c>
      <c r="V53" s="302">
        <f ca="1">MAX(V10+V52-W10-W52,0)</f>
        <v>0</v>
      </c>
      <c r="W53" s="302">
        <f ca="1">MAX(W10+W52-V10-V52,0)</f>
        <v>0</v>
      </c>
      <c r="X53" s="302">
        <f ca="1">MAX(X10+X52-Y10-Y52,0)</f>
        <v>2772400000</v>
      </c>
      <c r="Y53" s="302">
        <f ca="1">MAX(Y10+Y52-X10-X52,0)</f>
        <v>0</v>
      </c>
      <c r="Z53" s="302">
        <f ca="1">MAX(Z10+Z52-AA10-AA52,0)</f>
        <v>526519887</v>
      </c>
      <c r="AA53" s="302">
        <f ca="1">MAX(AA10+AA52-Z10-Z52,0)</f>
        <v>0</v>
      </c>
      <c r="AB53" s="302">
        <f ca="1">MAX(AB10+AB52-AC10-AC52,0)</f>
        <v>0</v>
      </c>
      <c r="AC53" s="302">
        <f ca="1">MAX(AC10+AC52-AB10-AB52,0)</f>
        <v>0</v>
      </c>
      <c r="AD53" s="302">
        <f ca="1">MAX(AD10+AD52-AE10-AE52,0)</f>
        <v>0</v>
      </c>
      <c r="AE53" s="302">
        <f ca="1">MAX(AE10+AE52-AD10-AD52,0)</f>
        <v>0</v>
      </c>
      <c r="AF53" s="302">
        <f ca="1">MAX(AF10+AF52-AG10-AG52,0)</f>
        <v>9386323824</v>
      </c>
      <c r="AG53" s="302">
        <f ca="1">MAX(AG10+AG52-AF10-AF52,0)</f>
        <v>0</v>
      </c>
      <c r="AH53" s="302">
        <f ca="1">MAX(AH10+AH52-AI10-AI52,0)</f>
        <v>7490743648</v>
      </c>
      <c r="AI53" s="302">
        <f ca="1">MAX(AI10+AI52-AH10-AH52,0)</f>
        <v>0</v>
      </c>
      <c r="AJ53" s="302">
        <f ca="1">MAX(AJ10+AJ52-AK10-AK52,0)</f>
        <v>3807898863</v>
      </c>
      <c r="AK53" s="302">
        <f ca="1">MAX(AK10+AK52-AJ10-AJ52,0)</f>
        <v>0</v>
      </c>
      <c r="AL53" s="302">
        <f ca="1">MAX(AL10+AL52-AM10-AM52,0)</f>
        <v>3790918485</v>
      </c>
      <c r="AM53" s="302">
        <f ca="1">MAX(AM10+AM52-AL10-AL52,0)</f>
        <v>0</v>
      </c>
      <c r="AN53" s="302">
        <f ca="1">MAX(AN10+AN52-AO10-AO52,0)</f>
        <v>5405781300</v>
      </c>
      <c r="AO53" s="302">
        <f ca="1">MAX(AO10+AO52-AN10-AN52,0)</f>
        <v>0</v>
      </c>
      <c r="AP53" s="302">
        <f ca="1">MAX(AP10+AP52-AQ10-AQ52,0)</f>
        <v>0</v>
      </c>
      <c r="AQ53" s="302">
        <f ca="1">MAX(AQ10+AQ52-AP10-AP52,0)</f>
        <v>9132359256</v>
      </c>
      <c r="AR53" s="302">
        <f ca="1">MAX(AR10+AR52-AS10-AS52,0)</f>
        <v>0</v>
      </c>
      <c r="AS53" s="302">
        <f ca="1">MAX(AS10+AS52-AR10-AR52,0)</f>
        <v>600642360</v>
      </c>
      <c r="AT53" s="302">
        <f ca="1">MAX(AT10+AT52-AU10-AU52,0)</f>
        <v>0</v>
      </c>
      <c r="AU53" s="302">
        <f ca="1">MAX(AU10+AU52-AT10-AT52,0)</f>
        <v>0</v>
      </c>
      <c r="AV53" s="302">
        <f ca="1">MAX(AV10+AV52-AW10-AW52,0)</f>
        <v>0</v>
      </c>
      <c r="AW53" s="302">
        <f ca="1">MAX(AW10+AW52-AV10-AV52,0)</f>
        <v>476953252</v>
      </c>
      <c r="AX53" s="302">
        <f ca="1">MAX(AX10+AX52-AY10-AY52,0)</f>
        <v>0</v>
      </c>
      <c r="AY53" s="302">
        <f ca="1">MAX(AY10+AY52-AX10-AX52,0)</f>
        <v>0</v>
      </c>
      <c r="AZ53" s="302">
        <f ca="1">MAX(AZ10+AZ52-BA10-BA52,0)</f>
        <v>0</v>
      </c>
      <c r="BA53" s="302">
        <f ca="1">MAX(BA10+BA52-AZ10-AZ52,0)</f>
        <v>0</v>
      </c>
      <c r="BB53" s="302">
        <f ca="1">MAX(BB10+BB52-BC10-BC52,0)</f>
        <v>0</v>
      </c>
      <c r="BC53" s="302">
        <f ca="1">MAX(BC10+BC52-BB10-BB52,0)</f>
        <v>0</v>
      </c>
      <c r="BD53" s="302">
        <f ca="1">MAX(BD10+BD52-BE10-BE52,0)</f>
        <v>0</v>
      </c>
      <c r="BE53" s="302">
        <f ca="1">MAX(BE10+BE52-BD10-BD52,0)</f>
        <v>3313435</v>
      </c>
      <c r="BF53" s="302">
        <f ca="1">MAX(BF10+BF52-BG10-BG52,0)</f>
        <v>3389804</v>
      </c>
      <c r="BG53" s="302">
        <f ca="1">MAX(BG10+BG52-BF10-BF52,0)</f>
        <v>0</v>
      </c>
      <c r="BH53" s="302">
        <f ca="1">MAX(BH10+BH52-BI10-BI52,0)</f>
        <v>0</v>
      </c>
      <c r="BI53" s="302">
        <f ca="1">MAX(BI10+BI52-BH10-BH52,0)</f>
        <v>0</v>
      </c>
      <c r="BJ53" s="302">
        <f ca="1">MAX(BJ10+BJ52-BK10-BK52,0)</f>
        <v>0</v>
      </c>
      <c r="BK53" s="302">
        <f ca="1">MAX(BK10+BK52-BJ10-BJ52,0)</f>
        <v>0</v>
      </c>
      <c r="BL53" s="302">
        <f ca="1">MAX(BL10+BL52-BM10-BM52,0)</f>
        <v>0</v>
      </c>
      <c r="BM53" s="302">
        <f ca="1">MAX(BM10+BM52-BL10-BL52,0)</f>
        <v>40272309</v>
      </c>
      <c r="BN53" s="302">
        <f ca="1">MAX(BN10+BN52-BO10-BO52,0)</f>
        <v>0</v>
      </c>
      <c r="BO53" s="302">
        <f ca="1">MAX(BO10+BO52-BN10-BN52,0)</f>
        <v>6403142</v>
      </c>
      <c r="BP53" s="302">
        <f ca="1">MAX(BP10+BP52-BQ10-BQ52,0)</f>
        <v>0</v>
      </c>
      <c r="BQ53" s="302">
        <f ca="1">MAX(BQ10+BQ52-BP10-BP52,0)</f>
        <v>2761373</v>
      </c>
      <c r="BR53" s="302">
        <f ca="1">MAX(BR10+BR52-BS10-BS52,0)</f>
        <v>0</v>
      </c>
      <c r="BS53" s="302">
        <f ca="1">MAX(BS10+BS52-BR10-BR52,0)</f>
        <v>0</v>
      </c>
      <c r="BT53" s="302">
        <f ca="1">MAX(BT10+BT52-BU10-BU52,0)</f>
        <v>0</v>
      </c>
      <c r="BU53" s="302">
        <f ca="1">MAX(BU10+BU52-BT10-BT52,0)</f>
        <v>2169121879</v>
      </c>
      <c r="BV53" s="302">
        <f ca="1">MAX(BV10+BV52-BW10-BW52,0)</f>
        <v>0</v>
      </c>
      <c r="BW53" s="302">
        <f ca="1">MAX(BW10+BW52-BV10-BV52,0)</f>
        <v>21202920500</v>
      </c>
      <c r="BX53" s="302">
        <f ca="1">MAX(BX10+BX52-BY10-BY52,0)</f>
        <v>0</v>
      </c>
      <c r="BY53" s="302">
        <f ca="1">MAX(BY10+BY52-BX10-BX52,0)</f>
        <v>10000000000</v>
      </c>
      <c r="BZ53" s="302">
        <f ca="1">MAX(BZ10+BZ52-CA10-CA52,0)</f>
        <v>0</v>
      </c>
      <c r="CA53" s="302">
        <f ca="1">MAX(CA10+CA52-BZ10-BZ52,0)</f>
        <v>594397022.00000048</v>
      </c>
      <c r="CB53" s="302">
        <f ca="1">MAX(CB10+CB52-CC10-CC52,0)</f>
        <v>77701001</v>
      </c>
      <c r="CC53" s="302">
        <f ca="1">MAX(CC10+CC52-CB10-CB52,0)</f>
        <v>0</v>
      </c>
      <c r="CD53" s="302">
        <f ca="1">MAX(CD10+CD52-CE10-CE52,0)</f>
        <v>0</v>
      </c>
      <c r="CE53" s="302">
        <f ca="1">MAX(CE10+CE52-CD10-CD52,0)</f>
        <v>0</v>
      </c>
      <c r="CF53" s="302">
        <f ca="1">MAX(CF10+CF52-CG10-CG52,0)</f>
        <v>0</v>
      </c>
      <c r="CG53" s="302">
        <f ca="1">MAX(CG10+CG52-CF10-CF52,0)</f>
        <v>0</v>
      </c>
      <c r="CH53" s="302">
        <f ca="1">MAX(CH10+CH52-CI10-CI52,0)</f>
        <v>0</v>
      </c>
      <c r="CI53" s="302">
        <f ca="1">MAX(CI10+CI52-CH10-CH52,0)</f>
        <v>0</v>
      </c>
      <c r="CJ53" s="302">
        <f ca="1">MAX(CJ10+CJ52-CK10-CK52,0)</f>
        <v>0</v>
      </c>
      <c r="CK53" s="302">
        <f ca="1">MAX(CK10+CK52-CJ10-CJ52,0)</f>
        <v>0</v>
      </c>
      <c r="CL53" s="302">
        <f ca="1">MAX(CL10+CL52-CM10-CM52,0)</f>
        <v>0</v>
      </c>
      <c r="CM53" s="302">
        <f ca="1">MAX(CM10+CM52-CL10-CL52,0)</f>
        <v>0</v>
      </c>
      <c r="CN53" s="302">
        <f ca="1">MAX(CN10+CN52-CO10-CO52,0)</f>
        <v>0</v>
      </c>
      <c r="CO53" s="302">
        <f ca="1">MAX(CO10+CO52-CN10-CN52,0)</f>
        <v>0</v>
      </c>
      <c r="CP53" s="302">
        <f ca="1">MAX(CP10+CP52-CQ10-CQ52,0)</f>
        <v>0</v>
      </c>
      <c r="CQ53" s="302">
        <f ca="1">MAX(CQ10+CQ52-CP10-CP52,0)</f>
        <v>0</v>
      </c>
      <c r="CR53" s="302">
        <f ca="1">MAX(CR10+CR52-CS10-CS52,0)</f>
        <v>0</v>
      </c>
      <c r="CS53" s="302">
        <f ca="1">MAX(CS10+CS52-CR10-CR52,0)</f>
        <v>0</v>
      </c>
      <c r="CT53" s="302">
        <f ca="1">MAX(CT10+CT52-CU10-CU52,0)</f>
        <v>0</v>
      </c>
      <c r="CU53" s="302">
        <f ca="1">MAX(CU10+CU52-CT10-CT52,0)</f>
        <v>0</v>
      </c>
      <c r="CV53" s="302">
        <f ca="1">MAX(CV10+CV52-CW10-CW52,0)</f>
        <v>0</v>
      </c>
      <c r="CW53" s="302">
        <f ca="1">MAX(CW10+CW52-CV10-CV52,0)</f>
        <v>0</v>
      </c>
      <c r="CX53" s="302">
        <f ca="1">MAX(CX10+CX52-CY10-CY52,0)</f>
        <v>0</v>
      </c>
      <c r="CY53" s="302">
        <f ca="1">MAX(CY10+CY52-CX10-CX52,0)</f>
        <v>0</v>
      </c>
      <c r="CZ53" s="302">
        <f ca="1">MAX(CZ10+CZ52-DA10-DA52,0)</f>
        <v>0</v>
      </c>
      <c r="DA53" s="302">
        <f ca="1">MAX(DA10+DA52-CZ10-CZ52,0)</f>
        <v>0</v>
      </c>
    </row>
    <row r="54" spans="1:105" s="272" customFormat="1" ht="15" customHeight="1">
      <c r="A54" s="284"/>
      <c r="B54" s="284"/>
      <c r="C54" s="285"/>
      <c r="D54" s="284"/>
      <c r="E54" s="286" t="s">
        <v>216</v>
      </c>
      <c r="F54" s="284"/>
      <c r="G54" s="287"/>
      <c r="H54" s="287"/>
      <c r="I54" s="284"/>
      <c r="J54" s="284">
        <f ca="1">J52+'SC-I'!J54</f>
        <v>0</v>
      </c>
      <c r="K54" s="284">
        <f ca="1">K52+'SC-I'!K54</f>
        <v>0</v>
      </c>
      <c r="L54" s="284">
        <f ca="1">L52+'SC-I'!L54</f>
        <v>0</v>
      </c>
      <c r="M54" s="284">
        <f ca="1">M52+'SC-I'!M54</f>
        <v>0</v>
      </c>
      <c r="N54" s="284">
        <f ca="1">N52+'SC-I'!N54</f>
        <v>0</v>
      </c>
      <c r="O54" s="284">
        <f ca="1">O52+'SC-I'!O54</f>
        <v>0</v>
      </c>
      <c r="P54" s="284">
        <f ca="1">P52+'SC-I'!P54</f>
        <v>0</v>
      </c>
      <c r="Q54" s="284">
        <f ca="1">Q52+'SC-I'!Q54</f>
        <v>0</v>
      </c>
      <c r="R54" s="284">
        <f ca="1">R52+'SC-I'!R54</f>
        <v>0</v>
      </c>
      <c r="S54" s="284">
        <f ca="1">S52+'SC-I'!S54</f>
        <v>0</v>
      </c>
      <c r="T54" s="284">
        <f ca="1">T52+'SC-I'!T54</f>
        <v>0</v>
      </c>
      <c r="U54" s="284">
        <f ca="1">U52+'SC-I'!U54</f>
        <v>0</v>
      </c>
      <c r="V54" s="284">
        <f ca="1">V52+'SC-I'!V54</f>
        <v>0</v>
      </c>
      <c r="W54" s="284">
        <f ca="1">W52+'SC-I'!W54</f>
        <v>0</v>
      </c>
      <c r="X54" s="284">
        <f ca="1">X52+'SC-I'!X54</f>
        <v>0</v>
      </c>
      <c r="Y54" s="284">
        <f ca="1">Y52+'SC-I'!Y54</f>
        <v>0</v>
      </c>
      <c r="Z54" s="284">
        <f ca="1">Z52+'SC-I'!Z54</f>
        <v>0</v>
      </c>
      <c r="AA54" s="284">
        <f ca="1">AA52+'SC-I'!AA54</f>
        <v>0</v>
      </c>
      <c r="AB54" s="284">
        <f ca="1">AB52+'SC-I'!AB54</f>
        <v>0</v>
      </c>
      <c r="AC54" s="284">
        <f ca="1">AC52+'SC-I'!AC54</f>
        <v>0</v>
      </c>
      <c r="AD54" s="284">
        <f ca="1">AD52+'SC-I'!AD54</f>
        <v>0</v>
      </c>
      <c r="AE54" s="284">
        <f ca="1">AE52+'SC-I'!AE54</f>
        <v>0</v>
      </c>
      <c r="AF54" s="284">
        <f ca="1">AF52+'SC-I'!AF54</f>
        <v>0</v>
      </c>
      <c r="AG54" s="284">
        <f ca="1">AG52+'SC-I'!AG54</f>
        <v>0</v>
      </c>
      <c r="AH54" s="284">
        <f ca="1">AH52+'SC-I'!AH54</f>
        <v>0</v>
      </c>
      <c r="AI54" s="284">
        <f ca="1">AI52+'SC-I'!AI54</f>
        <v>0</v>
      </c>
      <c r="AJ54" s="284">
        <f ca="1">AJ52+'SC-I'!AJ54</f>
        <v>0</v>
      </c>
      <c r="AK54" s="284">
        <f ca="1">AK52+'SC-I'!AK54</f>
        <v>0</v>
      </c>
      <c r="AL54" s="284">
        <f ca="1">AL52+'SC-I'!AL54</f>
        <v>0</v>
      </c>
      <c r="AM54" s="284">
        <f ca="1">AM52+'SC-I'!AM54</f>
        <v>0</v>
      </c>
      <c r="AN54" s="284">
        <f ca="1">AN52+'SC-I'!AN54</f>
        <v>0</v>
      </c>
      <c r="AO54" s="284">
        <f ca="1">AO52+'SC-I'!AO54</f>
        <v>0</v>
      </c>
      <c r="AP54" s="284">
        <f ca="1">AP52+'SC-I'!AP54</f>
        <v>0</v>
      </c>
      <c r="AQ54" s="284">
        <f ca="1">AQ52+'SC-I'!AQ54</f>
        <v>0</v>
      </c>
      <c r="AR54" s="284">
        <f ca="1">AR52+'SC-I'!AR54</f>
        <v>0</v>
      </c>
      <c r="AS54" s="284">
        <f ca="1">AS52+'SC-I'!AS54</f>
        <v>0</v>
      </c>
      <c r="AT54" s="284">
        <f ca="1">AT52+'SC-I'!AT54</f>
        <v>0</v>
      </c>
      <c r="AU54" s="284">
        <f ca="1">AU52+'SC-I'!AU54</f>
        <v>0</v>
      </c>
      <c r="AV54" s="284">
        <f ca="1">AV52+'SC-I'!AV54</f>
        <v>0</v>
      </c>
      <c r="AW54" s="284">
        <f ca="1">AW52+'SC-I'!AW54</f>
        <v>0</v>
      </c>
      <c r="AX54" s="284">
        <f ca="1">AX52+'SC-I'!AX54</f>
        <v>0</v>
      </c>
      <c r="AY54" s="284">
        <f ca="1">AY52+'SC-I'!AY54</f>
        <v>0</v>
      </c>
      <c r="AZ54" s="284">
        <f ca="1">AZ52+'SC-I'!AZ54</f>
        <v>0</v>
      </c>
      <c r="BA54" s="284">
        <f ca="1">BA52+'SC-I'!BA54</f>
        <v>0</v>
      </c>
      <c r="BB54" s="284">
        <f ca="1">BB52+'SC-I'!BB54</f>
        <v>0</v>
      </c>
      <c r="BC54" s="284">
        <f ca="1">BC52+'SC-I'!BC54</f>
        <v>0</v>
      </c>
      <c r="BD54" s="284">
        <f ca="1">BD52+'SC-I'!BD54</f>
        <v>0</v>
      </c>
      <c r="BE54" s="284">
        <f ca="1">BE52+'SC-I'!BE54</f>
        <v>0</v>
      </c>
      <c r="BF54" s="284">
        <f ca="1">BF52+'SC-I'!BF54</f>
        <v>0</v>
      </c>
      <c r="BG54" s="284">
        <f ca="1">BG52+'SC-I'!BG54</f>
        <v>0</v>
      </c>
      <c r="BH54" s="284">
        <f ca="1">BH52+'SC-I'!BH54</f>
        <v>0</v>
      </c>
      <c r="BI54" s="284">
        <f ca="1">BI52+'SC-I'!BI54</f>
        <v>0</v>
      </c>
      <c r="BJ54" s="284">
        <f ca="1">BJ52+'SC-I'!BJ54</f>
        <v>0</v>
      </c>
      <c r="BK54" s="284">
        <f ca="1">BK52+'SC-I'!BK54</f>
        <v>0</v>
      </c>
      <c r="BL54" s="284">
        <f ca="1">BL52+'SC-I'!BL54</f>
        <v>0</v>
      </c>
      <c r="BM54" s="284">
        <f ca="1">BM52+'SC-I'!BM54</f>
        <v>0</v>
      </c>
      <c r="BN54" s="284">
        <f ca="1">BN52+'SC-I'!BN54</f>
        <v>0</v>
      </c>
      <c r="BO54" s="284">
        <f ca="1">BO52+'SC-I'!BO54</f>
        <v>0</v>
      </c>
      <c r="BP54" s="284">
        <f ca="1">BP52+'SC-I'!BP54</f>
        <v>0</v>
      </c>
      <c r="BQ54" s="284">
        <f ca="1">BQ52+'SC-I'!BQ54</f>
        <v>0</v>
      </c>
      <c r="BR54" s="284">
        <f ca="1">BR52+'SC-I'!BR54</f>
        <v>0</v>
      </c>
      <c r="BS54" s="284">
        <f ca="1">BS52+'SC-I'!BS54</f>
        <v>0</v>
      </c>
      <c r="BT54" s="284">
        <f ca="1">BT52+'SC-I'!BT54</f>
        <v>0</v>
      </c>
      <c r="BU54" s="284">
        <f ca="1">BU52+'SC-I'!BU54</f>
        <v>0</v>
      </c>
      <c r="BV54" s="284">
        <f ca="1">BV52+'SC-I'!BV54</f>
        <v>0</v>
      </c>
      <c r="BW54" s="284">
        <f ca="1">BW52+'SC-I'!BW54</f>
        <v>0</v>
      </c>
      <c r="BX54" s="284">
        <f ca="1">BX52+'SC-I'!BX54</f>
        <v>0</v>
      </c>
      <c r="BY54" s="284">
        <f ca="1">BY52+'SC-I'!BY54</f>
        <v>0</v>
      </c>
      <c r="BZ54" s="284">
        <f ca="1">BZ52+'SC-I'!BZ54</f>
        <v>0</v>
      </c>
      <c r="CA54" s="284">
        <f ca="1">CA52+'SC-I'!CA54</f>
        <v>107861885.00000048</v>
      </c>
      <c r="CB54" s="284">
        <f ca="1">CB52+'SC-I'!CB54</f>
        <v>107861885.00000048</v>
      </c>
      <c r="CC54" s="284">
        <f ca="1">CC52+'SC-I'!CC54</f>
        <v>0</v>
      </c>
      <c r="CD54" s="284">
        <f ca="1">CD52+'SC-I'!CD54</f>
        <v>0</v>
      </c>
      <c r="CE54" s="284">
        <f ca="1">CE52+'SC-I'!CE54</f>
        <v>0</v>
      </c>
      <c r="CF54" s="284">
        <f ca="1">CF52+'SC-I'!CF54</f>
        <v>0</v>
      </c>
      <c r="CG54" s="284">
        <f ca="1">CG52+'SC-I'!CG54</f>
        <v>0</v>
      </c>
      <c r="CH54" s="284">
        <f ca="1">CH52+'SC-I'!CH54</f>
        <v>0</v>
      </c>
      <c r="CI54" s="284">
        <f ca="1">CI52+'SC-I'!CI54</f>
        <v>0</v>
      </c>
      <c r="CJ54" s="284">
        <f ca="1">CJ52+'SC-I'!CJ54</f>
        <v>0</v>
      </c>
      <c r="CK54" s="284">
        <f ca="1">CK52+'SC-I'!CK54</f>
        <v>0</v>
      </c>
      <c r="CL54" s="284">
        <f ca="1">CL52+'SC-I'!CL54</f>
        <v>0</v>
      </c>
      <c r="CM54" s="284">
        <f ca="1">CM52+'SC-I'!CM54</f>
        <v>0</v>
      </c>
      <c r="CN54" s="284">
        <f ca="1">CN52+'SC-I'!CN54</f>
        <v>0</v>
      </c>
      <c r="CO54" s="284">
        <f ca="1">CO52+'SC-I'!CO54</f>
        <v>0</v>
      </c>
      <c r="CP54" s="284">
        <f ca="1">CP52+'SC-I'!CP54</f>
        <v>0</v>
      </c>
      <c r="CQ54" s="284">
        <f ca="1">CQ52+'SC-I'!CQ54</f>
        <v>0</v>
      </c>
      <c r="CR54" s="284">
        <f ca="1">CR52+'SC-I'!CR54</f>
        <v>0</v>
      </c>
      <c r="CS54" s="284">
        <f ca="1">CS52+'SC-I'!CS54</f>
        <v>0</v>
      </c>
      <c r="CT54" s="284">
        <f ca="1">CT52+'SC-I'!CT54</f>
        <v>0</v>
      </c>
      <c r="CU54" s="284">
        <f ca="1">CU52+'SC-I'!CU54</f>
        <v>0</v>
      </c>
      <c r="CV54" s="284">
        <f ca="1">CV52+'SC-I'!CV54</f>
        <v>0</v>
      </c>
      <c r="CW54" s="284">
        <f ca="1">CW52+'SC-I'!CW54</f>
        <v>0</v>
      </c>
      <c r="CX54" s="284">
        <f ca="1">CX52+'SC-I'!CX54</f>
        <v>0</v>
      </c>
      <c r="CY54" s="284">
        <f ca="1">CY52+'SC-I'!CY54</f>
        <v>0</v>
      </c>
      <c r="CZ54" s="284">
        <f ca="1">CZ52+'SC-I'!CZ54</f>
        <v>0</v>
      </c>
      <c r="DA54" s="284">
        <f ca="1">DA52+'SC-I'!DA54</f>
        <v>0</v>
      </c>
    </row>
    <row r="55" spans="1:105" ht="12" customHeight="1">
      <c r="B55" s="289"/>
      <c r="C55" s="290"/>
      <c r="D55" s="290"/>
      <c r="E55" s="290"/>
      <c r="F55" s="290"/>
      <c r="G55" s="291"/>
      <c r="H55" s="291"/>
      <c r="I55" s="290"/>
      <c r="J55" s="290"/>
      <c r="K55" s="290"/>
    </row>
    <row r="56" spans="1:105">
      <c r="M56" s="292"/>
      <c r="O56" s="292"/>
      <c r="Q56" s="292"/>
      <c r="R56" s="292"/>
      <c r="S56" s="292"/>
      <c r="T56" s="292"/>
      <c r="U56" s="292"/>
      <c r="V56" s="292"/>
      <c r="AM56" s="294"/>
      <c r="AN56" s="293" t="s">
        <v>230</v>
      </c>
      <c r="AO56" s="294"/>
      <c r="AP56" s="294"/>
      <c r="AQ56" s="294"/>
      <c r="AR56" s="295"/>
      <c r="AS56" s="295"/>
      <c r="AT56" s="294"/>
    </row>
    <row r="57" spans="1:105">
      <c r="M57" s="292"/>
      <c r="O57" s="292"/>
      <c r="Q57" s="292"/>
      <c r="R57" s="292"/>
      <c r="S57" s="292"/>
      <c r="T57" s="292"/>
      <c r="U57" s="292"/>
      <c r="V57" s="292"/>
      <c r="AM57" s="294"/>
      <c r="AN57" s="296" t="s">
        <v>220</v>
      </c>
      <c r="AO57" s="294"/>
      <c r="AP57" s="294"/>
      <c r="AQ57" s="294"/>
      <c r="AR57" s="295"/>
      <c r="AS57" s="295"/>
      <c r="AT57" s="294"/>
    </row>
    <row r="58" spans="1:105">
      <c r="M58" s="292"/>
      <c r="O58" s="292"/>
      <c r="Q58" s="292"/>
      <c r="R58" s="292"/>
      <c r="S58" s="292"/>
      <c r="T58" s="292"/>
      <c r="U58" s="292"/>
      <c r="V58" s="292"/>
      <c r="AL58" s="294"/>
      <c r="AM58" s="294"/>
      <c r="AN58" s="294"/>
      <c r="AO58" s="294"/>
      <c r="AP58" s="294"/>
      <c r="AQ58" s="294"/>
      <c r="AR58" s="294"/>
      <c r="AS58" s="294"/>
      <c r="AT58" s="295"/>
    </row>
    <row r="59" spans="1:105">
      <c r="M59" s="292"/>
      <c r="O59" s="292"/>
      <c r="Q59" s="292"/>
      <c r="R59" s="292"/>
      <c r="S59" s="292"/>
      <c r="T59" s="292"/>
      <c r="U59" s="292"/>
      <c r="V59" s="292"/>
      <c r="AL59" s="294"/>
      <c r="AM59" s="294"/>
      <c r="AN59" s="294"/>
      <c r="AO59" s="298" t="s">
        <v>11</v>
      </c>
      <c r="AQ59" s="294"/>
      <c r="AR59" s="294"/>
      <c r="AS59" s="294"/>
      <c r="AT59" s="295"/>
      <c r="AZ59" s="297" t="str">
        <f>"Ngày 30 tháng 06 năm 2015 "</f>
        <v xml:space="preserve">Ngày 30 tháng 06 năm 2015 </v>
      </c>
    </row>
    <row r="60" spans="1:105">
      <c r="M60" s="292"/>
      <c r="O60" s="292"/>
      <c r="Q60" s="292"/>
      <c r="R60" s="292"/>
      <c r="S60" s="292"/>
      <c r="T60" s="292"/>
      <c r="U60" s="292"/>
      <c r="V60" s="292"/>
      <c r="AL60" s="294"/>
      <c r="AN60" s="294"/>
      <c r="AO60" s="300" t="s">
        <v>13</v>
      </c>
      <c r="AQ60" s="294"/>
      <c r="AR60" s="294"/>
      <c r="AS60" s="299" t="s">
        <v>12</v>
      </c>
      <c r="AT60" s="295"/>
      <c r="AZ60" s="298" t="s">
        <v>131</v>
      </c>
    </row>
    <row r="61" spans="1:105">
      <c r="M61" s="292"/>
      <c r="O61" s="292"/>
      <c r="Q61" s="292"/>
      <c r="R61" s="292"/>
      <c r="S61" s="292"/>
      <c r="T61" s="292"/>
      <c r="U61" s="292"/>
      <c r="V61" s="292"/>
      <c r="AL61" s="294"/>
      <c r="AN61" s="294"/>
      <c r="AO61" s="294"/>
      <c r="AQ61" s="294"/>
      <c r="AR61" s="294"/>
      <c r="AS61" s="301" t="s">
        <v>13</v>
      </c>
      <c r="AT61" s="295"/>
      <c r="AZ61" s="300" t="s">
        <v>161</v>
      </c>
    </row>
    <row r="62" spans="1:105">
      <c r="M62" s="292"/>
      <c r="O62" s="292"/>
      <c r="Q62" s="292"/>
      <c r="R62" s="292"/>
      <c r="S62" s="292"/>
      <c r="T62" s="292"/>
      <c r="U62" s="292"/>
      <c r="V62" s="292"/>
      <c r="AL62" s="294"/>
      <c r="AN62" s="294"/>
      <c r="AO62" s="294"/>
      <c r="AP62" s="294"/>
      <c r="AQ62" s="294"/>
      <c r="AR62" s="294"/>
      <c r="AS62" s="294"/>
      <c r="AT62" s="295"/>
      <c r="AZ62" s="294"/>
    </row>
    <row r="63" spans="1:105">
      <c r="M63" s="292"/>
      <c r="O63" s="292"/>
      <c r="Q63" s="292"/>
      <c r="R63" s="292"/>
      <c r="S63" s="292"/>
      <c r="T63" s="292"/>
      <c r="U63" s="292"/>
      <c r="V63" s="292"/>
      <c r="AZ63" s="294"/>
    </row>
    <row r="64" spans="1:105">
      <c r="M64" s="292"/>
      <c r="O64" s="292"/>
      <c r="Q64" s="292"/>
      <c r="R64" s="292"/>
      <c r="S64" s="292"/>
      <c r="T64" s="292"/>
      <c r="U64" s="292"/>
      <c r="V64" s="292"/>
    </row>
    <row r="65" spans="13:22">
      <c r="M65" s="292"/>
      <c r="O65" s="292"/>
      <c r="Q65" s="292"/>
      <c r="R65" s="292"/>
      <c r="S65" s="292"/>
      <c r="T65" s="292"/>
      <c r="U65" s="292"/>
      <c r="V65" s="292"/>
    </row>
    <row r="66" spans="13:22">
      <c r="M66" s="292"/>
      <c r="O66" s="292"/>
      <c r="Q66" s="292"/>
      <c r="R66" s="292"/>
      <c r="S66" s="292"/>
      <c r="T66" s="292"/>
      <c r="U66" s="292"/>
      <c r="V66" s="292"/>
    </row>
    <row r="67" spans="13:22">
      <c r="M67" s="292"/>
      <c r="O67" s="292"/>
      <c r="Q67" s="292"/>
      <c r="R67" s="292"/>
      <c r="S67" s="292"/>
      <c r="T67" s="292"/>
      <c r="U67" s="292"/>
      <c r="V67" s="292"/>
    </row>
    <row r="68" spans="13:22">
      <c r="M68" s="292"/>
      <c r="O68" s="292"/>
      <c r="Q68" s="292"/>
      <c r="R68" s="292"/>
      <c r="S68" s="292"/>
      <c r="T68" s="292"/>
      <c r="U68" s="292"/>
      <c r="V68" s="292"/>
    </row>
    <row r="69" spans="13:22">
      <c r="M69" s="292"/>
      <c r="O69" s="292"/>
      <c r="Q69" s="292"/>
      <c r="R69" s="292"/>
      <c r="S69" s="292"/>
      <c r="T69" s="292"/>
      <c r="U69" s="292"/>
      <c r="V69" s="292"/>
    </row>
    <row r="70" spans="13:22">
      <c r="M70" s="292"/>
      <c r="O70" s="292"/>
      <c r="Q70" s="292"/>
      <c r="R70" s="292"/>
      <c r="S70" s="292"/>
      <c r="T70" s="292"/>
      <c r="U70" s="292"/>
      <c r="V70" s="292"/>
    </row>
    <row r="71" spans="13:22">
      <c r="M71" s="292"/>
      <c r="O71" s="292"/>
      <c r="Q71" s="292"/>
      <c r="R71" s="292"/>
      <c r="S71" s="292"/>
      <c r="T71" s="292"/>
      <c r="U71" s="292"/>
      <c r="V71" s="292"/>
    </row>
    <row r="72" spans="13:22">
      <c r="M72" s="292"/>
      <c r="O72" s="292"/>
      <c r="Q72" s="292"/>
      <c r="R72" s="292"/>
      <c r="S72" s="292"/>
      <c r="T72" s="292"/>
      <c r="U72" s="292"/>
      <c r="V72" s="292"/>
    </row>
    <row r="73" spans="13:22">
      <c r="M73" s="292"/>
      <c r="O73" s="292"/>
      <c r="Q73" s="292"/>
      <c r="R73" s="292"/>
      <c r="S73" s="292"/>
      <c r="T73" s="292"/>
      <c r="U73" s="292"/>
      <c r="V73" s="292"/>
    </row>
    <row r="74" spans="13:22">
      <c r="M74" s="292"/>
      <c r="O74" s="292"/>
      <c r="Q74" s="292"/>
      <c r="R74" s="292"/>
      <c r="S74" s="292"/>
      <c r="T74" s="292"/>
      <c r="U74" s="292"/>
      <c r="V74" s="292"/>
    </row>
    <row r="75" spans="13:22">
      <c r="M75" s="292"/>
      <c r="O75" s="292"/>
      <c r="Q75" s="292"/>
      <c r="R75" s="292"/>
      <c r="S75" s="292"/>
      <c r="T75" s="292"/>
      <c r="U75" s="292"/>
      <c r="V75" s="292"/>
    </row>
    <row r="76" spans="13:22">
      <c r="M76" s="292"/>
      <c r="O76" s="292"/>
      <c r="Q76" s="292"/>
      <c r="R76" s="292"/>
      <c r="S76" s="292"/>
      <c r="T76" s="292"/>
      <c r="U76" s="292"/>
      <c r="V76" s="292"/>
    </row>
    <row r="77" spans="13:22">
      <c r="M77" s="292"/>
      <c r="O77" s="292"/>
      <c r="Q77" s="292"/>
      <c r="R77" s="292"/>
      <c r="S77" s="292"/>
      <c r="T77" s="292"/>
      <c r="U77" s="292"/>
      <c r="V77" s="292"/>
    </row>
    <row r="78" spans="13:22">
      <c r="M78" s="292"/>
      <c r="O78" s="292"/>
      <c r="Q78" s="292"/>
      <c r="R78" s="292"/>
      <c r="S78" s="292"/>
      <c r="T78" s="292"/>
      <c r="U78" s="292"/>
      <c r="V78" s="292"/>
    </row>
    <row r="79" spans="13:22">
      <c r="M79" s="292"/>
      <c r="O79" s="292"/>
      <c r="Q79" s="292"/>
      <c r="R79" s="292"/>
      <c r="S79" s="292"/>
      <c r="T79" s="292"/>
      <c r="U79" s="292"/>
      <c r="V79" s="292"/>
    </row>
    <row r="80" spans="13:22">
      <c r="M80" s="292"/>
      <c r="O80" s="292"/>
      <c r="Q80" s="292"/>
      <c r="R80" s="292"/>
      <c r="S80" s="292"/>
      <c r="T80" s="292"/>
      <c r="U80" s="292"/>
      <c r="V80" s="292"/>
    </row>
    <row r="81" spans="13:22">
      <c r="M81" s="292"/>
      <c r="O81" s="292"/>
      <c r="Q81" s="292"/>
      <c r="R81" s="292"/>
      <c r="S81" s="292"/>
      <c r="T81" s="292"/>
      <c r="U81" s="292"/>
      <c r="V81" s="292"/>
    </row>
    <row r="82" spans="13:22">
      <c r="M82" s="292"/>
      <c r="O82" s="292"/>
      <c r="Q82" s="292"/>
      <c r="R82" s="292"/>
      <c r="S82" s="292"/>
      <c r="T82" s="292"/>
      <c r="U82" s="292"/>
      <c r="V82" s="292"/>
    </row>
    <row r="83" spans="13:22">
      <c r="M83" s="292"/>
      <c r="O83" s="292"/>
      <c r="Q83" s="292"/>
      <c r="R83" s="292"/>
      <c r="S83" s="292"/>
      <c r="T83" s="292"/>
      <c r="U83" s="292"/>
      <c r="V83" s="292"/>
    </row>
    <row r="84" spans="13:22">
      <c r="M84" s="292"/>
      <c r="O84" s="292"/>
      <c r="Q84" s="292"/>
      <c r="R84" s="292"/>
      <c r="S84" s="292"/>
      <c r="T84" s="292"/>
      <c r="U84" s="292"/>
      <c r="V84" s="292"/>
    </row>
    <row r="85" spans="13:22">
      <c r="M85" s="292"/>
      <c r="O85" s="292"/>
      <c r="Q85" s="292"/>
      <c r="R85" s="292"/>
      <c r="S85" s="292"/>
      <c r="T85" s="292"/>
      <c r="U85" s="292"/>
      <c r="V85" s="292"/>
    </row>
    <row r="86" spans="13:22">
      <c r="M86" s="292"/>
      <c r="O86" s="292"/>
      <c r="Q86" s="292"/>
      <c r="R86" s="292"/>
      <c r="S86" s="292"/>
      <c r="T86" s="292"/>
      <c r="U86" s="292"/>
      <c r="V86" s="292"/>
    </row>
    <row r="87" spans="13:22">
      <c r="M87" s="292"/>
      <c r="O87" s="292"/>
      <c r="Q87" s="292"/>
      <c r="R87" s="292"/>
      <c r="S87" s="292"/>
      <c r="T87" s="292"/>
      <c r="U87" s="292"/>
      <c r="V87" s="292"/>
    </row>
    <row r="88" spans="13:22">
      <c r="M88" s="292"/>
      <c r="O88" s="292"/>
      <c r="Q88" s="292"/>
      <c r="R88" s="292"/>
      <c r="S88" s="292"/>
      <c r="T88" s="292"/>
      <c r="U88" s="292"/>
      <c r="V88" s="292"/>
    </row>
    <row r="89" spans="13:22">
      <c r="M89" s="292"/>
      <c r="O89" s="292"/>
      <c r="Q89" s="292"/>
      <c r="R89" s="292"/>
      <c r="S89" s="292"/>
      <c r="T89" s="292"/>
      <c r="U89" s="292"/>
      <c r="V89" s="292"/>
    </row>
    <row r="90" spans="13:22">
      <c r="M90" s="292"/>
      <c r="O90" s="292"/>
      <c r="Q90" s="292"/>
      <c r="R90" s="292"/>
      <c r="S90" s="292"/>
      <c r="T90" s="292"/>
      <c r="U90" s="292"/>
      <c r="V90" s="292"/>
    </row>
    <row r="91" spans="13:22">
      <c r="M91" s="292"/>
      <c r="O91" s="292"/>
      <c r="Q91" s="292"/>
      <c r="R91" s="292"/>
      <c r="S91" s="292"/>
      <c r="T91" s="292"/>
      <c r="U91" s="292"/>
      <c r="V91" s="292"/>
    </row>
    <row r="92" spans="13:22">
      <c r="M92" s="292"/>
      <c r="O92" s="292"/>
      <c r="Q92" s="292"/>
      <c r="R92" s="292"/>
      <c r="S92" s="292"/>
      <c r="T92" s="292"/>
      <c r="U92" s="292"/>
      <c r="V92" s="292"/>
    </row>
    <row r="93" spans="13:22">
      <c r="M93" s="292"/>
      <c r="O93" s="292"/>
      <c r="Q93" s="292"/>
      <c r="R93" s="292"/>
      <c r="S93" s="292"/>
      <c r="T93" s="292"/>
      <c r="U93" s="292"/>
      <c r="V93" s="292"/>
    </row>
    <row r="94" spans="13:22">
      <c r="M94" s="292"/>
      <c r="O94" s="292"/>
      <c r="Q94" s="292"/>
      <c r="R94" s="292"/>
      <c r="S94" s="292"/>
      <c r="T94" s="292"/>
      <c r="U94" s="292"/>
      <c r="V94" s="292"/>
    </row>
    <row r="95" spans="13:22">
      <c r="M95" s="292"/>
      <c r="O95" s="292"/>
      <c r="Q95" s="292"/>
      <c r="R95" s="292"/>
      <c r="S95" s="292"/>
      <c r="T95" s="292"/>
      <c r="U95" s="292"/>
      <c r="V95" s="292"/>
    </row>
    <row r="96" spans="13:22">
      <c r="M96" s="292"/>
      <c r="O96" s="292"/>
      <c r="Q96" s="292"/>
      <c r="R96" s="292"/>
      <c r="S96" s="292"/>
      <c r="T96" s="292"/>
      <c r="U96" s="292"/>
      <c r="V96" s="292"/>
    </row>
    <row r="97" spans="13:22">
      <c r="M97" s="292"/>
      <c r="O97" s="292"/>
      <c r="Q97" s="292"/>
      <c r="R97" s="292"/>
      <c r="S97" s="292"/>
      <c r="T97" s="292"/>
      <c r="U97" s="292"/>
      <c r="V97" s="292"/>
    </row>
    <row r="98" spans="13:22">
      <c r="M98" s="292"/>
      <c r="O98" s="292"/>
      <c r="Q98" s="292"/>
      <c r="R98" s="292"/>
      <c r="S98" s="292"/>
      <c r="T98" s="292"/>
      <c r="U98" s="292"/>
      <c r="V98" s="292"/>
    </row>
    <row r="99" spans="13:22">
      <c r="M99" s="292"/>
      <c r="O99" s="292"/>
      <c r="Q99" s="292"/>
      <c r="R99" s="292"/>
      <c r="S99" s="292"/>
      <c r="T99" s="292"/>
      <c r="U99" s="292"/>
      <c r="V99" s="292"/>
    </row>
    <row r="100" spans="13:22">
      <c r="M100" s="292"/>
      <c r="O100" s="292"/>
      <c r="Q100" s="292"/>
      <c r="R100" s="292"/>
      <c r="S100" s="292"/>
      <c r="T100" s="292"/>
      <c r="U100" s="292"/>
      <c r="V100" s="292"/>
    </row>
    <row r="101" spans="13:22">
      <c r="M101" s="292"/>
      <c r="O101" s="292"/>
      <c r="Q101" s="292"/>
      <c r="R101" s="292"/>
      <c r="S101" s="292"/>
      <c r="T101" s="292"/>
      <c r="U101" s="292"/>
      <c r="V101" s="292"/>
    </row>
    <row r="102" spans="13:22">
      <c r="M102" s="292"/>
      <c r="O102" s="292"/>
      <c r="Q102" s="292"/>
      <c r="R102" s="292"/>
      <c r="S102" s="292"/>
      <c r="T102" s="292"/>
      <c r="U102" s="292"/>
      <c r="V102" s="292"/>
    </row>
    <row r="103" spans="13:22">
      <c r="M103" s="292"/>
      <c r="O103" s="292"/>
      <c r="Q103" s="292"/>
      <c r="R103" s="292"/>
      <c r="S103" s="292"/>
      <c r="T103" s="292"/>
      <c r="U103" s="292"/>
      <c r="V103" s="292"/>
    </row>
    <row r="104" spans="13:22">
      <c r="M104" s="292"/>
      <c r="O104" s="292"/>
      <c r="Q104" s="292"/>
      <c r="R104" s="292"/>
      <c r="S104" s="292"/>
      <c r="T104" s="292"/>
      <c r="U104" s="292"/>
      <c r="V104" s="292"/>
    </row>
    <row r="105" spans="13:22">
      <c r="M105" s="292"/>
      <c r="O105" s="292"/>
      <c r="Q105" s="292"/>
      <c r="R105" s="292"/>
      <c r="S105" s="292"/>
      <c r="T105" s="292"/>
      <c r="U105" s="292"/>
      <c r="V105" s="292"/>
    </row>
    <row r="106" spans="13:22">
      <c r="M106" s="292"/>
      <c r="O106" s="292"/>
      <c r="Q106" s="292"/>
      <c r="R106" s="292"/>
      <c r="S106" s="292"/>
      <c r="T106" s="292"/>
      <c r="U106" s="292"/>
      <c r="V106" s="292"/>
    </row>
    <row r="107" spans="13:22">
      <c r="M107" s="292"/>
      <c r="O107" s="292"/>
      <c r="Q107" s="292"/>
      <c r="R107" s="292"/>
      <c r="S107" s="292"/>
      <c r="T107" s="292"/>
      <c r="U107" s="292"/>
      <c r="V107" s="292"/>
    </row>
    <row r="108" spans="13:22">
      <c r="M108" s="292"/>
      <c r="O108" s="292"/>
      <c r="Q108" s="292"/>
      <c r="R108" s="292"/>
      <c r="S108" s="292"/>
      <c r="T108" s="292"/>
      <c r="U108" s="292"/>
      <c r="V108" s="292"/>
    </row>
    <row r="109" spans="13:22">
      <c r="M109" s="292"/>
      <c r="O109" s="292"/>
      <c r="Q109" s="292"/>
      <c r="R109" s="292"/>
      <c r="S109" s="292"/>
      <c r="T109" s="292"/>
      <c r="U109" s="292"/>
      <c r="V109" s="292"/>
    </row>
    <row r="110" spans="13:22">
      <c r="M110" s="292"/>
      <c r="O110" s="292"/>
      <c r="Q110" s="292"/>
      <c r="R110" s="292"/>
      <c r="S110" s="292"/>
      <c r="T110" s="292"/>
      <c r="U110" s="292"/>
      <c r="V110" s="292"/>
    </row>
    <row r="111" spans="13:22">
      <c r="M111" s="292"/>
      <c r="O111" s="292"/>
      <c r="Q111" s="292"/>
      <c r="R111" s="292"/>
      <c r="S111" s="292"/>
      <c r="T111" s="292"/>
      <c r="U111" s="292"/>
      <c r="V111" s="292"/>
    </row>
    <row r="112" spans="13:22">
      <c r="M112" s="292"/>
      <c r="O112" s="292"/>
      <c r="Q112" s="292"/>
      <c r="R112" s="292"/>
      <c r="S112" s="292"/>
      <c r="T112" s="292"/>
      <c r="U112" s="292"/>
      <c r="V112" s="292"/>
    </row>
    <row r="113" spans="13:22">
      <c r="M113" s="292"/>
      <c r="O113" s="292"/>
      <c r="Q113" s="292"/>
      <c r="R113" s="292"/>
      <c r="S113" s="292"/>
      <c r="T113" s="292"/>
      <c r="U113" s="292"/>
      <c r="V113" s="292"/>
    </row>
    <row r="114" spans="13:22">
      <c r="M114" s="292"/>
      <c r="O114" s="292"/>
      <c r="Q114" s="292"/>
      <c r="R114" s="292"/>
      <c r="S114" s="292"/>
      <c r="T114" s="292"/>
      <c r="U114" s="292"/>
      <c r="V114" s="292"/>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3" customWidth="1"/>
    <col min="2" max="2" width="8.28515625" style="253" customWidth="1"/>
    <col min="3" max="3" width="7.85546875" style="253" customWidth="1"/>
    <col min="4" max="4" width="8.28515625" style="253" customWidth="1"/>
    <col min="5" max="5" width="44.7109375" style="253" customWidth="1"/>
    <col min="6" max="6" width="15.140625" style="303" customWidth="1"/>
    <col min="7" max="8" width="5.85546875" style="254" customWidth="1"/>
    <col min="9" max="9" width="4.85546875" style="253" customWidth="1"/>
    <col min="10" max="10" width="13.28515625" style="253" customWidth="1"/>
    <col min="11" max="11" width="12.85546875" style="253" customWidth="1"/>
    <col min="12" max="15" width="13.42578125" style="253" customWidth="1"/>
    <col min="16" max="16" width="13.5703125" style="253" customWidth="1"/>
    <col min="17" max="17" width="13.28515625" style="253" customWidth="1"/>
    <col min="18" max="18" width="13.5703125" style="253" customWidth="1"/>
    <col min="19" max="19" width="11.42578125" style="253" customWidth="1"/>
    <col min="20" max="20" width="13.7109375" style="253" customWidth="1"/>
    <col min="21" max="21" width="4.42578125" style="253" customWidth="1"/>
    <col min="22" max="22" width="14.140625" style="253" customWidth="1"/>
    <col min="23" max="23" width="13.85546875" style="253" customWidth="1"/>
    <col min="24" max="24" width="5.42578125" style="253" customWidth="1"/>
    <col min="25" max="25" width="6.140625" style="253" customWidth="1"/>
    <col min="26" max="26" width="9.5703125" style="253" customWidth="1"/>
    <col min="27" max="27" width="9.7109375" style="253" customWidth="1"/>
    <col min="28" max="28" width="13" style="253" customWidth="1"/>
    <col min="29" max="29" width="12.85546875" style="253" customWidth="1"/>
    <col min="30" max="30" width="4.5703125" style="253" customWidth="1"/>
    <col min="31" max="31" width="13.85546875" style="253" customWidth="1"/>
    <col min="32" max="32" width="4.5703125" style="253" customWidth="1"/>
    <col min="33" max="33" width="13.85546875" style="253" customWidth="1"/>
    <col min="34" max="34" width="4.7109375" style="253" customWidth="1"/>
    <col min="35" max="35" width="12.5703125" style="253" customWidth="1"/>
    <col min="36" max="36" width="11.7109375" style="253" customWidth="1"/>
    <col min="37" max="37" width="5.28515625" style="253" customWidth="1"/>
    <col min="38" max="38" width="11.140625" style="253" customWidth="1"/>
    <col min="39" max="39" width="10.28515625" style="253" customWidth="1"/>
    <col min="40" max="40" width="9.5703125" style="253" customWidth="1"/>
    <col min="41" max="41" width="9.140625" style="253" customWidth="1"/>
    <col min="42" max="42" width="12.7109375" style="253" customWidth="1"/>
    <col min="43" max="43" width="12.5703125" style="253" customWidth="1"/>
    <col min="44" max="44" width="15.140625" style="253" customWidth="1"/>
    <col min="45" max="45" width="15.5703125" style="253" customWidth="1"/>
    <col min="46" max="47" width="10.85546875" style="253" customWidth="1"/>
    <col min="48" max="48" width="7" style="253" customWidth="1"/>
    <col min="49" max="49" width="7.7109375" style="253" customWidth="1"/>
    <col min="50" max="50" width="7.140625" style="253" customWidth="1"/>
    <col min="51" max="51" width="6.7109375" style="253" customWidth="1"/>
    <col min="52" max="52" width="14.7109375" style="253" customWidth="1"/>
    <col min="53" max="53" width="15.140625" style="253" customWidth="1"/>
    <col min="54" max="16384" width="9.140625" style="253"/>
  </cols>
  <sheetData>
    <row r="1" spans="1:105" ht="12.75" customHeight="1">
      <c r="A1" s="249"/>
      <c r="B1" s="250" t="s">
        <v>121</v>
      </c>
      <c r="C1" s="251"/>
      <c r="D1" s="251"/>
      <c r="E1" s="252"/>
      <c r="I1" s="251"/>
      <c r="K1" s="1310" t="s">
        <v>190</v>
      </c>
      <c r="L1" s="1310"/>
      <c r="M1" s="1310"/>
      <c r="N1" s="1310"/>
      <c r="O1" s="1310"/>
      <c r="P1" s="1310"/>
      <c r="Q1" s="1310"/>
      <c r="R1" s="252"/>
      <c r="T1" s="251"/>
      <c r="U1" s="251"/>
      <c r="V1" s="251"/>
      <c r="W1" s="251"/>
      <c r="X1" s="251"/>
      <c r="Y1" s="251"/>
      <c r="Z1" s="251"/>
      <c r="AA1" s="251"/>
      <c r="AB1" s="251"/>
      <c r="AC1" s="251"/>
      <c r="AD1" s="251"/>
      <c r="AE1" s="251"/>
      <c r="AF1" s="423"/>
      <c r="AG1" s="423"/>
      <c r="AH1" s="251"/>
      <c r="AI1" s="251"/>
      <c r="AJ1" s="251"/>
      <c r="AK1" s="251"/>
      <c r="AL1" s="251"/>
      <c r="AM1" s="251"/>
      <c r="AN1" s="251"/>
      <c r="AO1" s="251"/>
      <c r="AP1" s="252"/>
      <c r="AQ1" s="252"/>
      <c r="AR1" s="251"/>
      <c r="AS1" s="251"/>
      <c r="AT1" s="251"/>
      <c r="AU1" s="251"/>
      <c r="AV1" s="251"/>
      <c r="AW1" s="251"/>
      <c r="AX1" s="251"/>
      <c r="AY1" s="251"/>
      <c r="AZ1" s="251"/>
      <c r="BA1" s="251"/>
    </row>
    <row r="2" spans="1:105" ht="12.75" customHeight="1">
      <c r="A2" s="249"/>
      <c r="B2" s="250" t="s">
        <v>179</v>
      </c>
      <c r="C2" s="251"/>
      <c r="D2" s="251"/>
      <c r="E2" s="251"/>
      <c r="I2" s="255"/>
      <c r="K2" s="1311" t="s">
        <v>144</v>
      </c>
      <c r="L2" s="1311"/>
      <c r="M2" s="1311"/>
      <c r="N2" s="1311"/>
      <c r="O2" s="1311"/>
      <c r="P2" s="1311"/>
      <c r="Q2" s="1311"/>
      <c r="R2" s="256"/>
      <c r="T2" s="255"/>
      <c r="U2" s="255"/>
      <c r="V2" s="255"/>
      <c r="W2" s="255"/>
      <c r="X2" s="255"/>
      <c r="Y2" s="255"/>
      <c r="Z2" s="255"/>
      <c r="AA2" s="255"/>
      <c r="AB2" s="255"/>
      <c r="AC2" s="255"/>
      <c r="AD2" s="255"/>
      <c r="AE2" s="255"/>
      <c r="AF2" s="424"/>
      <c r="AG2" s="424"/>
      <c r="AH2" s="255"/>
      <c r="AI2" s="255"/>
      <c r="AJ2" s="255"/>
      <c r="AK2" s="255"/>
      <c r="AL2" s="255"/>
      <c r="AM2" s="255"/>
      <c r="AN2" s="255"/>
      <c r="AO2" s="255"/>
      <c r="AP2" s="256"/>
      <c r="AQ2" s="256"/>
      <c r="AR2" s="255"/>
      <c r="AS2" s="255"/>
      <c r="AT2" s="255"/>
      <c r="AU2" s="255"/>
      <c r="AV2" s="255"/>
      <c r="AW2" s="255"/>
      <c r="AX2" s="255"/>
      <c r="AY2" s="255"/>
      <c r="AZ2" s="255"/>
      <c r="BA2" s="255"/>
    </row>
    <row r="3" spans="1:105" ht="10.5" customHeight="1">
      <c r="A3" s="251"/>
      <c r="B3" s="251"/>
      <c r="C3" s="251"/>
      <c r="D3" s="251"/>
      <c r="E3" s="251"/>
      <c r="F3" s="304"/>
      <c r="G3" s="257"/>
      <c r="H3" s="257"/>
      <c r="I3" s="255"/>
      <c r="K3" s="1311"/>
      <c r="L3" s="1311"/>
      <c r="M3" s="1311"/>
      <c r="N3" s="1311"/>
      <c r="O3" s="1311"/>
      <c r="P3" s="1311"/>
      <c r="Q3" s="1311"/>
      <c r="R3" s="256"/>
      <c r="T3" s="255"/>
      <c r="U3" s="255"/>
      <c r="V3" s="255"/>
      <c r="W3" s="255"/>
      <c r="X3" s="255"/>
      <c r="Y3" s="255"/>
      <c r="Z3" s="255"/>
      <c r="AA3" s="255"/>
      <c r="AB3" s="255"/>
      <c r="AC3" s="255"/>
      <c r="AD3" s="255"/>
      <c r="AE3" s="255"/>
      <c r="AF3" s="424"/>
      <c r="AG3" s="424"/>
      <c r="AH3" s="255"/>
      <c r="AI3" s="255"/>
      <c r="AJ3" s="255"/>
      <c r="AK3" s="255"/>
      <c r="AL3" s="255"/>
      <c r="AM3" s="255"/>
      <c r="AN3" s="255"/>
      <c r="AO3" s="255"/>
      <c r="AP3" s="256"/>
      <c r="AQ3" s="256"/>
      <c r="AR3" s="255"/>
      <c r="AS3" s="255"/>
      <c r="AT3" s="255"/>
      <c r="AU3" s="255"/>
      <c r="AV3" s="255"/>
      <c r="AW3" s="255"/>
      <c r="AX3" s="255"/>
      <c r="AY3" s="255"/>
      <c r="AZ3" s="255"/>
      <c r="BA3" s="255"/>
    </row>
    <row r="4" spans="1:105" ht="19.5" customHeight="1">
      <c r="B4" s="1312" t="s">
        <v>112</v>
      </c>
      <c r="C4" s="1312"/>
      <c r="D4" s="1312"/>
      <c r="E4" s="1312"/>
      <c r="F4" s="1312"/>
      <c r="G4" s="1312"/>
      <c r="H4" s="1312"/>
      <c r="I4" s="1312"/>
      <c r="J4" s="1312"/>
      <c r="K4" s="1312"/>
      <c r="L4" s="1312"/>
      <c r="M4" s="1312"/>
      <c r="N4" s="1312"/>
      <c r="O4" s="1312"/>
      <c r="P4" s="1312"/>
      <c r="Q4" s="1312"/>
      <c r="R4" s="1312"/>
      <c r="S4" s="258"/>
      <c r="T4" s="260"/>
      <c r="U4" s="260"/>
      <c r="V4" s="260"/>
      <c r="W4" s="260"/>
      <c r="X4" s="260"/>
      <c r="Y4" s="260"/>
      <c r="Z4" s="260"/>
      <c r="AA4" s="260"/>
      <c r="AB4" s="260"/>
      <c r="AC4" s="260"/>
      <c r="AD4" s="260"/>
      <c r="AE4" s="260"/>
      <c r="AF4" s="260"/>
      <c r="AG4" s="260"/>
      <c r="AH4" s="260"/>
      <c r="AI4" s="260"/>
      <c r="AJ4" s="260"/>
      <c r="AK4" s="260"/>
      <c r="AL4" s="260"/>
      <c r="AM4" s="260"/>
      <c r="AN4" s="260"/>
      <c r="AO4" s="260"/>
      <c r="AP4" s="305"/>
      <c r="AQ4" s="305"/>
      <c r="AR4" s="260"/>
      <c r="AS4" s="260"/>
      <c r="AT4" s="260"/>
      <c r="AU4" s="260"/>
      <c r="AV4" s="260"/>
      <c r="AW4" s="260"/>
      <c r="AX4" s="260"/>
      <c r="AY4" s="260"/>
      <c r="AZ4" s="260"/>
      <c r="BA4" s="260"/>
    </row>
    <row r="5" spans="1:105" ht="15">
      <c r="B5" s="1313" t="s">
        <v>221</v>
      </c>
      <c r="C5" s="1313"/>
      <c r="D5" s="1313"/>
      <c r="E5" s="1313"/>
      <c r="F5" s="1313"/>
      <c r="G5" s="1313"/>
      <c r="H5" s="1313"/>
      <c r="I5" s="1313"/>
      <c r="J5" s="1313"/>
      <c r="K5" s="1313"/>
      <c r="L5" s="1313"/>
      <c r="M5" s="1313"/>
      <c r="N5" s="1313"/>
      <c r="O5" s="1313"/>
      <c r="P5" s="1313"/>
      <c r="Q5" s="1313"/>
      <c r="R5" s="1313"/>
      <c r="S5" s="261"/>
      <c r="AP5" s="261"/>
      <c r="AQ5" s="261"/>
    </row>
    <row r="7" spans="1:105" ht="13.5" customHeight="1">
      <c r="A7" s="1314" t="s">
        <v>37</v>
      </c>
      <c r="B7" s="1308" t="s">
        <v>22</v>
      </c>
      <c r="C7" s="1316" t="s">
        <v>1</v>
      </c>
      <c r="D7" s="1317"/>
      <c r="E7" s="1308" t="s">
        <v>0</v>
      </c>
      <c r="F7" s="1308" t="s">
        <v>113</v>
      </c>
      <c r="G7" s="1318" t="s">
        <v>114</v>
      </c>
      <c r="H7" s="1318"/>
      <c r="I7" s="1309" t="s">
        <v>37</v>
      </c>
      <c r="J7" s="1308" t="s">
        <v>192</v>
      </c>
      <c r="K7" s="1308"/>
      <c r="L7" s="1308" t="s">
        <v>193</v>
      </c>
      <c r="M7" s="1308"/>
      <c r="N7" s="1308" t="s">
        <v>268</v>
      </c>
      <c r="O7" s="1308"/>
      <c r="P7" s="1308" t="s">
        <v>966</v>
      </c>
      <c r="Q7" s="1308"/>
      <c r="R7" s="1308" t="s">
        <v>194</v>
      </c>
      <c r="S7" s="1308"/>
      <c r="T7" s="1308" t="s">
        <v>195</v>
      </c>
      <c r="U7" s="1308"/>
      <c r="V7" s="1308" t="s">
        <v>967</v>
      </c>
      <c r="W7" s="1308"/>
      <c r="X7" s="1308" t="s">
        <v>968</v>
      </c>
      <c r="Y7" s="1308"/>
      <c r="Z7" s="1308" t="s">
        <v>969</v>
      </c>
      <c r="AA7" s="1308"/>
      <c r="AB7" s="1308" t="s">
        <v>970</v>
      </c>
      <c r="AC7" s="1308"/>
      <c r="AD7" s="1308" t="s">
        <v>971</v>
      </c>
      <c r="AE7" s="1308"/>
      <c r="AF7" s="1308" t="s">
        <v>972</v>
      </c>
      <c r="AG7" s="1308"/>
      <c r="AH7" s="1308" t="s">
        <v>973</v>
      </c>
      <c r="AI7" s="1308"/>
      <c r="AJ7" s="1308" t="s">
        <v>974</v>
      </c>
      <c r="AK7" s="1308"/>
      <c r="AL7" s="1308" t="s">
        <v>975</v>
      </c>
      <c r="AM7" s="1308"/>
      <c r="AN7" s="1308" t="s">
        <v>976</v>
      </c>
      <c r="AO7" s="1308"/>
      <c r="AP7" s="1308" t="s">
        <v>977</v>
      </c>
      <c r="AQ7" s="1308"/>
      <c r="AR7" s="1308" t="s">
        <v>978</v>
      </c>
      <c r="AS7" s="1308"/>
      <c r="AT7" s="1308" t="s">
        <v>196</v>
      </c>
      <c r="AU7" s="1308"/>
      <c r="AV7" s="1308" t="s">
        <v>197</v>
      </c>
      <c r="AW7" s="1308"/>
      <c r="AX7" s="1308" t="s">
        <v>979</v>
      </c>
      <c r="AY7" s="1308"/>
      <c r="AZ7" s="1308" t="s">
        <v>980</v>
      </c>
      <c r="BA7" s="1308"/>
      <c r="BB7" s="1308" t="s">
        <v>981</v>
      </c>
      <c r="BC7" s="1308"/>
      <c r="BD7" s="1308" t="s">
        <v>198</v>
      </c>
      <c r="BE7" s="1308"/>
      <c r="BF7" s="1308" t="s">
        <v>982</v>
      </c>
      <c r="BG7" s="1308"/>
      <c r="BH7" s="1308" t="s">
        <v>199</v>
      </c>
      <c r="BI7" s="1308"/>
      <c r="BJ7" s="1308" t="s">
        <v>983</v>
      </c>
      <c r="BK7" s="1308"/>
      <c r="BL7" s="1308" t="s">
        <v>984</v>
      </c>
      <c r="BM7" s="1308"/>
      <c r="BN7" s="1308" t="s">
        <v>985</v>
      </c>
      <c r="BO7" s="1308"/>
      <c r="BP7" s="1308" t="s">
        <v>986</v>
      </c>
      <c r="BQ7" s="1308"/>
      <c r="BR7" s="1308" t="s">
        <v>200</v>
      </c>
      <c r="BS7" s="1308"/>
      <c r="BT7" s="1308" t="s">
        <v>201</v>
      </c>
      <c r="BU7" s="1308"/>
      <c r="BV7" s="1308" t="s">
        <v>263</v>
      </c>
      <c r="BW7" s="1308"/>
      <c r="BX7" s="1308" t="s">
        <v>202</v>
      </c>
      <c r="BY7" s="1308"/>
      <c r="BZ7" s="1308" t="s">
        <v>203</v>
      </c>
      <c r="CA7" s="1308"/>
      <c r="CB7" s="1308" t="s">
        <v>204</v>
      </c>
      <c r="CC7" s="1308"/>
      <c r="CD7" s="1308" t="s">
        <v>987</v>
      </c>
      <c r="CE7" s="1308"/>
      <c r="CF7" s="1308" t="s">
        <v>988</v>
      </c>
      <c r="CG7" s="1308"/>
      <c r="CH7" s="1308" t="s">
        <v>205</v>
      </c>
      <c r="CI7" s="1308"/>
      <c r="CJ7" s="1308" t="s">
        <v>989</v>
      </c>
      <c r="CK7" s="1308"/>
      <c r="CL7" s="1308" t="s">
        <v>990</v>
      </c>
      <c r="CM7" s="1308"/>
      <c r="CN7" s="1308" t="s">
        <v>206</v>
      </c>
      <c r="CO7" s="1308"/>
      <c r="CP7" s="1308" t="s">
        <v>991</v>
      </c>
      <c r="CQ7" s="1308"/>
      <c r="CR7" s="1308" t="s">
        <v>207</v>
      </c>
      <c r="CS7" s="1308"/>
      <c r="CT7" s="1308" t="s">
        <v>208</v>
      </c>
      <c r="CU7" s="1308"/>
      <c r="CV7" s="1308" t="s">
        <v>209</v>
      </c>
      <c r="CW7" s="1308"/>
      <c r="CX7" s="1308" t="s">
        <v>210</v>
      </c>
      <c r="CY7" s="1308"/>
      <c r="CZ7" s="1308" t="s">
        <v>211</v>
      </c>
      <c r="DA7" s="1308"/>
    </row>
    <row r="8" spans="1:105" ht="22.5" customHeight="1">
      <c r="A8" s="1315"/>
      <c r="B8" s="1308"/>
      <c r="C8" s="980" t="s">
        <v>17</v>
      </c>
      <c r="D8" s="979" t="s">
        <v>34</v>
      </c>
      <c r="E8" s="1308"/>
      <c r="F8" s="1308"/>
      <c r="G8" s="981" t="s">
        <v>24</v>
      </c>
      <c r="H8" s="981" t="s">
        <v>25</v>
      </c>
      <c r="I8" s="1309"/>
      <c r="J8" s="979" t="s">
        <v>24</v>
      </c>
      <c r="K8" s="979" t="s">
        <v>25</v>
      </c>
      <c r="L8" s="979" t="s">
        <v>24</v>
      </c>
      <c r="M8" s="979" t="s">
        <v>25</v>
      </c>
      <c r="N8" s="979" t="s">
        <v>24</v>
      </c>
      <c r="O8" s="979" t="s">
        <v>25</v>
      </c>
      <c r="P8" s="979" t="s">
        <v>24</v>
      </c>
      <c r="Q8" s="979" t="s">
        <v>25</v>
      </c>
      <c r="R8" s="979" t="s">
        <v>24</v>
      </c>
      <c r="S8" s="979" t="s">
        <v>25</v>
      </c>
      <c r="T8" s="979" t="s">
        <v>24</v>
      </c>
      <c r="U8" s="979" t="s">
        <v>25</v>
      </c>
      <c r="V8" s="979" t="s">
        <v>24</v>
      </c>
      <c r="W8" s="979" t="s">
        <v>25</v>
      </c>
      <c r="X8" s="979" t="s">
        <v>24</v>
      </c>
      <c r="Y8" s="979" t="s">
        <v>25</v>
      </c>
      <c r="Z8" s="979" t="s">
        <v>24</v>
      </c>
      <c r="AA8" s="979" t="s">
        <v>25</v>
      </c>
      <c r="AB8" s="979" t="s">
        <v>24</v>
      </c>
      <c r="AC8" s="979" t="s">
        <v>25</v>
      </c>
      <c r="AD8" s="979" t="s">
        <v>24</v>
      </c>
      <c r="AE8" s="979" t="s">
        <v>25</v>
      </c>
      <c r="AF8" s="979" t="s">
        <v>24</v>
      </c>
      <c r="AG8" s="979" t="s">
        <v>25</v>
      </c>
      <c r="AH8" s="979" t="s">
        <v>24</v>
      </c>
      <c r="AI8" s="979" t="s">
        <v>25</v>
      </c>
      <c r="AJ8" s="979" t="s">
        <v>24</v>
      </c>
      <c r="AK8" s="979" t="s">
        <v>25</v>
      </c>
      <c r="AL8" s="979" t="s">
        <v>24</v>
      </c>
      <c r="AM8" s="979" t="s">
        <v>25</v>
      </c>
      <c r="AN8" s="979" t="s">
        <v>24</v>
      </c>
      <c r="AO8" s="979" t="s">
        <v>25</v>
      </c>
      <c r="AP8" s="979" t="s">
        <v>24</v>
      </c>
      <c r="AQ8" s="979" t="s">
        <v>25</v>
      </c>
      <c r="AR8" s="979" t="s">
        <v>24</v>
      </c>
      <c r="AS8" s="979" t="s">
        <v>25</v>
      </c>
      <c r="AT8" s="979" t="s">
        <v>24</v>
      </c>
      <c r="AU8" s="979" t="s">
        <v>25</v>
      </c>
      <c r="AV8" s="979" t="s">
        <v>24</v>
      </c>
      <c r="AW8" s="979" t="s">
        <v>25</v>
      </c>
      <c r="AX8" s="979" t="s">
        <v>24</v>
      </c>
      <c r="AY8" s="979" t="s">
        <v>25</v>
      </c>
      <c r="AZ8" s="979" t="s">
        <v>24</v>
      </c>
      <c r="BA8" s="979" t="s">
        <v>25</v>
      </c>
      <c r="BB8" s="979" t="s">
        <v>24</v>
      </c>
      <c r="BC8" s="979" t="s">
        <v>25</v>
      </c>
      <c r="BD8" s="979" t="s">
        <v>24</v>
      </c>
      <c r="BE8" s="979" t="s">
        <v>25</v>
      </c>
      <c r="BF8" s="979" t="s">
        <v>24</v>
      </c>
      <c r="BG8" s="979" t="s">
        <v>25</v>
      </c>
      <c r="BH8" s="979" t="s">
        <v>24</v>
      </c>
      <c r="BI8" s="979" t="s">
        <v>25</v>
      </c>
      <c r="BJ8" s="979" t="s">
        <v>24</v>
      </c>
      <c r="BK8" s="979" t="s">
        <v>25</v>
      </c>
      <c r="BL8" s="979" t="s">
        <v>24</v>
      </c>
      <c r="BM8" s="979" t="s">
        <v>25</v>
      </c>
      <c r="BN8" s="979" t="s">
        <v>24</v>
      </c>
      <c r="BO8" s="979" t="s">
        <v>25</v>
      </c>
      <c r="BP8" s="979" t="s">
        <v>24</v>
      </c>
      <c r="BQ8" s="979" t="s">
        <v>25</v>
      </c>
      <c r="BR8" s="979" t="s">
        <v>24</v>
      </c>
      <c r="BS8" s="979" t="s">
        <v>25</v>
      </c>
      <c r="BT8" s="979" t="s">
        <v>24</v>
      </c>
      <c r="BU8" s="979" t="s">
        <v>25</v>
      </c>
      <c r="BV8" s="979" t="s">
        <v>24</v>
      </c>
      <c r="BW8" s="979" t="s">
        <v>25</v>
      </c>
      <c r="BX8" s="979" t="s">
        <v>24</v>
      </c>
      <c r="BY8" s="979" t="s">
        <v>25</v>
      </c>
      <c r="BZ8" s="979" t="s">
        <v>24</v>
      </c>
      <c r="CA8" s="979" t="s">
        <v>25</v>
      </c>
      <c r="CB8" s="979" t="s">
        <v>24</v>
      </c>
      <c r="CC8" s="979" t="s">
        <v>25</v>
      </c>
      <c r="CD8" s="979" t="s">
        <v>24</v>
      </c>
      <c r="CE8" s="979" t="s">
        <v>25</v>
      </c>
      <c r="CF8" s="979" t="s">
        <v>24</v>
      </c>
      <c r="CG8" s="979" t="s">
        <v>25</v>
      </c>
      <c r="CH8" s="979" t="s">
        <v>24</v>
      </c>
      <c r="CI8" s="979" t="s">
        <v>25</v>
      </c>
      <c r="CJ8" s="979" t="s">
        <v>24</v>
      </c>
      <c r="CK8" s="979" t="s">
        <v>25</v>
      </c>
      <c r="CL8" s="979" t="s">
        <v>24</v>
      </c>
      <c r="CM8" s="979" t="s">
        <v>25</v>
      </c>
      <c r="CN8" s="979" t="s">
        <v>24</v>
      </c>
      <c r="CO8" s="979" t="s">
        <v>25</v>
      </c>
      <c r="CP8" s="979" t="s">
        <v>24</v>
      </c>
      <c r="CQ8" s="979" t="s">
        <v>25</v>
      </c>
      <c r="CR8" s="979" t="s">
        <v>24</v>
      </c>
      <c r="CS8" s="979" t="s">
        <v>25</v>
      </c>
      <c r="CT8" s="979" t="s">
        <v>24</v>
      </c>
      <c r="CU8" s="979" t="s">
        <v>25</v>
      </c>
      <c r="CV8" s="979" t="s">
        <v>24</v>
      </c>
      <c r="CW8" s="979" t="s">
        <v>25</v>
      </c>
      <c r="CX8" s="979" t="s">
        <v>24</v>
      </c>
      <c r="CY8" s="979" t="s">
        <v>25</v>
      </c>
      <c r="CZ8" s="979" t="s">
        <v>24</v>
      </c>
      <c r="DA8" s="979"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 ca="1">'SC-II'!J53</f>
        <v>3705039095</v>
      </c>
      <c r="K10" s="271">
        <f ca="1">'SC-II'!K53</f>
        <v>0</v>
      </c>
      <c r="L10" s="271">
        <f ca="1">'SC-II'!L53</f>
        <v>19829295</v>
      </c>
      <c r="M10" s="271">
        <f ca="1">'SC-II'!M53</f>
        <v>0</v>
      </c>
      <c r="N10" s="271">
        <f ca="1">'SC-II'!N53</f>
        <v>2236796790</v>
      </c>
      <c r="O10" s="271">
        <f ca="1">'SC-II'!O53</f>
        <v>0</v>
      </c>
      <c r="P10" s="271">
        <f ca="1">'SC-II'!P53</f>
        <v>3343381600</v>
      </c>
      <c r="Q10" s="271">
        <f ca="1">'SC-II'!Q53</f>
        <v>0</v>
      </c>
      <c r="R10" s="271">
        <f ca="1">'SC-II'!R53</f>
        <v>162420936</v>
      </c>
      <c r="S10" s="271">
        <f ca="1">'SC-II'!S53</f>
        <v>0</v>
      </c>
      <c r="T10" s="271">
        <f ca="1">'SC-II'!T53</f>
        <v>1500000000</v>
      </c>
      <c r="U10" s="271">
        <f ca="1">'SC-II'!U53</f>
        <v>0</v>
      </c>
      <c r="V10" s="271">
        <f ca="1">'SC-II'!V53</f>
        <v>0</v>
      </c>
      <c r="W10" s="271">
        <f ca="1">'SC-II'!W53</f>
        <v>0</v>
      </c>
      <c r="X10" s="271">
        <f ca="1">'SC-II'!X53</f>
        <v>2772400000</v>
      </c>
      <c r="Y10" s="271">
        <f ca="1">'SC-II'!Y53</f>
        <v>0</v>
      </c>
      <c r="Z10" s="271">
        <f ca="1">'SC-II'!Z53</f>
        <v>526519887</v>
      </c>
      <c r="AA10" s="271">
        <f ca="1">'SC-II'!AA53</f>
        <v>0</v>
      </c>
      <c r="AB10" s="271">
        <f ca="1">'SC-II'!AB53</f>
        <v>0</v>
      </c>
      <c r="AC10" s="271">
        <f ca="1">'SC-II'!AC53</f>
        <v>0</v>
      </c>
      <c r="AD10" s="271">
        <f ca="1">'SC-II'!AD53</f>
        <v>0</v>
      </c>
      <c r="AE10" s="271">
        <f ca="1">'SC-II'!AE53</f>
        <v>0</v>
      </c>
      <c r="AF10" s="271">
        <f ca="1">'SC-II'!AF53</f>
        <v>9386323824</v>
      </c>
      <c r="AG10" s="271">
        <f ca="1">'SC-II'!AG53</f>
        <v>0</v>
      </c>
      <c r="AH10" s="271">
        <f ca="1">'SC-II'!AH53</f>
        <v>7490743648</v>
      </c>
      <c r="AI10" s="271">
        <f ca="1">'SC-II'!AI53</f>
        <v>0</v>
      </c>
      <c r="AJ10" s="271">
        <f ca="1">'SC-II'!AJ53</f>
        <v>3807898863</v>
      </c>
      <c r="AK10" s="271">
        <f ca="1">'SC-II'!AK53</f>
        <v>0</v>
      </c>
      <c r="AL10" s="271">
        <f ca="1">'SC-II'!AL53</f>
        <v>3790918485</v>
      </c>
      <c r="AM10" s="271">
        <f ca="1">'SC-II'!AM53</f>
        <v>0</v>
      </c>
      <c r="AN10" s="271">
        <f ca="1">'SC-II'!AN53</f>
        <v>5405781300</v>
      </c>
      <c r="AO10" s="271">
        <f ca="1">'SC-II'!AO53</f>
        <v>0</v>
      </c>
      <c r="AP10" s="271">
        <f ca="1">'SC-II'!AP53</f>
        <v>0</v>
      </c>
      <c r="AQ10" s="271">
        <f ca="1">'SC-II'!AQ53</f>
        <v>9132359256</v>
      </c>
      <c r="AR10" s="271">
        <f ca="1">'SC-II'!AR53</f>
        <v>0</v>
      </c>
      <c r="AS10" s="271">
        <f ca="1">'SC-II'!AS53</f>
        <v>600642360</v>
      </c>
      <c r="AT10" s="271">
        <f ca="1">'SC-II'!AT53</f>
        <v>0</v>
      </c>
      <c r="AU10" s="271">
        <f ca="1">'SC-II'!AU53</f>
        <v>0</v>
      </c>
      <c r="AV10" s="271">
        <f ca="1">'SC-II'!AV53</f>
        <v>0</v>
      </c>
      <c r="AW10" s="271">
        <f ca="1">'SC-II'!AW53</f>
        <v>476953252</v>
      </c>
      <c r="AX10" s="271">
        <f ca="1">'SC-II'!AX53</f>
        <v>0</v>
      </c>
      <c r="AY10" s="271">
        <f ca="1">'SC-II'!AY53</f>
        <v>0</v>
      </c>
      <c r="AZ10" s="271">
        <f ca="1">'SC-II'!AZ53</f>
        <v>0</v>
      </c>
      <c r="BA10" s="271">
        <f ca="1">'SC-II'!BA53</f>
        <v>0</v>
      </c>
      <c r="BB10" s="271">
        <f ca="1">'SC-II'!BB53</f>
        <v>0</v>
      </c>
      <c r="BC10" s="271">
        <f ca="1">'SC-II'!BC53</f>
        <v>0</v>
      </c>
      <c r="BD10" s="271">
        <f ca="1">'SC-II'!BD53</f>
        <v>0</v>
      </c>
      <c r="BE10" s="271">
        <f ca="1">'SC-II'!BE53</f>
        <v>3313435</v>
      </c>
      <c r="BF10" s="271">
        <f ca="1">'SC-II'!BF53</f>
        <v>3389804</v>
      </c>
      <c r="BG10" s="271">
        <f ca="1">'SC-II'!BG53</f>
        <v>0</v>
      </c>
      <c r="BH10" s="271">
        <f ca="1">'SC-II'!BH53</f>
        <v>0</v>
      </c>
      <c r="BI10" s="271">
        <f ca="1">'SC-II'!BI53</f>
        <v>0</v>
      </c>
      <c r="BJ10" s="271">
        <f ca="1">'SC-II'!BJ53</f>
        <v>0</v>
      </c>
      <c r="BK10" s="271">
        <f ca="1">'SC-II'!BK53</f>
        <v>0</v>
      </c>
      <c r="BL10" s="271">
        <f ca="1">'SC-II'!BL53</f>
        <v>0</v>
      </c>
      <c r="BM10" s="271">
        <f ca="1">'SC-II'!BM53</f>
        <v>40272309</v>
      </c>
      <c r="BN10" s="271">
        <f ca="1">'SC-II'!BN53</f>
        <v>0</v>
      </c>
      <c r="BO10" s="271">
        <f ca="1">'SC-II'!BO53</f>
        <v>6403142</v>
      </c>
      <c r="BP10" s="271">
        <f ca="1">'SC-II'!BP53</f>
        <v>0</v>
      </c>
      <c r="BQ10" s="271">
        <f ca="1">'SC-II'!BQ53</f>
        <v>2761373</v>
      </c>
      <c r="BR10" s="271">
        <f ca="1">'SC-II'!BR53</f>
        <v>0</v>
      </c>
      <c r="BS10" s="271">
        <f ca="1">'SC-II'!BS53</f>
        <v>0</v>
      </c>
      <c r="BT10" s="271">
        <f ca="1">'SC-II'!BT53</f>
        <v>0</v>
      </c>
      <c r="BU10" s="271">
        <f ca="1">'SC-II'!BU53</f>
        <v>2169121879</v>
      </c>
      <c r="BV10" s="271">
        <f ca="1">'SC-II'!BV53</f>
        <v>0</v>
      </c>
      <c r="BW10" s="271">
        <f ca="1">'SC-II'!BW53</f>
        <v>21202920500</v>
      </c>
      <c r="BX10" s="271">
        <f ca="1">'SC-II'!BX53</f>
        <v>0</v>
      </c>
      <c r="BY10" s="271">
        <f ca="1">'SC-II'!BY53</f>
        <v>10000000000</v>
      </c>
      <c r="BZ10" s="271">
        <f ca="1">'SC-II'!BZ53</f>
        <v>0</v>
      </c>
      <c r="CA10" s="271">
        <f ca="1">'SC-II'!CA53</f>
        <v>594397022.00000048</v>
      </c>
      <c r="CB10" s="271">
        <f ca="1">'SC-II'!CB53</f>
        <v>77701001</v>
      </c>
      <c r="CC10" s="271">
        <f ca="1">'SC-II'!CC53</f>
        <v>0</v>
      </c>
      <c r="CD10" s="271">
        <f ca="1">'SC-II'!CD53</f>
        <v>0</v>
      </c>
      <c r="CE10" s="271">
        <f ca="1">'SC-II'!CE53</f>
        <v>0</v>
      </c>
      <c r="CF10" s="271">
        <f ca="1">'SC-II'!CF53</f>
        <v>0</v>
      </c>
      <c r="CG10" s="271">
        <f ca="1">'SC-II'!CG53</f>
        <v>0</v>
      </c>
      <c r="CH10" s="271">
        <f ca="1">'SC-II'!CH53</f>
        <v>0</v>
      </c>
      <c r="CI10" s="271">
        <f ca="1">'SC-II'!CI53</f>
        <v>0</v>
      </c>
      <c r="CJ10" s="271">
        <f ca="1">'SC-II'!CJ53</f>
        <v>0</v>
      </c>
      <c r="CK10" s="271">
        <f ca="1">'SC-II'!CK53</f>
        <v>0</v>
      </c>
      <c r="CL10" s="271">
        <f ca="1">'SC-II'!CL53</f>
        <v>0</v>
      </c>
      <c r="CM10" s="271">
        <f ca="1">'SC-II'!CM53</f>
        <v>0</v>
      </c>
      <c r="CN10" s="271">
        <f ca="1">'SC-II'!CN53</f>
        <v>0</v>
      </c>
      <c r="CO10" s="271">
        <f ca="1">'SC-II'!CO53</f>
        <v>0</v>
      </c>
      <c r="CP10" s="271">
        <f ca="1">'SC-II'!CP53</f>
        <v>0</v>
      </c>
      <c r="CQ10" s="271">
        <f ca="1">'SC-II'!CQ53</f>
        <v>0</v>
      </c>
      <c r="CR10" s="271">
        <f ca="1">'SC-II'!CR53</f>
        <v>0</v>
      </c>
      <c r="CS10" s="271">
        <f ca="1">'SC-II'!CS53</f>
        <v>0</v>
      </c>
      <c r="CT10" s="271">
        <f ca="1">'SC-II'!CT53</f>
        <v>0</v>
      </c>
      <c r="CU10" s="271">
        <f ca="1">'SC-II'!CU53</f>
        <v>0</v>
      </c>
      <c r="CV10" s="271">
        <f ca="1">'SC-II'!CV53</f>
        <v>0</v>
      </c>
      <c r="CW10" s="271">
        <f ca="1">'SC-II'!CW53</f>
        <v>0</v>
      </c>
      <c r="CX10" s="271">
        <f ca="1">'SC-II'!CX53</f>
        <v>0</v>
      </c>
      <c r="CY10" s="271">
        <f ca="1">'SC-II'!CY53</f>
        <v>0</v>
      </c>
      <c r="CZ10" s="271">
        <f ca="1">'SC-II'!CZ53</f>
        <v>0</v>
      </c>
      <c r="DA10" s="271">
        <f ca="1">'SC-II'!DA53</f>
        <v>0</v>
      </c>
    </row>
    <row r="11" spans="1:105" s="272" customFormat="1" ht="15.75" customHeight="1">
      <c r="A11" s="63">
        <f t="array" aca="1" ref="A11" ca="1">IF(C11&lt;&gt;0,SUM(($C$11:C11&lt;&gt;0)*1),"")</f>
        <v>1</v>
      </c>
      <c r="B11" s="273" t="str">
        <f ca="1">IF(ROWS($1:1)&gt;COUNT(Dong8),"",OFFSET(TH!C$1,SMALL(Dong8,ROWS($1:1)),))</f>
        <v/>
      </c>
      <c r="C11" s="273" t="str">
        <f ca="1">IF(ROWS($1:1)&gt;COUNT(Dong8),"",OFFSET(TH!D$1,SMALL(Dong8,ROWS($1:1)),))</f>
        <v/>
      </c>
      <c r="D11" s="273" t="str">
        <f ca="1">IF(ROWS($1:1)&gt;COUNT(Dong8),"",OFFSET(TH!E$1,SMALL(Dong8,ROWS($1:1)),))</f>
        <v/>
      </c>
      <c r="E11" s="363" t="str">
        <f ca="1">IF(ROWS($1:1)&gt;COUNT(Dong8),"",OFFSET(TH!F$1,SMALL(Dong8,ROWS($1:1)),))</f>
        <v/>
      </c>
      <c r="F11" s="324" t="str">
        <f ca="1">IF(ROWS($1:1)&gt;COUNT(Dong8),"",OFFSET(TH!M$1,SMALL(Dong8,ROWS($1:1)),))</f>
        <v/>
      </c>
      <c r="G11" s="326" t="str">
        <f ca="1">IF(ROWS($1:1)&gt;COUNT(Dong8),"",OFFSET(TH!N$1,SMALL(Dong8,ROWS($1:1)),))</f>
        <v/>
      </c>
      <c r="H11" s="326" t="str">
        <f ca="1">IF(ROWS($1:1)&gt;COUNT(Dong8),"",OFFSET(TH!O$1,SMALL(Dong8,ROWS($1:1)),))</f>
        <v/>
      </c>
      <c r="I11" s="63">
        <f t="shared" ref="I11:I26" ca="1" si="0">A11</f>
        <v>1</v>
      </c>
      <c r="J11" s="275">
        <f ca="1">IF($G11="1111",$F11,0)</f>
        <v>0</v>
      </c>
      <c r="K11" s="275">
        <f ca="1">IF($H11="1111",$F11,0)</f>
        <v>0</v>
      </c>
      <c r="L11" s="275">
        <f t="shared" ref="L11:L50" ca="1" si="1">IF($G11="1121",$F11,0)</f>
        <v>0</v>
      </c>
      <c r="M11" s="275">
        <f t="shared" ref="M11:M50" ca="1" si="2">IF($H11="1121",$F11,0)</f>
        <v>0</v>
      </c>
      <c r="N11" s="275">
        <f t="shared" ref="N11:N50" ca="1" si="3">IF($G11="1122",$F11,0)</f>
        <v>0</v>
      </c>
      <c r="O11" s="275">
        <f t="shared" ref="O11:O50" ca="1" si="4">IF($H11="1122",$F11,0)</f>
        <v>0</v>
      </c>
      <c r="P11" s="275">
        <f t="shared" ref="P11:P50" ca="1" si="5">IF($G11="131",$F11,0)</f>
        <v>0</v>
      </c>
      <c r="Q11" s="275">
        <f t="shared" ref="Q11:Q50" ca="1" si="6">IF($H11="131",$F11,0)</f>
        <v>0</v>
      </c>
      <c r="R11" s="275">
        <f t="shared" ref="R11:R50" ca="1" si="7">IF($G11="1331",$F11,0)</f>
        <v>0</v>
      </c>
      <c r="S11" s="275">
        <f t="shared" ref="S11:S50" ca="1" si="8">IF($H11="1331",$F11,0)</f>
        <v>0</v>
      </c>
      <c r="T11" s="275">
        <f t="shared" ref="T11:T50" ca="1" si="9">IF($G11="1388",$F11,0)</f>
        <v>0</v>
      </c>
      <c r="U11" s="275">
        <f t="shared" ref="U11:U50" ca="1" si="10">IF($H11="1388",$F11,0)</f>
        <v>0</v>
      </c>
      <c r="V11" s="275">
        <f t="shared" ref="V11:V50" ca="1" si="11">IF($G11="141",$F11,0)</f>
        <v>0</v>
      </c>
      <c r="W11" s="275">
        <f t="shared" ref="W11:W50" ca="1" si="12">IF($H11="141",$F11,0)</f>
        <v>0</v>
      </c>
      <c r="X11" s="275">
        <f t="shared" ref="X11:X50" ca="1" si="13">IF($G11="1521",$F11,0)</f>
        <v>0</v>
      </c>
      <c r="Y11" s="275">
        <f t="shared" ref="Y11:Y50" ca="1" si="14">IF($H11="1521",$F11,0)</f>
        <v>0</v>
      </c>
      <c r="Z11" s="275">
        <f t="shared" ref="Z11:Z50" ca="1" si="15">IF($G11="1522",$F11,0)</f>
        <v>0</v>
      </c>
      <c r="AA11" s="275">
        <f t="shared" ref="AA11:AA50" ca="1" si="16">IF($H11="1522",$F11,0)</f>
        <v>0</v>
      </c>
      <c r="AB11" s="275">
        <f ca="1">IF($G11="153",$F11,0)</f>
        <v>0</v>
      </c>
      <c r="AC11" s="275">
        <f ca="1">IF($H11="153",$F11,0)</f>
        <v>0</v>
      </c>
      <c r="AD11" s="275">
        <f t="shared" ref="AD11:AD50" ca="1" si="17">IF($G11="154",$F11,0)</f>
        <v>0</v>
      </c>
      <c r="AE11" s="275">
        <f t="shared" ref="AE11:AE50" ca="1" si="18">IF($H11="154",$F11,0)</f>
        <v>0</v>
      </c>
      <c r="AF11" s="275">
        <f t="shared" ref="AF11:AF50" ca="1" si="19">IF($G11="155",$F11,0)</f>
        <v>0</v>
      </c>
      <c r="AG11" s="275">
        <f t="shared" ref="AG11:AG50"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0" ca="1" si="21">IF($G11="2141",$F11,0)</f>
        <v>0</v>
      </c>
      <c r="AQ11" s="275">
        <f t="shared" ref="AQ11:AQ50" ca="1" si="22">IF($H11="2141",$F11,0)</f>
        <v>0</v>
      </c>
      <c r="AR11" s="275">
        <f t="shared" ref="AR11:AR50" ca="1" si="23">IF($G11="2143",$F11,0)</f>
        <v>0</v>
      </c>
      <c r="AS11" s="275">
        <f t="shared" ref="AS11:AS50" ca="1" si="24">IF($H11="2143",$F11,0)</f>
        <v>0</v>
      </c>
      <c r="AT11" s="275">
        <f ca="1">IF($G11="2412",$F11,0)</f>
        <v>0</v>
      </c>
      <c r="AU11" s="275">
        <f ca="1">IF($H11="2412",$F11,0)</f>
        <v>0</v>
      </c>
      <c r="AV11" s="275">
        <f t="shared" ref="AV11:AV50" ca="1" si="25">IF($G11="331",$F11,0)</f>
        <v>0</v>
      </c>
      <c r="AW11" s="275">
        <f t="shared" ref="AW11:AW50" ca="1" si="26">IF($H11="331",$F11,0)</f>
        <v>0</v>
      </c>
      <c r="AX11" s="275">
        <f t="shared" ref="AX11:AX50" ca="1" si="27">IF($G11="33311",$F11,0)</f>
        <v>0</v>
      </c>
      <c r="AY11" s="275">
        <f t="shared" ref="AY11:AY50" ca="1" si="28">IF($H11="33311",$F11,0)</f>
        <v>0</v>
      </c>
      <c r="AZ11" s="275">
        <f t="shared" ref="AZ11:AZ50" ca="1" si="29">IF($G11="33312",$F11,0)</f>
        <v>0</v>
      </c>
      <c r="BA11" s="275">
        <f t="shared" ref="BA11:BA50" ca="1" si="30">IF($H11="33312",$F11,0)</f>
        <v>0</v>
      </c>
      <c r="BB11" s="275">
        <f t="shared" ref="BB11:BB50" ca="1" si="31">IF($G11="3333",$F11,0)</f>
        <v>0</v>
      </c>
      <c r="BC11" s="275">
        <f t="shared" ref="BC11:BC50" ca="1" si="32">IF($H11="3333",$F11,0)</f>
        <v>0</v>
      </c>
      <c r="BD11" s="275">
        <f t="shared" ref="BD11:BD50" ca="1" si="33">IF($G11="3334",$F11,0)</f>
        <v>0</v>
      </c>
      <c r="BE11" s="275">
        <f t="shared" ref="BE11:BE50" ca="1" si="34">IF($H11="3334",$F11,0)</f>
        <v>0</v>
      </c>
      <c r="BF11" s="275">
        <f t="shared" ref="BF11:BF50" ca="1" si="35">IF($G11="3335",$F11,0)</f>
        <v>0</v>
      </c>
      <c r="BG11" s="275">
        <f t="shared" ref="BG11:BG50" ca="1" si="36">IF($H11="3335",$F11,0)</f>
        <v>0</v>
      </c>
      <c r="BH11" s="275">
        <f ca="1">IF($G11="33382",$F11,0)</f>
        <v>0</v>
      </c>
      <c r="BI11" s="275">
        <f ca="1">IF($H11="33382",$F11,0)</f>
        <v>0</v>
      </c>
      <c r="BJ11" s="275">
        <f t="shared" ref="BJ11:BJ50" ca="1" si="37">IF($G11="3341",$F11,0)</f>
        <v>0</v>
      </c>
      <c r="BK11" s="275">
        <f t="shared" ref="BK11:BK50" ca="1" si="38">IF($H11="3341",$F11,0)</f>
        <v>0</v>
      </c>
      <c r="BL11" s="275">
        <f t="shared" ref="BL11:BL50" ca="1" si="39">IF($G11="3383",$F11,0)</f>
        <v>0</v>
      </c>
      <c r="BM11" s="275">
        <f t="shared" ref="BM11:BM50" ca="1" si="40">IF($H11="3383",$F11,0)</f>
        <v>0</v>
      </c>
      <c r="BN11" s="275">
        <f t="shared" ref="BN11:BN50" ca="1" si="41">IF($G11="3384",$F11,0)</f>
        <v>0</v>
      </c>
      <c r="BO11" s="275">
        <f t="shared" ref="BO11:BO50" ca="1" si="42">IF($H11="3384",$F11,0)</f>
        <v>0</v>
      </c>
      <c r="BP11" s="275">
        <f ca="1">IF($G11="3386",$F11,0)</f>
        <v>0</v>
      </c>
      <c r="BQ11" s="275">
        <f ca="1">IF($H11="3386",$F11,0)</f>
        <v>0</v>
      </c>
      <c r="BR11" s="275">
        <f t="shared" ref="BR11:BR50" ca="1" si="43">IF($G11="3388",$F11,0)</f>
        <v>0</v>
      </c>
      <c r="BS11" s="275">
        <f t="shared" ref="BS11:BS50" ca="1" si="44">IF($H11="3388",$F11,0)</f>
        <v>0</v>
      </c>
      <c r="BT11" s="275">
        <f ca="1">IF($G11="3411",$F11,0)</f>
        <v>0</v>
      </c>
      <c r="BU11" s="275">
        <f ca="1">IF($H11="3411",$F11,0)</f>
        <v>0</v>
      </c>
      <c r="BV11" s="275">
        <f ca="1">IF($G11="3412",$F11,0)</f>
        <v>0</v>
      </c>
      <c r="BW11" s="275">
        <f ca="1">IF($H11="3412",$F11,0)</f>
        <v>0</v>
      </c>
      <c r="BX11" s="275">
        <f t="shared" ref="BX11:BX50" ca="1" si="45">IF($G11="4111",$F11,0)</f>
        <v>0</v>
      </c>
      <c r="BY11" s="275">
        <f t="shared" ref="BY11:BY50" ca="1" si="46">IF($H11="4111",$F11,0)</f>
        <v>0</v>
      </c>
      <c r="BZ11" s="275">
        <f t="shared" ref="BZ11:BZ50" ca="1" si="47">IF($G11="4211",$F11,0)</f>
        <v>0</v>
      </c>
      <c r="CA11" s="275">
        <f t="shared" ref="CA11:CA50" ca="1" si="48">IF($H11="4211",$F11,0)</f>
        <v>0</v>
      </c>
      <c r="CB11" s="275">
        <f t="shared" ref="CB11:CB50" ca="1" si="49">IF($G11="4212",$F11,0)</f>
        <v>0</v>
      </c>
      <c r="CC11" s="275">
        <f t="shared" ref="CC11:CC50" ca="1" si="50">IF($H11="4212",$F11,0)</f>
        <v>0</v>
      </c>
      <c r="CD11" s="275">
        <f ca="1">IF($G11="5112N",$F11,0)</f>
        <v>0</v>
      </c>
      <c r="CE11" s="275">
        <f ca="1">IF($H11="5112N",$F11,0)</f>
        <v>0</v>
      </c>
      <c r="CF11" s="275">
        <f ca="1">IF($G11="5112X",$F11,0)</f>
        <v>0</v>
      </c>
      <c r="CG11" s="275">
        <f ca="1">IF($H11="5112X",$F11,0)</f>
        <v>0</v>
      </c>
      <c r="CH11" s="275">
        <f t="shared" ref="CH11:CH50" ca="1" si="51">IF($G11="515",$F11,0)</f>
        <v>0</v>
      </c>
      <c r="CI11" s="275">
        <f t="shared" ref="CI11:CI50" ca="1" si="52">IF($H11="515",$F11,0)</f>
        <v>0</v>
      </c>
      <c r="CJ11" s="275">
        <f ca="1">IF($G11="5213",$F11,0)</f>
        <v>0</v>
      </c>
      <c r="CK11" s="275">
        <f ca="1">IF($H11="5213",$F11,0)</f>
        <v>0</v>
      </c>
      <c r="CL11" s="275">
        <f t="shared" ref="CL11:CL50" ca="1" si="53">IF($G11="632",$F11,0)</f>
        <v>0</v>
      </c>
      <c r="CM11" s="275">
        <f t="shared" ref="CM11:CM50" ca="1" si="54">IF($H11="632",$F11,0)</f>
        <v>0</v>
      </c>
      <c r="CN11" s="275">
        <f t="shared" ref="CN11:CN50" ca="1" si="55">IF($G11="635",$F11,0)</f>
        <v>0</v>
      </c>
      <c r="CO11" s="275">
        <f t="shared" ref="CO11:CO50" ca="1" si="56">IF($H11="635",$F11,0)</f>
        <v>0</v>
      </c>
      <c r="CP11" s="275">
        <f ca="1">IF($G11="641",$F11,0)</f>
        <v>0</v>
      </c>
      <c r="CQ11" s="275">
        <f ca="1">IF($H11="641",$F11,0)</f>
        <v>0</v>
      </c>
      <c r="CR11" s="275">
        <f ca="1">IF($G11="642",$F11,0)</f>
        <v>0</v>
      </c>
      <c r="CS11" s="275">
        <f ca="1">IF($H11="642",$F11,0)</f>
        <v>0</v>
      </c>
      <c r="CT11" s="275">
        <f t="shared" ref="CT11:CT50" ca="1" si="57">IF($G11="711",$F11,0)</f>
        <v>0</v>
      </c>
      <c r="CU11" s="275">
        <f t="shared" ref="CU11:CU50" ca="1" si="58">IF($H11="711",$F11,0)</f>
        <v>0</v>
      </c>
      <c r="CV11" s="275">
        <f t="shared" ref="CV11:CV50" ca="1" si="59">IF($G11="811",$F11,0)</f>
        <v>0</v>
      </c>
      <c r="CW11" s="275">
        <f t="shared" ref="CW11:CW50" ca="1" si="60">IF($H11="811",$F11,0)</f>
        <v>0</v>
      </c>
      <c r="CX11" s="275">
        <f ca="1">IF($G11="821",$F11,0)</f>
        <v>0</v>
      </c>
      <c r="CY11" s="275">
        <f ca="1">IF($H11="821",$F11,0)</f>
        <v>0</v>
      </c>
      <c r="CZ11" s="275">
        <f ca="1">IF($G11="911",$F11,0)</f>
        <v>0</v>
      </c>
      <c r="DA11" s="275">
        <f ca="1">IF($H11="911",$F11,0)</f>
        <v>0</v>
      </c>
    </row>
    <row r="12" spans="1:105" s="272" customFormat="1" ht="15.75" customHeight="1">
      <c r="A12" s="63" t="str">
        <f t="array" ref="A12">IF(C12&lt;&gt;0,SUM(($C$11:C12&lt;&gt;0)*1),"")</f>
        <v/>
      </c>
      <c r="B12" s="273"/>
      <c r="C12" s="273"/>
      <c r="D12" s="273"/>
      <c r="E12" s="363"/>
      <c r="F12" s="324"/>
      <c r="G12" s="326"/>
      <c r="H12" s="326"/>
      <c r="I12" s="63" t="str">
        <f t="shared" si="0"/>
        <v/>
      </c>
      <c r="J12" s="275">
        <f t="shared" ref="J12:J50" si="61">IF($G12="1111",$F12,0)</f>
        <v>0</v>
      </c>
      <c r="K12" s="275">
        <f t="shared" ref="K12:K50" si="62">IF($H12="1111",$F12,0)</f>
        <v>0</v>
      </c>
      <c r="L12" s="275">
        <f t="shared" si="1"/>
        <v>0</v>
      </c>
      <c r="M12" s="275">
        <f t="shared" si="2"/>
        <v>0</v>
      </c>
      <c r="N12" s="275">
        <f t="shared" si="3"/>
        <v>0</v>
      </c>
      <c r="O12" s="275">
        <f t="shared" si="4"/>
        <v>0</v>
      </c>
      <c r="P12" s="275">
        <f t="shared" si="5"/>
        <v>0</v>
      </c>
      <c r="Q12" s="275">
        <f t="shared" si="6"/>
        <v>0</v>
      </c>
      <c r="R12" s="275">
        <f t="shared" si="7"/>
        <v>0</v>
      </c>
      <c r="S12" s="275">
        <f t="shared" si="8"/>
        <v>0</v>
      </c>
      <c r="T12" s="275">
        <f t="shared" si="9"/>
        <v>0</v>
      </c>
      <c r="U12" s="275">
        <f t="shared" si="10"/>
        <v>0</v>
      </c>
      <c r="V12" s="275">
        <f t="shared" si="11"/>
        <v>0</v>
      </c>
      <c r="W12" s="275">
        <f t="shared" si="12"/>
        <v>0</v>
      </c>
      <c r="X12" s="275">
        <f t="shared" si="13"/>
        <v>0</v>
      </c>
      <c r="Y12" s="275">
        <f t="shared" si="14"/>
        <v>0</v>
      </c>
      <c r="Z12" s="275">
        <f t="shared" si="15"/>
        <v>0</v>
      </c>
      <c r="AA12" s="275">
        <f t="shared" si="16"/>
        <v>0</v>
      </c>
      <c r="AB12" s="275">
        <f t="shared" ref="AB12:AB50" si="63">IF($G12="153",$F12,0)</f>
        <v>0</v>
      </c>
      <c r="AC12" s="275">
        <f t="shared" ref="AC12:AC50" si="64">IF($H12="153",$F12,0)</f>
        <v>0</v>
      </c>
      <c r="AD12" s="275">
        <f t="shared" si="17"/>
        <v>0</v>
      </c>
      <c r="AE12" s="275">
        <f t="shared" si="18"/>
        <v>0</v>
      </c>
      <c r="AF12" s="275">
        <f t="shared" si="19"/>
        <v>0</v>
      </c>
      <c r="AG12" s="275">
        <f t="shared" si="20"/>
        <v>0</v>
      </c>
      <c r="AH12" s="275">
        <f t="shared" ref="AH12:AH50" si="65">IF($G12="2111",$F12,0)</f>
        <v>0</v>
      </c>
      <c r="AI12" s="275">
        <f t="shared" ref="AI12:AI50" si="66">IF($H12="2111",$F12,0)</f>
        <v>0</v>
      </c>
      <c r="AJ12" s="275">
        <f t="shared" ref="AJ12:AJ50" si="67">IF($G12="2112",$F12,0)</f>
        <v>0</v>
      </c>
      <c r="AK12" s="275">
        <f t="shared" ref="AK12:AK50" si="68">IF($H12="2112",$F12,0)</f>
        <v>0</v>
      </c>
      <c r="AL12" s="275">
        <f t="shared" ref="AL12:AL50" si="69">IF($G12="2113",$F12,0)</f>
        <v>0</v>
      </c>
      <c r="AM12" s="275">
        <f t="shared" ref="AM12:AM50" si="70">IF($H12="2113",$F12,0)</f>
        <v>0</v>
      </c>
      <c r="AN12" s="275">
        <f t="shared" ref="AN12:AN50" si="71">IF($G12="2131",$F12,0)</f>
        <v>0</v>
      </c>
      <c r="AO12" s="275">
        <f t="shared" ref="AO12:AO50" si="72">IF($H12="2131",$F12,0)</f>
        <v>0</v>
      </c>
      <c r="AP12" s="275">
        <f t="shared" si="21"/>
        <v>0</v>
      </c>
      <c r="AQ12" s="275">
        <f t="shared" si="22"/>
        <v>0</v>
      </c>
      <c r="AR12" s="275">
        <f t="shared" si="23"/>
        <v>0</v>
      </c>
      <c r="AS12" s="275">
        <f t="shared" si="24"/>
        <v>0</v>
      </c>
      <c r="AT12" s="275">
        <f t="shared" ref="AT12:AT50" si="73">IF($G12="2412",$F12,0)</f>
        <v>0</v>
      </c>
      <c r="AU12" s="275">
        <f t="shared" ref="AU12:AU50" si="74">IF($H12="2412",$F12,0)</f>
        <v>0</v>
      </c>
      <c r="AV12" s="275">
        <f t="shared" si="25"/>
        <v>0</v>
      </c>
      <c r="AW12" s="275">
        <f t="shared" si="26"/>
        <v>0</v>
      </c>
      <c r="AX12" s="275">
        <f t="shared" si="27"/>
        <v>0</v>
      </c>
      <c r="AY12" s="275">
        <f t="shared" si="28"/>
        <v>0</v>
      </c>
      <c r="AZ12" s="275">
        <f t="shared" si="29"/>
        <v>0</v>
      </c>
      <c r="BA12" s="275">
        <f t="shared" si="30"/>
        <v>0</v>
      </c>
      <c r="BB12" s="275">
        <f t="shared" si="31"/>
        <v>0</v>
      </c>
      <c r="BC12" s="275">
        <f t="shared" si="32"/>
        <v>0</v>
      </c>
      <c r="BD12" s="275">
        <f t="shared" si="33"/>
        <v>0</v>
      </c>
      <c r="BE12" s="275">
        <f t="shared" si="34"/>
        <v>0</v>
      </c>
      <c r="BF12" s="275">
        <f t="shared" si="35"/>
        <v>0</v>
      </c>
      <c r="BG12" s="275">
        <f t="shared" si="36"/>
        <v>0</v>
      </c>
      <c r="BH12" s="275">
        <f t="shared" ref="BH12:BH50" si="75">IF($G12="33382",$F12,0)</f>
        <v>0</v>
      </c>
      <c r="BI12" s="275">
        <f t="shared" ref="BI12:BI50" si="76">IF($H12="33382",$F12,0)</f>
        <v>0</v>
      </c>
      <c r="BJ12" s="275">
        <f t="shared" si="37"/>
        <v>0</v>
      </c>
      <c r="BK12" s="275">
        <f t="shared" si="38"/>
        <v>0</v>
      </c>
      <c r="BL12" s="275">
        <f t="shared" si="39"/>
        <v>0</v>
      </c>
      <c r="BM12" s="275">
        <f t="shared" si="40"/>
        <v>0</v>
      </c>
      <c r="BN12" s="275">
        <f t="shared" si="41"/>
        <v>0</v>
      </c>
      <c r="BO12" s="275">
        <f t="shared" si="42"/>
        <v>0</v>
      </c>
      <c r="BP12" s="275">
        <f t="shared" ref="BP12:BP50" si="77">IF($G12="3386",$F12,0)</f>
        <v>0</v>
      </c>
      <c r="BQ12" s="275">
        <f t="shared" ref="BQ12:BQ50" si="78">IF($H12="3386",$F12,0)</f>
        <v>0</v>
      </c>
      <c r="BR12" s="275">
        <f t="shared" si="43"/>
        <v>0</v>
      </c>
      <c r="BS12" s="275">
        <f t="shared" si="44"/>
        <v>0</v>
      </c>
      <c r="BT12" s="275">
        <f t="shared" ref="BT12:BT50" si="79">IF($G12="3411",$F12,0)</f>
        <v>0</v>
      </c>
      <c r="BU12" s="275">
        <f t="shared" ref="BU12:BU50" si="80">IF($H12="3411",$F12,0)</f>
        <v>0</v>
      </c>
      <c r="BV12" s="275">
        <f t="shared" ref="BV12:BV50" si="81">IF($G12="3412",$F12,0)</f>
        <v>0</v>
      </c>
      <c r="BW12" s="275">
        <f t="shared" ref="BW12:BW50" si="82">IF($H12="3412",$F12,0)</f>
        <v>0</v>
      </c>
      <c r="BX12" s="275">
        <f t="shared" si="45"/>
        <v>0</v>
      </c>
      <c r="BY12" s="275">
        <f t="shared" si="46"/>
        <v>0</v>
      </c>
      <c r="BZ12" s="275">
        <f t="shared" si="47"/>
        <v>0</v>
      </c>
      <c r="CA12" s="275">
        <f t="shared" si="48"/>
        <v>0</v>
      </c>
      <c r="CB12" s="275">
        <f t="shared" si="49"/>
        <v>0</v>
      </c>
      <c r="CC12" s="275">
        <f t="shared" si="50"/>
        <v>0</v>
      </c>
      <c r="CD12" s="275">
        <f t="shared" ref="CD12:CD50" si="83">IF($G12="5112N",$F12,0)</f>
        <v>0</v>
      </c>
      <c r="CE12" s="275">
        <f t="shared" ref="CE12:CE50" si="84">IF($H12="5112N",$F12,0)</f>
        <v>0</v>
      </c>
      <c r="CF12" s="275">
        <f t="shared" ref="CF12:CF50" si="85">IF($G12="5112X",$F12,0)</f>
        <v>0</v>
      </c>
      <c r="CG12" s="275">
        <f t="shared" ref="CG12:CG50" si="86">IF($H12="5112X",$F12,0)</f>
        <v>0</v>
      </c>
      <c r="CH12" s="275">
        <f t="shared" si="51"/>
        <v>0</v>
      </c>
      <c r="CI12" s="275">
        <f t="shared" si="52"/>
        <v>0</v>
      </c>
      <c r="CJ12" s="275">
        <f t="shared" ref="CJ12:CJ50" si="87">IF($G12="5213",$F12,0)</f>
        <v>0</v>
      </c>
      <c r="CK12" s="275">
        <f t="shared" ref="CK12:CK50" si="88">IF($H12="5213",$F12,0)</f>
        <v>0</v>
      </c>
      <c r="CL12" s="275">
        <f t="shared" si="53"/>
        <v>0</v>
      </c>
      <c r="CM12" s="275">
        <f t="shared" si="54"/>
        <v>0</v>
      </c>
      <c r="CN12" s="275">
        <f t="shared" si="55"/>
        <v>0</v>
      </c>
      <c r="CO12" s="275">
        <f t="shared" si="56"/>
        <v>0</v>
      </c>
      <c r="CP12" s="275">
        <f t="shared" ref="CP12:CP50" si="89">IF($G12="641",$F12,0)</f>
        <v>0</v>
      </c>
      <c r="CQ12" s="275">
        <f t="shared" ref="CQ12:CQ50" si="90">IF($H12="641",$F12,0)</f>
        <v>0</v>
      </c>
      <c r="CR12" s="275">
        <f t="shared" ref="CR12:CR50" si="91">IF($G12="642",$F12,0)</f>
        <v>0</v>
      </c>
      <c r="CS12" s="275">
        <f t="shared" ref="CS12:CS50" si="92">IF($H12="642",$F12,0)</f>
        <v>0</v>
      </c>
      <c r="CT12" s="275">
        <f t="shared" si="57"/>
        <v>0</v>
      </c>
      <c r="CU12" s="275">
        <f t="shared" si="58"/>
        <v>0</v>
      </c>
      <c r="CV12" s="275">
        <f t="shared" si="59"/>
        <v>0</v>
      </c>
      <c r="CW12" s="275">
        <f t="shared" si="60"/>
        <v>0</v>
      </c>
      <c r="CX12" s="275">
        <f t="shared" ref="CX12:CX50" si="93">IF($G12="821",$F12,0)</f>
        <v>0</v>
      </c>
      <c r="CY12" s="275">
        <f t="shared" ref="CY12:CY50" si="94">IF($H12="821",$F12,0)</f>
        <v>0</v>
      </c>
      <c r="CZ12" s="275">
        <f t="shared" ref="CZ12:CZ50" si="95">IF($G12="911",$F12,0)</f>
        <v>0</v>
      </c>
      <c r="DA12" s="275">
        <f t="shared" ref="DA12:DA50" si="96">IF($H12="911",$F12,0)</f>
        <v>0</v>
      </c>
    </row>
    <row r="13" spans="1:105" s="272" customFormat="1" ht="15.75" customHeight="1">
      <c r="A13" s="63" t="str">
        <f t="array" ref="A13">IF(C13&lt;&gt;0,SUM(($C$11:C13&lt;&gt;0)*1),"")</f>
        <v/>
      </c>
      <c r="B13" s="273"/>
      <c r="C13" s="273"/>
      <c r="D13" s="273"/>
      <c r="E13" s="363"/>
      <c r="F13" s="324"/>
      <c r="G13" s="326"/>
      <c r="H13" s="326"/>
      <c r="I13" s="63" t="str">
        <f t="shared" si="0"/>
        <v/>
      </c>
      <c r="J13" s="275">
        <f t="shared" si="61"/>
        <v>0</v>
      </c>
      <c r="K13" s="275">
        <f t="shared" si="62"/>
        <v>0</v>
      </c>
      <c r="L13" s="275">
        <f t="shared" si="1"/>
        <v>0</v>
      </c>
      <c r="M13" s="275">
        <f t="shared" si="2"/>
        <v>0</v>
      </c>
      <c r="N13" s="275">
        <f t="shared" si="3"/>
        <v>0</v>
      </c>
      <c r="O13" s="275">
        <f t="shared" si="4"/>
        <v>0</v>
      </c>
      <c r="P13" s="275">
        <f t="shared" si="5"/>
        <v>0</v>
      </c>
      <c r="Q13" s="275">
        <f t="shared" si="6"/>
        <v>0</v>
      </c>
      <c r="R13" s="275">
        <f t="shared" si="7"/>
        <v>0</v>
      </c>
      <c r="S13" s="275">
        <f t="shared" si="8"/>
        <v>0</v>
      </c>
      <c r="T13" s="275">
        <f t="shared" si="9"/>
        <v>0</v>
      </c>
      <c r="U13" s="275">
        <f t="shared" si="10"/>
        <v>0</v>
      </c>
      <c r="V13" s="275">
        <f t="shared" si="11"/>
        <v>0</v>
      </c>
      <c r="W13" s="275">
        <f t="shared" si="12"/>
        <v>0</v>
      </c>
      <c r="X13" s="275">
        <f t="shared" si="13"/>
        <v>0</v>
      </c>
      <c r="Y13" s="275">
        <f t="shared" si="14"/>
        <v>0</v>
      </c>
      <c r="Z13" s="275">
        <f t="shared" si="15"/>
        <v>0</v>
      </c>
      <c r="AA13" s="275">
        <f t="shared" si="16"/>
        <v>0</v>
      </c>
      <c r="AB13" s="275">
        <f t="shared" si="63"/>
        <v>0</v>
      </c>
      <c r="AC13" s="275">
        <f t="shared" si="64"/>
        <v>0</v>
      </c>
      <c r="AD13" s="275">
        <f t="shared" si="17"/>
        <v>0</v>
      </c>
      <c r="AE13" s="275">
        <f t="shared" si="18"/>
        <v>0</v>
      </c>
      <c r="AF13" s="275">
        <f t="shared" si="19"/>
        <v>0</v>
      </c>
      <c r="AG13" s="275">
        <f t="shared" si="20"/>
        <v>0</v>
      </c>
      <c r="AH13" s="275">
        <f t="shared" si="65"/>
        <v>0</v>
      </c>
      <c r="AI13" s="275">
        <f t="shared" si="66"/>
        <v>0</v>
      </c>
      <c r="AJ13" s="275">
        <f t="shared" si="67"/>
        <v>0</v>
      </c>
      <c r="AK13" s="275">
        <f t="shared" si="68"/>
        <v>0</v>
      </c>
      <c r="AL13" s="275">
        <f t="shared" si="69"/>
        <v>0</v>
      </c>
      <c r="AM13" s="275">
        <f t="shared" si="70"/>
        <v>0</v>
      </c>
      <c r="AN13" s="275">
        <f t="shared" si="71"/>
        <v>0</v>
      </c>
      <c r="AO13" s="275">
        <f t="shared" si="72"/>
        <v>0</v>
      </c>
      <c r="AP13" s="275">
        <f t="shared" si="21"/>
        <v>0</v>
      </c>
      <c r="AQ13" s="275">
        <f t="shared" si="22"/>
        <v>0</v>
      </c>
      <c r="AR13" s="275">
        <f t="shared" si="23"/>
        <v>0</v>
      </c>
      <c r="AS13" s="275">
        <f t="shared" si="24"/>
        <v>0</v>
      </c>
      <c r="AT13" s="275">
        <f t="shared" si="73"/>
        <v>0</v>
      </c>
      <c r="AU13" s="275">
        <f t="shared" si="74"/>
        <v>0</v>
      </c>
      <c r="AV13" s="275">
        <f t="shared" si="25"/>
        <v>0</v>
      </c>
      <c r="AW13" s="275">
        <f t="shared" si="26"/>
        <v>0</v>
      </c>
      <c r="AX13" s="275">
        <f t="shared" si="27"/>
        <v>0</v>
      </c>
      <c r="AY13" s="275">
        <f t="shared" si="28"/>
        <v>0</v>
      </c>
      <c r="AZ13" s="275">
        <f t="shared" si="29"/>
        <v>0</v>
      </c>
      <c r="BA13" s="275">
        <f t="shared" si="30"/>
        <v>0</v>
      </c>
      <c r="BB13" s="275">
        <f t="shared" si="31"/>
        <v>0</v>
      </c>
      <c r="BC13" s="275">
        <f t="shared" si="32"/>
        <v>0</v>
      </c>
      <c r="BD13" s="275">
        <f t="shared" si="33"/>
        <v>0</v>
      </c>
      <c r="BE13" s="275">
        <f t="shared" si="34"/>
        <v>0</v>
      </c>
      <c r="BF13" s="275">
        <f t="shared" si="35"/>
        <v>0</v>
      </c>
      <c r="BG13" s="275">
        <f t="shared" si="36"/>
        <v>0</v>
      </c>
      <c r="BH13" s="275">
        <f t="shared" si="75"/>
        <v>0</v>
      </c>
      <c r="BI13" s="275">
        <f t="shared" si="76"/>
        <v>0</v>
      </c>
      <c r="BJ13" s="275">
        <f t="shared" si="37"/>
        <v>0</v>
      </c>
      <c r="BK13" s="275">
        <f t="shared" si="38"/>
        <v>0</v>
      </c>
      <c r="BL13" s="275">
        <f t="shared" si="39"/>
        <v>0</v>
      </c>
      <c r="BM13" s="275">
        <f t="shared" si="40"/>
        <v>0</v>
      </c>
      <c r="BN13" s="275">
        <f t="shared" si="41"/>
        <v>0</v>
      </c>
      <c r="BO13" s="275">
        <f t="shared" si="42"/>
        <v>0</v>
      </c>
      <c r="BP13" s="275">
        <f t="shared" si="77"/>
        <v>0</v>
      </c>
      <c r="BQ13" s="275">
        <f t="shared" si="78"/>
        <v>0</v>
      </c>
      <c r="BR13" s="275">
        <f t="shared" si="43"/>
        <v>0</v>
      </c>
      <c r="BS13" s="275">
        <f t="shared" si="44"/>
        <v>0</v>
      </c>
      <c r="BT13" s="275">
        <f t="shared" si="79"/>
        <v>0</v>
      </c>
      <c r="BU13" s="275">
        <f t="shared" si="80"/>
        <v>0</v>
      </c>
      <c r="BV13" s="275">
        <f t="shared" si="81"/>
        <v>0</v>
      </c>
      <c r="BW13" s="275">
        <f t="shared" si="82"/>
        <v>0</v>
      </c>
      <c r="BX13" s="275">
        <f t="shared" si="45"/>
        <v>0</v>
      </c>
      <c r="BY13" s="275">
        <f t="shared" si="46"/>
        <v>0</v>
      </c>
      <c r="BZ13" s="275">
        <f t="shared" si="47"/>
        <v>0</v>
      </c>
      <c r="CA13" s="275">
        <f t="shared" si="48"/>
        <v>0</v>
      </c>
      <c r="CB13" s="275">
        <f t="shared" si="49"/>
        <v>0</v>
      </c>
      <c r="CC13" s="275">
        <f t="shared" si="50"/>
        <v>0</v>
      </c>
      <c r="CD13" s="275">
        <f t="shared" si="83"/>
        <v>0</v>
      </c>
      <c r="CE13" s="275">
        <f t="shared" si="84"/>
        <v>0</v>
      </c>
      <c r="CF13" s="275">
        <f t="shared" si="85"/>
        <v>0</v>
      </c>
      <c r="CG13" s="275">
        <f t="shared" si="86"/>
        <v>0</v>
      </c>
      <c r="CH13" s="275">
        <f t="shared" si="51"/>
        <v>0</v>
      </c>
      <c r="CI13" s="275">
        <f t="shared" si="52"/>
        <v>0</v>
      </c>
      <c r="CJ13" s="275">
        <f t="shared" si="87"/>
        <v>0</v>
      </c>
      <c r="CK13" s="275">
        <f t="shared" si="88"/>
        <v>0</v>
      </c>
      <c r="CL13" s="275">
        <f t="shared" si="53"/>
        <v>0</v>
      </c>
      <c r="CM13" s="275">
        <f t="shared" si="54"/>
        <v>0</v>
      </c>
      <c r="CN13" s="275">
        <f t="shared" si="55"/>
        <v>0</v>
      </c>
      <c r="CO13" s="275">
        <f t="shared" si="56"/>
        <v>0</v>
      </c>
      <c r="CP13" s="275">
        <f t="shared" si="89"/>
        <v>0</v>
      </c>
      <c r="CQ13" s="275">
        <f t="shared" si="90"/>
        <v>0</v>
      </c>
      <c r="CR13" s="275">
        <f t="shared" si="91"/>
        <v>0</v>
      </c>
      <c r="CS13" s="275">
        <f t="shared" si="92"/>
        <v>0</v>
      </c>
      <c r="CT13" s="275">
        <f t="shared" si="57"/>
        <v>0</v>
      </c>
      <c r="CU13" s="275">
        <f t="shared" si="58"/>
        <v>0</v>
      </c>
      <c r="CV13" s="275">
        <f t="shared" si="59"/>
        <v>0</v>
      </c>
      <c r="CW13" s="275">
        <f t="shared" si="60"/>
        <v>0</v>
      </c>
      <c r="CX13" s="275">
        <f t="shared" si="93"/>
        <v>0</v>
      </c>
      <c r="CY13" s="275">
        <f t="shared" si="94"/>
        <v>0</v>
      </c>
      <c r="CZ13" s="275">
        <f t="shared" si="95"/>
        <v>0</v>
      </c>
      <c r="DA13" s="275">
        <f t="shared" si="96"/>
        <v>0</v>
      </c>
    </row>
    <row r="14" spans="1:105" s="272" customFormat="1" ht="15.75" customHeight="1">
      <c r="A14" s="63" t="str">
        <f t="array" ref="A14">IF(C14&lt;&gt;0,SUM(($C$11:C14&lt;&gt;0)*1),"")</f>
        <v/>
      </c>
      <c r="B14" s="273"/>
      <c r="C14" s="273"/>
      <c r="D14" s="273"/>
      <c r="E14" s="363"/>
      <c r="F14" s="324"/>
      <c r="G14" s="326"/>
      <c r="H14" s="326"/>
      <c r="I14" s="63" t="str">
        <f t="shared" si="0"/>
        <v/>
      </c>
      <c r="J14" s="275">
        <f t="shared" si="61"/>
        <v>0</v>
      </c>
      <c r="K14" s="275">
        <f t="shared" si="62"/>
        <v>0</v>
      </c>
      <c r="L14" s="275">
        <f t="shared" si="1"/>
        <v>0</v>
      </c>
      <c r="M14" s="275">
        <f t="shared" si="2"/>
        <v>0</v>
      </c>
      <c r="N14" s="275">
        <f t="shared" si="3"/>
        <v>0</v>
      </c>
      <c r="O14" s="275">
        <f t="shared" si="4"/>
        <v>0</v>
      </c>
      <c r="P14" s="275">
        <f t="shared" si="5"/>
        <v>0</v>
      </c>
      <c r="Q14" s="275">
        <f t="shared" si="6"/>
        <v>0</v>
      </c>
      <c r="R14" s="275">
        <f t="shared" si="7"/>
        <v>0</v>
      </c>
      <c r="S14" s="275">
        <f t="shared" si="8"/>
        <v>0</v>
      </c>
      <c r="T14" s="275">
        <f t="shared" si="9"/>
        <v>0</v>
      </c>
      <c r="U14" s="275">
        <f t="shared" si="10"/>
        <v>0</v>
      </c>
      <c r="V14" s="275">
        <f t="shared" si="11"/>
        <v>0</v>
      </c>
      <c r="W14" s="275">
        <f t="shared" si="12"/>
        <v>0</v>
      </c>
      <c r="X14" s="275">
        <f t="shared" si="13"/>
        <v>0</v>
      </c>
      <c r="Y14" s="275">
        <f t="shared" si="14"/>
        <v>0</v>
      </c>
      <c r="Z14" s="275">
        <f t="shared" si="15"/>
        <v>0</v>
      </c>
      <c r="AA14" s="275">
        <f t="shared" si="16"/>
        <v>0</v>
      </c>
      <c r="AB14" s="275">
        <f t="shared" si="63"/>
        <v>0</v>
      </c>
      <c r="AC14" s="275">
        <f t="shared" si="64"/>
        <v>0</v>
      </c>
      <c r="AD14" s="275">
        <f t="shared" si="17"/>
        <v>0</v>
      </c>
      <c r="AE14" s="275">
        <f t="shared" si="18"/>
        <v>0</v>
      </c>
      <c r="AF14" s="275">
        <f t="shared" si="19"/>
        <v>0</v>
      </c>
      <c r="AG14" s="275">
        <f t="shared" si="20"/>
        <v>0</v>
      </c>
      <c r="AH14" s="275">
        <f t="shared" si="65"/>
        <v>0</v>
      </c>
      <c r="AI14" s="275">
        <f t="shared" si="66"/>
        <v>0</v>
      </c>
      <c r="AJ14" s="275">
        <f t="shared" si="67"/>
        <v>0</v>
      </c>
      <c r="AK14" s="275">
        <f t="shared" si="68"/>
        <v>0</v>
      </c>
      <c r="AL14" s="275">
        <f t="shared" si="69"/>
        <v>0</v>
      </c>
      <c r="AM14" s="275">
        <f t="shared" si="70"/>
        <v>0</v>
      </c>
      <c r="AN14" s="275">
        <f t="shared" si="71"/>
        <v>0</v>
      </c>
      <c r="AO14" s="275">
        <f t="shared" si="72"/>
        <v>0</v>
      </c>
      <c r="AP14" s="275">
        <f t="shared" si="21"/>
        <v>0</v>
      </c>
      <c r="AQ14" s="275">
        <f t="shared" si="22"/>
        <v>0</v>
      </c>
      <c r="AR14" s="275">
        <f t="shared" si="23"/>
        <v>0</v>
      </c>
      <c r="AS14" s="275">
        <f t="shared" si="24"/>
        <v>0</v>
      </c>
      <c r="AT14" s="275">
        <f t="shared" si="73"/>
        <v>0</v>
      </c>
      <c r="AU14" s="275">
        <f t="shared" si="74"/>
        <v>0</v>
      </c>
      <c r="AV14" s="275">
        <f t="shared" si="25"/>
        <v>0</v>
      </c>
      <c r="AW14" s="275">
        <f t="shared" si="26"/>
        <v>0</v>
      </c>
      <c r="AX14" s="275">
        <f t="shared" si="27"/>
        <v>0</v>
      </c>
      <c r="AY14" s="275">
        <f t="shared" si="28"/>
        <v>0</v>
      </c>
      <c r="AZ14" s="275">
        <f t="shared" si="29"/>
        <v>0</v>
      </c>
      <c r="BA14" s="275">
        <f t="shared" si="30"/>
        <v>0</v>
      </c>
      <c r="BB14" s="275">
        <f t="shared" si="31"/>
        <v>0</v>
      </c>
      <c r="BC14" s="275">
        <f t="shared" si="32"/>
        <v>0</v>
      </c>
      <c r="BD14" s="275">
        <f t="shared" si="33"/>
        <v>0</v>
      </c>
      <c r="BE14" s="275">
        <f t="shared" si="34"/>
        <v>0</v>
      </c>
      <c r="BF14" s="275">
        <f t="shared" si="35"/>
        <v>0</v>
      </c>
      <c r="BG14" s="275">
        <f t="shared" si="36"/>
        <v>0</v>
      </c>
      <c r="BH14" s="275">
        <f t="shared" si="75"/>
        <v>0</v>
      </c>
      <c r="BI14" s="275">
        <f t="shared" si="76"/>
        <v>0</v>
      </c>
      <c r="BJ14" s="275">
        <f t="shared" si="37"/>
        <v>0</v>
      </c>
      <c r="BK14" s="275">
        <f t="shared" si="38"/>
        <v>0</v>
      </c>
      <c r="BL14" s="275">
        <f t="shared" si="39"/>
        <v>0</v>
      </c>
      <c r="BM14" s="275">
        <f t="shared" si="40"/>
        <v>0</v>
      </c>
      <c r="BN14" s="275">
        <f t="shared" si="41"/>
        <v>0</v>
      </c>
      <c r="BO14" s="275">
        <f t="shared" si="42"/>
        <v>0</v>
      </c>
      <c r="BP14" s="275">
        <f t="shared" si="77"/>
        <v>0</v>
      </c>
      <c r="BQ14" s="275">
        <f t="shared" si="78"/>
        <v>0</v>
      </c>
      <c r="BR14" s="275">
        <f t="shared" si="43"/>
        <v>0</v>
      </c>
      <c r="BS14" s="275">
        <f t="shared" si="44"/>
        <v>0</v>
      </c>
      <c r="BT14" s="275">
        <f t="shared" si="79"/>
        <v>0</v>
      </c>
      <c r="BU14" s="275">
        <f t="shared" si="80"/>
        <v>0</v>
      </c>
      <c r="BV14" s="275">
        <f t="shared" si="81"/>
        <v>0</v>
      </c>
      <c r="BW14" s="275">
        <f t="shared" si="82"/>
        <v>0</v>
      </c>
      <c r="BX14" s="275">
        <f t="shared" si="45"/>
        <v>0</v>
      </c>
      <c r="BY14" s="275">
        <f t="shared" si="46"/>
        <v>0</v>
      </c>
      <c r="BZ14" s="275">
        <f t="shared" si="47"/>
        <v>0</v>
      </c>
      <c r="CA14" s="275">
        <f t="shared" si="48"/>
        <v>0</v>
      </c>
      <c r="CB14" s="275">
        <f t="shared" si="49"/>
        <v>0</v>
      </c>
      <c r="CC14" s="275">
        <f t="shared" si="50"/>
        <v>0</v>
      </c>
      <c r="CD14" s="275">
        <f t="shared" si="83"/>
        <v>0</v>
      </c>
      <c r="CE14" s="275">
        <f t="shared" si="84"/>
        <v>0</v>
      </c>
      <c r="CF14" s="275">
        <f t="shared" si="85"/>
        <v>0</v>
      </c>
      <c r="CG14" s="275">
        <f t="shared" si="86"/>
        <v>0</v>
      </c>
      <c r="CH14" s="275">
        <f t="shared" si="51"/>
        <v>0</v>
      </c>
      <c r="CI14" s="275">
        <f t="shared" si="52"/>
        <v>0</v>
      </c>
      <c r="CJ14" s="275">
        <f t="shared" si="87"/>
        <v>0</v>
      </c>
      <c r="CK14" s="275">
        <f t="shared" si="88"/>
        <v>0</v>
      </c>
      <c r="CL14" s="275">
        <f t="shared" si="53"/>
        <v>0</v>
      </c>
      <c r="CM14" s="275">
        <f t="shared" si="54"/>
        <v>0</v>
      </c>
      <c r="CN14" s="275">
        <f t="shared" si="55"/>
        <v>0</v>
      </c>
      <c r="CO14" s="275">
        <f t="shared" si="56"/>
        <v>0</v>
      </c>
      <c r="CP14" s="275">
        <f t="shared" si="89"/>
        <v>0</v>
      </c>
      <c r="CQ14" s="275">
        <f t="shared" si="90"/>
        <v>0</v>
      </c>
      <c r="CR14" s="275">
        <f t="shared" si="91"/>
        <v>0</v>
      </c>
      <c r="CS14" s="275">
        <f t="shared" si="92"/>
        <v>0</v>
      </c>
      <c r="CT14" s="275">
        <f t="shared" si="57"/>
        <v>0</v>
      </c>
      <c r="CU14" s="275">
        <f t="shared" si="58"/>
        <v>0</v>
      </c>
      <c r="CV14" s="275">
        <f t="shared" si="59"/>
        <v>0</v>
      </c>
      <c r="CW14" s="275">
        <f t="shared" si="60"/>
        <v>0</v>
      </c>
      <c r="CX14" s="275">
        <f t="shared" si="93"/>
        <v>0</v>
      </c>
      <c r="CY14" s="275">
        <f t="shared" si="94"/>
        <v>0</v>
      </c>
      <c r="CZ14" s="275">
        <f t="shared" si="95"/>
        <v>0</v>
      </c>
      <c r="DA14" s="275">
        <f t="shared" si="96"/>
        <v>0</v>
      </c>
    </row>
    <row r="15" spans="1:105" s="272" customFormat="1" ht="15.75" customHeight="1">
      <c r="A15" s="63" t="str">
        <f t="array" ref="A15">IF(C15&lt;&gt;0,SUM(($C$11:C15&lt;&gt;0)*1),"")</f>
        <v/>
      </c>
      <c r="B15" s="273"/>
      <c r="C15" s="273"/>
      <c r="D15" s="273"/>
      <c r="E15" s="363"/>
      <c r="F15" s="324"/>
      <c r="G15" s="326"/>
      <c r="H15" s="326"/>
      <c r="I15" s="63" t="str">
        <f t="shared" si="0"/>
        <v/>
      </c>
      <c r="J15" s="275">
        <f t="shared" si="61"/>
        <v>0</v>
      </c>
      <c r="K15" s="275">
        <f t="shared" si="62"/>
        <v>0</v>
      </c>
      <c r="L15" s="275">
        <f t="shared" si="1"/>
        <v>0</v>
      </c>
      <c r="M15" s="275">
        <f t="shared" si="2"/>
        <v>0</v>
      </c>
      <c r="N15" s="275">
        <f t="shared" si="3"/>
        <v>0</v>
      </c>
      <c r="O15" s="275">
        <f t="shared" si="4"/>
        <v>0</v>
      </c>
      <c r="P15" s="275">
        <f t="shared" si="5"/>
        <v>0</v>
      </c>
      <c r="Q15" s="275">
        <f t="shared" si="6"/>
        <v>0</v>
      </c>
      <c r="R15" s="275">
        <f t="shared" si="7"/>
        <v>0</v>
      </c>
      <c r="S15" s="275">
        <f t="shared" si="8"/>
        <v>0</v>
      </c>
      <c r="T15" s="275">
        <f t="shared" si="9"/>
        <v>0</v>
      </c>
      <c r="U15" s="275">
        <f t="shared" si="10"/>
        <v>0</v>
      </c>
      <c r="V15" s="275">
        <f t="shared" si="11"/>
        <v>0</v>
      </c>
      <c r="W15" s="275">
        <f t="shared" si="12"/>
        <v>0</v>
      </c>
      <c r="X15" s="275">
        <f t="shared" si="13"/>
        <v>0</v>
      </c>
      <c r="Y15" s="275">
        <f t="shared" si="14"/>
        <v>0</v>
      </c>
      <c r="Z15" s="275">
        <f t="shared" si="15"/>
        <v>0</v>
      </c>
      <c r="AA15" s="275">
        <f t="shared" si="16"/>
        <v>0</v>
      </c>
      <c r="AB15" s="275">
        <f t="shared" si="63"/>
        <v>0</v>
      </c>
      <c r="AC15" s="275">
        <f t="shared" si="64"/>
        <v>0</v>
      </c>
      <c r="AD15" s="275">
        <f t="shared" si="17"/>
        <v>0</v>
      </c>
      <c r="AE15" s="275">
        <f t="shared" si="18"/>
        <v>0</v>
      </c>
      <c r="AF15" s="275">
        <f t="shared" si="19"/>
        <v>0</v>
      </c>
      <c r="AG15" s="275">
        <f t="shared" si="20"/>
        <v>0</v>
      </c>
      <c r="AH15" s="275">
        <f t="shared" si="65"/>
        <v>0</v>
      </c>
      <c r="AI15" s="275">
        <f t="shared" si="66"/>
        <v>0</v>
      </c>
      <c r="AJ15" s="275">
        <f t="shared" si="67"/>
        <v>0</v>
      </c>
      <c r="AK15" s="275">
        <f t="shared" si="68"/>
        <v>0</v>
      </c>
      <c r="AL15" s="275">
        <f t="shared" si="69"/>
        <v>0</v>
      </c>
      <c r="AM15" s="275">
        <f t="shared" si="70"/>
        <v>0</v>
      </c>
      <c r="AN15" s="275">
        <f t="shared" si="71"/>
        <v>0</v>
      </c>
      <c r="AO15" s="275">
        <f t="shared" si="72"/>
        <v>0</v>
      </c>
      <c r="AP15" s="275">
        <f t="shared" si="21"/>
        <v>0</v>
      </c>
      <c r="AQ15" s="275">
        <f t="shared" si="22"/>
        <v>0</v>
      </c>
      <c r="AR15" s="275">
        <f t="shared" si="23"/>
        <v>0</v>
      </c>
      <c r="AS15" s="275">
        <f t="shared" si="24"/>
        <v>0</v>
      </c>
      <c r="AT15" s="275">
        <f t="shared" si="73"/>
        <v>0</v>
      </c>
      <c r="AU15" s="275">
        <f t="shared" si="74"/>
        <v>0</v>
      </c>
      <c r="AV15" s="275">
        <f t="shared" si="25"/>
        <v>0</v>
      </c>
      <c r="AW15" s="275">
        <f t="shared" si="26"/>
        <v>0</v>
      </c>
      <c r="AX15" s="275">
        <f t="shared" si="27"/>
        <v>0</v>
      </c>
      <c r="AY15" s="275">
        <f t="shared" si="28"/>
        <v>0</v>
      </c>
      <c r="AZ15" s="275">
        <f t="shared" si="29"/>
        <v>0</v>
      </c>
      <c r="BA15" s="275">
        <f t="shared" si="30"/>
        <v>0</v>
      </c>
      <c r="BB15" s="275">
        <f t="shared" si="31"/>
        <v>0</v>
      </c>
      <c r="BC15" s="275">
        <f t="shared" si="32"/>
        <v>0</v>
      </c>
      <c r="BD15" s="275">
        <f t="shared" si="33"/>
        <v>0</v>
      </c>
      <c r="BE15" s="275">
        <f t="shared" si="34"/>
        <v>0</v>
      </c>
      <c r="BF15" s="275">
        <f t="shared" si="35"/>
        <v>0</v>
      </c>
      <c r="BG15" s="275">
        <f t="shared" si="36"/>
        <v>0</v>
      </c>
      <c r="BH15" s="275">
        <f t="shared" si="75"/>
        <v>0</v>
      </c>
      <c r="BI15" s="275">
        <f t="shared" si="76"/>
        <v>0</v>
      </c>
      <c r="BJ15" s="275">
        <f t="shared" si="37"/>
        <v>0</v>
      </c>
      <c r="BK15" s="275">
        <f t="shared" si="38"/>
        <v>0</v>
      </c>
      <c r="BL15" s="275">
        <f t="shared" si="39"/>
        <v>0</v>
      </c>
      <c r="BM15" s="275">
        <f t="shared" si="40"/>
        <v>0</v>
      </c>
      <c r="BN15" s="275">
        <f t="shared" si="41"/>
        <v>0</v>
      </c>
      <c r="BO15" s="275">
        <f t="shared" si="42"/>
        <v>0</v>
      </c>
      <c r="BP15" s="275">
        <f t="shared" si="77"/>
        <v>0</v>
      </c>
      <c r="BQ15" s="275">
        <f t="shared" si="78"/>
        <v>0</v>
      </c>
      <c r="BR15" s="275">
        <f t="shared" si="43"/>
        <v>0</v>
      </c>
      <c r="BS15" s="275">
        <f t="shared" si="44"/>
        <v>0</v>
      </c>
      <c r="BT15" s="275">
        <f t="shared" si="79"/>
        <v>0</v>
      </c>
      <c r="BU15" s="275">
        <f t="shared" si="80"/>
        <v>0</v>
      </c>
      <c r="BV15" s="275">
        <f t="shared" si="81"/>
        <v>0</v>
      </c>
      <c r="BW15" s="275">
        <f t="shared" si="82"/>
        <v>0</v>
      </c>
      <c r="BX15" s="275">
        <f t="shared" si="45"/>
        <v>0</v>
      </c>
      <c r="BY15" s="275">
        <f t="shared" si="46"/>
        <v>0</v>
      </c>
      <c r="BZ15" s="275">
        <f t="shared" si="47"/>
        <v>0</v>
      </c>
      <c r="CA15" s="275">
        <f t="shared" si="48"/>
        <v>0</v>
      </c>
      <c r="CB15" s="275">
        <f t="shared" si="49"/>
        <v>0</v>
      </c>
      <c r="CC15" s="275">
        <f t="shared" si="50"/>
        <v>0</v>
      </c>
      <c r="CD15" s="275">
        <f t="shared" si="83"/>
        <v>0</v>
      </c>
      <c r="CE15" s="275">
        <f t="shared" si="84"/>
        <v>0</v>
      </c>
      <c r="CF15" s="275">
        <f t="shared" si="85"/>
        <v>0</v>
      </c>
      <c r="CG15" s="275">
        <f t="shared" si="86"/>
        <v>0</v>
      </c>
      <c r="CH15" s="275">
        <f t="shared" si="51"/>
        <v>0</v>
      </c>
      <c r="CI15" s="275">
        <f t="shared" si="52"/>
        <v>0</v>
      </c>
      <c r="CJ15" s="275">
        <f t="shared" si="87"/>
        <v>0</v>
      </c>
      <c r="CK15" s="275">
        <f t="shared" si="88"/>
        <v>0</v>
      </c>
      <c r="CL15" s="275">
        <f t="shared" si="53"/>
        <v>0</v>
      </c>
      <c r="CM15" s="275">
        <f t="shared" si="54"/>
        <v>0</v>
      </c>
      <c r="CN15" s="275">
        <f t="shared" si="55"/>
        <v>0</v>
      </c>
      <c r="CO15" s="275">
        <f t="shared" si="56"/>
        <v>0</v>
      </c>
      <c r="CP15" s="275">
        <f t="shared" si="89"/>
        <v>0</v>
      </c>
      <c r="CQ15" s="275">
        <f t="shared" si="90"/>
        <v>0</v>
      </c>
      <c r="CR15" s="275">
        <f t="shared" si="91"/>
        <v>0</v>
      </c>
      <c r="CS15" s="275">
        <f t="shared" si="92"/>
        <v>0</v>
      </c>
      <c r="CT15" s="275">
        <f t="shared" si="57"/>
        <v>0</v>
      </c>
      <c r="CU15" s="275">
        <f t="shared" si="58"/>
        <v>0</v>
      </c>
      <c r="CV15" s="275">
        <f t="shared" si="59"/>
        <v>0</v>
      </c>
      <c r="CW15" s="275">
        <f t="shared" si="60"/>
        <v>0</v>
      </c>
      <c r="CX15" s="275">
        <f t="shared" si="93"/>
        <v>0</v>
      </c>
      <c r="CY15" s="275">
        <f t="shared" si="94"/>
        <v>0</v>
      </c>
      <c r="CZ15" s="275">
        <f t="shared" si="95"/>
        <v>0</v>
      </c>
      <c r="DA15" s="275">
        <f t="shared" si="96"/>
        <v>0</v>
      </c>
    </row>
    <row r="16" spans="1:105" s="272" customFormat="1" ht="15.75" customHeight="1">
      <c r="A16" s="63" t="str">
        <f t="array" ref="A16">IF(C16&lt;&gt;0,SUM(($C$11:C16&lt;&gt;0)*1),"")</f>
        <v/>
      </c>
      <c r="B16" s="273"/>
      <c r="C16" s="273"/>
      <c r="D16" s="273"/>
      <c r="E16" s="363"/>
      <c r="F16" s="324"/>
      <c r="G16" s="326"/>
      <c r="H16" s="326"/>
      <c r="I16" s="63" t="str">
        <f t="shared" si="0"/>
        <v/>
      </c>
      <c r="J16" s="275">
        <f t="shared" si="61"/>
        <v>0</v>
      </c>
      <c r="K16" s="275">
        <f t="shared" si="62"/>
        <v>0</v>
      </c>
      <c r="L16" s="275">
        <f t="shared" si="1"/>
        <v>0</v>
      </c>
      <c r="M16" s="275">
        <f t="shared" si="2"/>
        <v>0</v>
      </c>
      <c r="N16" s="275">
        <f t="shared" si="3"/>
        <v>0</v>
      </c>
      <c r="O16" s="275">
        <f t="shared" si="4"/>
        <v>0</v>
      </c>
      <c r="P16" s="275">
        <f t="shared" si="5"/>
        <v>0</v>
      </c>
      <c r="Q16" s="275">
        <f t="shared" si="6"/>
        <v>0</v>
      </c>
      <c r="R16" s="275">
        <f t="shared" si="7"/>
        <v>0</v>
      </c>
      <c r="S16" s="275">
        <f t="shared" si="8"/>
        <v>0</v>
      </c>
      <c r="T16" s="275">
        <f t="shared" si="9"/>
        <v>0</v>
      </c>
      <c r="U16" s="275">
        <f t="shared" si="10"/>
        <v>0</v>
      </c>
      <c r="V16" s="275">
        <f t="shared" si="11"/>
        <v>0</v>
      </c>
      <c r="W16" s="275">
        <f t="shared" si="12"/>
        <v>0</v>
      </c>
      <c r="X16" s="275">
        <f t="shared" si="13"/>
        <v>0</v>
      </c>
      <c r="Y16" s="275">
        <f t="shared" si="14"/>
        <v>0</v>
      </c>
      <c r="Z16" s="275">
        <f t="shared" si="15"/>
        <v>0</v>
      </c>
      <c r="AA16" s="275">
        <f t="shared" si="16"/>
        <v>0</v>
      </c>
      <c r="AB16" s="275">
        <f t="shared" si="63"/>
        <v>0</v>
      </c>
      <c r="AC16" s="275">
        <f t="shared" si="64"/>
        <v>0</v>
      </c>
      <c r="AD16" s="275">
        <f t="shared" si="17"/>
        <v>0</v>
      </c>
      <c r="AE16" s="275">
        <f t="shared" si="18"/>
        <v>0</v>
      </c>
      <c r="AF16" s="275">
        <f t="shared" si="19"/>
        <v>0</v>
      </c>
      <c r="AG16" s="275">
        <f t="shared" si="20"/>
        <v>0</v>
      </c>
      <c r="AH16" s="275">
        <f t="shared" si="65"/>
        <v>0</v>
      </c>
      <c r="AI16" s="275">
        <f t="shared" si="66"/>
        <v>0</v>
      </c>
      <c r="AJ16" s="275">
        <f t="shared" si="67"/>
        <v>0</v>
      </c>
      <c r="AK16" s="275">
        <f t="shared" si="68"/>
        <v>0</v>
      </c>
      <c r="AL16" s="275">
        <f t="shared" si="69"/>
        <v>0</v>
      </c>
      <c r="AM16" s="275">
        <f t="shared" si="70"/>
        <v>0</v>
      </c>
      <c r="AN16" s="275">
        <f t="shared" si="71"/>
        <v>0</v>
      </c>
      <c r="AO16" s="275">
        <f t="shared" si="72"/>
        <v>0</v>
      </c>
      <c r="AP16" s="275">
        <f t="shared" si="21"/>
        <v>0</v>
      </c>
      <c r="AQ16" s="275">
        <f t="shared" si="22"/>
        <v>0</v>
      </c>
      <c r="AR16" s="275">
        <f t="shared" si="23"/>
        <v>0</v>
      </c>
      <c r="AS16" s="275">
        <f t="shared" si="24"/>
        <v>0</v>
      </c>
      <c r="AT16" s="275">
        <f t="shared" si="73"/>
        <v>0</v>
      </c>
      <c r="AU16" s="275">
        <f t="shared" si="74"/>
        <v>0</v>
      </c>
      <c r="AV16" s="275">
        <f t="shared" si="25"/>
        <v>0</v>
      </c>
      <c r="AW16" s="275">
        <f t="shared" si="26"/>
        <v>0</v>
      </c>
      <c r="AX16" s="275">
        <f t="shared" si="27"/>
        <v>0</v>
      </c>
      <c r="AY16" s="275">
        <f t="shared" si="28"/>
        <v>0</v>
      </c>
      <c r="AZ16" s="275">
        <f t="shared" si="29"/>
        <v>0</v>
      </c>
      <c r="BA16" s="275">
        <f t="shared" si="30"/>
        <v>0</v>
      </c>
      <c r="BB16" s="275">
        <f t="shared" si="31"/>
        <v>0</v>
      </c>
      <c r="BC16" s="275">
        <f t="shared" si="32"/>
        <v>0</v>
      </c>
      <c r="BD16" s="275">
        <f t="shared" si="33"/>
        <v>0</v>
      </c>
      <c r="BE16" s="275">
        <f t="shared" si="34"/>
        <v>0</v>
      </c>
      <c r="BF16" s="275">
        <f t="shared" si="35"/>
        <v>0</v>
      </c>
      <c r="BG16" s="275">
        <f t="shared" si="36"/>
        <v>0</v>
      </c>
      <c r="BH16" s="275">
        <f t="shared" si="75"/>
        <v>0</v>
      </c>
      <c r="BI16" s="275">
        <f t="shared" si="76"/>
        <v>0</v>
      </c>
      <c r="BJ16" s="275">
        <f t="shared" si="37"/>
        <v>0</v>
      </c>
      <c r="BK16" s="275">
        <f t="shared" si="38"/>
        <v>0</v>
      </c>
      <c r="BL16" s="275">
        <f t="shared" si="39"/>
        <v>0</v>
      </c>
      <c r="BM16" s="275">
        <f t="shared" si="40"/>
        <v>0</v>
      </c>
      <c r="BN16" s="275">
        <f t="shared" si="41"/>
        <v>0</v>
      </c>
      <c r="BO16" s="275">
        <f t="shared" si="42"/>
        <v>0</v>
      </c>
      <c r="BP16" s="275">
        <f t="shared" si="77"/>
        <v>0</v>
      </c>
      <c r="BQ16" s="275">
        <f t="shared" si="78"/>
        <v>0</v>
      </c>
      <c r="BR16" s="275">
        <f t="shared" si="43"/>
        <v>0</v>
      </c>
      <c r="BS16" s="275">
        <f t="shared" si="44"/>
        <v>0</v>
      </c>
      <c r="BT16" s="275">
        <f t="shared" si="79"/>
        <v>0</v>
      </c>
      <c r="BU16" s="275">
        <f t="shared" si="80"/>
        <v>0</v>
      </c>
      <c r="BV16" s="275">
        <f t="shared" si="81"/>
        <v>0</v>
      </c>
      <c r="BW16" s="275">
        <f t="shared" si="82"/>
        <v>0</v>
      </c>
      <c r="BX16" s="275">
        <f t="shared" si="45"/>
        <v>0</v>
      </c>
      <c r="BY16" s="275">
        <f t="shared" si="46"/>
        <v>0</v>
      </c>
      <c r="BZ16" s="275">
        <f t="shared" si="47"/>
        <v>0</v>
      </c>
      <c r="CA16" s="275">
        <f t="shared" si="48"/>
        <v>0</v>
      </c>
      <c r="CB16" s="275">
        <f t="shared" si="49"/>
        <v>0</v>
      </c>
      <c r="CC16" s="275">
        <f t="shared" si="50"/>
        <v>0</v>
      </c>
      <c r="CD16" s="275">
        <f t="shared" si="83"/>
        <v>0</v>
      </c>
      <c r="CE16" s="275">
        <f t="shared" si="84"/>
        <v>0</v>
      </c>
      <c r="CF16" s="275">
        <f t="shared" si="85"/>
        <v>0</v>
      </c>
      <c r="CG16" s="275">
        <f t="shared" si="86"/>
        <v>0</v>
      </c>
      <c r="CH16" s="275">
        <f t="shared" si="51"/>
        <v>0</v>
      </c>
      <c r="CI16" s="275">
        <f t="shared" si="52"/>
        <v>0</v>
      </c>
      <c r="CJ16" s="275">
        <f t="shared" si="87"/>
        <v>0</v>
      </c>
      <c r="CK16" s="275">
        <f t="shared" si="88"/>
        <v>0</v>
      </c>
      <c r="CL16" s="275">
        <f t="shared" si="53"/>
        <v>0</v>
      </c>
      <c r="CM16" s="275">
        <f t="shared" si="54"/>
        <v>0</v>
      </c>
      <c r="CN16" s="275">
        <f t="shared" si="55"/>
        <v>0</v>
      </c>
      <c r="CO16" s="275">
        <f t="shared" si="56"/>
        <v>0</v>
      </c>
      <c r="CP16" s="275">
        <f t="shared" si="89"/>
        <v>0</v>
      </c>
      <c r="CQ16" s="275">
        <f t="shared" si="90"/>
        <v>0</v>
      </c>
      <c r="CR16" s="275">
        <f t="shared" si="91"/>
        <v>0</v>
      </c>
      <c r="CS16" s="275">
        <f t="shared" si="92"/>
        <v>0</v>
      </c>
      <c r="CT16" s="275">
        <f t="shared" si="57"/>
        <v>0</v>
      </c>
      <c r="CU16" s="275">
        <f t="shared" si="58"/>
        <v>0</v>
      </c>
      <c r="CV16" s="275">
        <f t="shared" si="59"/>
        <v>0</v>
      </c>
      <c r="CW16" s="275">
        <f t="shared" si="60"/>
        <v>0</v>
      </c>
      <c r="CX16" s="275">
        <f t="shared" si="93"/>
        <v>0</v>
      </c>
      <c r="CY16" s="275">
        <f t="shared" si="94"/>
        <v>0</v>
      </c>
      <c r="CZ16" s="275">
        <f t="shared" si="95"/>
        <v>0</v>
      </c>
      <c r="DA16" s="275">
        <f t="shared" si="96"/>
        <v>0</v>
      </c>
    </row>
    <row r="17" spans="1:105" s="272" customFormat="1" ht="15.75" customHeight="1">
      <c r="A17" s="63" t="str">
        <f t="array" ref="A17">IF(C17&lt;&gt;0,SUM(($C$11:C17&lt;&gt;0)*1),"")</f>
        <v/>
      </c>
      <c r="B17" s="273"/>
      <c r="C17" s="273"/>
      <c r="D17" s="273"/>
      <c r="E17" s="363"/>
      <c r="F17" s="324"/>
      <c r="G17" s="326"/>
      <c r="H17" s="326"/>
      <c r="I17" s="63" t="str">
        <f t="shared" si="0"/>
        <v/>
      </c>
      <c r="J17" s="275">
        <f t="shared" si="61"/>
        <v>0</v>
      </c>
      <c r="K17" s="275">
        <f t="shared" si="62"/>
        <v>0</v>
      </c>
      <c r="L17" s="275">
        <f t="shared" si="1"/>
        <v>0</v>
      </c>
      <c r="M17" s="275">
        <f t="shared" si="2"/>
        <v>0</v>
      </c>
      <c r="N17" s="275">
        <f t="shared" si="3"/>
        <v>0</v>
      </c>
      <c r="O17" s="275">
        <f t="shared" si="4"/>
        <v>0</v>
      </c>
      <c r="P17" s="275">
        <f t="shared" si="5"/>
        <v>0</v>
      </c>
      <c r="Q17" s="275">
        <f t="shared" si="6"/>
        <v>0</v>
      </c>
      <c r="R17" s="275">
        <f t="shared" si="7"/>
        <v>0</v>
      </c>
      <c r="S17" s="275">
        <f t="shared" si="8"/>
        <v>0</v>
      </c>
      <c r="T17" s="275">
        <f t="shared" si="9"/>
        <v>0</v>
      </c>
      <c r="U17" s="275">
        <f t="shared" si="10"/>
        <v>0</v>
      </c>
      <c r="V17" s="275">
        <f t="shared" si="11"/>
        <v>0</v>
      </c>
      <c r="W17" s="275">
        <f t="shared" si="12"/>
        <v>0</v>
      </c>
      <c r="X17" s="275">
        <f t="shared" si="13"/>
        <v>0</v>
      </c>
      <c r="Y17" s="275">
        <f t="shared" si="14"/>
        <v>0</v>
      </c>
      <c r="Z17" s="275">
        <f t="shared" si="15"/>
        <v>0</v>
      </c>
      <c r="AA17" s="275">
        <f t="shared" si="16"/>
        <v>0</v>
      </c>
      <c r="AB17" s="275">
        <f t="shared" si="63"/>
        <v>0</v>
      </c>
      <c r="AC17" s="275">
        <f t="shared" si="64"/>
        <v>0</v>
      </c>
      <c r="AD17" s="275">
        <f t="shared" si="17"/>
        <v>0</v>
      </c>
      <c r="AE17" s="275">
        <f t="shared" si="18"/>
        <v>0</v>
      </c>
      <c r="AF17" s="275">
        <f t="shared" si="19"/>
        <v>0</v>
      </c>
      <c r="AG17" s="275">
        <f t="shared" si="20"/>
        <v>0</v>
      </c>
      <c r="AH17" s="275">
        <f t="shared" si="65"/>
        <v>0</v>
      </c>
      <c r="AI17" s="275">
        <f t="shared" si="66"/>
        <v>0</v>
      </c>
      <c r="AJ17" s="275">
        <f t="shared" si="67"/>
        <v>0</v>
      </c>
      <c r="AK17" s="275">
        <f t="shared" si="68"/>
        <v>0</v>
      </c>
      <c r="AL17" s="275">
        <f t="shared" si="69"/>
        <v>0</v>
      </c>
      <c r="AM17" s="275">
        <f t="shared" si="70"/>
        <v>0</v>
      </c>
      <c r="AN17" s="275">
        <f t="shared" si="71"/>
        <v>0</v>
      </c>
      <c r="AO17" s="275">
        <f t="shared" si="72"/>
        <v>0</v>
      </c>
      <c r="AP17" s="275">
        <f t="shared" si="21"/>
        <v>0</v>
      </c>
      <c r="AQ17" s="275">
        <f t="shared" si="22"/>
        <v>0</v>
      </c>
      <c r="AR17" s="275">
        <f t="shared" si="23"/>
        <v>0</v>
      </c>
      <c r="AS17" s="275">
        <f t="shared" si="24"/>
        <v>0</v>
      </c>
      <c r="AT17" s="275">
        <f t="shared" si="73"/>
        <v>0</v>
      </c>
      <c r="AU17" s="275">
        <f t="shared" si="74"/>
        <v>0</v>
      </c>
      <c r="AV17" s="275">
        <f t="shared" si="25"/>
        <v>0</v>
      </c>
      <c r="AW17" s="275">
        <f t="shared" si="26"/>
        <v>0</v>
      </c>
      <c r="AX17" s="275">
        <f t="shared" si="27"/>
        <v>0</v>
      </c>
      <c r="AY17" s="275">
        <f t="shared" si="28"/>
        <v>0</v>
      </c>
      <c r="AZ17" s="275">
        <f t="shared" si="29"/>
        <v>0</v>
      </c>
      <c r="BA17" s="275">
        <f t="shared" si="30"/>
        <v>0</v>
      </c>
      <c r="BB17" s="275">
        <f t="shared" si="31"/>
        <v>0</v>
      </c>
      <c r="BC17" s="275">
        <f t="shared" si="32"/>
        <v>0</v>
      </c>
      <c r="BD17" s="275">
        <f t="shared" si="33"/>
        <v>0</v>
      </c>
      <c r="BE17" s="275">
        <f t="shared" si="34"/>
        <v>0</v>
      </c>
      <c r="BF17" s="275">
        <f t="shared" si="35"/>
        <v>0</v>
      </c>
      <c r="BG17" s="275">
        <f t="shared" si="36"/>
        <v>0</v>
      </c>
      <c r="BH17" s="275">
        <f t="shared" si="75"/>
        <v>0</v>
      </c>
      <c r="BI17" s="275">
        <f t="shared" si="76"/>
        <v>0</v>
      </c>
      <c r="BJ17" s="275">
        <f t="shared" si="37"/>
        <v>0</v>
      </c>
      <c r="BK17" s="275">
        <f t="shared" si="38"/>
        <v>0</v>
      </c>
      <c r="BL17" s="275">
        <f t="shared" si="39"/>
        <v>0</v>
      </c>
      <c r="BM17" s="275">
        <f t="shared" si="40"/>
        <v>0</v>
      </c>
      <c r="BN17" s="275">
        <f t="shared" si="41"/>
        <v>0</v>
      </c>
      <c r="BO17" s="275">
        <f t="shared" si="42"/>
        <v>0</v>
      </c>
      <c r="BP17" s="275">
        <f t="shared" si="77"/>
        <v>0</v>
      </c>
      <c r="BQ17" s="275">
        <f t="shared" si="78"/>
        <v>0</v>
      </c>
      <c r="BR17" s="275">
        <f t="shared" si="43"/>
        <v>0</v>
      </c>
      <c r="BS17" s="275">
        <f t="shared" si="44"/>
        <v>0</v>
      </c>
      <c r="BT17" s="275">
        <f t="shared" si="79"/>
        <v>0</v>
      </c>
      <c r="BU17" s="275">
        <f t="shared" si="80"/>
        <v>0</v>
      </c>
      <c r="BV17" s="275">
        <f t="shared" si="81"/>
        <v>0</v>
      </c>
      <c r="BW17" s="275">
        <f t="shared" si="82"/>
        <v>0</v>
      </c>
      <c r="BX17" s="275">
        <f t="shared" si="45"/>
        <v>0</v>
      </c>
      <c r="BY17" s="275">
        <f t="shared" si="46"/>
        <v>0</v>
      </c>
      <c r="BZ17" s="275">
        <f t="shared" si="47"/>
        <v>0</v>
      </c>
      <c r="CA17" s="275">
        <f t="shared" si="48"/>
        <v>0</v>
      </c>
      <c r="CB17" s="275">
        <f t="shared" si="49"/>
        <v>0</v>
      </c>
      <c r="CC17" s="275">
        <f t="shared" si="50"/>
        <v>0</v>
      </c>
      <c r="CD17" s="275">
        <f t="shared" si="83"/>
        <v>0</v>
      </c>
      <c r="CE17" s="275">
        <f t="shared" si="84"/>
        <v>0</v>
      </c>
      <c r="CF17" s="275">
        <f t="shared" si="85"/>
        <v>0</v>
      </c>
      <c r="CG17" s="275">
        <f t="shared" si="86"/>
        <v>0</v>
      </c>
      <c r="CH17" s="275">
        <f t="shared" si="51"/>
        <v>0</v>
      </c>
      <c r="CI17" s="275">
        <f t="shared" si="52"/>
        <v>0</v>
      </c>
      <c r="CJ17" s="275">
        <f t="shared" si="87"/>
        <v>0</v>
      </c>
      <c r="CK17" s="275">
        <f t="shared" si="88"/>
        <v>0</v>
      </c>
      <c r="CL17" s="275">
        <f t="shared" si="53"/>
        <v>0</v>
      </c>
      <c r="CM17" s="275">
        <f t="shared" si="54"/>
        <v>0</v>
      </c>
      <c r="CN17" s="275">
        <f t="shared" si="55"/>
        <v>0</v>
      </c>
      <c r="CO17" s="275">
        <f t="shared" si="56"/>
        <v>0</v>
      </c>
      <c r="CP17" s="275">
        <f t="shared" si="89"/>
        <v>0</v>
      </c>
      <c r="CQ17" s="275">
        <f t="shared" si="90"/>
        <v>0</v>
      </c>
      <c r="CR17" s="275">
        <f t="shared" si="91"/>
        <v>0</v>
      </c>
      <c r="CS17" s="275">
        <f t="shared" si="92"/>
        <v>0</v>
      </c>
      <c r="CT17" s="275">
        <f t="shared" si="57"/>
        <v>0</v>
      </c>
      <c r="CU17" s="275">
        <f t="shared" si="58"/>
        <v>0</v>
      </c>
      <c r="CV17" s="275">
        <f t="shared" si="59"/>
        <v>0</v>
      </c>
      <c r="CW17" s="275">
        <f t="shared" si="60"/>
        <v>0</v>
      </c>
      <c r="CX17" s="275">
        <f t="shared" si="93"/>
        <v>0</v>
      </c>
      <c r="CY17" s="275">
        <f t="shared" si="94"/>
        <v>0</v>
      </c>
      <c r="CZ17" s="275">
        <f t="shared" si="95"/>
        <v>0</v>
      </c>
      <c r="DA17" s="275">
        <f t="shared" si="96"/>
        <v>0</v>
      </c>
    </row>
    <row r="18" spans="1:105" s="272" customFormat="1" ht="15.75" customHeight="1">
      <c r="A18" s="63" t="str">
        <f t="array" ref="A18">IF(C18&lt;&gt;0,SUM(($C$11:C18&lt;&gt;0)*1),"")</f>
        <v/>
      </c>
      <c r="B18" s="273"/>
      <c r="C18" s="273"/>
      <c r="D18" s="273"/>
      <c r="E18" s="363"/>
      <c r="F18" s="324"/>
      <c r="G18" s="326"/>
      <c r="H18" s="326"/>
      <c r="I18" s="63" t="str">
        <f t="shared" si="0"/>
        <v/>
      </c>
      <c r="J18" s="275">
        <f t="shared" si="61"/>
        <v>0</v>
      </c>
      <c r="K18" s="275">
        <f t="shared" si="62"/>
        <v>0</v>
      </c>
      <c r="L18" s="275">
        <f t="shared" si="1"/>
        <v>0</v>
      </c>
      <c r="M18" s="275">
        <f t="shared" si="2"/>
        <v>0</v>
      </c>
      <c r="N18" s="275">
        <f t="shared" si="3"/>
        <v>0</v>
      </c>
      <c r="O18" s="275">
        <f t="shared" si="4"/>
        <v>0</v>
      </c>
      <c r="P18" s="275">
        <f t="shared" si="5"/>
        <v>0</v>
      </c>
      <c r="Q18" s="275">
        <f t="shared" si="6"/>
        <v>0</v>
      </c>
      <c r="R18" s="275">
        <f t="shared" si="7"/>
        <v>0</v>
      </c>
      <c r="S18" s="275">
        <f t="shared" si="8"/>
        <v>0</v>
      </c>
      <c r="T18" s="275">
        <f t="shared" si="9"/>
        <v>0</v>
      </c>
      <c r="U18" s="275">
        <f t="shared" si="10"/>
        <v>0</v>
      </c>
      <c r="V18" s="275">
        <f t="shared" si="11"/>
        <v>0</v>
      </c>
      <c r="W18" s="275">
        <f t="shared" si="12"/>
        <v>0</v>
      </c>
      <c r="X18" s="275">
        <f t="shared" si="13"/>
        <v>0</v>
      </c>
      <c r="Y18" s="275">
        <f t="shared" si="14"/>
        <v>0</v>
      </c>
      <c r="Z18" s="275">
        <f t="shared" si="15"/>
        <v>0</v>
      </c>
      <c r="AA18" s="275">
        <f t="shared" si="16"/>
        <v>0</v>
      </c>
      <c r="AB18" s="275">
        <f t="shared" si="63"/>
        <v>0</v>
      </c>
      <c r="AC18" s="275">
        <f t="shared" si="64"/>
        <v>0</v>
      </c>
      <c r="AD18" s="275">
        <f t="shared" si="17"/>
        <v>0</v>
      </c>
      <c r="AE18" s="275">
        <f t="shared" si="18"/>
        <v>0</v>
      </c>
      <c r="AF18" s="275">
        <f t="shared" si="19"/>
        <v>0</v>
      </c>
      <c r="AG18" s="275">
        <f t="shared" si="20"/>
        <v>0</v>
      </c>
      <c r="AH18" s="275">
        <f t="shared" si="65"/>
        <v>0</v>
      </c>
      <c r="AI18" s="275">
        <f t="shared" si="66"/>
        <v>0</v>
      </c>
      <c r="AJ18" s="275">
        <f t="shared" si="67"/>
        <v>0</v>
      </c>
      <c r="AK18" s="275">
        <f t="shared" si="68"/>
        <v>0</v>
      </c>
      <c r="AL18" s="275">
        <f t="shared" si="69"/>
        <v>0</v>
      </c>
      <c r="AM18" s="275">
        <f t="shared" si="70"/>
        <v>0</v>
      </c>
      <c r="AN18" s="275">
        <f t="shared" si="71"/>
        <v>0</v>
      </c>
      <c r="AO18" s="275">
        <f t="shared" si="72"/>
        <v>0</v>
      </c>
      <c r="AP18" s="275">
        <f t="shared" si="21"/>
        <v>0</v>
      </c>
      <c r="AQ18" s="275">
        <f t="shared" si="22"/>
        <v>0</v>
      </c>
      <c r="AR18" s="275">
        <f t="shared" si="23"/>
        <v>0</v>
      </c>
      <c r="AS18" s="275">
        <f t="shared" si="24"/>
        <v>0</v>
      </c>
      <c r="AT18" s="275">
        <f t="shared" si="73"/>
        <v>0</v>
      </c>
      <c r="AU18" s="275">
        <f t="shared" si="74"/>
        <v>0</v>
      </c>
      <c r="AV18" s="275">
        <f t="shared" si="25"/>
        <v>0</v>
      </c>
      <c r="AW18" s="275">
        <f t="shared" si="26"/>
        <v>0</v>
      </c>
      <c r="AX18" s="275">
        <f t="shared" si="27"/>
        <v>0</v>
      </c>
      <c r="AY18" s="275">
        <f t="shared" si="28"/>
        <v>0</v>
      </c>
      <c r="AZ18" s="275">
        <f t="shared" si="29"/>
        <v>0</v>
      </c>
      <c r="BA18" s="275">
        <f t="shared" si="30"/>
        <v>0</v>
      </c>
      <c r="BB18" s="275">
        <f t="shared" si="31"/>
        <v>0</v>
      </c>
      <c r="BC18" s="275">
        <f t="shared" si="32"/>
        <v>0</v>
      </c>
      <c r="BD18" s="275">
        <f t="shared" si="33"/>
        <v>0</v>
      </c>
      <c r="BE18" s="275">
        <f t="shared" si="34"/>
        <v>0</v>
      </c>
      <c r="BF18" s="275">
        <f t="shared" si="35"/>
        <v>0</v>
      </c>
      <c r="BG18" s="275">
        <f t="shared" si="36"/>
        <v>0</v>
      </c>
      <c r="BH18" s="275">
        <f t="shared" si="75"/>
        <v>0</v>
      </c>
      <c r="BI18" s="275">
        <f t="shared" si="76"/>
        <v>0</v>
      </c>
      <c r="BJ18" s="275">
        <f t="shared" si="37"/>
        <v>0</v>
      </c>
      <c r="BK18" s="275">
        <f t="shared" si="38"/>
        <v>0</v>
      </c>
      <c r="BL18" s="275">
        <f t="shared" si="39"/>
        <v>0</v>
      </c>
      <c r="BM18" s="275">
        <f t="shared" si="40"/>
        <v>0</v>
      </c>
      <c r="BN18" s="275">
        <f t="shared" si="41"/>
        <v>0</v>
      </c>
      <c r="BO18" s="275">
        <f t="shared" si="42"/>
        <v>0</v>
      </c>
      <c r="BP18" s="275">
        <f t="shared" si="77"/>
        <v>0</v>
      </c>
      <c r="BQ18" s="275">
        <f t="shared" si="78"/>
        <v>0</v>
      </c>
      <c r="BR18" s="275">
        <f t="shared" si="43"/>
        <v>0</v>
      </c>
      <c r="BS18" s="275">
        <f t="shared" si="44"/>
        <v>0</v>
      </c>
      <c r="BT18" s="275">
        <f t="shared" si="79"/>
        <v>0</v>
      </c>
      <c r="BU18" s="275">
        <f t="shared" si="80"/>
        <v>0</v>
      </c>
      <c r="BV18" s="275">
        <f t="shared" si="81"/>
        <v>0</v>
      </c>
      <c r="BW18" s="275">
        <f t="shared" si="82"/>
        <v>0</v>
      </c>
      <c r="BX18" s="275">
        <f t="shared" si="45"/>
        <v>0</v>
      </c>
      <c r="BY18" s="275">
        <f t="shared" si="46"/>
        <v>0</v>
      </c>
      <c r="BZ18" s="275">
        <f t="shared" si="47"/>
        <v>0</v>
      </c>
      <c r="CA18" s="275">
        <f t="shared" si="48"/>
        <v>0</v>
      </c>
      <c r="CB18" s="275">
        <f t="shared" si="49"/>
        <v>0</v>
      </c>
      <c r="CC18" s="275">
        <f t="shared" si="50"/>
        <v>0</v>
      </c>
      <c r="CD18" s="275">
        <f t="shared" si="83"/>
        <v>0</v>
      </c>
      <c r="CE18" s="275">
        <f t="shared" si="84"/>
        <v>0</v>
      </c>
      <c r="CF18" s="275">
        <f t="shared" si="85"/>
        <v>0</v>
      </c>
      <c r="CG18" s="275">
        <f t="shared" si="86"/>
        <v>0</v>
      </c>
      <c r="CH18" s="275">
        <f t="shared" si="51"/>
        <v>0</v>
      </c>
      <c r="CI18" s="275">
        <f t="shared" si="52"/>
        <v>0</v>
      </c>
      <c r="CJ18" s="275">
        <f t="shared" si="87"/>
        <v>0</v>
      </c>
      <c r="CK18" s="275">
        <f t="shared" si="88"/>
        <v>0</v>
      </c>
      <c r="CL18" s="275">
        <f t="shared" si="53"/>
        <v>0</v>
      </c>
      <c r="CM18" s="275">
        <f t="shared" si="54"/>
        <v>0</v>
      </c>
      <c r="CN18" s="275">
        <f t="shared" si="55"/>
        <v>0</v>
      </c>
      <c r="CO18" s="275">
        <f t="shared" si="56"/>
        <v>0</v>
      </c>
      <c r="CP18" s="275">
        <f t="shared" si="89"/>
        <v>0</v>
      </c>
      <c r="CQ18" s="275">
        <f t="shared" si="90"/>
        <v>0</v>
      </c>
      <c r="CR18" s="275">
        <f t="shared" si="91"/>
        <v>0</v>
      </c>
      <c r="CS18" s="275">
        <f t="shared" si="92"/>
        <v>0</v>
      </c>
      <c r="CT18" s="275">
        <f t="shared" si="57"/>
        <v>0</v>
      </c>
      <c r="CU18" s="275">
        <f t="shared" si="58"/>
        <v>0</v>
      </c>
      <c r="CV18" s="275">
        <f t="shared" si="59"/>
        <v>0</v>
      </c>
      <c r="CW18" s="275">
        <f t="shared" si="60"/>
        <v>0</v>
      </c>
      <c r="CX18" s="275">
        <f t="shared" si="93"/>
        <v>0</v>
      </c>
      <c r="CY18" s="275">
        <f t="shared" si="94"/>
        <v>0</v>
      </c>
      <c r="CZ18" s="275">
        <f t="shared" si="95"/>
        <v>0</v>
      </c>
      <c r="DA18" s="275">
        <f t="shared" si="96"/>
        <v>0</v>
      </c>
    </row>
    <row r="19" spans="1:105" s="272" customFormat="1" ht="15.75" customHeight="1">
      <c r="A19" s="63" t="str">
        <f t="array" ref="A19">IF(C19&lt;&gt;0,SUM(($C$11:C19&lt;&gt;0)*1),"")</f>
        <v/>
      </c>
      <c r="B19" s="273"/>
      <c r="C19" s="273"/>
      <c r="D19" s="273"/>
      <c r="E19" s="363"/>
      <c r="F19" s="324"/>
      <c r="G19" s="326"/>
      <c r="H19" s="326"/>
      <c r="I19" s="63" t="str">
        <f t="shared" si="0"/>
        <v/>
      </c>
      <c r="J19" s="275">
        <f t="shared" si="61"/>
        <v>0</v>
      </c>
      <c r="K19" s="275">
        <f t="shared" si="62"/>
        <v>0</v>
      </c>
      <c r="L19" s="275">
        <f t="shared" si="1"/>
        <v>0</v>
      </c>
      <c r="M19" s="275">
        <f t="shared" si="2"/>
        <v>0</v>
      </c>
      <c r="N19" s="275">
        <f t="shared" si="3"/>
        <v>0</v>
      </c>
      <c r="O19" s="275">
        <f t="shared" si="4"/>
        <v>0</v>
      </c>
      <c r="P19" s="275">
        <f t="shared" si="5"/>
        <v>0</v>
      </c>
      <c r="Q19" s="275">
        <f t="shared" si="6"/>
        <v>0</v>
      </c>
      <c r="R19" s="275">
        <f t="shared" si="7"/>
        <v>0</v>
      </c>
      <c r="S19" s="275">
        <f t="shared" si="8"/>
        <v>0</v>
      </c>
      <c r="T19" s="275">
        <f t="shared" si="9"/>
        <v>0</v>
      </c>
      <c r="U19" s="275">
        <f t="shared" si="10"/>
        <v>0</v>
      </c>
      <c r="V19" s="275">
        <f t="shared" si="11"/>
        <v>0</v>
      </c>
      <c r="W19" s="275">
        <f t="shared" si="12"/>
        <v>0</v>
      </c>
      <c r="X19" s="275">
        <f t="shared" si="13"/>
        <v>0</v>
      </c>
      <c r="Y19" s="275">
        <f t="shared" si="14"/>
        <v>0</v>
      </c>
      <c r="Z19" s="275">
        <f t="shared" si="15"/>
        <v>0</v>
      </c>
      <c r="AA19" s="275">
        <f t="shared" si="16"/>
        <v>0</v>
      </c>
      <c r="AB19" s="275">
        <f t="shared" si="63"/>
        <v>0</v>
      </c>
      <c r="AC19" s="275">
        <f t="shared" si="64"/>
        <v>0</v>
      </c>
      <c r="AD19" s="275">
        <f t="shared" si="17"/>
        <v>0</v>
      </c>
      <c r="AE19" s="275">
        <f t="shared" si="18"/>
        <v>0</v>
      </c>
      <c r="AF19" s="275">
        <f t="shared" si="19"/>
        <v>0</v>
      </c>
      <c r="AG19" s="275">
        <f t="shared" si="20"/>
        <v>0</v>
      </c>
      <c r="AH19" s="275">
        <f t="shared" si="65"/>
        <v>0</v>
      </c>
      <c r="AI19" s="275">
        <f t="shared" si="66"/>
        <v>0</v>
      </c>
      <c r="AJ19" s="275">
        <f t="shared" si="67"/>
        <v>0</v>
      </c>
      <c r="AK19" s="275">
        <f t="shared" si="68"/>
        <v>0</v>
      </c>
      <c r="AL19" s="275">
        <f t="shared" si="69"/>
        <v>0</v>
      </c>
      <c r="AM19" s="275">
        <f t="shared" si="70"/>
        <v>0</v>
      </c>
      <c r="AN19" s="275">
        <f t="shared" si="71"/>
        <v>0</v>
      </c>
      <c r="AO19" s="275">
        <f t="shared" si="72"/>
        <v>0</v>
      </c>
      <c r="AP19" s="275">
        <f t="shared" si="21"/>
        <v>0</v>
      </c>
      <c r="AQ19" s="275">
        <f t="shared" si="22"/>
        <v>0</v>
      </c>
      <c r="AR19" s="275">
        <f t="shared" si="23"/>
        <v>0</v>
      </c>
      <c r="AS19" s="275">
        <f t="shared" si="24"/>
        <v>0</v>
      </c>
      <c r="AT19" s="275">
        <f t="shared" si="73"/>
        <v>0</v>
      </c>
      <c r="AU19" s="275">
        <f t="shared" si="74"/>
        <v>0</v>
      </c>
      <c r="AV19" s="275">
        <f t="shared" si="25"/>
        <v>0</v>
      </c>
      <c r="AW19" s="275">
        <f t="shared" si="26"/>
        <v>0</v>
      </c>
      <c r="AX19" s="275">
        <f t="shared" si="27"/>
        <v>0</v>
      </c>
      <c r="AY19" s="275">
        <f t="shared" si="28"/>
        <v>0</v>
      </c>
      <c r="AZ19" s="275">
        <f t="shared" si="29"/>
        <v>0</v>
      </c>
      <c r="BA19" s="275">
        <f t="shared" si="30"/>
        <v>0</v>
      </c>
      <c r="BB19" s="275">
        <f t="shared" si="31"/>
        <v>0</v>
      </c>
      <c r="BC19" s="275">
        <f t="shared" si="32"/>
        <v>0</v>
      </c>
      <c r="BD19" s="275">
        <f t="shared" si="33"/>
        <v>0</v>
      </c>
      <c r="BE19" s="275">
        <f t="shared" si="34"/>
        <v>0</v>
      </c>
      <c r="BF19" s="275">
        <f t="shared" si="35"/>
        <v>0</v>
      </c>
      <c r="BG19" s="275">
        <f t="shared" si="36"/>
        <v>0</v>
      </c>
      <c r="BH19" s="275">
        <f t="shared" si="75"/>
        <v>0</v>
      </c>
      <c r="BI19" s="275">
        <f t="shared" si="76"/>
        <v>0</v>
      </c>
      <c r="BJ19" s="275">
        <f t="shared" si="37"/>
        <v>0</v>
      </c>
      <c r="BK19" s="275">
        <f t="shared" si="38"/>
        <v>0</v>
      </c>
      <c r="BL19" s="275">
        <f t="shared" si="39"/>
        <v>0</v>
      </c>
      <c r="BM19" s="275">
        <f t="shared" si="40"/>
        <v>0</v>
      </c>
      <c r="BN19" s="275">
        <f t="shared" si="41"/>
        <v>0</v>
      </c>
      <c r="BO19" s="275">
        <f t="shared" si="42"/>
        <v>0</v>
      </c>
      <c r="BP19" s="275">
        <f t="shared" si="77"/>
        <v>0</v>
      </c>
      <c r="BQ19" s="275">
        <f t="shared" si="78"/>
        <v>0</v>
      </c>
      <c r="BR19" s="275">
        <f t="shared" si="43"/>
        <v>0</v>
      </c>
      <c r="BS19" s="275">
        <f t="shared" si="44"/>
        <v>0</v>
      </c>
      <c r="BT19" s="275">
        <f t="shared" si="79"/>
        <v>0</v>
      </c>
      <c r="BU19" s="275">
        <f t="shared" si="80"/>
        <v>0</v>
      </c>
      <c r="BV19" s="275">
        <f t="shared" si="81"/>
        <v>0</v>
      </c>
      <c r="BW19" s="275">
        <f t="shared" si="82"/>
        <v>0</v>
      </c>
      <c r="BX19" s="275">
        <f t="shared" si="45"/>
        <v>0</v>
      </c>
      <c r="BY19" s="275">
        <f t="shared" si="46"/>
        <v>0</v>
      </c>
      <c r="BZ19" s="275">
        <f t="shared" si="47"/>
        <v>0</v>
      </c>
      <c r="CA19" s="275">
        <f t="shared" si="48"/>
        <v>0</v>
      </c>
      <c r="CB19" s="275">
        <f t="shared" si="49"/>
        <v>0</v>
      </c>
      <c r="CC19" s="275">
        <f t="shared" si="50"/>
        <v>0</v>
      </c>
      <c r="CD19" s="275">
        <f t="shared" si="83"/>
        <v>0</v>
      </c>
      <c r="CE19" s="275">
        <f t="shared" si="84"/>
        <v>0</v>
      </c>
      <c r="CF19" s="275">
        <f t="shared" si="85"/>
        <v>0</v>
      </c>
      <c r="CG19" s="275">
        <f t="shared" si="86"/>
        <v>0</v>
      </c>
      <c r="CH19" s="275">
        <f t="shared" si="51"/>
        <v>0</v>
      </c>
      <c r="CI19" s="275">
        <f t="shared" si="52"/>
        <v>0</v>
      </c>
      <c r="CJ19" s="275">
        <f t="shared" si="87"/>
        <v>0</v>
      </c>
      <c r="CK19" s="275">
        <f t="shared" si="88"/>
        <v>0</v>
      </c>
      <c r="CL19" s="275">
        <f t="shared" si="53"/>
        <v>0</v>
      </c>
      <c r="CM19" s="275">
        <f t="shared" si="54"/>
        <v>0</v>
      </c>
      <c r="CN19" s="275">
        <f t="shared" si="55"/>
        <v>0</v>
      </c>
      <c r="CO19" s="275">
        <f t="shared" si="56"/>
        <v>0</v>
      </c>
      <c r="CP19" s="275">
        <f t="shared" si="89"/>
        <v>0</v>
      </c>
      <c r="CQ19" s="275">
        <f t="shared" si="90"/>
        <v>0</v>
      </c>
      <c r="CR19" s="275">
        <f t="shared" si="91"/>
        <v>0</v>
      </c>
      <c r="CS19" s="275">
        <f t="shared" si="92"/>
        <v>0</v>
      </c>
      <c r="CT19" s="275">
        <f t="shared" si="57"/>
        <v>0</v>
      </c>
      <c r="CU19" s="275">
        <f t="shared" si="58"/>
        <v>0</v>
      </c>
      <c r="CV19" s="275">
        <f t="shared" si="59"/>
        <v>0</v>
      </c>
      <c r="CW19" s="275">
        <f t="shared" si="60"/>
        <v>0</v>
      </c>
      <c r="CX19" s="275">
        <f t="shared" si="93"/>
        <v>0</v>
      </c>
      <c r="CY19" s="275">
        <f t="shared" si="94"/>
        <v>0</v>
      </c>
      <c r="CZ19" s="275">
        <f t="shared" si="95"/>
        <v>0</v>
      </c>
      <c r="DA19" s="275">
        <f t="shared" si="96"/>
        <v>0</v>
      </c>
    </row>
    <row r="20" spans="1:105" s="272" customFormat="1" ht="15.75" customHeight="1">
      <c r="A20" s="63" t="str">
        <f t="array" ref="A20">IF(C20&lt;&gt;0,SUM(($C$11:C20&lt;&gt;0)*1),"")</f>
        <v/>
      </c>
      <c r="B20" s="273"/>
      <c r="C20" s="273"/>
      <c r="D20" s="273"/>
      <c r="E20" s="363"/>
      <c r="F20" s="324"/>
      <c r="G20" s="326"/>
      <c r="H20" s="326"/>
      <c r="I20" s="63" t="str">
        <f t="shared" si="0"/>
        <v/>
      </c>
      <c r="J20" s="275">
        <f t="shared" si="61"/>
        <v>0</v>
      </c>
      <c r="K20" s="275">
        <f t="shared" si="62"/>
        <v>0</v>
      </c>
      <c r="L20" s="275">
        <f t="shared" si="1"/>
        <v>0</v>
      </c>
      <c r="M20" s="275">
        <f t="shared" si="2"/>
        <v>0</v>
      </c>
      <c r="N20" s="275">
        <f t="shared" si="3"/>
        <v>0</v>
      </c>
      <c r="O20" s="275">
        <f t="shared" si="4"/>
        <v>0</v>
      </c>
      <c r="P20" s="275">
        <f t="shared" si="5"/>
        <v>0</v>
      </c>
      <c r="Q20" s="275">
        <f t="shared" si="6"/>
        <v>0</v>
      </c>
      <c r="R20" s="275">
        <f t="shared" si="7"/>
        <v>0</v>
      </c>
      <c r="S20" s="275">
        <f t="shared" si="8"/>
        <v>0</v>
      </c>
      <c r="T20" s="275">
        <f t="shared" si="9"/>
        <v>0</v>
      </c>
      <c r="U20" s="275">
        <f t="shared" si="10"/>
        <v>0</v>
      </c>
      <c r="V20" s="275">
        <f t="shared" si="11"/>
        <v>0</v>
      </c>
      <c r="W20" s="275">
        <f t="shared" si="12"/>
        <v>0</v>
      </c>
      <c r="X20" s="275">
        <f t="shared" si="13"/>
        <v>0</v>
      </c>
      <c r="Y20" s="275">
        <f t="shared" si="14"/>
        <v>0</v>
      </c>
      <c r="Z20" s="275">
        <f t="shared" si="15"/>
        <v>0</v>
      </c>
      <c r="AA20" s="275">
        <f t="shared" si="16"/>
        <v>0</v>
      </c>
      <c r="AB20" s="275">
        <f t="shared" si="63"/>
        <v>0</v>
      </c>
      <c r="AC20" s="275">
        <f t="shared" si="64"/>
        <v>0</v>
      </c>
      <c r="AD20" s="275">
        <f t="shared" si="17"/>
        <v>0</v>
      </c>
      <c r="AE20" s="275">
        <f t="shared" si="18"/>
        <v>0</v>
      </c>
      <c r="AF20" s="275">
        <f t="shared" si="19"/>
        <v>0</v>
      </c>
      <c r="AG20" s="275">
        <f t="shared" si="20"/>
        <v>0</v>
      </c>
      <c r="AH20" s="275">
        <f t="shared" si="65"/>
        <v>0</v>
      </c>
      <c r="AI20" s="275">
        <f t="shared" si="66"/>
        <v>0</v>
      </c>
      <c r="AJ20" s="275">
        <f t="shared" si="67"/>
        <v>0</v>
      </c>
      <c r="AK20" s="275">
        <f t="shared" si="68"/>
        <v>0</v>
      </c>
      <c r="AL20" s="275">
        <f t="shared" si="69"/>
        <v>0</v>
      </c>
      <c r="AM20" s="275">
        <f t="shared" si="70"/>
        <v>0</v>
      </c>
      <c r="AN20" s="275">
        <f t="shared" si="71"/>
        <v>0</v>
      </c>
      <c r="AO20" s="275">
        <f t="shared" si="72"/>
        <v>0</v>
      </c>
      <c r="AP20" s="275">
        <f t="shared" si="21"/>
        <v>0</v>
      </c>
      <c r="AQ20" s="275">
        <f t="shared" si="22"/>
        <v>0</v>
      </c>
      <c r="AR20" s="275">
        <f t="shared" si="23"/>
        <v>0</v>
      </c>
      <c r="AS20" s="275">
        <f t="shared" si="24"/>
        <v>0</v>
      </c>
      <c r="AT20" s="275">
        <f t="shared" si="73"/>
        <v>0</v>
      </c>
      <c r="AU20" s="275">
        <f t="shared" si="74"/>
        <v>0</v>
      </c>
      <c r="AV20" s="275">
        <f t="shared" si="25"/>
        <v>0</v>
      </c>
      <c r="AW20" s="275">
        <f t="shared" si="26"/>
        <v>0</v>
      </c>
      <c r="AX20" s="275">
        <f t="shared" si="27"/>
        <v>0</v>
      </c>
      <c r="AY20" s="275">
        <f t="shared" si="28"/>
        <v>0</v>
      </c>
      <c r="AZ20" s="275">
        <f t="shared" si="29"/>
        <v>0</v>
      </c>
      <c r="BA20" s="275">
        <f t="shared" si="30"/>
        <v>0</v>
      </c>
      <c r="BB20" s="275">
        <f t="shared" si="31"/>
        <v>0</v>
      </c>
      <c r="BC20" s="275">
        <f t="shared" si="32"/>
        <v>0</v>
      </c>
      <c r="BD20" s="275">
        <f t="shared" si="33"/>
        <v>0</v>
      </c>
      <c r="BE20" s="275">
        <f t="shared" si="34"/>
        <v>0</v>
      </c>
      <c r="BF20" s="275">
        <f t="shared" si="35"/>
        <v>0</v>
      </c>
      <c r="BG20" s="275">
        <f t="shared" si="36"/>
        <v>0</v>
      </c>
      <c r="BH20" s="275">
        <f t="shared" si="75"/>
        <v>0</v>
      </c>
      <c r="BI20" s="275">
        <f t="shared" si="76"/>
        <v>0</v>
      </c>
      <c r="BJ20" s="275">
        <f t="shared" si="37"/>
        <v>0</v>
      </c>
      <c r="BK20" s="275">
        <f t="shared" si="38"/>
        <v>0</v>
      </c>
      <c r="BL20" s="275">
        <f t="shared" si="39"/>
        <v>0</v>
      </c>
      <c r="BM20" s="275">
        <f t="shared" si="40"/>
        <v>0</v>
      </c>
      <c r="BN20" s="275">
        <f t="shared" si="41"/>
        <v>0</v>
      </c>
      <c r="BO20" s="275">
        <f t="shared" si="42"/>
        <v>0</v>
      </c>
      <c r="BP20" s="275">
        <f t="shared" si="77"/>
        <v>0</v>
      </c>
      <c r="BQ20" s="275">
        <f t="shared" si="78"/>
        <v>0</v>
      </c>
      <c r="BR20" s="275">
        <f t="shared" si="43"/>
        <v>0</v>
      </c>
      <c r="BS20" s="275">
        <f t="shared" si="44"/>
        <v>0</v>
      </c>
      <c r="BT20" s="275">
        <f t="shared" si="79"/>
        <v>0</v>
      </c>
      <c r="BU20" s="275">
        <f t="shared" si="80"/>
        <v>0</v>
      </c>
      <c r="BV20" s="275">
        <f t="shared" si="81"/>
        <v>0</v>
      </c>
      <c r="BW20" s="275">
        <f t="shared" si="82"/>
        <v>0</v>
      </c>
      <c r="BX20" s="275">
        <f t="shared" si="45"/>
        <v>0</v>
      </c>
      <c r="BY20" s="275">
        <f t="shared" si="46"/>
        <v>0</v>
      </c>
      <c r="BZ20" s="275">
        <f t="shared" si="47"/>
        <v>0</v>
      </c>
      <c r="CA20" s="275">
        <f t="shared" si="48"/>
        <v>0</v>
      </c>
      <c r="CB20" s="275">
        <f t="shared" si="49"/>
        <v>0</v>
      </c>
      <c r="CC20" s="275">
        <f t="shared" si="50"/>
        <v>0</v>
      </c>
      <c r="CD20" s="275">
        <f t="shared" si="83"/>
        <v>0</v>
      </c>
      <c r="CE20" s="275">
        <f t="shared" si="84"/>
        <v>0</v>
      </c>
      <c r="CF20" s="275">
        <f t="shared" si="85"/>
        <v>0</v>
      </c>
      <c r="CG20" s="275">
        <f t="shared" si="86"/>
        <v>0</v>
      </c>
      <c r="CH20" s="275">
        <f t="shared" si="51"/>
        <v>0</v>
      </c>
      <c r="CI20" s="275">
        <f t="shared" si="52"/>
        <v>0</v>
      </c>
      <c r="CJ20" s="275">
        <f t="shared" si="87"/>
        <v>0</v>
      </c>
      <c r="CK20" s="275">
        <f t="shared" si="88"/>
        <v>0</v>
      </c>
      <c r="CL20" s="275">
        <f t="shared" si="53"/>
        <v>0</v>
      </c>
      <c r="CM20" s="275">
        <f t="shared" si="54"/>
        <v>0</v>
      </c>
      <c r="CN20" s="275">
        <f t="shared" si="55"/>
        <v>0</v>
      </c>
      <c r="CO20" s="275">
        <f t="shared" si="56"/>
        <v>0</v>
      </c>
      <c r="CP20" s="275">
        <f t="shared" si="89"/>
        <v>0</v>
      </c>
      <c r="CQ20" s="275">
        <f t="shared" si="90"/>
        <v>0</v>
      </c>
      <c r="CR20" s="275">
        <f t="shared" si="91"/>
        <v>0</v>
      </c>
      <c r="CS20" s="275">
        <f t="shared" si="92"/>
        <v>0</v>
      </c>
      <c r="CT20" s="275">
        <f t="shared" si="57"/>
        <v>0</v>
      </c>
      <c r="CU20" s="275">
        <f t="shared" si="58"/>
        <v>0</v>
      </c>
      <c r="CV20" s="275">
        <f t="shared" si="59"/>
        <v>0</v>
      </c>
      <c r="CW20" s="275">
        <f t="shared" si="60"/>
        <v>0</v>
      </c>
      <c r="CX20" s="275">
        <f t="shared" si="93"/>
        <v>0</v>
      </c>
      <c r="CY20" s="275">
        <f t="shared" si="94"/>
        <v>0</v>
      </c>
      <c r="CZ20" s="275">
        <f t="shared" si="95"/>
        <v>0</v>
      </c>
      <c r="DA20" s="275">
        <f t="shared" si="96"/>
        <v>0</v>
      </c>
    </row>
    <row r="21" spans="1:105" s="272" customFormat="1" ht="15.75" customHeight="1">
      <c r="A21" s="63" t="str">
        <f t="array" ref="A21">IF(C21&lt;&gt;0,SUM(($C$11:C21&lt;&gt;0)*1),"")</f>
        <v/>
      </c>
      <c r="B21" s="273"/>
      <c r="C21" s="273"/>
      <c r="D21" s="273"/>
      <c r="E21" s="363"/>
      <c r="F21" s="324"/>
      <c r="G21" s="326"/>
      <c r="H21" s="326"/>
      <c r="I21" s="63" t="str">
        <f t="shared" si="0"/>
        <v/>
      </c>
      <c r="J21" s="275">
        <f t="shared" si="61"/>
        <v>0</v>
      </c>
      <c r="K21" s="275">
        <f t="shared" si="62"/>
        <v>0</v>
      </c>
      <c r="L21" s="275">
        <f t="shared" si="1"/>
        <v>0</v>
      </c>
      <c r="M21" s="275">
        <f t="shared" si="2"/>
        <v>0</v>
      </c>
      <c r="N21" s="275">
        <f t="shared" si="3"/>
        <v>0</v>
      </c>
      <c r="O21" s="275">
        <f t="shared" si="4"/>
        <v>0</v>
      </c>
      <c r="P21" s="275">
        <f t="shared" si="5"/>
        <v>0</v>
      </c>
      <c r="Q21" s="275">
        <f t="shared" si="6"/>
        <v>0</v>
      </c>
      <c r="R21" s="275">
        <f t="shared" si="7"/>
        <v>0</v>
      </c>
      <c r="S21" s="275">
        <f t="shared" si="8"/>
        <v>0</v>
      </c>
      <c r="T21" s="275">
        <f t="shared" si="9"/>
        <v>0</v>
      </c>
      <c r="U21" s="275">
        <f t="shared" si="10"/>
        <v>0</v>
      </c>
      <c r="V21" s="275">
        <f t="shared" si="11"/>
        <v>0</v>
      </c>
      <c r="W21" s="275">
        <f t="shared" si="12"/>
        <v>0</v>
      </c>
      <c r="X21" s="275">
        <f t="shared" si="13"/>
        <v>0</v>
      </c>
      <c r="Y21" s="275">
        <f t="shared" si="14"/>
        <v>0</v>
      </c>
      <c r="Z21" s="275">
        <f t="shared" si="15"/>
        <v>0</v>
      </c>
      <c r="AA21" s="275">
        <f t="shared" si="16"/>
        <v>0</v>
      </c>
      <c r="AB21" s="275">
        <f t="shared" si="63"/>
        <v>0</v>
      </c>
      <c r="AC21" s="275">
        <f t="shared" si="64"/>
        <v>0</v>
      </c>
      <c r="AD21" s="275">
        <f t="shared" si="17"/>
        <v>0</v>
      </c>
      <c r="AE21" s="275">
        <f t="shared" si="18"/>
        <v>0</v>
      </c>
      <c r="AF21" s="275">
        <f t="shared" si="19"/>
        <v>0</v>
      </c>
      <c r="AG21" s="275">
        <f t="shared" si="20"/>
        <v>0</v>
      </c>
      <c r="AH21" s="275">
        <f t="shared" si="65"/>
        <v>0</v>
      </c>
      <c r="AI21" s="275">
        <f t="shared" si="66"/>
        <v>0</v>
      </c>
      <c r="AJ21" s="275">
        <f t="shared" si="67"/>
        <v>0</v>
      </c>
      <c r="AK21" s="275">
        <f t="shared" si="68"/>
        <v>0</v>
      </c>
      <c r="AL21" s="275">
        <f t="shared" si="69"/>
        <v>0</v>
      </c>
      <c r="AM21" s="275">
        <f t="shared" si="70"/>
        <v>0</v>
      </c>
      <c r="AN21" s="275">
        <f t="shared" si="71"/>
        <v>0</v>
      </c>
      <c r="AO21" s="275">
        <f t="shared" si="72"/>
        <v>0</v>
      </c>
      <c r="AP21" s="275">
        <f t="shared" si="21"/>
        <v>0</v>
      </c>
      <c r="AQ21" s="275">
        <f t="shared" si="22"/>
        <v>0</v>
      </c>
      <c r="AR21" s="275">
        <f t="shared" si="23"/>
        <v>0</v>
      </c>
      <c r="AS21" s="275">
        <f t="shared" si="24"/>
        <v>0</v>
      </c>
      <c r="AT21" s="275">
        <f t="shared" si="73"/>
        <v>0</v>
      </c>
      <c r="AU21" s="275">
        <f t="shared" si="74"/>
        <v>0</v>
      </c>
      <c r="AV21" s="275">
        <f t="shared" si="25"/>
        <v>0</v>
      </c>
      <c r="AW21" s="275">
        <f t="shared" si="26"/>
        <v>0</v>
      </c>
      <c r="AX21" s="275">
        <f t="shared" si="27"/>
        <v>0</v>
      </c>
      <c r="AY21" s="275">
        <f t="shared" si="28"/>
        <v>0</v>
      </c>
      <c r="AZ21" s="275">
        <f t="shared" si="29"/>
        <v>0</v>
      </c>
      <c r="BA21" s="275">
        <f t="shared" si="30"/>
        <v>0</v>
      </c>
      <c r="BB21" s="275">
        <f t="shared" si="31"/>
        <v>0</v>
      </c>
      <c r="BC21" s="275">
        <f t="shared" si="32"/>
        <v>0</v>
      </c>
      <c r="BD21" s="275">
        <f t="shared" si="33"/>
        <v>0</v>
      </c>
      <c r="BE21" s="275">
        <f t="shared" si="34"/>
        <v>0</v>
      </c>
      <c r="BF21" s="275">
        <f t="shared" si="35"/>
        <v>0</v>
      </c>
      <c r="BG21" s="275">
        <f t="shared" si="36"/>
        <v>0</v>
      </c>
      <c r="BH21" s="275">
        <f t="shared" si="75"/>
        <v>0</v>
      </c>
      <c r="BI21" s="275">
        <f t="shared" si="76"/>
        <v>0</v>
      </c>
      <c r="BJ21" s="275">
        <f t="shared" si="37"/>
        <v>0</v>
      </c>
      <c r="BK21" s="275">
        <f t="shared" si="38"/>
        <v>0</v>
      </c>
      <c r="BL21" s="275">
        <f t="shared" si="39"/>
        <v>0</v>
      </c>
      <c r="BM21" s="275">
        <f t="shared" si="40"/>
        <v>0</v>
      </c>
      <c r="BN21" s="275">
        <f t="shared" si="41"/>
        <v>0</v>
      </c>
      <c r="BO21" s="275">
        <f t="shared" si="42"/>
        <v>0</v>
      </c>
      <c r="BP21" s="275">
        <f t="shared" si="77"/>
        <v>0</v>
      </c>
      <c r="BQ21" s="275">
        <f t="shared" si="78"/>
        <v>0</v>
      </c>
      <c r="BR21" s="275">
        <f t="shared" si="43"/>
        <v>0</v>
      </c>
      <c r="BS21" s="275">
        <f t="shared" si="44"/>
        <v>0</v>
      </c>
      <c r="BT21" s="275">
        <f t="shared" si="79"/>
        <v>0</v>
      </c>
      <c r="BU21" s="275">
        <f t="shared" si="80"/>
        <v>0</v>
      </c>
      <c r="BV21" s="275">
        <f t="shared" si="81"/>
        <v>0</v>
      </c>
      <c r="BW21" s="275">
        <f t="shared" si="82"/>
        <v>0</v>
      </c>
      <c r="BX21" s="275">
        <f t="shared" si="45"/>
        <v>0</v>
      </c>
      <c r="BY21" s="275">
        <f t="shared" si="46"/>
        <v>0</v>
      </c>
      <c r="BZ21" s="275">
        <f t="shared" si="47"/>
        <v>0</v>
      </c>
      <c r="CA21" s="275">
        <f t="shared" si="48"/>
        <v>0</v>
      </c>
      <c r="CB21" s="275">
        <f t="shared" si="49"/>
        <v>0</v>
      </c>
      <c r="CC21" s="275">
        <f t="shared" si="50"/>
        <v>0</v>
      </c>
      <c r="CD21" s="275">
        <f t="shared" si="83"/>
        <v>0</v>
      </c>
      <c r="CE21" s="275">
        <f t="shared" si="84"/>
        <v>0</v>
      </c>
      <c r="CF21" s="275">
        <f t="shared" si="85"/>
        <v>0</v>
      </c>
      <c r="CG21" s="275">
        <f t="shared" si="86"/>
        <v>0</v>
      </c>
      <c r="CH21" s="275">
        <f t="shared" si="51"/>
        <v>0</v>
      </c>
      <c r="CI21" s="275">
        <f t="shared" si="52"/>
        <v>0</v>
      </c>
      <c r="CJ21" s="275">
        <f t="shared" si="87"/>
        <v>0</v>
      </c>
      <c r="CK21" s="275">
        <f t="shared" si="88"/>
        <v>0</v>
      </c>
      <c r="CL21" s="275">
        <f t="shared" si="53"/>
        <v>0</v>
      </c>
      <c r="CM21" s="275">
        <f t="shared" si="54"/>
        <v>0</v>
      </c>
      <c r="CN21" s="275">
        <f t="shared" si="55"/>
        <v>0</v>
      </c>
      <c r="CO21" s="275">
        <f t="shared" si="56"/>
        <v>0</v>
      </c>
      <c r="CP21" s="275">
        <f t="shared" si="89"/>
        <v>0</v>
      </c>
      <c r="CQ21" s="275">
        <f t="shared" si="90"/>
        <v>0</v>
      </c>
      <c r="CR21" s="275">
        <f t="shared" si="91"/>
        <v>0</v>
      </c>
      <c r="CS21" s="275">
        <f t="shared" si="92"/>
        <v>0</v>
      </c>
      <c r="CT21" s="275">
        <f t="shared" si="57"/>
        <v>0</v>
      </c>
      <c r="CU21" s="275">
        <f t="shared" si="58"/>
        <v>0</v>
      </c>
      <c r="CV21" s="275">
        <f t="shared" si="59"/>
        <v>0</v>
      </c>
      <c r="CW21" s="275">
        <f t="shared" si="60"/>
        <v>0</v>
      </c>
      <c r="CX21" s="275">
        <f t="shared" si="93"/>
        <v>0</v>
      </c>
      <c r="CY21" s="275">
        <f t="shared" si="94"/>
        <v>0</v>
      </c>
      <c r="CZ21" s="275">
        <f t="shared" si="95"/>
        <v>0</v>
      </c>
      <c r="DA21" s="275">
        <f t="shared" si="96"/>
        <v>0</v>
      </c>
    </row>
    <row r="22" spans="1:105" s="272" customFormat="1" ht="15.75" customHeight="1">
      <c r="A22" s="63" t="str">
        <f t="array" ref="A22">IF(C22&lt;&gt;0,SUM(($C$11:C22&lt;&gt;0)*1),"")</f>
        <v/>
      </c>
      <c r="B22" s="273"/>
      <c r="C22" s="273"/>
      <c r="D22" s="273"/>
      <c r="E22" s="363"/>
      <c r="F22" s="324"/>
      <c r="G22" s="326"/>
      <c r="H22" s="326"/>
      <c r="I22" s="63" t="str">
        <f t="shared" si="0"/>
        <v/>
      </c>
      <c r="J22" s="275">
        <f t="shared" si="61"/>
        <v>0</v>
      </c>
      <c r="K22" s="275">
        <f t="shared" si="62"/>
        <v>0</v>
      </c>
      <c r="L22" s="275">
        <f t="shared" si="1"/>
        <v>0</v>
      </c>
      <c r="M22" s="275">
        <f t="shared" si="2"/>
        <v>0</v>
      </c>
      <c r="N22" s="275">
        <f t="shared" si="3"/>
        <v>0</v>
      </c>
      <c r="O22" s="275">
        <f t="shared" si="4"/>
        <v>0</v>
      </c>
      <c r="P22" s="275">
        <f t="shared" si="5"/>
        <v>0</v>
      </c>
      <c r="Q22" s="275">
        <f t="shared" si="6"/>
        <v>0</v>
      </c>
      <c r="R22" s="275">
        <f t="shared" si="7"/>
        <v>0</v>
      </c>
      <c r="S22" s="275">
        <f t="shared" si="8"/>
        <v>0</v>
      </c>
      <c r="T22" s="275">
        <f t="shared" si="9"/>
        <v>0</v>
      </c>
      <c r="U22" s="275">
        <f t="shared" si="10"/>
        <v>0</v>
      </c>
      <c r="V22" s="275">
        <f t="shared" si="11"/>
        <v>0</v>
      </c>
      <c r="W22" s="275">
        <f t="shared" si="12"/>
        <v>0</v>
      </c>
      <c r="X22" s="275">
        <f t="shared" si="13"/>
        <v>0</v>
      </c>
      <c r="Y22" s="275">
        <f t="shared" si="14"/>
        <v>0</v>
      </c>
      <c r="Z22" s="275">
        <f t="shared" si="15"/>
        <v>0</v>
      </c>
      <c r="AA22" s="275">
        <f t="shared" si="16"/>
        <v>0</v>
      </c>
      <c r="AB22" s="275">
        <f t="shared" si="63"/>
        <v>0</v>
      </c>
      <c r="AC22" s="275">
        <f t="shared" si="64"/>
        <v>0</v>
      </c>
      <c r="AD22" s="275">
        <f t="shared" si="17"/>
        <v>0</v>
      </c>
      <c r="AE22" s="275">
        <f t="shared" si="18"/>
        <v>0</v>
      </c>
      <c r="AF22" s="275">
        <f t="shared" si="19"/>
        <v>0</v>
      </c>
      <c r="AG22" s="275">
        <f t="shared" si="20"/>
        <v>0</v>
      </c>
      <c r="AH22" s="275">
        <f t="shared" si="65"/>
        <v>0</v>
      </c>
      <c r="AI22" s="275">
        <f t="shared" si="66"/>
        <v>0</v>
      </c>
      <c r="AJ22" s="275">
        <f t="shared" si="67"/>
        <v>0</v>
      </c>
      <c r="AK22" s="275">
        <f t="shared" si="68"/>
        <v>0</v>
      </c>
      <c r="AL22" s="275">
        <f t="shared" si="69"/>
        <v>0</v>
      </c>
      <c r="AM22" s="275">
        <f t="shared" si="70"/>
        <v>0</v>
      </c>
      <c r="AN22" s="275">
        <f t="shared" si="71"/>
        <v>0</v>
      </c>
      <c r="AO22" s="275">
        <f t="shared" si="72"/>
        <v>0</v>
      </c>
      <c r="AP22" s="275">
        <f t="shared" si="21"/>
        <v>0</v>
      </c>
      <c r="AQ22" s="275">
        <f t="shared" si="22"/>
        <v>0</v>
      </c>
      <c r="AR22" s="275">
        <f t="shared" si="23"/>
        <v>0</v>
      </c>
      <c r="AS22" s="275">
        <f t="shared" si="24"/>
        <v>0</v>
      </c>
      <c r="AT22" s="275">
        <f t="shared" si="73"/>
        <v>0</v>
      </c>
      <c r="AU22" s="275">
        <f t="shared" si="74"/>
        <v>0</v>
      </c>
      <c r="AV22" s="275">
        <f t="shared" si="25"/>
        <v>0</v>
      </c>
      <c r="AW22" s="275">
        <f t="shared" si="26"/>
        <v>0</v>
      </c>
      <c r="AX22" s="275">
        <f t="shared" si="27"/>
        <v>0</v>
      </c>
      <c r="AY22" s="275">
        <f t="shared" si="28"/>
        <v>0</v>
      </c>
      <c r="AZ22" s="275">
        <f t="shared" si="29"/>
        <v>0</v>
      </c>
      <c r="BA22" s="275">
        <f t="shared" si="30"/>
        <v>0</v>
      </c>
      <c r="BB22" s="275">
        <f t="shared" si="31"/>
        <v>0</v>
      </c>
      <c r="BC22" s="275">
        <f t="shared" si="32"/>
        <v>0</v>
      </c>
      <c r="BD22" s="275">
        <f t="shared" si="33"/>
        <v>0</v>
      </c>
      <c r="BE22" s="275">
        <f t="shared" si="34"/>
        <v>0</v>
      </c>
      <c r="BF22" s="275">
        <f t="shared" si="35"/>
        <v>0</v>
      </c>
      <c r="BG22" s="275">
        <f t="shared" si="36"/>
        <v>0</v>
      </c>
      <c r="BH22" s="275">
        <f t="shared" si="75"/>
        <v>0</v>
      </c>
      <c r="BI22" s="275">
        <f t="shared" si="76"/>
        <v>0</v>
      </c>
      <c r="BJ22" s="275">
        <f t="shared" si="37"/>
        <v>0</v>
      </c>
      <c r="BK22" s="275">
        <f t="shared" si="38"/>
        <v>0</v>
      </c>
      <c r="BL22" s="275">
        <f t="shared" si="39"/>
        <v>0</v>
      </c>
      <c r="BM22" s="275">
        <f t="shared" si="40"/>
        <v>0</v>
      </c>
      <c r="BN22" s="275">
        <f t="shared" si="41"/>
        <v>0</v>
      </c>
      <c r="BO22" s="275">
        <f t="shared" si="42"/>
        <v>0</v>
      </c>
      <c r="BP22" s="275">
        <f t="shared" si="77"/>
        <v>0</v>
      </c>
      <c r="BQ22" s="275">
        <f t="shared" si="78"/>
        <v>0</v>
      </c>
      <c r="BR22" s="275">
        <f t="shared" si="43"/>
        <v>0</v>
      </c>
      <c r="BS22" s="275">
        <f t="shared" si="44"/>
        <v>0</v>
      </c>
      <c r="BT22" s="275">
        <f t="shared" si="79"/>
        <v>0</v>
      </c>
      <c r="BU22" s="275">
        <f t="shared" si="80"/>
        <v>0</v>
      </c>
      <c r="BV22" s="275">
        <f t="shared" si="81"/>
        <v>0</v>
      </c>
      <c r="BW22" s="275">
        <f t="shared" si="82"/>
        <v>0</v>
      </c>
      <c r="BX22" s="275">
        <f t="shared" si="45"/>
        <v>0</v>
      </c>
      <c r="BY22" s="275">
        <f t="shared" si="46"/>
        <v>0</v>
      </c>
      <c r="BZ22" s="275">
        <f t="shared" si="47"/>
        <v>0</v>
      </c>
      <c r="CA22" s="275">
        <f t="shared" si="48"/>
        <v>0</v>
      </c>
      <c r="CB22" s="275">
        <f t="shared" si="49"/>
        <v>0</v>
      </c>
      <c r="CC22" s="275">
        <f t="shared" si="50"/>
        <v>0</v>
      </c>
      <c r="CD22" s="275">
        <f t="shared" si="83"/>
        <v>0</v>
      </c>
      <c r="CE22" s="275">
        <f t="shared" si="84"/>
        <v>0</v>
      </c>
      <c r="CF22" s="275">
        <f t="shared" si="85"/>
        <v>0</v>
      </c>
      <c r="CG22" s="275">
        <f t="shared" si="86"/>
        <v>0</v>
      </c>
      <c r="CH22" s="275">
        <f t="shared" si="51"/>
        <v>0</v>
      </c>
      <c r="CI22" s="275">
        <f t="shared" si="52"/>
        <v>0</v>
      </c>
      <c r="CJ22" s="275">
        <f t="shared" si="87"/>
        <v>0</v>
      </c>
      <c r="CK22" s="275">
        <f t="shared" si="88"/>
        <v>0</v>
      </c>
      <c r="CL22" s="275">
        <f t="shared" si="53"/>
        <v>0</v>
      </c>
      <c r="CM22" s="275">
        <f t="shared" si="54"/>
        <v>0</v>
      </c>
      <c r="CN22" s="275">
        <f t="shared" si="55"/>
        <v>0</v>
      </c>
      <c r="CO22" s="275">
        <f t="shared" si="56"/>
        <v>0</v>
      </c>
      <c r="CP22" s="275">
        <f t="shared" si="89"/>
        <v>0</v>
      </c>
      <c r="CQ22" s="275">
        <f t="shared" si="90"/>
        <v>0</v>
      </c>
      <c r="CR22" s="275">
        <f t="shared" si="91"/>
        <v>0</v>
      </c>
      <c r="CS22" s="275">
        <f t="shared" si="92"/>
        <v>0</v>
      </c>
      <c r="CT22" s="275">
        <f t="shared" si="57"/>
        <v>0</v>
      </c>
      <c r="CU22" s="275">
        <f t="shared" si="58"/>
        <v>0</v>
      </c>
      <c r="CV22" s="275">
        <f t="shared" si="59"/>
        <v>0</v>
      </c>
      <c r="CW22" s="275">
        <f t="shared" si="60"/>
        <v>0</v>
      </c>
      <c r="CX22" s="275">
        <f t="shared" si="93"/>
        <v>0</v>
      </c>
      <c r="CY22" s="275">
        <f t="shared" si="94"/>
        <v>0</v>
      </c>
      <c r="CZ22" s="275">
        <f t="shared" si="95"/>
        <v>0</v>
      </c>
      <c r="DA22" s="275">
        <f t="shared" si="96"/>
        <v>0</v>
      </c>
    </row>
    <row r="23" spans="1:105" s="272" customFormat="1" ht="15.75" customHeight="1">
      <c r="A23" s="63" t="str">
        <f t="array" ref="A23">IF(C23&lt;&gt;0,SUM(($C$11:C23&lt;&gt;0)*1),"")</f>
        <v/>
      </c>
      <c r="B23" s="273"/>
      <c r="C23" s="273"/>
      <c r="D23" s="273"/>
      <c r="E23" s="363"/>
      <c r="F23" s="324"/>
      <c r="G23" s="326"/>
      <c r="H23" s="326"/>
      <c r="I23" s="63" t="str">
        <f t="shared" si="0"/>
        <v/>
      </c>
      <c r="J23" s="275">
        <f t="shared" si="61"/>
        <v>0</v>
      </c>
      <c r="K23" s="275">
        <f t="shared" si="62"/>
        <v>0</v>
      </c>
      <c r="L23" s="275">
        <f t="shared" si="1"/>
        <v>0</v>
      </c>
      <c r="M23" s="275">
        <f t="shared" si="2"/>
        <v>0</v>
      </c>
      <c r="N23" s="275">
        <f t="shared" si="3"/>
        <v>0</v>
      </c>
      <c r="O23" s="275">
        <f t="shared" si="4"/>
        <v>0</v>
      </c>
      <c r="P23" s="275">
        <f t="shared" si="5"/>
        <v>0</v>
      </c>
      <c r="Q23" s="275">
        <f t="shared" si="6"/>
        <v>0</v>
      </c>
      <c r="R23" s="275">
        <f t="shared" si="7"/>
        <v>0</v>
      </c>
      <c r="S23" s="275">
        <f t="shared" si="8"/>
        <v>0</v>
      </c>
      <c r="T23" s="275">
        <f t="shared" si="9"/>
        <v>0</v>
      </c>
      <c r="U23" s="275">
        <f t="shared" si="10"/>
        <v>0</v>
      </c>
      <c r="V23" s="275">
        <f t="shared" si="11"/>
        <v>0</v>
      </c>
      <c r="W23" s="275">
        <f t="shared" si="12"/>
        <v>0</v>
      </c>
      <c r="X23" s="275">
        <f t="shared" si="13"/>
        <v>0</v>
      </c>
      <c r="Y23" s="275">
        <f t="shared" si="14"/>
        <v>0</v>
      </c>
      <c r="Z23" s="275">
        <f t="shared" si="15"/>
        <v>0</v>
      </c>
      <c r="AA23" s="275">
        <f t="shared" si="16"/>
        <v>0</v>
      </c>
      <c r="AB23" s="275">
        <f t="shared" si="63"/>
        <v>0</v>
      </c>
      <c r="AC23" s="275">
        <f t="shared" si="64"/>
        <v>0</v>
      </c>
      <c r="AD23" s="275">
        <f t="shared" si="17"/>
        <v>0</v>
      </c>
      <c r="AE23" s="275">
        <f t="shared" si="18"/>
        <v>0</v>
      </c>
      <c r="AF23" s="275">
        <f t="shared" si="19"/>
        <v>0</v>
      </c>
      <c r="AG23" s="275">
        <f t="shared" si="20"/>
        <v>0</v>
      </c>
      <c r="AH23" s="275">
        <f t="shared" si="65"/>
        <v>0</v>
      </c>
      <c r="AI23" s="275">
        <f t="shared" si="66"/>
        <v>0</v>
      </c>
      <c r="AJ23" s="275">
        <f t="shared" si="67"/>
        <v>0</v>
      </c>
      <c r="AK23" s="275">
        <f t="shared" si="68"/>
        <v>0</v>
      </c>
      <c r="AL23" s="275">
        <f t="shared" si="69"/>
        <v>0</v>
      </c>
      <c r="AM23" s="275">
        <f t="shared" si="70"/>
        <v>0</v>
      </c>
      <c r="AN23" s="275">
        <f t="shared" si="71"/>
        <v>0</v>
      </c>
      <c r="AO23" s="275">
        <f t="shared" si="72"/>
        <v>0</v>
      </c>
      <c r="AP23" s="275">
        <f t="shared" si="21"/>
        <v>0</v>
      </c>
      <c r="AQ23" s="275">
        <f t="shared" si="22"/>
        <v>0</v>
      </c>
      <c r="AR23" s="275">
        <f t="shared" si="23"/>
        <v>0</v>
      </c>
      <c r="AS23" s="275">
        <f t="shared" si="24"/>
        <v>0</v>
      </c>
      <c r="AT23" s="275">
        <f t="shared" si="73"/>
        <v>0</v>
      </c>
      <c r="AU23" s="275">
        <f t="shared" si="74"/>
        <v>0</v>
      </c>
      <c r="AV23" s="275">
        <f t="shared" si="25"/>
        <v>0</v>
      </c>
      <c r="AW23" s="275">
        <f t="shared" si="26"/>
        <v>0</v>
      </c>
      <c r="AX23" s="275">
        <f t="shared" si="27"/>
        <v>0</v>
      </c>
      <c r="AY23" s="275">
        <f t="shared" si="28"/>
        <v>0</v>
      </c>
      <c r="AZ23" s="275">
        <f t="shared" si="29"/>
        <v>0</v>
      </c>
      <c r="BA23" s="275">
        <f t="shared" si="30"/>
        <v>0</v>
      </c>
      <c r="BB23" s="275">
        <f t="shared" si="31"/>
        <v>0</v>
      </c>
      <c r="BC23" s="275">
        <f t="shared" si="32"/>
        <v>0</v>
      </c>
      <c r="BD23" s="275">
        <f t="shared" si="33"/>
        <v>0</v>
      </c>
      <c r="BE23" s="275">
        <f t="shared" si="34"/>
        <v>0</v>
      </c>
      <c r="BF23" s="275">
        <f t="shared" si="35"/>
        <v>0</v>
      </c>
      <c r="BG23" s="275">
        <f t="shared" si="36"/>
        <v>0</v>
      </c>
      <c r="BH23" s="275">
        <f t="shared" si="75"/>
        <v>0</v>
      </c>
      <c r="BI23" s="275">
        <f t="shared" si="76"/>
        <v>0</v>
      </c>
      <c r="BJ23" s="275">
        <f t="shared" si="37"/>
        <v>0</v>
      </c>
      <c r="BK23" s="275">
        <f t="shared" si="38"/>
        <v>0</v>
      </c>
      <c r="BL23" s="275">
        <f t="shared" si="39"/>
        <v>0</v>
      </c>
      <c r="BM23" s="275">
        <f t="shared" si="40"/>
        <v>0</v>
      </c>
      <c r="BN23" s="275">
        <f t="shared" si="41"/>
        <v>0</v>
      </c>
      <c r="BO23" s="275">
        <f t="shared" si="42"/>
        <v>0</v>
      </c>
      <c r="BP23" s="275">
        <f t="shared" si="77"/>
        <v>0</v>
      </c>
      <c r="BQ23" s="275">
        <f t="shared" si="78"/>
        <v>0</v>
      </c>
      <c r="BR23" s="275">
        <f t="shared" si="43"/>
        <v>0</v>
      </c>
      <c r="BS23" s="275">
        <f t="shared" si="44"/>
        <v>0</v>
      </c>
      <c r="BT23" s="275">
        <f t="shared" si="79"/>
        <v>0</v>
      </c>
      <c r="BU23" s="275">
        <f t="shared" si="80"/>
        <v>0</v>
      </c>
      <c r="BV23" s="275">
        <f t="shared" si="81"/>
        <v>0</v>
      </c>
      <c r="BW23" s="275">
        <f t="shared" si="82"/>
        <v>0</v>
      </c>
      <c r="BX23" s="275">
        <f t="shared" si="45"/>
        <v>0</v>
      </c>
      <c r="BY23" s="275">
        <f t="shared" si="46"/>
        <v>0</v>
      </c>
      <c r="BZ23" s="275">
        <f t="shared" si="47"/>
        <v>0</v>
      </c>
      <c r="CA23" s="275">
        <f t="shared" si="48"/>
        <v>0</v>
      </c>
      <c r="CB23" s="275">
        <f t="shared" si="49"/>
        <v>0</v>
      </c>
      <c r="CC23" s="275">
        <f t="shared" si="50"/>
        <v>0</v>
      </c>
      <c r="CD23" s="275">
        <f t="shared" si="83"/>
        <v>0</v>
      </c>
      <c r="CE23" s="275">
        <f t="shared" si="84"/>
        <v>0</v>
      </c>
      <c r="CF23" s="275">
        <f t="shared" si="85"/>
        <v>0</v>
      </c>
      <c r="CG23" s="275">
        <f t="shared" si="86"/>
        <v>0</v>
      </c>
      <c r="CH23" s="275">
        <f t="shared" si="51"/>
        <v>0</v>
      </c>
      <c r="CI23" s="275">
        <f t="shared" si="52"/>
        <v>0</v>
      </c>
      <c r="CJ23" s="275">
        <f t="shared" si="87"/>
        <v>0</v>
      </c>
      <c r="CK23" s="275">
        <f t="shared" si="88"/>
        <v>0</v>
      </c>
      <c r="CL23" s="275">
        <f t="shared" si="53"/>
        <v>0</v>
      </c>
      <c r="CM23" s="275">
        <f t="shared" si="54"/>
        <v>0</v>
      </c>
      <c r="CN23" s="275">
        <f t="shared" si="55"/>
        <v>0</v>
      </c>
      <c r="CO23" s="275">
        <f t="shared" si="56"/>
        <v>0</v>
      </c>
      <c r="CP23" s="275">
        <f t="shared" si="89"/>
        <v>0</v>
      </c>
      <c r="CQ23" s="275">
        <f t="shared" si="90"/>
        <v>0</v>
      </c>
      <c r="CR23" s="275">
        <f t="shared" si="91"/>
        <v>0</v>
      </c>
      <c r="CS23" s="275">
        <f t="shared" si="92"/>
        <v>0</v>
      </c>
      <c r="CT23" s="275">
        <f t="shared" si="57"/>
        <v>0</v>
      </c>
      <c r="CU23" s="275">
        <f t="shared" si="58"/>
        <v>0</v>
      </c>
      <c r="CV23" s="275">
        <f t="shared" si="59"/>
        <v>0</v>
      </c>
      <c r="CW23" s="275">
        <f t="shared" si="60"/>
        <v>0</v>
      </c>
      <c r="CX23" s="275">
        <f t="shared" si="93"/>
        <v>0</v>
      </c>
      <c r="CY23" s="275">
        <f t="shared" si="94"/>
        <v>0</v>
      </c>
      <c r="CZ23" s="275">
        <f t="shared" si="95"/>
        <v>0</v>
      </c>
      <c r="DA23" s="275">
        <f t="shared" si="96"/>
        <v>0</v>
      </c>
    </row>
    <row r="24" spans="1:105" s="272" customFormat="1" ht="15.75" customHeight="1">
      <c r="A24" s="63" t="str">
        <f t="array" ref="A24">IF(C24&lt;&gt;0,SUM(($C$11:C24&lt;&gt;0)*1),"")</f>
        <v/>
      </c>
      <c r="B24" s="273"/>
      <c r="C24" s="273"/>
      <c r="D24" s="273"/>
      <c r="E24" s="363"/>
      <c r="F24" s="324"/>
      <c r="G24" s="326"/>
      <c r="H24" s="326"/>
      <c r="I24" s="63" t="str">
        <f t="shared" si="0"/>
        <v/>
      </c>
      <c r="J24" s="275">
        <f t="shared" si="61"/>
        <v>0</v>
      </c>
      <c r="K24" s="275">
        <f t="shared" si="62"/>
        <v>0</v>
      </c>
      <c r="L24" s="275">
        <f t="shared" si="1"/>
        <v>0</v>
      </c>
      <c r="M24" s="275">
        <f t="shared" si="2"/>
        <v>0</v>
      </c>
      <c r="N24" s="275">
        <f t="shared" si="3"/>
        <v>0</v>
      </c>
      <c r="O24" s="275">
        <f t="shared" si="4"/>
        <v>0</v>
      </c>
      <c r="P24" s="275">
        <f t="shared" si="5"/>
        <v>0</v>
      </c>
      <c r="Q24" s="275">
        <f t="shared" si="6"/>
        <v>0</v>
      </c>
      <c r="R24" s="275">
        <f t="shared" si="7"/>
        <v>0</v>
      </c>
      <c r="S24" s="275">
        <f t="shared" si="8"/>
        <v>0</v>
      </c>
      <c r="T24" s="275">
        <f t="shared" si="9"/>
        <v>0</v>
      </c>
      <c r="U24" s="275">
        <f t="shared" si="10"/>
        <v>0</v>
      </c>
      <c r="V24" s="275">
        <f t="shared" si="11"/>
        <v>0</v>
      </c>
      <c r="W24" s="275">
        <f t="shared" si="12"/>
        <v>0</v>
      </c>
      <c r="X24" s="275">
        <f t="shared" si="13"/>
        <v>0</v>
      </c>
      <c r="Y24" s="275">
        <f t="shared" si="14"/>
        <v>0</v>
      </c>
      <c r="Z24" s="275">
        <f t="shared" si="15"/>
        <v>0</v>
      </c>
      <c r="AA24" s="275">
        <f t="shared" si="16"/>
        <v>0</v>
      </c>
      <c r="AB24" s="275">
        <f t="shared" si="63"/>
        <v>0</v>
      </c>
      <c r="AC24" s="275">
        <f t="shared" si="64"/>
        <v>0</v>
      </c>
      <c r="AD24" s="275">
        <f t="shared" si="17"/>
        <v>0</v>
      </c>
      <c r="AE24" s="275">
        <f t="shared" si="18"/>
        <v>0</v>
      </c>
      <c r="AF24" s="275">
        <f t="shared" si="19"/>
        <v>0</v>
      </c>
      <c r="AG24" s="275">
        <f t="shared" si="20"/>
        <v>0</v>
      </c>
      <c r="AH24" s="275">
        <f t="shared" si="65"/>
        <v>0</v>
      </c>
      <c r="AI24" s="275">
        <f t="shared" si="66"/>
        <v>0</v>
      </c>
      <c r="AJ24" s="275">
        <f t="shared" si="67"/>
        <v>0</v>
      </c>
      <c r="AK24" s="275">
        <f t="shared" si="68"/>
        <v>0</v>
      </c>
      <c r="AL24" s="275">
        <f t="shared" si="69"/>
        <v>0</v>
      </c>
      <c r="AM24" s="275">
        <f t="shared" si="70"/>
        <v>0</v>
      </c>
      <c r="AN24" s="275">
        <f t="shared" si="71"/>
        <v>0</v>
      </c>
      <c r="AO24" s="275">
        <f t="shared" si="72"/>
        <v>0</v>
      </c>
      <c r="AP24" s="275">
        <f t="shared" si="21"/>
        <v>0</v>
      </c>
      <c r="AQ24" s="275">
        <f t="shared" si="22"/>
        <v>0</v>
      </c>
      <c r="AR24" s="275">
        <f t="shared" si="23"/>
        <v>0</v>
      </c>
      <c r="AS24" s="275">
        <f t="shared" si="24"/>
        <v>0</v>
      </c>
      <c r="AT24" s="275">
        <f t="shared" si="73"/>
        <v>0</v>
      </c>
      <c r="AU24" s="275">
        <f t="shared" si="74"/>
        <v>0</v>
      </c>
      <c r="AV24" s="275">
        <f t="shared" si="25"/>
        <v>0</v>
      </c>
      <c r="AW24" s="275">
        <f t="shared" si="26"/>
        <v>0</v>
      </c>
      <c r="AX24" s="275">
        <f t="shared" si="27"/>
        <v>0</v>
      </c>
      <c r="AY24" s="275">
        <f t="shared" si="28"/>
        <v>0</v>
      </c>
      <c r="AZ24" s="275">
        <f t="shared" si="29"/>
        <v>0</v>
      </c>
      <c r="BA24" s="275">
        <f t="shared" si="30"/>
        <v>0</v>
      </c>
      <c r="BB24" s="275">
        <f t="shared" si="31"/>
        <v>0</v>
      </c>
      <c r="BC24" s="275">
        <f t="shared" si="32"/>
        <v>0</v>
      </c>
      <c r="BD24" s="275">
        <f t="shared" si="33"/>
        <v>0</v>
      </c>
      <c r="BE24" s="275">
        <f t="shared" si="34"/>
        <v>0</v>
      </c>
      <c r="BF24" s="275">
        <f t="shared" si="35"/>
        <v>0</v>
      </c>
      <c r="BG24" s="275">
        <f t="shared" si="36"/>
        <v>0</v>
      </c>
      <c r="BH24" s="275">
        <f t="shared" si="75"/>
        <v>0</v>
      </c>
      <c r="BI24" s="275">
        <f t="shared" si="76"/>
        <v>0</v>
      </c>
      <c r="BJ24" s="275">
        <f t="shared" si="37"/>
        <v>0</v>
      </c>
      <c r="BK24" s="275">
        <f t="shared" si="38"/>
        <v>0</v>
      </c>
      <c r="BL24" s="275">
        <f t="shared" si="39"/>
        <v>0</v>
      </c>
      <c r="BM24" s="275">
        <f t="shared" si="40"/>
        <v>0</v>
      </c>
      <c r="BN24" s="275">
        <f t="shared" si="41"/>
        <v>0</v>
      </c>
      <c r="BO24" s="275">
        <f t="shared" si="42"/>
        <v>0</v>
      </c>
      <c r="BP24" s="275">
        <f t="shared" si="77"/>
        <v>0</v>
      </c>
      <c r="BQ24" s="275">
        <f t="shared" si="78"/>
        <v>0</v>
      </c>
      <c r="BR24" s="275">
        <f t="shared" si="43"/>
        <v>0</v>
      </c>
      <c r="BS24" s="275">
        <f t="shared" si="44"/>
        <v>0</v>
      </c>
      <c r="BT24" s="275">
        <f t="shared" si="79"/>
        <v>0</v>
      </c>
      <c r="BU24" s="275">
        <f t="shared" si="80"/>
        <v>0</v>
      </c>
      <c r="BV24" s="275">
        <f t="shared" si="81"/>
        <v>0</v>
      </c>
      <c r="BW24" s="275">
        <f t="shared" si="82"/>
        <v>0</v>
      </c>
      <c r="BX24" s="275">
        <f t="shared" si="45"/>
        <v>0</v>
      </c>
      <c r="BY24" s="275">
        <f t="shared" si="46"/>
        <v>0</v>
      </c>
      <c r="BZ24" s="275">
        <f t="shared" si="47"/>
        <v>0</v>
      </c>
      <c r="CA24" s="275">
        <f t="shared" si="48"/>
        <v>0</v>
      </c>
      <c r="CB24" s="275">
        <f t="shared" si="49"/>
        <v>0</v>
      </c>
      <c r="CC24" s="275">
        <f t="shared" si="50"/>
        <v>0</v>
      </c>
      <c r="CD24" s="275">
        <f t="shared" si="83"/>
        <v>0</v>
      </c>
      <c r="CE24" s="275">
        <f t="shared" si="84"/>
        <v>0</v>
      </c>
      <c r="CF24" s="275">
        <f t="shared" si="85"/>
        <v>0</v>
      </c>
      <c r="CG24" s="275">
        <f t="shared" si="86"/>
        <v>0</v>
      </c>
      <c r="CH24" s="275">
        <f t="shared" si="51"/>
        <v>0</v>
      </c>
      <c r="CI24" s="275">
        <f t="shared" si="52"/>
        <v>0</v>
      </c>
      <c r="CJ24" s="275">
        <f t="shared" si="87"/>
        <v>0</v>
      </c>
      <c r="CK24" s="275">
        <f t="shared" si="88"/>
        <v>0</v>
      </c>
      <c r="CL24" s="275">
        <f t="shared" si="53"/>
        <v>0</v>
      </c>
      <c r="CM24" s="275">
        <f t="shared" si="54"/>
        <v>0</v>
      </c>
      <c r="CN24" s="275">
        <f t="shared" si="55"/>
        <v>0</v>
      </c>
      <c r="CO24" s="275">
        <f t="shared" si="56"/>
        <v>0</v>
      </c>
      <c r="CP24" s="275">
        <f t="shared" si="89"/>
        <v>0</v>
      </c>
      <c r="CQ24" s="275">
        <f t="shared" si="90"/>
        <v>0</v>
      </c>
      <c r="CR24" s="275">
        <f t="shared" si="91"/>
        <v>0</v>
      </c>
      <c r="CS24" s="275">
        <f t="shared" si="92"/>
        <v>0</v>
      </c>
      <c r="CT24" s="275">
        <f t="shared" si="57"/>
        <v>0</v>
      </c>
      <c r="CU24" s="275">
        <f t="shared" si="58"/>
        <v>0</v>
      </c>
      <c r="CV24" s="275">
        <f t="shared" si="59"/>
        <v>0</v>
      </c>
      <c r="CW24" s="275">
        <f t="shared" si="60"/>
        <v>0</v>
      </c>
      <c r="CX24" s="275">
        <f t="shared" si="93"/>
        <v>0</v>
      </c>
      <c r="CY24" s="275">
        <f t="shared" si="94"/>
        <v>0</v>
      </c>
      <c r="CZ24" s="275">
        <f t="shared" si="95"/>
        <v>0</v>
      </c>
      <c r="DA24" s="275">
        <f t="shared" si="96"/>
        <v>0</v>
      </c>
    </row>
    <row r="25" spans="1:105" s="272" customFormat="1" ht="15.75" customHeight="1">
      <c r="A25" s="63" t="str">
        <f t="array" ref="A25">IF(C25&lt;&gt;0,SUM(($C$11:C25&lt;&gt;0)*1),"")</f>
        <v/>
      </c>
      <c r="B25" s="273"/>
      <c r="C25" s="273"/>
      <c r="D25" s="273"/>
      <c r="E25" s="363"/>
      <c r="F25" s="324"/>
      <c r="G25" s="326"/>
      <c r="H25" s="326"/>
      <c r="I25" s="63" t="str">
        <f t="shared" si="0"/>
        <v/>
      </c>
      <c r="J25" s="275">
        <f t="shared" si="61"/>
        <v>0</v>
      </c>
      <c r="K25" s="275">
        <f t="shared" si="62"/>
        <v>0</v>
      </c>
      <c r="L25" s="275">
        <f t="shared" si="1"/>
        <v>0</v>
      </c>
      <c r="M25" s="275">
        <f t="shared" si="2"/>
        <v>0</v>
      </c>
      <c r="N25" s="275">
        <f t="shared" si="3"/>
        <v>0</v>
      </c>
      <c r="O25" s="275">
        <f t="shared" si="4"/>
        <v>0</v>
      </c>
      <c r="P25" s="275">
        <f t="shared" si="5"/>
        <v>0</v>
      </c>
      <c r="Q25" s="275">
        <f t="shared" si="6"/>
        <v>0</v>
      </c>
      <c r="R25" s="275">
        <f t="shared" si="7"/>
        <v>0</v>
      </c>
      <c r="S25" s="275">
        <f t="shared" si="8"/>
        <v>0</v>
      </c>
      <c r="T25" s="275">
        <f t="shared" si="9"/>
        <v>0</v>
      </c>
      <c r="U25" s="275">
        <f t="shared" si="10"/>
        <v>0</v>
      </c>
      <c r="V25" s="275">
        <f t="shared" si="11"/>
        <v>0</v>
      </c>
      <c r="W25" s="275">
        <f t="shared" si="12"/>
        <v>0</v>
      </c>
      <c r="X25" s="275">
        <f t="shared" si="13"/>
        <v>0</v>
      </c>
      <c r="Y25" s="275">
        <f t="shared" si="14"/>
        <v>0</v>
      </c>
      <c r="Z25" s="275">
        <f t="shared" si="15"/>
        <v>0</v>
      </c>
      <c r="AA25" s="275">
        <f t="shared" si="16"/>
        <v>0</v>
      </c>
      <c r="AB25" s="275">
        <f t="shared" si="63"/>
        <v>0</v>
      </c>
      <c r="AC25" s="275">
        <f t="shared" si="64"/>
        <v>0</v>
      </c>
      <c r="AD25" s="275">
        <f t="shared" si="17"/>
        <v>0</v>
      </c>
      <c r="AE25" s="275">
        <f t="shared" si="18"/>
        <v>0</v>
      </c>
      <c r="AF25" s="275">
        <f t="shared" si="19"/>
        <v>0</v>
      </c>
      <c r="AG25" s="275">
        <f t="shared" si="20"/>
        <v>0</v>
      </c>
      <c r="AH25" s="275">
        <f t="shared" si="65"/>
        <v>0</v>
      </c>
      <c r="AI25" s="275">
        <f t="shared" si="66"/>
        <v>0</v>
      </c>
      <c r="AJ25" s="275">
        <f t="shared" si="67"/>
        <v>0</v>
      </c>
      <c r="AK25" s="275">
        <f t="shared" si="68"/>
        <v>0</v>
      </c>
      <c r="AL25" s="275">
        <f t="shared" si="69"/>
        <v>0</v>
      </c>
      <c r="AM25" s="275">
        <f t="shared" si="70"/>
        <v>0</v>
      </c>
      <c r="AN25" s="275">
        <f t="shared" si="71"/>
        <v>0</v>
      </c>
      <c r="AO25" s="275">
        <f t="shared" si="72"/>
        <v>0</v>
      </c>
      <c r="AP25" s="275">
        <f t="shared" si="21"/>
        <v>0</v>
      </c>
      <c r="AQ25" s="275">
        <f t="shared" si="22"/>
        <v>0</v>
      </c>
      <c r="AR25" s="275">
        <f t="shared" si="23"/>
        <v>0</v>
      </c>
      <c r="AS25" s="275">
        <f t="shared" si="24"/>
        <v>0</v>
      </c>
      <c r="AT25" s="275">
        <f t="shared" si="73"/>
        <v>0</v>
      </c>
      <c r="AU25" s="275">
        <f t="shared" si="74"/>
        <v>0</v>
      </c>
      <c r="AV25" s="275">
        <f t="shared" si="25"/>
        <v>0</v>
      </c>
      <c r="AW25" s="275">
        <f t="shared" si="26"/>
        <v>0</v>
      </c>
      <c r="AX25" s="275">
        <f t="shared" si="27"/>
        <v>0</v>
      </c>
      <c r="AY25" s="275">
        <f t="shared" si="28"/>
        <v>0</v>
      </c>
      <c r="AZ25" s="275">
        <f t="shared" si="29"/>
        <v>0</v>
      </c>
      <c r="BA25" s="275">
        <f t="shared" si="30"/>
        <v>0</v>
      </c>
      <c r="BB25" s="275">
        <f t="shared" si="31"/>
        <v>0</v>
      </c>
      <c r="BC25" s="275">
        <f t="shared" si="32"/>
        <v>0</v>
      </c>
      <c r="BD25" s="275">
        <f t="shared" si="33"/>
        <v>0</v>
      </c>
      <c r="BE25" s="275">
        <f t="shared" si="34"/>
        <v>0</v>
      </c>
      <c r="BF25" s="275">
        <f t="shared" si="35"/>
        <v>0</v>
      </c>
      <c r="BG25" s="275">
        <f t="shared" si="36"/>
        <v>0</v>
      </c>
      <c r="BH25" s="275">
        <f t="shared" si="75"/>
        <v>0</v>
      </c>
      <c r="BI25" s="275">
        <f t="shared" si="76"/>
        <v>0</v>
      </c>
      <c r="BJ25" s="275">
        <f t="shared" si="37"/>
        <v>0</v>
      </c>
      <c r="BK25" s="275">
        <f t="shared" si="38"/>
        <v>0</v>
      </c>
      <c r="BL25" s="275">
        <f t="shared" si="39"/>
        <v>0</v>
      </c>
      <c r="BM25" s="275">
        <f t="shared" si="40"/>
        <v>0</v>
      </c>
      <c r="BN25" s="275">
        <f t="shared" si="41"/>
        <v>0</v>
      </c>
      <c r="BO25" s="275">
        <f t="shared" si="42"/>
        <v>0</v>
      </c>
      <c r="BP25" s="275">
        <f t="shared" si="77"/>
        <v>0</v>
      </c>
      <c r="BQ25" s="275">
        <f t="shared" si="78"/>
        <v>0</v>
      </c>
      <c r="BR25" s="275">
        <f t="shared" si="43"/>
        <v>0</v>
      </c>
      <c r="BS25" s="275">
        <f t="shared" si="44"/>
        <v>0</v>
      </c>
      <c r="BT25" s="275">
        <f t="shared" si="79"/>
        <v>0</v>
      </c>
      <c r="BU25" s="275">
        <f t="shared" si="80"/>
        <v>0</v>
      </c>
      <c r="BV25" s="275">
        <f t="shared" si="81"/>
        <v>0</v>
      </c>
      <c r="BW25" s="275">
        <f t="shared" si="82"/>
        <v>0</v>
      </c>
      <c r="BX25" s="275">
        <f t="shared" si="45"/>
        <v>0</v>
      </c>
      <c r="BY25" s="275">
        <f t="shared" si="46"/>
        <v>0</v>
      </c>
      <c r="BZ25" s="275">
        <f t="shared" si="47"/>
        <v>0</v>
      </c>
      <c r="CA25" s="275">
        <f t="shared" si="48"/>
        <v>0</v>
      </c>
      <c r="CB25" s="275">
        <f t="shared" si="49"/>
        <v>0</v>
      </c>
      <c r="CC25" s="275">
        <f t="shared" si="50"/>
        <v>0</v>
      </c>
      <c r="CD25" s="275">
        <f t="shared" si="83"/>
        <v>0</v>
      </c>
      <c r="CE25" s="275">
        <f t="shared" si="84"/>
        <v>0</v>
      </c>
      <c r="CF25" s="275">
        <f t="shared" si="85"/>
        <v>0</v>
      </c>
      <c r="CG25" s="275">
        <f t="shared" si="86"/>
        <v>0</v>
      </c>
      <c r="CH25" s="275">
        <f t="shared" si="51"/>
        <v>0</v>
      </c>
      <c r="CI25" s="275">
        <f t="shared" si="52"/>
        <v>0</v>
      </c>
      <c r="CJ25" s="275">
        <f t="shared" si="87"/>
        <v>0</v>
      </c>
      <c r="CK25" s="275">
        <f t="shared" si="88"/>
        <v>0</v>
      </c>
      <c r="CL25" s="275">
        <f t="shared" si="53"/>
        <v>0</v>
      </c>
      <c r="CM25" s="275">
        <f t="shared" si="54"/>
        <v>0</v>
      </c>
      <c r="CN25" s="275">
        <f t="shared" si="55"/>
        <v>0</v>
      </c>
      <c r="CO25" s="275">
        <f t="shared" si="56"/>
        <v>0</v>
      </c>
      <c r="CP25" s="275">
        <f t="shared" si="89"/>
        <v>0</v>
      </c>
      <c r="CQ25" s="275">
        <f t="shared" si="90"/>
        <v>0</v>
      </c>
      <c r="CR25" s="275">
        <f t="shared" si="91"/>
        <v>0</v>
      </c>
      <c r="CS25" s="275">
        <f t="shared" si="92"/>
        <v>0</v>
      </c>
      <c r="CT25" s="275">
        <f t="shared" si="57"/>
        <v>0</v>
      </c>
      <c r="CU25" s="275">
        <f t="shared" si="58"/>
        <v>0</v>
      </c>
      <c r="CV25" s="275">
        <f t="shared" si="59"/>
        <v>0</v>
      </c>
      <c r="CW25" s="275">
        <f t="shared" si="60"/>
        <v>0</v>
      </c>
      <c r="CX25" s="275">
        <f t="shared" si="93"/>
        <v>0</v>
      </c>
      <c r="CY25" s="275">
        <f t="shared" si="94"/>
        <v>0</v>
      </c>
      <c r="CZ25" s="275">
        <f t="shared" si="95"/>
        <v>0</v>
      </c>
      <c r="DA25" s="275">
        <f t="shared" si="96"/>
        <v>0</v>
      </c>
    </row>
    <row r="26" spans="1:105" s="272" customFormat="1" ht="15.75" customHeight="1">
      <c r="A26" s="63" t="str">
        <f t="array" ref="A26">IF(C26&lt;&gt;0,SUM(($C$11:C26&lt;&gt;0)*1),"")</f>
        <v/>
      </c>
      <c r="B26" s="273"/>
      <c r="C26" s="273"/>
      <c r="D26" s="273"/>
      <c r="E26" s="363"/>
      <c r="F26" s="324"/>
      <c r="G26" s="326"/>
      <c r="H26" s="326"/>
      <c r="I26" s="63" t="str">
        <f t="shared" si="0"/>
        <v/>
      </c>
      <c r="J26" s="275">
        <f t="shared" si="61"/>
        <v>0</v>
      </c>
      <c r="K26" s="275">
        <f t="shared" si="62"/>
        <v>0</v>
      </c>
      <c r="L26" s="275">
        <f t="shared" si="1"/>
        <v>0</v>
      </c>
      <c r="M26" s="275">
        <f t="shared" si="2"/>
        <v>0</v>
      </c>
      <c r="N26" s="275">
        <f t="shared" si="3"/>
        <v>0</v>
      </c>
      <c r="O26" s="275">
        <f t="shared" si="4"/>
        <v>0</v>
      </c>
      <c r="P26" s="275">
        <f t="shared" si="5"/>
        <v>0</v>
      </c>
      <c r="Q26" s="275">
        <f t="shared" si="6"/>
        <v>0</v>
      </c>
      <c r="R26" s="275">
        <f t="shared" si="7"/>
        <v>0</v>
      </c>
      <c r="S26" s="275">
        <f t="shared" si="8"/>
        <v>0</v>
      </c>
      <c r="T26" s="275">
        <f t="shared" si="9"/>
        <v>0</v>
      </c>
      <c r="U26" s="275">
        <f t="shared" si="10"/>
        <v>0</v>
      </c>
      <c r="V26" s="275">
        <f t="shared" si="11"/>
        <v>0</v>
      </c>
      <c r="W26" s="275">
        <f t="shared" si="12"/>
        <v>0</v>
      </c>
      <c r="X26" s="275">
        <f t="shared" si="13"/>
        <v>0</v>
      </c>
      <c r="Y26" s="275">
        <f t="shared" si="14"/>
        <v>0</v>
      </c>
      <c r="Z26" s="275">
        <f t="shared" si="15"/>
        <v>0</v>
      </c>
      <c r="AA26" s="275">
        <f t="shared" si="16"/>
        <v>0</v>
      </c>
      <c r="AB26" s="275">
        <f t="shared" si="63"/>
        <v>0</v>
      </c>
      <c r="AC26" s="275">
        <f t="shared" si="64"/>
        <v>0</v>
      </c>
      <c r="AD26" s="275">
        <f t="shared" si="17"/>
        <v>0</v>
      </c>
      <c r="AE26" s="275">
        <f t="shared" si="18"/>
        <v>0</v>
      </c>
      <c r="AF26" s="275">
        <f t="shared" si="19"/>
        <v>0</v>
      </c>
      <c r="AG26" s="275">
        <f t="shared" si="20"/>
        <v>0</v>
      </c>
      <c r="AH26" s="275">
        <f t="shared" si="65"/>
        <v>0</v>
      </c>
      <c r="AI26" s="275">
        <f t="shared" si="66"/>
        <v>0</v>
      </c>
      <c r="AJ26" s="275">
        <f t="shared" si="67"/>
        <v>0</v>
      </c>
      <c r="AK26" s="275">
        <f t="shared" si="68"/>
        <v>0</v>
      </c>
      <c r="AL26" s="275">
        <f t="shared" si="69"/>
        <v>0</v>
      </c>
      <c r="AM26" s="275">
        <f t="shared" si="70"/>
        <v>0</v>
      </c>
      <c r="AN26" s="275">
        <f t="shared" si="71"/>
        <v>0</v>
      </c>
      <c r="AO26" s="275">
        <f t="shared" si="72"/>
        <v>0</v>
      </c>
      <c r="AP26" s="275">
        <f t="shared" si="21"/>
        <v>0</v>
      </c>
      <c r="AQ26" s="275">
        <f t="shared" si="22"/>
        <v>0</v>
      </c>
      <c r="AR26" s="275">
        <f t="shared" si="23"/>
        <v>0</v>
      </c>
      <c r="AS26" s="275">
        <f t="shared" si="24"/>
        <v>0</v>
      </c>
      <c r="AT26" s="275">
        <f t="shared" si="73"/>
        <v>0</v>
      </c>
      <c r="AU26" s="275">
        <f t="shared" si="74"/>
        <v>0</v>
      </c>
      <c r="AV26" s="275">
        <f t="shared" si="25"/>
        <v>0</v>
      </c>
      <c r="AW26" s="275">
        <f t="shared" si="26"/>
        <v>0</v>
      </c>
      <c r="AX26" s="275">
        <f t="shared" si="27"/>
        <v>0</v>
      </c>
      <c r="AY26" s="275">
        <f t="shared" si="28"/>
        <v>0</v>
      </c>
      <c r="AZ26" s="275">
        <f t="shared" si="29"/>
        <v>0</v>
      </c>
      <c r="BA26" s="275">
        <f t="shared" si="30"/>
        <v>0</v>
      </c>
      <c r="BB26" s="275">
        <f t="shared" si="31"/>
        <v>0</v>
      </c>
      <c r="BC26" s="275">
        <f t="shared" si="32"/>
        <v>0</v>
      </c>
      <c r="BD26" s="275">
        <f t="shared" si="33"/>
        <v>0</v>
      </c>
      <c r="BE26" s="275">
        <f t="shared" si="34"/>
        <v>0</v>
      </c>
      <c r="BF26" s="275">
        <f t="shared" si="35"/>
        <v>0</v>
      </c>
      <c r="BG26" s="275">
        <f t="shared" si="36"/>
        <v>0</v>
      </c>
      <c r="BH26" s="275">
        <f t="shared" si="75"/>
        <v>0</v>
      </c>
      <c r="BI26" s="275">
        <f t="shared" si="76"/>
        <v>0</v>
      </c>
      <c r="BJ26" s="275">
        <f t="shared" si="37"/>
        <v>0</v>
      </c>
      <c r="BK26" s="275">
        <f t="shared" si="38"/>
        <v>0</v>
      </c>
      <c r="BL26" s="275">
        <f t="shared" si="39"/>
        <v>0</v>
      </c>
      <c r="BM26" s="275">
        <f t="shared" si="40"/>
        <v>0</v>
      </c>
      <c r="BN26" s="275">
        <f t="shared" si="41"/>
        <v>0</v>
      </c>
      <c r="BO26" s="275">
        <f t="shared" si="42"/>
        <v>0</v>
      </c>
      <c r="BP26" s="275">
        <f t="shared" si="77"/>
        <v>0</v>
      </c>
      <c r="BQ26" s="275">
        <f t="shared" si="78"/>
        <v>0</v>
      </c>
      <c r="BR26" s="275">
        <f t="shared" si="43"/>
        <v>0</v>
      </c>
      <c r="BS26" s="275">
        <f t="shared" si="44"/>
        <v>0</v>
      </c>
      <c r="BT26" s="275">
        <f t="shared" si="79"/>
        <v>0</v>
      </c>
      <c r="BU26" s="275">
        <f t="shared" si="80"/>
        <v>0</v>
      </c>
      <c r="BV26" s="275">
        <f t="shared" si="81"/>
        <v>0</v>
      </c>
      <c r="BW26" s="275">
        <f t="shared" si="82"/>
        <v>0</v>
      </c>
      <c r="BX26" s="275">
        <f t="shared" si="45"/>
        <v>0</v>
      </c>
      <c r="BY26" s="275">
        <f t="shared" si="46"/>
        <v>0</v>
      </c>
      <c r="BZ26" s="275">
        <f t="shared" si="47"/>
        <v>0</v>
      </c>
      <c r="CA26" s="275">
        <f t="shared" si="48"/>
        <v>0</v>
      </c>
      <c r="CB26" s="275">
        <f t="shared" si="49"/>
        <v>0</v>
      </c>
      <c r="CC26" s="275">
        <f t="shared" si="50"/>
        <v>0</v>
      </c>
      <c r="CD26" s="275">
        <f t="shared" si="83"/>
        <v>0</v>
      </c>
      <c r="CE26" s="275">
        <f t="shared" si="84"/>
        <v>0</v>
      </c>
      <c r="CF26" s="275">
        <f t="shared" si="85"/>
        <v>0</v>
      </c>
      <c r="CG26" s="275">
        <f t="shared" si="86"/>
        <v>0</v>
      </c>
      <c r="CH26" s="275">
        <f t="shared" si="51"/>
        <v>0</v>
      </c>
      <c r="CI26" s="275">
        <f t="shared" si="52"/>
        <v>0</v>
      </c>
      <c r="CJ26" s="275">
        <f t="shared" si="87"/>
        <v>0</v>
      </c>
      <c r="CK26" s="275">
        <f t="shared" si="88"/>
        <v>0</v>
      </c>
      <c r="CL26" s="275">
        <f t="shared" si="53"/>
        <v>0</v>
      </c>
      <c r="CM26" s="275">
        <f t="shared" si="54"/>
        <v>0</v>
      </c>
      <c r="CN26" s="275">
        <f t="shared" si="55"/>
        <v>0</v>
      </c>
      <c r="CO26" s="275">
        <f t="shared" si="56"/>
        <v>0</v>
      </c>
      <c r="CP26" s="275">
        <f t="shared" si="89"/>
        <v>0</v>
      </c>
      <c r="CQ26" s="275">
        <f t="shared" si="90"/>
        <v>0</v>
      </c>
      <c r="CR26" s="275">
        <f t="shared" si="91"/>
        <v>0</v>
      </c>
      <c r="CS26" s="275">
        <f t="shared" si="92"/>
        <v>0</v>
      </c>
      <c r="CT26" s="275">
        <f t="shared" si="57"/>
        <v>0</v>
      </c>
      <c r="CU26" s="275">
        <f t="shared" si="58"/>
        <v>0</v>
      </c>
      <c r="CV26" s="275">
        <f t="shared" si="59"/>
        <v>0</v>
      </c>
      <c r="CW26" s="275">
        <f t="shared" si="60"/>
        <v>0</v>
      </c>
      <c r="CX26" s="275">
        <f t="shared" si="93"/>
        <v>0</v>
      </c>
      <c r="CY26" s="275">
        <f t="shared" si="94"/>
        <v>0</v>
      </c>
      <c r="CZ26" s="275">
        <f t="shared" si="95"/>
        <v>0</v>
      </c>
      <c r="DA26" s="275">
        <f t="shared" si="96"/>
        <v>0</v>
      </c>
    </row>
    <row r="27" spans="1:105" s="272" customFormat="1" ht="15.75" customHeight="1">
      <c r="A27" s="63" t="str">
        <f t="array" ref="A27">IF(C27&lt;&gt;0,SUM(($C$11:C27&lt;&gt;0)*1),"")</f>
        <v/>
      </c>
      <c r="B27" s="273"/>
      <c r="C27" s="273"/>
      <c r="D27" s="273"/>
      <c r="E27" s="363"/>
      <c r="F27" s="324"/>
      <c r="G27" s="326"/>
      <c r="H27" s="326"/>
      <c r="I27" s="63" t="str">
        <f>A27</f>
        <v/>
      </c>
      <c r="J27" s="275">
        <f t="shared" si="61"/>
        <v>0</v>
      </c>
      <c r="K27" s="275">
        <f t="shared" si="62"/>
        <v>0</v>
      </c>
      <c r="L27" s="275">
        <f t="shared" si="1"/>
        <v>0</v>
      </c>
      <c r="M27" s="275">
        <f t="shared" si="2"/>
        <v>0</v>
      </c>
      <c r="N27" s="275">
        <f t="shared" si="3"/>
        <v>0</v>
      </c>
      <c r="O27" s="275">
        <f t="shared" si="4"/>
        <v>0</v>
      </c>
      <c r="P27" s="275">
        <f t="shared" si="5"/>
        <v>0</v>
      </c>
      <c r="Q27" s="275">
        <f t="shared" si="6"/>
        <v>0</v>
      </c>
      <c r="R27" s="275">
        <f t="shared" si="7"/>
        <v>0</v>
      </c>
      <c r="S27" s="275">
        <f t="shared" si="8"/>
        <v>0</v>
      </c>
      <c r="T27" s="275">
        <f t="shared" si="9"/>
        <v>0</v>
      </c>
      <c r="U27" s="275">
        <f t="shared" si="10"/>
        <v>0</v>
      </c>
      <c r="V27" s="275">
        <f t="shared" si="11"/>
        <v>0</v>
      </c>
      <c r="W27" s="275">
        <f t="shared" si="12"/>
        <v>0</v>
      </c>
      <c r="X27" s="275">
        <f t="shared" si="13"/>
        <v>0</v>
      </c>
      <c r="Y27" s="275">
        <f t="shared" si="14"/>
        <v>0</v>
      </c>
      <c r="Z27" s="275">
        <f t="shared" si="15"/>
        <v>0</v>
      </c>
      <c r="AA27" s="275">
        <f t="shared" si="16"/>
        <v>0</v>
      </c>
      <c r="AB27" s="275">
        <f t="shared" si="63"/>
        <v>0</v>
      </c>
      <c r="AC27" s="275">
        <f t="shared" si="64"/>
        <v>0</v>
      </c>
      <c r="AD27" s="275">
        <f t="shared" si="17"/>
        <v>0</v>
      </c>
      <c r="AE27" s="275">
        <f t="shared" si="18"/>
        <v>0</v>
      </c>
      <c r="AF27" s="275">
        <f t="shared" si="19"/>
        <v>0</v>
      </c>
      <c r="AG27" s="275">
        <f t="shared" si="20"/>
        <v>0</v>
      </c>
      <c r="AH27" s="275">
        <f t="shared" si="65"/>
        <v>0</v>
      </c>
      <c r="AI27" s="275">
        <f t="shared" si="66"/>
        <v>0</v>
      </c>
      <c r="AJ27" s="275">
        <f t="shared" si="67"/>
        <v>0</v>
      </c>
      <c r="AK27" s="275">
        <f t="shared" si="68"/>
        <v>0</v>
      </c>
      <c r="AL27" s="275">
        <f t="shared" si="69"/>
        <v>0</v>
      </c>
      <c r="AM27" s="275">
        <f t="shared" si="70"/>
        <v>0</v>
      </c>
      <c r="AN27" s="275">
        <f t="shared" si="71"/>
        <v>0</v>
      </c>
      <c r="AO27" s="275">
        <f t="shared" si="72"/>
        <v>0</v>
      </c>
      <c r="AP27" s="275">
        <f t="shared" si="21"/>
        <v>0</v>
      </c>
      <c r="AQ27" s="275">
        <f t="shared" si="22"/>
        <v>0</v>
      </c>
      <c r="AR27" s="275">
        <f t="shared" si="23"/>
        <v>0</v>
      </c>
      <c r="AS27" s="275">
        <f t="shared" si="24"/>
        <v>0</v>
      </c>
      <c r="AT27" s="275">
        <f t="shared" si="73"/>
        <v>0</v>
      </c>
      <c r="AU27" s="275">
        <f t="shared" si="74"/>
        <v>0</v>
      </c>
      <c r="AV27" s="275">
        <f t="shared" si="25"/>
        <v>0</v>
      </c>
      <c r="AW27" s="275">
        <f t="shared" si="26"/>
        <v>0</v>
      </c>
      <c r="AX27" s="275">
        <f t="shared" si="27"/>
        <v>0</v>
      </c>
      <c r="AY27" s="275">
        <f t="shared" si="28"/>
        <v>0</v>
      </c>
      <c r="AZ27" s="275">
        <f t="shared" si="29"/>
        <v>0</v>
      </c>
      <c r="BA27" s="275">
        <f t="shared" si="30"/>
        <v>0</v>
      </c>
      <c r="BB27" s="275">
        <f t="shared" si="31"/>
        <v>0</v>
      </c>
      <c r="BC27" s="275">
        <f t="shared" si="32"/>
        <v>0</v>
      </c>
      <c r="BD27" s="275">
        <f t="shared" si="33"/>
        <v>0</v>
      </c>
      <c r="BE27" s="275">
        <f t="shared" si="34"/>
        <v>0</v>
      </c>
      <c r="BF27" s="275">
        <f t="shared" si="35"/>
        <v>0</v>
      </c>
      <c r="BG27" s="275">
        <f t="shared" si="36"/>
        <v>0</v>
      </c>
      <c r="BH27" s="275">
        <f t="shared" si="75"/>
        <v>0</v>
      </c>
      <c r="BI27" s="275">
        <f t="shared" si="76"/>
        <v>0</v>
      </c>
      <c r="BJ27" s="275">
        <f t="shared" si="37"/>
        <v>0</v>
      </c>
      <c r="BK27" s="275">
        <f t="shared" si="38"/>
        <v>0</v>
      </c>
      <c r="BL27" s="275">
        <f t="shared" si="39"/>
        <v>0</v>
      </c>
      <c r="BM27" s="275">
        <f t="shared" si="40"/>
        <v>0</v>
      </c>
      <c r="BN27" s="275">
        <f t="shared" si="41"/>
        <v>0</v>
      </c>
      <c r="BO27" s="275">
        <f t="shared" si="42"/>
        <v>0</v>
      </c>
      <c r="BP27" s="275">
        <f t="shared" si="77"/>
        <v>0</v>
      </c>
      <c r="BQ27" s="275">
        <f t="shared" si="78"/>
        <v>0</v>
      </c>
      <c r="BR27" s="275">
        <f t="shared" si="43"/>
        <v>0</v>
      </c>
      <c r="BS27" s="275">
        <f t="shared" si="44"/>
        <v>0</v>
      </c>
      <c r="BT27" s="275">
        <f t="shared" si="79"/>
        <v>0</v>
      </c>
      <c r="BU27" s="275">
        <f t="shared" si="80"/>
        <v>0</v>
      </c>
      <c r="BV27" s="275">
        <f t="shared" si="81"/>
        <v>0</v>
      </c>
      <c r="BW27" s="275">
        <f t="shared" si="82"/>
        <v>0</v>
      </c>
      <c r="BX27" s="275">
        <f t="shared" si="45"/>
        <v>0</v>
      </c>
      <c r="BY27" s="275">
        <f t="shared" si="46"/>
        <v>0</v>
      </c>
      <c r="BZ27" s="275">
        <f t="shared" si="47"/>
        <v>0</v>
      </c>
      <c r="CA27" s="275">
        <f t="shared" si="48"/>
        <v>0</v>
      </c>
      <c r="CB27" s="275">
        <f t="shared" si="49"/>
        <v>0</v>
      </c>
      <c r="CC27" s="275">
        <f t="shared" si="50"/>
        <v>0</v>
      </c>
      <c r="CD27" s="275">
        <f t="shared" si="83"/>
        <v>0</v>
      </c>
      <c r="CE27" s="275">
        <f t="shared" si="84"/>
        <v>0</v>
      </c>
      <c r="CF27" s="275">
        <f t="shared" si="85"/>
        <v>0</v>
      </c>
      <c r="CG27" s="275">
        <f t="shared" si="86"/>
        <v>0</v>
      </c>
      <c r="CH27" s="275">
        <f t="shared" si="51"/>
        <v>0</v>
      </c>
      <c r="CI27" s="275">
        <f t="shared" si="52"/>
        <v>0</v>
      </c>
      <c r="CJ27" s="275">
        <f t="shared" si="87"/>
        <v>0</v>
      </c>
      <c r="CK27" s="275">
        <f t="shared" si="88"/>
        <v>0</v>
      </c>
      <c r="CL27" s="275">
        <f t="shared" si="53"/>
        <v>0</v>
      </c>
      <c r="CM27" s="275">
        <f t="shared" si="54"/>
        <v>0</v>
      </c>
      <c r="CN27" s="275">
        <f t="shared" si="55"/>
        <v>0</v>
      </c>
      <c r="CO27" s="275">
        <f t="shared" si="56"/>
        <v>0</v>
      </c>
      <c r="CP27" s="275">
        <f t="shared" si="89"/>
        <v>0</v>
      </c>
      <c r="CQ27" s="275">
        <f t="shared" si="90"/>
        <v>0</v>
      </c>
      <c r="CR27" s="275">
        <f t="shared" si="91"/>
        <v>0</v>
      </c>
      <c r="CS27" s="275">
        <f t="shared" si="92"/>
        <v>0</v>
      </c>
      <c r="CT27" s="275">
        <f t="shared" si="57"/>
        <v>0</v>
      </c>
      <c r="CU27" s="275">
        <f t="shared" si="58"/>
        <v>0</v>
      </c>
      <c r="CV27" s="275">
        <f t="shared" si="59"/>
        <v>0</v>
      </c>
      <c r="CW27" s="275">
        <f t="shared" si="60"/>
        <v>0</v>
      </c>
      <c r="CX27" s="275">
        <f t="shared" si="93"/>
        <v>0</v>
      </c>
      <c r="CY27" s="275">
        <f t="shared" si="94"/>
        <v>0</v>
      </c>
      <c r="CZ27" s="275">
        <f t="shared" si="95"/>
        <v>0</v>
      </c>
      <c r="DA27" s="275">
        <f t="shared" si="96"/>
        <v>0</v>
      </c>
    </row>
    <row r="28" spans="1:105" s="272" customFormat="1" ht="15.75" customHeight="1">
      <c r="A28" s="63" t="str">
        <f t="array" ref="A28">IF(C28&lt;&gt;0,SUM(($C$11:C28&lt;&gt;0)*1),"")</f>
        <v/>
      </c>
      <c r="B28" s="273"/>
      <c r="C28" s="273"/>
      <c r="D28" s="273"/>
      <c r="E28" s="363"/>
      <c r="F28" s="324"/>
      <c r="G28" s="326"/>
      <c r="H28" s="326"/>
      <c r="I28" s="63" t="str">
        <f t="shared" ref="I28:I50" si="97">A28</f>
        <v/>
      </c>
      <c r="J28" s="275">
        <f t="shared" si="61"/>
        <v>0</v>
      </c>
      <c r="K28" s="275">
        <f t="shared" si="62"/>
        <v>0</v>
      </c>
      <c r="L28" s="275">
        <f t="shared" si="1"/>
        <v>0</v>
      </c>
      <c r="M28" s="275">
        <f t="shared" si="2"/>
        <v>0</v>
      </c>
      <c r="N28" s="275">
        <f t="shared" si="3"/>
        <v>0</v>
      </c>
      <c r="O28" s="275">
        <f t="shared" si="4"/>
        <v>0</v>
      </c>
      <c r="P28" s="275">
        <f t="shared" si="5"/>
        <v>0</v>
      </c>
      <c r="Q28" s="275">
        <f t="shared" si="6"/>
        <v>0</v>
      </c>
      <c r="R28" s="275">
        <f t="shared" si="7"/>
        <v>0</v>
      </c>
      <c r="S28" s="275">
        <f t="shared" si="8"/>
        <v>0</v>
      </c>
      <c r="T28" s="275">
        <f t="shared" si="9"/>
        <v>0</v>
      </c>
      <c r="U28" s="275">
        <f t="shared" si="10"/>
        <v>0</v>
      </c>
      <c r="V28" s="275">
        <f t="shared" si="11"/>
        <v>0</v>
      </c>
      <c r="W28" s="275">
        <f t="shared" si="12"/>
        <v>0</v>
      </c>
      <c r="X28" s="275">
        <f t="shared" si="13"/>
        <v>0</v>
      </c>
      <c r="Y28" s="275">
        <f t="shared" si="14"/>
        <v>0</v>
      </c>
      <c r="Z28" s="275">
        <f t="shared" si="15"/>
        <v>0</v>
      </c>
      <c r="AA28" s="275">
        <f t="shared" si="16"/>
        <v>0</v>
      </c>
      <c r="AB28" s="275">
        <f t="shared" si="63"/>
        <v>0</v>
      </c>
      <c r="AC28" s="275">
        <f t="shared" si="64"/>
        <v>0</v>
      </c>
      <c r="AD28" s="275">
        <f t="shared" si="17"/>
        <v>0</v>
      </c>
      <c r="AE28" s="275">
        <f t="shared" si="18"/>
        <v>0</v>
      </c>
      <c r="AF28" s="275">
        <f t="shared" si="19"/>
        <v>0</v>
      </c>
      <c r="AG28" s="275">
        <f t="shared" si="20"/>
        <v>0</v>
      </c>
      <c r="AH28" s="275">
        <f t="shared" si="65"/>
        <v>0</v>
      </c>
      <c r="AI28" s="275">
        <f t="shared" si="66"/>
        <v>0</v>
      </c>
      <c r="AJ28" s="275">
        <f t="shared" si="67"/>
        <v>0</v>
      </c>
      <c r="AK28" s="275">
        <f t="shared" si="68"/>
        <v>0</v>
      </c>
      <c r="AL28" s="275">
        <f t="shared" si="69"/>
        <v>0</v>
      </c>
      <c r="AM28" s="275">
        <f t="shared" si="70"/>
        <v>0</v>
      </c>
      <c r="AN28" s="275">
        <f t="shared" si="71"/>
        <v>0</v>
      </c>
      <c r="AO28" s="275">
        <f t="shared" si="72"/>
        <v>0</v>
      </c>
      <c r="AP28" s="275">
        <f t="shared" si="21"/>
        <v>0</v>
      </c>
      <c r="AQ28" s="275">
        <f t="shared" si="22"/>
        <v>0</v>
      </c>
      <c r="AR28" s="275">
        <f t="shared" si="23"/>
        <v>0</v>
      </c>
      <c r="AS28" s="275">
        <f t="shared" si="24"/>
        <v>0</v>
      </c>
      <c r="AT28" s="275">
        <f t="shared" si="73"/>
        <v>0</v>
      </c>
      <c r="AU28" s="275">
        <f t="shared" si="74"/>
        <v>0</v>
      </c>
      <c r="AV28" s="275">
        <f t="shared" si="25"/>
        <v>0</v>
      </c>
      <c r="AW28" s="275">
        <f t="shared" si="26"/>
        <v>0</v>
      </c>
      <c r="AX28" s="275">
        <f t="shared" si="27"/>
        <v>0</v>
      </c>
      <c r="AY28" s="275">
        <f t="shared" si="28"/>
        <v>0</v>
      </c>
      <c r="AZ28" s="275">
        <f t="shared" si="29"/>
        <v>0</v>
      </c>
      <c r="BA28" s="275">
        <f t="shared" si="30"/>
        <v>0</v>
      </c>
      <c r="BB28" s="275">
        <f t="shared" si="31"/>
        <v>0</v>
      </c>
      <c r="BC28" s="275">
        <f t="shared" si="32"/>
        <v>0</v>
      </c>
      <c r="BD28" s="275">
        <f t="shared" si="33"/>
        <v>0</v>
      </c>
      <c r="BE28" s="275">
        <f t="shared" si="34"/>
        <v>0</v>
      </c>
      <c r="BF28" s="275">
        <f t="shared" si="35"/>
        <v>0</v>
      </c>
      <c r="BG28" s="275">
        <f t="shared" si="36"/>
        <v>0</v>
      </c>
      <c r="BH28" s="275">
        <f t="shared" si="75"/>
        <v>0</v>
      </c>
      <c r="BI28" s="275">
        <f t="shared" si="76"/>
        <v>0</v>
      </c>
      <c r="BJ28" s="275">
        <f t="shared" si="37"/>
        <v>0</v>
      </c>
      <c r="BK28" s="275">
        <f t="shared" si="38"/>
        <v>0</v>
      </c>
      <c r="BL28" s="275">
        <f t="shared" si="39"/>
        <v>0</v>
      </c>
      <c r="BM28" s="275">
        <f t="shared" si="40"/>
        <v>0</v>
      </c>
      <c r="BN28" s="275">
        <f t="shared" si="41"/>
        <v>0</v>
      </c>
      <c r="BO28" s="275">
        <f t="shared" si="42"/>
        <v>0</v>
      </c>
      <c r="BP28" s="275">
        <f t="shared" si="77"/>
        <v>0</v>
      </c>
      <c r="BQ28" s="275">
        <f t="shared" si="78"/>
        <v>0</v>
      </c>
      <c r="BR28" s="275">
        <f t="shared" si="43"/>
        <v>0</v>
      </c>
      <c r="BS28" s="275">
        <f t="shared" si="44"/>
        <v>0</v>
      </c>
      <c r="BT28" s="275">
        <f t="shared" si="79"/>
        <v>0</v>
      </c>
      <c r="BU28" s="275">
        <f t="shared" si="80"/>
        <v>0</v>
      </c>
      <c r="BV28" s="275">
        <f t="shared" si="81"/>
        <v>0</v>
      </c>
      <c r="BW28" s="275">
        <f t="shared" si="82"/>
        <v>0</v>
      </c>
      <c r="BX28" s="275">
        <f t="shared" si="45"/>
        <v>0</v>
      </c>
      <c r="BY28" s="275">
        <f t="shared" si="46"/>
        <v>0</v>
      </c>
      <c r="BZ28" s="275">
        <f t="shared" si="47"/>
        <v>0</v>
      </c>
      <c r="CA28" s="275">
        <f t="shared" si="48"/>
        <v>0</v>
      </c>
      <c r="CB28" s="275">
        <f t="shared" si="49"/>
        <v>0</v>
      </c>
      <c r="CC28" s="275">
        <f t="shared" si="50"/>
        <v>0</v>
      </c>
      <c r="CD28" s="275">
        <f t="shared" si="83"/>
        <v>0</v>
      </c>
      <c r="CE28" s="275">
        <f t="shared" si="84"/>
        <v>0</v>
      </c>
      <c r="CF28" s="275">
        <f t="shared" si="85"/>
        <v>0</v>
      </c>
      <c r="CG28" s="275">
        <f t="shared" si="86"/>
        <v>0</v>
      </c>
      <c r="CH28" s="275">
        <f t="shared" si="51"/>
        <v>0</v>
      </c>
      <c r="CI28" s="275">
        <f t="shared" si="52"/>
        <v>0</v>
      </c>
      <c r="CJ28" s="275">
        <f t="shared" si="87"/>
        <v>0</v>
      </c>
      <c r="CK28" s="275">
        <f t="shared" si="88"/>
        <v>0</v>
      </c>
      <c r="CL28" s="275">
        <f t="shared" si="53"/>
        <v>0</v>
      </c>
      <c r="CM28" s="275">
        <f t="shared" si="54"/>
        <v>0</v>
      </c>
      <c r="CN28" s="275">
        <f t="shared" si="55"/>
        <v>0</v>
      </c>
      <c r="CO28" s="275">
        <f t="shared" si="56"/>
        <v>0</v>
      </c>
      <c r="CP28" s="275">
        <f t="shared" si="89"/>
        <v>0</v>
      </c>
      <c r="CQ28" s="275">
        <f t="shared" si="90"/>
        <v>0</v>
      </c>
      <c r="CR28" s="275">
        <f t="shared" si="91"/>
        <v>0</v>
      </c>
      <c r="CS28" s="275">
        <f t="shared" si="92"/>
        <v>0</v>
      </c>
      <c r="CT28" s="275">
        <f t="shared" si="57"/>
        <v>0</v>
      </c>
      <c r="CU28" s="275">
        <f t="shared" si="58"/>
        <v>0</v>
      </c>
      <c r="CV28" s="275">
        <f t="shared" si="59"/>
        <v>0</v>
      </c>
      <c r="CW28" s="275">
        <f t="shared" si="60"/>
        <v>0</v>
      </c>
      <c r="CX28" s="275">
        <f t="shared" si="93"/>
        <v>0</v>
      </c>
      <c r="CY28" s="275">
        <f t="shared" si="94"/>
        <v>0</v>
      </c>
      <c r="CZ28" s="275">
        <f t="shared" si="95"/>
        <v>0</v>
      </c>
      <c r="DA28" s="275">
        <f t="shared" si="96"/>
        <v>0</v>
      </c>
    </row>
    <row r="29" spans="1:105" s="272" customFormat="1" ht="15.75" customHeight="1">
      <c r="A29" s="63" t="str">
        <f t="array" ref="A29">IF(C29&lt;&gt;0,SUM(($C$11:C29&lt;&gt;0)*1),"")</f>
        <v/>
      </c>
      <c r="B29" s="273"/>
      <c r="C29" s="273"/>
      <c r="D29" s="273"/>
      <c r="E29" s="363"/>
      <c r="F29" s="324"/>
      <c r="G29" s="326"/>
      <c r="H29" s="326"/>
      <c r="I29" s="63" t="str">
        <f t="shared" si="97"/>
        <v/>
      </c>
      <c r="J29" s="275">
        <f t="shared" si="61"/>
        <v>0</v>
      </c>
      <c r="K29" s="275">
        <f t="shared" si="62"/>
        <v>0</v>
      </c>
      <c r="L29" s="275">
        <f t="shared" si="1"/>
        <v>0</v>
      </c>
      <c r="M29" s="275">
        <f t="shared" si="2"/>
        <v>0</v>
      </c>
      <c r="N29" s="275">
        <f t="shared" si="3"/>
        <v>0</v>
      </c>
      <c r="O29" s="275">
        <f t="shared" si="4"/>
        <v>0</v>
      </c>
      <c r="P29" s="275">
        <f t="shared" si="5"/>
        <v>0</v>
      </c>
      <c r="Q29" s="275">
        <f t="shared" si="6"/>
        <v>0</v>
      </c>
      <c r="R29" s="275">
        <f t="shared" si="7"/>
        <v>0</v>
      </c>
      <c r="S29" s="275">
        <f t="shared" si="8"/>
        <v>0</v>
      </c>
      <c r="T29" s="275">
        <f t="shared" si="9"/>
        <v>0</v>
      </c>
      <c r="U29" s="275">
        <f t="shared" si="10"/>
        <v>0</v>
      </c>
      <c r="V29" s="275">
        <f t="shared" si="11"/>
        <v>0</v>
      </c>
      <c r="W29" s="275">
        <f t="shared" si="12"/>
        <v>0</v>
      </c>
      <c r="X29" s="275">
        <f t="shared" si="13"/>
        <v>0</v>
      </c>
      <c r="Y29" s="275">
        <f t="shared" si="14"/>
        <v>0</v>
      </c>
      <c r="Z29" s="275">
        <f t="shared" si="15"/>
        <v>0</v>
      </c>
      <c r="AA29" s="275">
        <f t="shared" si="16"/>
        <v>0</v>
      </c>
      <c r="AB29" s="275">
        <f t="shared" si="63"/>
        <v>0</v>
      </c>
      <c r="AC29" s="275">
        <f t="shared" si="64"/>
        <v>0</v>
      </c>
      <c r="AD29" s="275">
        <f t="shared" si="17"/>
        <v>0</v>
      </c>
      <c r="AE29" s="275">
        <f t="shared" si="18"/>
        <v>0</v>
      </c>
      <c r="AF29" s="275">
        <f t="shared" si="19"/>
        <v>0</v>
      </c>
      <c r="AG29" s="275">
        <f t="shared" si="20"/>
        <v>0</v>
      </c>
      <c r="AH29" s="275">
        <f t="shared" si="65"/>
        <v>0</v>
      </c>
      <c r="AI29" s="275">
        <f t="shared" si="66"/>
        <v>0</v>
      </c>
      <c r="AJ29" s="275">
        <f t="shared" si="67"/>
        <v>0</v>
      </c>
      <c r="AK29" s="275">
        <f t="shared" si="68"/>
        <v>0</v>
      </c>
      <c r="AL29" s="275">
        <f t="shared" si="69"/>
        <v>0</v>
      </c>
      <c r="AM29" s="275">
        <f t="shared" si="70"/>
        <v>0</v>
      </c>
      <c r="AN29" s="275">
        <f t="shared" si="71"/>
        <v>0</v>
      </c>
      <c r="AO29" s="275">
        <f t="shared" si="72"/>
        <v>0</v>
      </c>
      <c r="AP29" s="275">
        <f t="shared" si="21"/>
        <v>0</v>
      </c>
      <c r="AQ29" s="275">
        <f t="shared" si="22"/>
        <v>0</v>
      </c>
      <c r="AR29" s="275">
        <f t="shared" si="23"/>
        <v>0</v>
      </c>
      <c r="AS29" s="275">
        <f t="shared" si="24"/>
        <v>0</v>
      </c>
      <c r="AT29" s="275">
        <f t="shared" si="73"/>
        <v>0</v>
      </c>
      <c r="AU29" s="275">
        <f t="shared" si="74"/>
        <v>0</v>
      </c>
      <c r="AV29" s="275">
        <f t="shared" si="25"/>
        <v>0</v>
      </c>
      <c r="AW29" s="275">
        <f t="shared" si="26"/>
        <v>0</v>
      </c>
      <c r="AX29" s="275">
        <f t="shared" si="27"/>
        <v>0</v>
      </c>
      <c r="AY29" s="275">
        <f t="shared" si="28"/>
        <v>0</v>
      </c>
      <c r="AZ29" s="275">
        <f t="shared" si="29"/>
        <v>0</v>
      </c>
      <c r="BA29" s="275">
        <f t="shared" si="30"/>
        <v>0</v>
      </c>
      <c r="BB29" s="275">
        <f t="shared" si="31"/>
        <v>0</v>
      </c>
      <c r="BC29" s="275">
        <f t="shared" si="32"/>
        <v>0</v>
      </c>
      <c r="BD29" s="275">
        <f t="shared" si="33"/>
        <v>0</v>
      </c>
      <c r="BE29" s="275">
        <f t="shared" si="34"/>
        <v>0</v>
      </c>
      <c r="BF29" s="275">
        <f t="shared" si="35"/>
        <v>0</v>
      </c>
      <c r="BG29" s="275">
        <f t="shared" si="36"/>
        <v>0</v>
      </c>
      <c r="BH29" s="275">
        <f t="shared" si="75"/>
        <v>0</v>
      </c>
      <c r="BI29" s="275">
        <f t="shared" si="76"/>
        <v>0</v>
      </c>
      <c r="BJ29" s="275">
        <f t="shared" si="37"/>
        <v>0</v>
      </c>
      <c r="BK29" s="275">
        <f t="shared" si="38"/>
        <v>0</v>
      </c>
      <c r="BL29" s="275">
        <f t="shared" si="39"/>
        <v>0</v>
      </c>
      <c r="BM29" s="275">
        <f t="shared" si="40"/>
        <v>0</v>
      </c>
      <c r="BN29" s="275">
        <f t="shared" si="41"/>
        <v>0</v>
      </c>
      <c r="BO29" s="275">
        <f t="shared" si="42"/>
        <v>0</v>
      </c>
      <c r="BP29" s="275">
        <f t="shared" si="77"/>
        <v>0</v>
      </c>
      <c r="BQ29" s="275">
        <f t="shared" si="78"/>
        <v>0</v>
      </c>
      <c r="BR29" s="275">
        <f t="shared" si="43"/>
        <v>0</v>
      </c>
      <c r="BS29" s="275">
        <f t="shared" si="44"/>
        <v>0</v>
      </c>
      <c r="BT29" s="275">
        <f t="shared" si="79"/>
        <v>0</v>
      </c>
      <c r="BU29" s="275">
        <f t="shared" si="80"/>
        <v>0</v>
      </c>
      <c r="BV29" s="275">
        <f t="shared" si="81"/>
        <v>0</v>
      </c>
      <c r="BW29" s="275">
        <f t="shared" si="82"/>
        <v>0</v>
      </c>
      <c r="BX29" s="275">
        <f t="shared" si="45"/>
        <v>0</v>
      </c>
      <c r="BY29" s="275">
        <f t="shared" si="46"/>
        <v>0</v>
      </c>
      <c r="BZ29" s="275">
        <f t="shared" si="47"/>
        <v>0</v>
      </c>
      <c r="CA29" s="275">
        <f t="shared" si="48"/>
        <v>0</v>
      </c>
      <c r="CB29" s="275">
        <f t="shared" si="49"/>
        <v>0</v>
      </c>
      <c r="CC29" s="275">
        <f t="shared" si="50"/>
        <v>0</v>
      </c>
      <c r="CD29" s="275">
        <f t="shared" si="83"/>
        <v>0</v>
      </c>
      <c r="CE29" s="275">
        <f t="shared" si="84"/>
        <v>0</v>
      </c>
      <c r="CF29" s="275">
        <f t="shared" si="85"/>
        <v>0</v>
      </c>
      <c r="CG29" s="275">
        <f t="shared" si="86"/>
        <v>0</v>
      </c>
      <c r="CH29" s="275">
        <f t="shared" si="51"/>
        <v>0</v>
      </c>
      <c r="CI29" s="275">
        <f t="shared" si="52"/>
        <v>0</v>
      </c>
      <c r="CJ29" s="275">
        <f t="shared" si="87"/>
        <v>0</v>
      </c>
      <c r="CK29" s="275">
        <f t="shared" si="88"/>
        <v>0</v>
      </c>
      <c r="CL29" s="275">
        <f t="shared" si="53"/>
        <v>0</v>
      </c>
      <c r="CM29" s="275">
        <f t="shared" si="54"/>
        <v>0</v>
      </c>
      <c r="CN29" s="275">
        <f t="shared" si="55"/>
        <v>0</v>
      </c>
      <c r="CO29" s="275">
        <f t="shared" si="56"/>
        <v>0</v>
      </c>
      <c r="CP29" s="275">
        <f t="shared" si="89"/>
        <v>0</v>
      </c>
      <c r="CQ29" s="275">
        <f t="shared" si="90"/>
        <v>0</v>
      </c>
      <c r="CR29" s="275">
        <f t="shared" si="91"/>
        <v>0</v>
      </c>
      <c r="CS29" s="275">
        <f t="shared" si="92"/>
        <v>0</v>
      </c>
      <c r="CT29" s="275">
        <f t="shared" si="57"/>
        <v>0</v>
      </c>
      <c r="CU29" s="275">
        <f t="shared" si="58"/>
        <v>0</v>
      </c>
      <c r="CV29" s="275">
        <f t="shared" si="59"/>
        <v>0</v>
      </c>
      <c r="CW29" s="275">
        <f t="shared" si="60"/>
        <v>0</v>
      </c>
      <c r="CX29" s="275">
        <f t="shared" si="93"/>
        <v>0</v>
      </c>
      <c r="CY29" s="275">
        <f t="shared" si="94"/>
        <v>0</v>
      </c>
      <c r="CZ29" s="275">
        <f t="shared" si="95"/>
        <v>0</v>
      </c>
      <c r="DA29" s="275">
        <f t="shared" si="96"/>
        <v>0</v>
      </c>
    </row>
    <row r="30" spans="1:105" s="272" customFormat="1" ht="15.75" customHeight="1">
      <c r="A30" s="63" t="str">
        <f t="array" ref="A30">IF(C30&lt;&gt;0,SUM(($C$11:C30&lt;&gt;0)*1),"")</f>
        <v/>
      </c>
      <c r="B30" s="273"/>
      <c r="C30" s="273"/>
      <c r="D30" s="273"/>
      <c r="E30" s="363"/>
      <c r="F30" s="324"/>
      <c r="G30" s="326"/>
      <c r="H30" s="326"/>
      <c r="I30" s="63" t="str">
        <f t="shared" si="97"/>
        <v/>
      </c>
      <c r="J30" s="275">
        <f t="shared" si="61"/>
        <v>0</v>
      </c>
      <c r="K30" s="275">
        <f t="shared" si="62"/>
        <v>0</v>
      </c>
      <c r="L30" s="275">
        <f t="shared" si="1"/>
        <v>0</v>
      </c>
      <c r="M30" s="275">
        <f t="shared" si="2"/>
        <v>0</v>
      </c>
      <c r="N30" s="275">
        <f t="shared" si="3"/>
        <v>0</v>
      </c>
      <c r="O30" s="275">
        <f t="shared" si="4"/>
        <v>0</v>
      </c>
      <c r="P30" s="275">
        <f t="shared" si="5"/>
        <v>0</v>
      </c>
      <c r="Q30" s="275">
        <f t="shared" si="6"/>
        <v>0</v>
      </c>
      <c r="R30" s="275">
        <f t="shared" si="7"/>
        <v>0</v>
      </c>
      <c r="S30" s="275">
        <f t="shared" si="8"/>
        <v>0</v>
      </c>
      <c r="T30" s="275">
        <f t="shared" si="9"/>
        <v>0</v>
      </c>
      <c r="U30" s="275">
        <f t="shared" si="10"/>
        <v>0</v>
      </c>
      <c r="V30" s="275">
        <f t="shared" si="11"/>
        <v>0</v>
      </c>
      <c r="W30" s="275">
        <f t="shared" si="12"/>
        <v>0</v>
      </c>
      <c r="X30" s="275">
        <f t="shared" si="13"/>
        <v>0</v>
      </c>
      <c r="Y30" s="275">
        <f t="shared" si="14"/>
        <v>0</v>
      </c>
      <c r="Z30" s="275">
        <f t="shared" si="15"/>
        <v>0</v>
      </c>
      <c r="AA30" s="275">
        <f t="shared" si="16"/>
        <v>0</v>
      </c>
      <c r="AB30" s="275">
        <f t="shared" si="63"/>
        <v>0</v>
      </c>
      <c r="AC30" s="275">
        <f t="shared" si="64"/>
        <v>0</v>
      </c>
      <c r="AD30" s="275">
        <f t="shared" si="17"/>
        <v>0</v>
      </c>
      <c r="AE30" s="275">
        <f t="shared" si="18"/>
        <v>0</v>
      </c>
      <c r="AF30" s="275">
        <f t="shared" si="19"/>
        <v>0</v>
      </c>
      <c r="AG30" s="275">
        <f t="shared" si="20"/>
        <v>0</v>
      </c>
      <c r="AH30" s="275">
        <f t="shared" si="65"/>
        <v>0</v>
      </c>
      <c r="AI30" s="275">
        <f t="shared" si="66"/>
        <v>0</v>
      </c>
      <c r="AJ30" s="275">
        <f t="shared" si="67"/>
        <v>0</v>
      </c>
      <c r="AK30" s="275">
        <f t="shared" si="68"/>
        <v>0</v>
      </c>
      <c r="AL30" s="275">
        <f t="shared" si="69"/>
        <v>0</v>
      </c>
      <c r="AM30" s="275">
        <f t="shared" si="70"/>
        <v>0</v>
      </c>
      <c r="AN30" s="275">
        <f t="shared" si="71"/>
        <v>0</v>
      </c>
      <c r="AO30" s="275">
        <f t="shared" si="72"/>
        <v>0</v>
      </c>
      <c r="AP30" s="275">
        <f t="shared" si="21"/>
        <v>0</v>
      </c>
      <c r="AQ30" s="275">
        <f t="shared" si="22"/>
        <v>0</v>
      </c>
      <c r="AR30" s="275">
        <f t="shared" si="23"/>
        <v>0</v>
      </c>
      <c r="AS30" s="275">
        <f t="shared" si="24"/>
        <v>0</v>
      </c>
      <c r="AT30" s="275">
        <f t="shared" si="73"/>
        <v>0</v>
      </c>
      <c r="AU30" s="275">
        <f t="shared" si="74"/>
        <v>0</v>
      </c>
      <c r="AV30" s="275">
        <f t="shared" si="25"/>
        <v>0</v>
      </c>
      <c r="AW30" s="275">
        <f t="shared" si="26"/>
        <v>0</v>
      </c>
      <c r="AX30" s="275">
        <f t="shared" si="27"/>
        <v>0</v>
      </c>
      <c r="AY30" s="275">
        <f t="shared" si="28"/>
        <v>0</v>
      </c>
      <c r="AZ30" s="275">
        <f t="shared" si="29"/>
        <v>0</v>
      </c>
      <c r="BA30" s="275">
        <f t="shared" si="30"/>
        <v>0</v>
      </c>
      <c r="BB30" s="275">
        <f t="shared" si="31"/>
        <v>0</v>
      </c>
      <c r="BC30" s="275">
        <f t="shared" si="32"/>
        <v>0</v>
      </c>
      <c r="BD30" s="275">
        <f t="shared" si="33"/>
        <v>0</v>
      </c>
      <c r="BE30" s="275">
        <f t="shared" si="34"/>
        <v>0</v>
      </c>
      <c r="BF30" s="275">
        <f t="shared" si="35"/>
        <v>0</v>
      </c>
      <c r="BG30" s="275">
        <f t="shared" si="36"/>
        <v>0</v>
      </c>
      <c r="BH30" s="275">
        <f t="shared" si="75"/>
        <v>0</v>
      </c>
      <c r="BI30" s="275">
        <f t="shared" si="76"/>
        <v>0</v>
      </c>
      <c r="BJ30" s="275">
        <f t="shared" si="37"/>
        <v>0</v>
      </c>
      <c r="BK30" s="275">
        <f t="shared" si="38"/>
        <v>0</v>
      </c>
      <c r="BL30" s="275">
        <f t="shared" si="39"/>
        <v>0</v>
      </c>
      <c r="BM30" s="275">
        <f t="shared" si="40"/>
        <v>0</v>
      </c>
      <c r="BN30" s="275">
        <f t="shared" si="41"/>
        <v>0</v>
      </c>
      <c r="BO30" s="275">
        <f t="shared" si="42"/>
        <v>0</v>
      </c>
      <c r="BP30" s="275">
        <f t="shared" si="77"/>
        <v>0</v>
      </c>
      <c r="BQ30" s="275">
        <f t="shared" si="78"/>
        <v>0</v>
      </c>
      <c r="BR30" s="275">
        <f t="shared" si="43"/>
        <v>0</v>
      </c>
      <c r="BS30" s="275">
        <f t="shared" si="44"/>
        <v>0</v>
      </c>
      <c r="BT30" s="275">
        <f t="shared" si="79"/>
        <v>0</v>
      </c>
      <c r="BU30" s="275">
        <f t="shared" si="80"/>
        <v>0</v>
      </c>
      <c r="BV30" s="275">
        <f t="shared" si="81"/>
        <v>0</v>
      </c>
      <c r="BW30" s="275">
        <f t="shared" si="82"/>
        <v>0</v>
      </c>
      <c r="BX30" s="275">
        <f t="shared" si="45"/>
        <v>0</v>
      </c>
      <c r="BY30" s="275">
        <f t="shared" si="46"/>
        <v>0</v>
      </c>
      <c r="BZ30" s="275">
        <f t="shared" si="47"/>
        <v>0</v>
      </c>
      <c r="CA30" s="275">
        <f t="shared" si="48"/>
        <v>0</v>
      </c>
      <c r="CB30" s="275">
        <f t="shared" si="49"/>
        <v>0</v>
      </c>
      <c r="CC30" s="275">
        <f t="shared" si="50"/>
        <v>0</v>
      </c>
      <c r="CD30" s="275">
        <f t="shared" si="83"/>
        <v>0</v>
      </c>
      <c r="CE30" s="275">
        <f t="shared" si="84"/>
        <v>0</v>
      </c>
      <c r="CF30" s="275">
        <f t="shared" si="85"/>
        <v>0</v>
      </c>
      <c r="CG30" s="275">
        <f t="shared" si="86"/>
        <v>0</v>
      </c>
      <c r="CH30" s="275">
        <f t="shared" si="51"/>
        <v>0</v>
      </c>
      <c r="CI30" s="275">
        <f t="shared" si="52"/>
        <v>0</v>
      </c>
      <c r="CJ30" s="275">
        <f t="shared" si="87"/>
        <v>0</v>
      </c>
      <c r="CK30" s="275">
        <f t="shared" si="88"/>
        <v>0</v>
      </c>
      <c r="CL30" s="275">
        <f t="shared" si="53"/>
        <v>0</v>
      </c>
      <c r="CM30" s="275">
        <f t="shared" si="54"/>
        <v>0</v>
      </c>
      <c r="CN30" s="275">
        <f t="shared" si="55"/>
        <v>0</v>
      </c>
      <c r="CO30" s="275">
        <f t="shared" si="56"/>
        <v>0</v>
      </c>
      <c r="CP30" s="275">
        <f t="shared" si="89"/>
        <v>0</v>
      </c>
      <c r="CQ30" s="275">
        <f t="shared" si="90"/>
        <v>0</v>
      </c>
      <c r="CR30" s="275">
        <f t="shared" si="91"/>
        <v>0</v>
      </c>
      <c r="CS30" s="275">
        <f t="shared" si="92"/>
        <v>0</v>
      </c>
      <c r="CT30" s="275">
        <f t="shared" si="57"/>
        <v>0</v>
      </c>
      <c r="CU30" s="275">
        <f t="shared" si="58"/>
        <v>0</v>
      </c>
      <c r="CV30" s="275">
        <f t="shared" si="59"/>
        <v>0</v>
      </c>
      <c r="CW30" s="275">
        <f t="shared" si="60"/>
        <v>0</v>
      </c>
      <c r="CX30" s="275">
        <f t="shared" si="93"/>
        <v>0</v>
      </c>
      <c r="CY30" s="275">
        <f t="shared" si="94"/>
        <v>0</v>
      </c>
      <c r="CZ30" s="275">
        <f t="shared" si="95"/>
        <v>0</v>
      </c>
      <c r="DA30" s="275">
        <f t="shared" si="96"/>
        <v>0</v>
      </c>
    </row>
    <row r="31" spans="1:105" s="272" customFormat="1" ht="15.75" customHeight="1">
      <c r="A31" s="63" t="str">
        <f t="array" ref="A31">IF(C31&lt;&gt;0,SUM(($C$11:C31&lt;&gt;0)*1),"")</f>
        <v/>
      </c>
      <c r="B31" s="273"/>
      <c r="C31" s="273"/>
      <c r="D31" s="273"/>
      <c r="E31" s="363"/>
      <c r="F31" s="324"/>
      <c r="G31" s="326"/>
      <c r="H31" s="326"/>
      <c r="I31" s="63" t="str">
        <f t="shared" si="97"/>
        <v/>
      </c>
      <c r="J31" s="275">
        <f t="shared" si="61"/>
        <v>0</v>
      </c>
      <c r="K31" s="275">
        <f t="shared" si="62"/>
        <v>0</v>
      </c>
      <c r="L31" s="275">
        <f t="shared" si="1"/>
        <v>0</v>
      </c>
      <c r="M31" s="275">
        <f t="shared" si="2"/>
        <v>0</v>
      </c>
      <c r="N31" s="275">
        <f t="shared" si="3"/>
        <v>0</v>
      </c>
      <c r="O31" s="275">
        <f t="shared" si="4"/>
        <v>0</v>
      </c>
      <c r="P31" s="275">
        <f t="shared" si="5"/>
        <v>0</v>
      </c>
      <c r="Q31" s="275">
        <f t="shared" si="6"/>
        <v>0</v>
      </c>
      <c r="R31" s="275">
        <f t="shared" si="7"/>
        <v>0</v>
      </c>
      <c r="S31" s="275">
        <f t="shared" si="8"/>
        <v>0</v>
      </c>
      <c r="T31" s="275">
        <f t="shared" si="9"/>
        <v>0</v>
      </c>
      <c r="U31" s="275">
        <f t="shared" si="10"/>
        <v>0</v>
      </c>
      <c r="V31" s="275">
        <f t="shared" si="11"/>
        <v>0</v>
      </c>
      <c r="W31" s="275">
        <f t="shared" si="12"/>
        <v>0</v>
      </c>
      <c r="X31" s="275">
        <f t="shared" si="13"/>
        <v>0</v>
      </c>
      <c r="Y31" s="275">
        <f t="shared" si="14"/>
        <v>0</v>
      </c>
      <c r="Z31" s="275">
        <f t="shared" si="15"/>
        <v>0</v>
      </c>
      <c r="AA31" s="275">
        <f t="shared" si="16"/>
        <v>0</v>
      </c>
      <c r="AB31" s="275">
        <f t="shared" si="63"/>
        <v>0</v>
      </c>
      <c r="AC31" s="275">
        <f t="shared" si="64"/>
        <v>0</v>
      </c>
      <c r="AD31" s="275">
        <f t="shared" si="17"/>
        <v>0</v>
      </c>
      <c r="AE31" s="275">
        <f t="shared" si="18"/>
        <v>0</v>
      </c>
      <c r="AF31" s="275">
        <f t="shared" si="19"/>
        <v>0</v>
      </c>
      <c r="AG31" s="275">
        <f t="shared" si="20"/>
        <v>0</v>
      </c>
      <c r="AH31" s="275">
        <f t="shared" si="65"/>
        <v>0</v>
      </c>
      <c r="AI31" s="275">
        <f t="shared" si="66"/>
        <v>0</v>
      </c>
      <c r="AJ31" s="275">
        <f t="shared" si="67"/>
        <v>0</v>
      </c>
      <c r="AK31" s="275">
        <f t="shared" si="68"/>
        <v>0</v>
      </c>
      <c r="AL31" s="275">
        <f t="shared" si="69"/>
        <v>0</v>
      </c>
      <c r="AM31" s="275">
        <f t="shared" si="70"/>
        <v>0</v>
      </c>
      <c r="AN31" s="275">
        <f t="shared" si="71"/>
        <v>0</v>
      </c>
      <c r="AO31" s="275">
        <f t="shared" si="72"/>
        <v>0</v>
      </c>
      <c r="AP31" s="275">
        <f t="shared" si="21"/>
        <v>0</v>
      </c>
      <c r="AQ31" s="275">
        <f t="shared" si="22"/>
        <v>0</v>
      </c>
      <c r="AR31" s="275">
        <f t="shared" si="23"/>
        <v>0</v>
      </c>
      <c r="AS31" s="275">
        <f t="shared" si="24"/>
        <v>0</v>
      </c>
      <c r="AT31" s="275">
        <f t="shared" si="73"/>
        <v>0</v>
      </c>
      <c r="AU31" s="275">
        <f t="shared" si="74"/>
        <v>0</v>
      </c>
      <c r="AV31" s="275">
        <f t="shared" si="25"/>
        <v>0</v>
      </c>
      <c r="AW31" s="275">
        <f t="shared" si="26"/>
        <v>0</v>
      </c>
      <c r="AX31" s="275">
        <f t="shared" si="27"/>
        <v>0</v>
      </c>
      <c r="AY31" s="275">
        <f t="shared" si="28"/>
        <v>0</v>
      </c>
      <c r="AZ31" s="275">
        <f t="shared" si="29"/>
        <v>0</v>
      </c>
      <c r="BA31" s="275">
        <f t="shared" si="30"/>
        <v>0</v>
      </c>
      <c r="BB31" s="275">
        <f t="shared" si="31"/>
        <v>0</v>
      </c>
      <c r="BC31" s="275">
        <f t="shared" si="32"/>
        <v>0</v>
      </c>
      <c r="BD31" s="275">
        <f t="shared" si="33"/>
        <v>0</v>
      </c>
      <c r="BE31" s="275">
        <f t="shared" si="34"/>
        <v>0</v>
      </c>
      <c r="BF31" s="275">
        <f t="shared" si="35"/>
        <v>0</v>
      </c>
      <c r="BG31" s="275">
        <f t="shared" si="36"/>
        <v>0</v>
      </c>
      <c r="BH31" s="275">
        <f t="shared" si="75"/>
        <v>0</v>
      </c>
      <c r="BI31" s="275">
        <f t="shared" si="76"/>
        <v>0</v>
      </c>
      <c r="BJ31" s="275">
        <f t="shared" si="37"/>
        <v>0</v>
      </c>
      <c r="BK31" s="275">
        <f t="shared" si="38"/>
        <v>0</v>
      </c>
      <c r="BL31" s="275">
        <f t="shared" si="39"/>
        <v>0</v>
      </c>
      <c r="BM31" s="275">
        <f t="shared" si="40"/>
        <v>0</v>
      </c>
      <c r="BN31" s="275">
        <f t="shared" si="41"/>
        <v>0</v>
      </c>
      <c r="BO31" s="275">
        <f t="shared" si="42"/>
        <v>0</v>
      </c>
      <c r="BP31" s="275">
        <f t="shared" si="77"/>
        <v>0</v>
      </c>
      <c r="BQ31" s="275">
        <f t="shared" si="78"/>
        <v>0</v>
      </c>
      <c r="BR31" s="275">
        <f t="shared" si="43"/>
        <v>0</v>
      </c>
      <c r="BS31" s="275">
        <f t="shared" si="44"/>
        <v>0</v>
      </c>
      <c r="BT31" s="275">
        <f t="shared" si="79"/>
        <v>0</v>
      </c>
      <c r="BU31" s="275">
        <f t="shared" si="80"/>
        <v>0</v>
      </c>
      <c r="BV31" s="275">
        <f t="shared" si="81"/>
        <v>0</v>
      </c>
      <c r="BW31" s="275">
        <f t="shared" si="82"/>
        <v>0</v>
      </c>
      <c r="BX31" s="275">
        <f t="shared" si="45"/>
        <v>0</v>
      </c>
      <c r="BY31" s="275">
        <f t="shared" si="46"/>
        <v>0</v>
      </c>
      <c r="BZ31" s="275">
        <f t="shared" si="47"/>
        <v>0</v>
      </c>
      <c r="CA31" s="275">
        <f t="shared" si="48"/>
        <v>0</v>
      </c>
      <c r="CB31" s="275">
        <f t="shared" si="49"/>
        <v>0</v>
      </c>
      <c r="CC31" s="275">
        <f t="shared" si="50"/>
        <v>0</v>
      </c>
      <c r="CD31" s="275">
        <f t="shared" si="83"/>
        <v>0</v>
      </c>
      <c r="CE31" s="275">
        <f t="shared" si="84"/>
        <v>0</v>
      </c>
      <c r="CF31" s="275">
        <f t="shared" si="85"/>
        <v>0</v>
      </c>
      <c r="CG31" s="275">
        <f t="shared" si="86"/>
        <v>0</v>
      </c>
      <c r="CH31" s="275">
        <f t="shared" si="51"/>
        <v>0</v>
      </c>
      <c r="CI31" s="275">
        <f t="shared" si="52"/>
        <v>0</v>
      </c>
      <c r="CJ31" s="275">
        <f t="shared" si="87"/>
        <v>0</v>
      </c>
      <c r="CK31" s="275">
        <f t="shared" si="88"/>
        <v>0</v>
      </c>
      <c r="CL31" s="275">
        <f t="shared" si="53"/>
        <v>0</v>
      </c>
      <c r="CM31" s="275">
        <f t="shared" si="54"/>
        <v>0</v>
      </c>
      <c r="CN31" s="275">
        <f t="shared" si="55"/>
        <v>0</v>
      </c>
      <c r="CO31" s="275">
        <f t="shared" si="56"/>
        <v>0</v>
      </c>
      <c r="CP31" s="275">
        <f t="shared" si="89"/>
        <v>0</v>
      </c>
      <c r="CQ31" s="275">
        <f t="shared" si="90"/>
        <v>0</v>
      </c>
      <c r="CR31" s="275">
        <f t="shared" si="91"/>
        <v>0</v>
      </c>
      <c r="CS31" s="275">
        <f t="shared" si="92"/>
        <v>0</v>
      </c>
      <c r="CT31" s="275">
        <f t="shared" si="57"/>
        <v>0</v>
      </c>
      <c r="CU31" s="275">
        <f t="shared" si="58"/>
        <v>0</v>
      </c>
      <c r="CV31" s="275">
        <f t="shared" si="59"/>
        <v>0</v>
      </c>
      <c r="CW31" s="275">
        <f t="shared" si="60"/>
        <v>0</v>
      </c>
      <c r="CX31" s="275">
        <f t="shared" si="93"/>
        <v>0</v>
      </c>
      <c r="CY31" s="275">
        <f t="shared" si="94"/>
        <v>0</v>
      </c>
      <c r="CZ31" s="275">
        <f t="shared" si="95"/>
        <v>0</v>
      </c>
      <c r="DA31" s="275">
        <f t="shared" si="96"/>
        <v>0</v>
      </c>
    </row>
    <row r="32" spans="1:105" s="272" customFormat="1" ht="15.75" customHeight="1">
      <c r="A32" s="63" t="str">
        <f t="array" ref="A32">IF(C32&lt;&gt;0,SUM(($C$11:C32&lt;&gt;0)*1),"")</f>
        <v/>
      </c>
      <c r="B32" s="273"/>
      <c r="C32" s="273"/>
      <c r="D32" s="273"/>
      <c r="E32" s="363"/>
      <c r="F32" s="324"/>
      <c r="G32" s="326"/>
      <c r="H32" s="326"/>
      <c r="I32" s="63" t="str">
        <f t="shared" si="97"/>
        <v/>
      </c>
      <c r="J32" s="275">
        <f t="shared" si="61"/>
        <v>0</v>
      </c>
      <c r="K32" s="275">
        <f t="shared" si="62"/>
        <v>0</v>
      </c>
      <c r="L32" s="275">
        <f t="shared" si="1"/>
        <v>0</v>
      </c>
      <c r="M32" s="275">
        <f t="shared" si="2"/>
        <v>0</v>
      </c>
      <c r="N32" s="275">
        <f t="shared" si="3"/>
        <v>0</v>
      </c>
      <c r="O32" s="275">
        <f t="shared" si="4"/>
        <v>0</v>
      </c>
      <c r="P32" s="275">
        <f t="shared" si="5"/>
        <v>0</v>
      </c>
      <c r="Q32" s="275">
        <f t="shared" si="6"/>
        <v>0</v>
      </c>
      <c r="R32" s="275">
        <f t="shared" si="7"/>
        <v>0</v>
      </c>
      <c r="S32" s="275">
        <f t="shared" si="8"/>
        <v>0</v>
      </c>
      <c r="T32" s="275">
        <f t="shared" si="9"/>
        <v>0</v>
      </c>
      <c r="U32" s="275">
        <f t="shared" si="10"/>
        <v>0</v>
      </c>
      <c r="V32" s="275">
        <f t="shared" si="11"/>
        <v>0</v>
      </c>
      <c r="W32" s="275">
        <f t="shared" si="12"/>
        <v>0</v>
      </c>
      <c r="X32" s="275">
        <f t="shared" si="13"/>
        <v>0</v>
      </c>
      <c r="Y32" s="275">
        <f t="shared" si="14"/>
        <v>0</v>
      </c>
      <c r="Z32" s="275">
        <f t="shared" si="15"/>
        <v>0</v>
      </c>
      <c r="AA32" s="275">
        <f t="shared" si="16"/>
        <v>0</v>
      </c>
      <c r="AB32" s="275">
        <f t="shared" si="63"/>
        <v>0</v>
      </c>
      <c r="AC32" s="275">
        <f t="shared" si="64"/>
        <v>0</v>
      </c>
      <c r="AD32" s="275">
        <f t="shared" si="17"/>
        <v>0</v>
      </c>
      <c r="AE32" s="275">
        <f t="shared" si="18"/>
        <v>0</v>
      </c>
      <c r="AF32" s="275">
        <f t="shared" si="19"/>
        <v>0</v>
      </c>
      <c r="AG32" s="275">
        <f t="shared" si="20"/>
        <v>0</v>
      </c>
      <c r="AH32" s="275">
        <f t="shared" si="65"/>
        <v>0</v>
      </c>
      <c r="AI32" s="275">
        <f t="shared" si="66"/>
        <v>0</v>
      </c>
      <c r="AJ32" s="275">
        <f t="shared" si="67"/>
        <v>0</v>
      </c>
      <c r="AK32" s="275">
        <f t="shared" si="68"/>
        <v>0</v>
      </c>
      <c r="AL32" s="275">
        <f t="shared" si="69"/>
        <v>0</v>
      </c>
      <c r="AM32" s="275">
        <f t="shared" si="70"/>
        <v>0</v>
      </c>
      <c r="AN32" s="275">
        <f t="shared" si="71"/>
        <v>0</v>
      </c>
      <c r="AO32" s="275">
        <f t="shared" si="72"/>
        <v>0</v>
      </c>
      <c r="AP32" s="275">
        <f t="shared" si="21"/>
        <v>0</v>
      </c>
      <c r="AQ32" s="275">
        <f t="shared" si="22"/>
        <v>0</v>
      </c>
      <c r="AR32" s="275">
        <f t="shared" si="23"/>
        <v>0</v>
      </c>
      <c r="AS32" s="275">
        <f t="shared" si="24"/>
        <v>0</v>
      </c>
      <c r="AT32" s="275">
        <f t="shared" si="73"/>
        <v>0</v>
      </c>
      <c r="AU32" s="275">
        <f t="shared" si="74"/>
        <v>0</v>
      </c>
      <c r="AV32" s="275">
        <f t="shared" si="25"/>
        <v>0</v>
      </c>
      <c r="AW32" s="275">
        <f t="shared" si="26"/>
        <v>0</v>
      </c>
      <c r="AX32" s="275">
        <f t="shared" si="27"/>
        <v>0</v>
      </c>
      <c r="AY32" s="275">
        <f t="shared" si="28"/>
        <v>0</v>
      </c>
      <c r="AZ32" s="275">
        <f t="shared" si="29"/>
        <v>0</v>
      </c>
      <c r="BA32" s="275">
        <f t="shared" si="30"/>
        <v>0</v>
      </c>
      <c r="BB32" s="275">
        <f t="shared" si="31"/>
        <v>0</v>
      </c>
      <c r="BC32" s="275">
        <f t="shared" si="32"/>
        <v>0</v>
      </c>
      <c r="BD32" s="275">
        <f t="shared" si="33"/>
        <v>0</v>
      </c>
      <c r="BE32" s="275">
        <f t="shared" si="34"/>
        <v>0</v>
      </c>
      <c r="BF32" s="275">
        <f t="shared" si="35"/>
        <v>0</v>
      </c>
      <c r="BG32" s="275">
        <f t="shared" si="36"/>
        <v>0</v>
      </c>
      <c r="BH32" s="275">
        <f t="shared" si="75"/>
        <v>0</v>
      </c>
      <c r="BI32" s="275">
        <f t="shared" si="76"/>
        <v>0</v>
      </c>
      <c r="BJ32" s="275">
        <f t="shared" si="37"/>
        <v>0</v>
      </c>
      <c r="BK32" s="275">
        <f t="shared" si="38"/>
        <v>0</v>
      </c>
      <c r="BL32" s="275">
        <f t="shared" si="39"/>
        <v>0</v>
      </c>
      <c r="BM32" s="275">
        <f t="shared" si="40"/>
        <v>0</v>
      </c>
      <c r="BN32" s="275">
        <f t="shared" si="41"/>
        <v>0</v>
      </c>
      <c r="BO32" s="275">
        <f t="shared" si="42"/>
        <v>0</v>
      </c>
      <c r="BP32" s="275">
        <f t="shared" si="77"/>
        <v>0</v>
      </c>
      <c r="BQ32" s="275">
        <f t="shared" si="78"/>
        <v>0</v>
      </c>
      <c r="BR32" s="275">
        <f t="shared" si="43"/>
        <v>0</v>
      </c>
      <c r="BS32" s="275">
        <f t="shared" si="44"/>
        <v>0</v>
      </c>
      <c r="BT32" s="275">
        <f t="shared" si="79"/>
        <v>0</v>
      </c>
      <c r="BU32" s="275">
        <f t="shared" si="80"/>
        <v>0</v>
      </c>
      <c r="BV32" s="275">
        <f t="shared" si="81"/>
        <v>0</v>
      </c>
      <c r="BW32" s="275">
        <f t="shared" si="82"/>
        <v>0</v>
      </c>
      <c r="BX32" s="275">
        <f t="shared" si="45"/>
        <v>0</v>
      </c>
      <c r="BY32" s="275">
        <f t="shared" si="46"/>
        <v>0</v>
      </c>
      <c r="BZ32" s="275">
        <f t="shared" si="47"/>
        <v>0</v>
      </c>
      <c r="CA32" s="275">
        <f t="shared" si="48"/>
        <v>0</v>
      </c>
      <c r="CB32" s="275">
        <f t="shared" si="49"/>
        <v>0</v>
      </c>
      <c r="CC32" s="275">
        <f t="shared" si="50"/>
        <v>0</v>
      </c>
      <c r="CD32" s="275">
        <f t="shared" si="83"/>
        <v>0</v>
      </c>
      <c r="CE32" s="275">
        <f t="shared" si="84"/>
        <v>0</v>
      </c>
      <c r="CF32" s="275">
        <f t="shared" si="85"/>
        <v>0</v>
      </c>
      <c r="CG32" s="275">
        <f t="shared" si="86"/>
        <v>0</v>
      </c>
      <c r="CH32" s="275">
        <f t="shared" si="51"/>
        <v>0</v>
      </c>
      <c r="CI32" s="275">
        <f t="shared" si="52"/>
        <v>0</v>
      </c>
      <c r="CJ32" s="275">
        <f t="shared" si="87"/>
        <v>0</v>
      </c>
      <c r="CK32" s="275">
        <f t="shared" si="88"/>
        <v>0</v>
      </c>
      <c r="CL32" s="275">
        <f t="shared" si="53"/>
        <v>0</v>
      </c>
      <c r="CM32" s="275">
        <f t="shared" si="54"/>
        <v>0</v>
      </c>
      <c r="CN32" s="275">
        <f t="shared" si="55"/>
        <v>0</v>
      </c>
      <c r="CO32" s="275">
        <f t="shared" si="56"/>
        <v>0</v>
      </c>
      <c r="CP32" s="275">
        <f t="shared" si="89"/>
        <v>0</v>
      </c>
      <c r="CQ32" s="275">
        <f t="shared" si="90"/>
        <v>0</v>
      </c>
      <c r="CR32" s="275">
        <f t="shared" si="91"/>
        <v>0</v>
      </c>
      <c r="CS32" s="275">
        <f t="shared" si="92"/>
        <v>0</v>
      </c>
      <c r="CT32" s="275">
        <f t="shared" si="57"/>
        <v>0</v>
      </c>
      <c r="CU32" s="275">
        <f t="shared" si="58"/>
        <v>0</v>
      </c>
      <c r="CV32" s="275">
        <f t="shared" si="59"/>
        <v>0</v>
      </c>
      <c r="CW32" s="275">
        <f t="shared" si="60"/>
        <v>0</v>
      </c>
      <c r="CX32" s="275">
        <f t="shared" si="93"/>
        <v>0</v>
      </c>
      <c r="CY32" s="275">
        <f t="shared" si="94"/>
        <v>0</v>
      </c>
      <c r="CZ32" s="275">
        <f t="shared" si="95"/>
        <v>0</v>
      </c>
      <c r="DA32" s="275">
        <f t="shared" si="96"/>
        <v>0</v>
      </c>
    </row>
    <row r="33" spans="1:105" s="272" customFormat="1" ht="15.75" customHeight="1">
      <c r="A33" s="63" t="str">
        <f t="array" ref="A33">IF(C33&lt;&gt;0,SUM(($C$11:C33&lt;&gt;0)*1),"")</f>
        <v/>
      </c>
      <c r="B33" s="273"/>
      <c r="C33" s="273"/>
      <c r="D33" s="273"/>
      <c r="E33" s="363"/>
      <c r="F33" s="324"/>
      <c r="G33" s="326"/>
      <c r="H33" s="326"/>
      <c r="I33" s="63" t="str">
        <f t="shared" si="97"/>
        <v/>
      </c>
      <c r="J33" s="275">
        <f t="shared" si="61"/>
        <v>0</v>
      </c>
      <c r="K33" s="275">
        <f t="shared" si="62"/>
        <v>0</v>
      </c>
      <c r="L33" s="275">
        <f t="shared" si="1"/>
        <v>0</v>
      </c>
      <c r="M33" s="275">
        <f t="shared" si="2"/>
        <v>0</v>
      </c>
      <c r="N33" s="275">
        <f t="shared" si="3"/>
        <v>0</v>
      </c>
      <c r="O33" s="275">
        <f t="shared" si="4"/>
        <v>0</v>
      </c>
      <c r="P33" s="275">
        <f t="shared" si="5"/>
        <v>0</v>
      </c>
      <c r="Q33" s="275">
        <f t="shared" si="6"/>
        <v>0</v>
      </c>
      <c r="R33" s="275">
        <f t="shared" si="7"/>
        <v>0</v>
      </c>
      <c r="S33" s="275">
        <f t="shared" si="8"/>
        <v>0</v>
      </c>
      <c r="T33" s="275">
        <f t="shared" si="9"/>
        <v>0</v>
      </c>
      <c r="U33" s="275">
        <f t="shared" si="10"/>
        <v>0</v>
      </c>
      <c r="V33" s="275">
        <f t="shared" si="11"/>
        <v>0</v>
      </c>
      <c r="W33" s="275">
        <f t="shared" si="12"/>
        <v>0</v>
      </c>
      <c r="X33" s="275">
        <f t="shared" si="13"/>
        <v>0</v>
      </c>
      <c r="Y33" s="275">
        <f t="shared" si="14"/>
        <v>0</v>
      </c>
      <c r="Z33" s="275">
        <f t="shared" si="15"/>
        <v>0</v>
      </c>
      <c r="AA33" s="275">
        <f t="shared" si="16"/>
        <v>0</v>
      </c>
      <c r="AB33" s="275">
        <f t="shared" si="63"/>
        <v>0</v>
      </c>
      <c r="AC33" s="275">
        <f t="shared" si="64"/>
        <v>0</v>
      </c>
      <c r="AD33" s="275">
        <f t="shared" si="17"/>
        <v>0</v>
      </c>
      <c r="AE33" s="275">
        <f t="shared" si="18"/>
        <v>0</v>
      </c>
      <c r="AF33" s="275">
        <f t="shared" si="19"/>
        <v>0</v>
      </c>
      <c r="AG33" s="275">
        <f t="shared" si="20"/>
        <v>0</v>
      </c>
      <c r="AH33" s="275">
        <f t="shared" si="65"/>
        <v>0</v>
      </c>
      <c r="AI33" s="275">
        <f t="shared" si="66"/>
        <v>0</v>
      </c>
      <c r="AJ33" s="275">
        <f t="shared" si="67"/>
        <v>0</v>
      </c>
      <c r="AK33" s="275">
        <f t="shared" si="68"/>
        <v>0</v>
      </c>
      <c r="AL33" s="275">
        <f t="shared" si="69"/>
        <v>0</v>
      </c>
      <c r="AM33" s="275">
        <f t="shared" si="70"/>
        <v>0</v>
      </c>
      <c r="AN33" s="275">
        <f t="shared" si="71"/>
        <v>0</v>
      </c>
      <c r="AO33" s="275">
        <f t="shared" si="72"/>
        <v>0</v>
      </c>
      <c r="AP33" s="275">
        <f t="shared" si="21"/>
        <v>0</v>
      </c>
      <c r="AQ33" s="275">
        <f t="shared" si="22"/>
        <v>0</v>
      </c>
      <c r="AR33" s="275">
        <f t="shared" si="23"/>
        <v>0</v>
      </c>
      <c r="AS33" s="275">
        <f t="shared" si="24"/>
        <v>0</v>
      </c>
      <c r="AT33" s="275">
        <f t="shared" si="73"/>
        <v>0</v>
      </c>
      <c r="AU33" s="275">
        <f t="shared" si="74"/>
        <v>0</v>
      </c>
      <c r="AV33" s="275">
        <f t="shared" si="25"/>
        <v>0</v>
      </c>
      <c r="AW33" s="275">
        <f t="shared" si="26"/>
        <v>0</v>
      </c>
      <c r="AX33" s="275">
        <f t="shared" si="27"/>
        <v>0</v>
      </c>
      <c r="AY33" s="275">
        <f t="shared" si="28"/>
        <v>0</v>
      </c>
      <c r="AZ33" s="275">
        <f t="shared" si="29"/>
        <v>0</v>
      </c>
      <c r="BA33" s="275">
        <f t="shared" si="30"/>
        <v>0</v>
      </c>
      <c r="BB33" s="275">
        <f t="shared" si="31"/>
        <v>0</v>
      </c>
      <c r="BC33" s="275">
        <f t="shared" si="32"/>
        <v>0</v>
      </c>
      <c r="BD33" s="275">
        <f t="shared" si="33"/>
        <v>0</v>
      </c>
      <c r="BE33" s="275">
        <f t="shared" si="34"/>
        <v>0</v>
      </c>
      <c r="BF33" s="275">
        <f t="shared" si="35"/>
        <v>0</v>
      </c>
      <c r="BG33" s="275">
        <f t="shared" si="36"/>
        <v>0</v>
      </c>
      <c r="BH33" s="275">
        <f t="shared" si="75"/>
        <v>0</v>
      </c>
      <c r="BI33" s="275">
        <f t="shared" si="76"/>
        <v>0</v>
      </c>
      <c r="BJ33" s="275">
        <f t="shared" si="37"/>
        <v>0</v>
      </c>
      <c r="BK33" s="275">
        <f t="shared" si="38"/>
        <v>0</v>
      </c>
      <c r="BL33" s="275">
        <f t="shared" si="39"/>
        <v>0</v>
      </c>
      <c r="BM33" s="275">
        <f t="shared" si="40"/>
        <v>0</v>
      </c>
      <c r="BN33" s="275">
        <f t="shared" si="41"/>
        <v>0</v>
      </c>
      <c r="BO33" s="275">
        <f t="shared" si="42"/>
        <v>0</v>
      </c>
      <c r="BP33" s="275">
        <f t="shared" si="77"/>
        <v>0</v>
      </c>
      <c r="BQ33" s="275">
        <f t="shared" si="78"/>
        <v>0</v>
      </c>
      <c r="BR33" s="275">
        <f t="shared" si="43"/>
        <v>0</v>
      </c>
      <c r="BS33" s="275">
        <f t="shared" si="44"/>
        <v>0</v>
      </c>
      <c r="BT33" s="275">
        <f t="shared" si="79"/>
        <v>0</v>
      </c>
      <c r="BU33" s="275">
        <f t="shared" si="80"/>
        <v>0</v>
      </c>
      <c r="BV33" s="275">
        <f t="shared" si="81"/>
        <v>0</v>
      </c>
      <c r="BW33" s="275">
        <f t="shared" si="82"/>
        <v>0</v>
      </c>
      <c r="BX33" s="275">
        <f t="shared" si="45"/>
        <v>0</v>
      </c>
      <c r="BY33" s="275">
        <f t="shared" si="46"/>
        <v>0</v>
      </c>
      <c r="BZ33" s="275">
        <f t="shared" si="47"/>
        <v>0</v>
      </c>
      <c r="CA33" s="275">
        <f t="shared" si="48"/>
        <v>0</v>
      </c>
      <c r="CB33" s="275">
        <f t="shared" si="49"/>
        <v>0</v>
      </c>
      <c r="CC33" s="275">
        <f t="shared" si="50"/>
        <v>0</v>
      </c>
      <c r="CD33" s="275">
        <f t="shared" si="83"/>
        <v>0</v>
      </c>
      <c r="CE33" s="275">
        <f t="shared" si="84"/>
        <v>0</v>
      </c>
      <c r="CF33" s="275">
        <f t="shared" si="85"/>
        <v>0</v>
      </c>
      <c r="CG33" s="275">
        <f t="shared" si="86"/>
        <v>0</v>
      </c>
      <c r="CH33" s="275">
        <f t="shared" si="51"/>
        <v>0</v>
      </c>
      <c r="CI33" s="275">
        <f t="shared" si="52"/>
        <v>0</v>
      </c>
      <c r="CJ33" s="275">
        <f t="shared" si="87"/>
        <v>0</v>
      </c>
      <c r="CK33" s="275">
        <f t="shared" si="88"/>
        <v>0</v>
      </c>
      <c r="CL33" s="275">
        <f t="shared" si="53"/>
        <v>0</v>
      </c>
      <c r="CM33" s="275">
        <f t="shared" si="54"/>
        <v>0</v>
      </c>
      <c r="CN33" s="275">
        <f t="shared" si="55"/>
        <v>0</v>
      </c>
      <c r="CO33" s="275">
        <f t="shared" si="56"/>
        <v>0</v>
      </c>
      <c r="CP33" s="275">
        <f t="shared" si="89"/>
        <v>0</v>
      </c>
      <c r="CQ33" s="275">
        <f t="shared" si="90"/>
        <v>0</v>
      </c>
      <c r="CR33" s="275">
        <f t="shared" si="91"/>
        <v>0</v>
      </c>
      <c r="CS33" s="275">
        <f t="shared" si="92"/>
        <v>0</v>
      </c>
      <c r="CT33" s="275">
        <f t="shared" si="57"/>
        <v>0</v>
      </c>
      <c r="CU33" s="275">
        <f t="shared" si="58"/>
        <v>0</v>
      </c>
      <c r="CV33" s="275">
        <f t="shared" si="59"/>
        <v>0</v>
      </c>
      <c r="CW33" s="275">
        <f t="shared" si="60"/>
        <v>0</v>
      </c>
      <c r="CX33" s="275">
        <f t="shared" si="93"/>
        <v>0</v>
      </c>
      <c r="CY33" s="275">
        <f t="shared" si="94"/>
        <v>0</v>
      </c>
      <c r="CZ33" s="275">
        <f t="shared" si="95"/>
        <v>0</v>
      </c>
      <c r="DA33" s="275">
        <f t="shared" si="96"/>
        <v>0</v>
      </c>
    </row>
    <row r="34" spans="1:105" s="272" customFormat="1" ht="15.75" customHeight="1">
      <c r="A34" s="63" t="str">
        <f t="array" ref="A34">IF(C34&lt;&gt;0,SUM(($C$11:C34&lt;&gt;0)*1),"")</f>
        <v/>
      </c>
      <c r="B34" s="273"/>
      <c r="C34" s="273"/>
      <c r="D34" s="273"/>
      <c r="E34" s="363"/>
      <c r="F34" s="324"/>
      <c r="G34" s="326"/>
      <c r="H34" s="326"/>
      <c r="I34" s="63" t="str">
        <f t="shared" si="97"/>
        <v/>
      </c>
      <c r="J34" s="275">
        <f t="shared" si="61"/>
        <v>0</v>
      </c>
      <c r="K34" s="275">
        <f t="shared" si="62"/>
        <v>0</v>
      </c>
      <c r="L34" s="275">
        <f t="shared" si="1"/>
        <v>0</v>
      </c>
      <c r="M34" s="275">
        <f t="shared" si="2"/>
        <v>0</v>
      </c>
      <c r="N34" s="275">
        <f t="shared" si="3"/>
        <v>0</v>
      </c>
      <c r="O34" s="275">
        <f t="shared" si="4"/>
        <v>0</v>
      </c>
      <c r="P34" s="275">
        <f t="shared" si="5"/>
        <v>0</v>
      </c>
      <c r="Q34" s="275">
        <f t="shared" si="6"/>
        <v>0</v>
      </c>
      <c r="R34" s="275">
        <f t="shared" si="7"/>
        <v>0</v>
      </c>
      <c r="S34" s="275">
        <f t="shared" si="8"/>
        <v>0</v>
      </c>
      <c r="T34" s="275">
        <f t="shared" si="9"/>
        <v>0</v>
      </c>
      <c r="U34" s="275">
        <f t="shared" si="10"/>
        <v>0</v>
      </c>
      <c r="V34" s="275">
        <f t="shared" si="11"/>
        <v>0</v>
      </c>
      <c r="W34" s="275">
        <f t="shared" si="12"/>
        <v>0</v>
      </c>
      <c r="X34" s="275">
        <f t="shared" si="13"/>
        <v>0</v>
      </c>
      <c r="Y34" s="275">
        <f t="shared" si="14"/>
        <v>0</v>
      </c>
      <c r="Z34" s="275">
        <f t="shared" si="15"/>
        <v>0</v>
      </c>
      <c r="AA34" s="275">
        <f t="shared" si="16"/>
        <v>0</v>
      </c>
      <c r="AB34" s="275">
        <f t="shared" si="63"/>
        <v>0</v>
      </c>
      <c r="AC34" s="275">
        <f t="shared" si="64"/>
        <v>0</v>
      </c>
      <c r="AD34" s="275">
        <f t="shared" si="17"/>
        <v>0</v>
      </c>
      <c r="AE34" s="275">
        <f t="shared" si="18"/>
        <v>0</v>
      </c>
      <c r="AF34" s="275">
        <f t="shared" si="19"/>
        <v>0</v>
      </c>
      <c r="AG34" s="275">
        <f t="shared" si="20"/>
        <v>0</v>
      </c>
      <c r="AH34" s="275">
        <f t="shared" si="65"/>
        <v>0</v>
      </c>
      <c r="AI34" s="275">
        <f t="shared" si="66"/>
        <v>0</v>
      </c>
      <c r="AJ34" s="275">
        <f t="shared" si="67"/>
        <v>0</v>
      </c>
      <c r="AK34" s="275">
        <f t="shared" si="68"/>
        <v>0</v>
      </c>
      <c r="AL34" s="275">
        <f t="shared" si="69"/>
        <v>0</v>
      </c>
      <c r="AM34" s="275">
        <f t="shared" si="70"/>
        <v>0</v>
      </c>
      <c r="AN34" s="275">
        <f t="shared" si="71"/>
        <v>0</v>
      </c>
      <c r="AO34" s="275">
        <f t="shared" si="72"/>
        <v>0</v>
      </c>
      <c r="AP34" s="275">
        <f t="shared" si="21"/>
        <v>0</v>
      </c>
      <c r="AQ34" s="275">
        <f t="shared" si="22"/>
        <v>0</v>
      </c>
      <c r="AR34" s="275">
        <f t="shared" si="23"/>
        <v>0</v>
      </c>
      <c r="AS34" s="275">
        <f t="shared" si="24"/>
        <v>0</v>
      </c>
      <c r="AT34" s="275">
        <f t="shared" si="73"/>
        <v>0</v>
      </c>
      <c r="AU34" s="275">
        <f t="shared" si="74"/>
        <v>0</v>
      </c>
      <c r="AV34" s="275">
        <f t="shared" si="25"/>
        <v>0</v>
      </c>
      <c r="AW34" s="275">
        <f t="shared" si="26"/>
        <v>0</v>
      </c>
      <c r="AX34" s="275">
        <f t="shared" si="27"/>
        <v>0</v>
      </c>
      <c r="AY34" s="275">
        <f t="shared" si="28"/>
        <v>0</v>
      </c>
      <c r="AZ34" s="275">
        <f t="shared" si="29"/>
        <v>0</v>
      </c>
      <c r="BA34" s="275">
        <f t="shared" si="30"/>
        <v>0</v>
      </c>
      <c r="BB34" s="275">
        <f t="shared" si="31"/>
        <v>0</v>
      </c>
      <c r="BC34" s="275">
        <f t="shared" si="32"/>
        <v>0</v>
      </c>
      <c r="BD34" s="275">
        <f t="shared" si="33"/>
        <v>0</v>
      </c>
      <c r="BE34" s="275">
        <f t="shared" si="34"/>
        <v>0</v>
      </c>
      <c r="BF34" s="275">
        <f t="shared" si="35"/>
        <v>0</v>
      </c>
      <c r="BG34" s="275">
        <f t="shared" si="36"/>
        <v>0</v>
      </c>
      <c r="BH34" s="275">
        <f t="shared" si="75"/>
        <v>0</v>
      </c>
      <c r="BI34" s="275">
        <f t="shared" si="76"/>
        <v>0</v>
      </c>
      <c r="BJ34" s="275">
        <f t="shared" si="37"/>
        <v>0</v>
      </c>
      <c r="BK34" s="275">
        <f t="shared" si="38"/>
        <v>0</v>
      </c>
      <c r="BL34" s="275">
        <f t="shared" si="39"/>
        <v>0</v>
      </c>
      <c r="BM34" s="275">
        <f t="shared" si="40"/>
        <v>0</v>
      </c>
      <c r="BN34" s="275">
        <f t="shared" si="41"/>
        <v>0</v>
      </c>
      <c r="BO34" s="275">
        <f t="shared" si="42"/>
        <v>0</v>
      </c>
      <c r="BP34" s="275">
        <f t="shared" si="77"/>
        <v>0</v>
      </c>
      <c r="BQ34" s="275">
        <f t="shared" si="78"/>
        <v>0</v>
      </c>
      <c r="BR34" s="275">
        <f t="shared" si="43"/>
        <v>0</v>
      </c>
      <c r="BS34" s="275">
        <f t="shared" si="44"/>
        <v>0</v>
      </c>
      <c r="BT34" s="275">
        <f t="shared" si="79"/>
        <v>0</v>
      </c>
      <c r="BU34" s="275">
        <f t="shared" si="80"/>
        <v>0</v>
      </c>
      <c r="BV34" s="275">
        <f t="shared" si="81"/>
        <v>0</v>
      </c>
      <c r="BW34" s="275">
        <f t="shared" si="82"/>
        <v>0</v>
      </c>
      <c r="BX34" s="275">
        <f t="shared" si="45"/>
        <v>0</v>
      </c>
      <c r="BY34" s="275">
        <f t="shared" si="46"/>
        <v>0</v>
      </c>
      <c r="BZ34" s="275">
        <f t="shared" si="47"/>
        <v>0</v>
      </c>
      <c r="CA34" s="275">
        <f t="shared" si="48"/>
        <v>0</v>
      </c>
      <c r="CB34" s="275">
        <f t="shared" si="49"/>
        <v>0</v>
      </c>
      <c r="CC34" s="275">
        <f t="shared" si="50"/>
        <v>0</v>
      </c>
      <c r="CD34" s="275">
        <f t="shared" si="83"/>
        <v>0</v>
      </c>
      <c r="CE34" s="275">
        <f t="shared" si="84"/>
        <v>0</v>
      </c>
      <c r="CF34" s="275">
        <f t="shared" si="85"/>
        <v>0</v>
      </c>
      <c r="CG34" s="275">
        <f t="shared" si="86"/>
        <v>0</v>
      </c>
      <c r="CH34" s="275">
        <f t="shared" si="51"/>
        <v>0</v>
      </c>
      <c r="CI34" s="275">
        <f t="shared" si="52"/>
        <v>0</v>
      </c>
      <c r="CJ34" s="275">
        <f t="shared" si="87"/>
        <v>0</v>
      </c>
      <c r="CK34" s="275">
        <f t="shared" si="88"/>
        <v>0</v>
      </c>
      <c r="CL34" s="275">
        <f t="shared" si="53"/>
        <v>0</v>
      </c>
      <c r="CM34" s="275">
        <f t="shared" si="54"/>
        <v>0</v>
      </c>
      <c r="CN34" s="275">
        <f t="shared" si="55"/>
        <v>0</v>
      </c>
      <c r="CO34" s="275">
        <f t="shared" si="56"/>
        <v>0</v>
      </c>
      <c r="CP34" s="275">
        <f t="shared" si="89"/>
        <v>0</v>
      </c>
      <c r="CQ34" s="275">
        <f t="shared" si="90"/>
        <v>0</v>
      </c>
      <c r="CR34" s="275">
        <f t="shared" si="91"/>
        <v>0</v>
      </c>
      <c r="CS34" s="275">
        <f t="shared" si="92"/>
        <v>0</v>
      </c>
      <c r="CT34" s="275">
        <f t="shared" si="57"/>
        <v>0</v>
      </c>
      <c r="CU34" s="275">
        <f t="shared" si="58"/>
        <v>0</v>
      </c>
      <c r="CV34" s="275">
        <f t="shared" si="59"/>
        <v>0</v>
      </c>
      <c r="CW34" s="275">
        <f t="shared" si="60"/>
        <v>0</v>
      </c>
      <c r="CX34" s="275">
        <f t="shared" si="93"/>
        <v>0</v>
      </c>
      <c r="CY34" s="275">
        <f t="shared" si="94"/>
        <v>0</v>
      </c>
      <c r="CZ34" s="275">
        <f t="shared" si="95"/>
        <v>0</v>
      </c>
      <c r="DA34" s="275">
        <f t="shared" si="96"/>
        <v>0</v>
      </c>
    </row>
    <row r="35" spans="1:105" s="272" customFormat="1" ht="15.75" customHeight="1">
      <c r="A35" s="63" t="str">
        <f t="array" ref="A35">IF(C35&lt;&gt;0,SUM(($C$11:C35&lt;&gt;0)*1),"")</f>
        <v/>
      </c>
      <c r="B35" s="273"/>
      <c r="C35" s="273"/>
      <c r="D35" s="273"/>
      <c r="E35" s="363"/>
      <c r="F35" s="324"/>
      <c r="G35" s="326"/>
      <c r="H35" s="326"/>
      <c r="I35" s="63" t="str">
        <f t="shared" si="97"/>
        <v/>
      </c>
      <c r="J35" s="275">
        <f t="shared" si="61"/>
        <v>0</v>
      </c>
      <c r="K35" s="275">
        <f t="shared" si="62"/>
        <v>0</v>
      </c>
      <c r="L35" s="275">
        <f t="shared" si="1"/>
        <v>0</v>
      </c>
      <c r="M35" s="275">
        <f t="shared" si="2"/>
        <v>0</v>
      </c>
      <c r="N35" s="275">
        <f t="shared" si="3"/>
        <v>0</v>
      </c>
      <c r="O35" s="275">
        <f t="shared" si="4"/>
        <v>0</v>
      </c>
      <c r="P35" s="275">
        <f t="shared" si="5"/>
        <v>0</v>
      </c>
      <c r="Q35" s="275">
        <f t="shared" si="6"/>
        <v>0</v>
      </c>
      <c r="R35" s="275">
        <f t="shared" si="7"/>
        <v>0</v>
      </c>
      <c r="S35" s="275">
        <f t="shared" si="8"/>
        <v>0</v>
      </c>
      <c r="T35" s="275">
        <f t="shared" si="9"/>
        <v>0</v>
      </c>
      <c r="U35" s="275">
        <f t="shared" si="10"/>
        <v>0</v>
      </c>
      <c r="V35" s="275">
        <f t="shared" si="11"/>
        <v>0</v>
      </c>
      <c r="W35" s="275">
        <f t="shared" si="12"/>
        <v>0</v>
      </c>
      <c r="X35" s="275">
        <f t="shared" si="13"/>
        <v>0</v>
      </c>
      <c r="Y35" s="275">
        <f t="shared" si="14"/>
        <v>0</v>
      </c>
      <c r="Z35" s="275">
        <f t="shared" si="15"/>
        <v>0</v>
      </c>
      <c r="AA35" s="275">
        <f t="shared" si="16"/>
        <v>0</v>
      </c>
      <c r="AB35" s="275">
        <f t="shared" si="63"/>
        <v>0</v>
      </c>
      <c r="AC35" s="275">
        <f t="shared" si="64"/>
        <v>0</v>
      </c>
      <c r="AD35" s="275">
        <f t="shared" si="17"/>
        <v>0</v>
      </c>
      <c r="AE35" s="275">
        <f t="shared" si="18"/>
        <v>0</v>
      </c>
      <c r="AF35" s="275">
        <f t="shared" si="19"/>
        <v>0</v>
      </c>
      <c r="AG35" s="275">
        <f t="shared" si="20"/>
        <v>0</v>
      </c>
      <c r="AH35" s="275">
        <f t="shared" si="65"/>
        <v>0</v>
      </c>
      <c r="AI35" s="275">
        <f t="shared" si="66"/>
        <v>0</v>
      </c>
      <c r="AJ35" s="275">
        <f t="shared" si="67"/>
        <v>0</v>
      </c>
      <c r="AK35" s="275">
        <f t="shared" si="68"/>
        <v>0</v>
      </c>
      <c r="AL35" s="275">
        <f t="shared" si="69"/>
        <v>0</v>
      </c>
      <c r="AM35" s="275">
        <f t="shared" si="70"/>
        <v>0</v>
      </c>
      <c r="AN35" s="275">
        <f t="shared" si="71"/>
        <v>0</v>
      </c>
      <c r="AO35" s="275">
        <f t="shared" si="72"/>
        <v>0</v>
      </c>
      <c r="AP35" s="275">
        <f t="shared" si="21"/>
        <v>0</v>
      </c>
      <c r="AQ35" s="275">
        <f t="shared" si="22"/>
        <v>0</v>
      </c>
      <c r="AR35" s="275">
        <f t="shared" si="23"/>
        <v>0</v>
      </c>
      <c r="AS35" s="275">
        <f t="shared" si="24"/>
        <v>0</v>
      </c>
      <c r="AT35" s="275">
        <f t="shared" si="73"/>
        <v>0</v>
      </c>
      <c r="AU35" s="275">
        <f t="shared" si="74"/>
        <v>0</v>
      </c>
      <c r="AV35" s="275">
        <f t="shared" si="25"/>
        <v>0</v>
      </c>
      <c r="AW35" s="275">
        <f t="shared" si="26"/>
        <v>0</v>
      </c>
      <c r="AX35" s="275">
        <f t="shared" si="27"/>
        <v>0</v>
      </c>
      <c r="AY35" s="275">
        <f t="shared" si="28"/>
        <v>0</v>
      </c>
      <c r="AZ35" s="275">
        <f t="shared" si="29"/>
        <v>0</v>
      </c>
      <c r="BA35" s="275">
        <f t="shared" si="30"/>
        <v>0</v>
      </c>
      <c r="BB35" s="275">
        <f t="shared" si="31"/>
        <v>0</v>
      </c>
      <c r="BC35" s="275">
        <f t="shared" si="32"/>
        <v>0</v>
      </c>
      <c r="BD35" s="275">
        <f t="shared" si="33"/>
        <v>0</v>
      </c>
      <c r="BE35" s="275">
        <f t="shared" si="34"/>
        <v>0</v>
      </c>
      <c r="BF35" s="275">
        <f t="shared" si="35"/>
        <v>0</v>
      </c>
      <c r="BG35" s="275">
        <f t="shared" si="36"/>
        <v>0</v>
      </c>
      <c r="BH35" s="275">
        <f t="shared" si="75"/>
        <v>0</v>
      </c>
      <c r="BI35" s="275">
        <f t="shared" si="76"/>
        <v>0</v>
      </c>
      <c r="BJ35" s="275">
        <f t="shared" si="37"/>
        <v>0</v>
      </c>
      <c r="BK35" s="275">
        <f t="shared" si="38"/>
        <v>0</v>
      </c>
      <c r="BL35" s="275">
        <f t="shared" si="39"/>
        <v>0</v>
      </c>
      <c r="BM35" s="275">
        <f t="shared" si="40"/>
        <v>0</v>
      </c>
      <c r="BN35" s="275">
        <f t="shared" si="41"/>
        <v>0</v>
      </c>
      <c r="BO35" s="275">
        <f t="shared" si="42"/>
        <v>0</v>
      </c>
      <c r="BP35" s="275">
        <f t="shared" si="77"/>
        <v>0</v>
      </c>
      <c r="BQ35" s="275">
        <f t="shared" si="78"/>
        <v>0</v>
      </c>
      <c r="BR35" s="275">
        <f t="shared" si="43"/>
        <v>0</v>
      </c>
      <c r="BS35" s="275">
        <f t="shared" si="44"/>
        <v>0</v>
      </c>
      <c r="BT35" s="275">
        <f t="shared" si="79"/>
        <v>0</v>
      </c>
      <c r="BU35" s="275">
        <f t="shared" si="80"/>
        <v>0</v>
      </c>
      <c r="BV35" s="275">
        <f t="shared" si="81"/>
        <v>0</v>
      </c>
      <c r="BW35" s="275">
        <f t="shared" si="82"/>
        <v>0</v>
      </c>
      <c r="BX35" s="275">
        <f t="shared" si="45"/>
        <v>0</v>
      </c>
      <c r="BY35" s="275">
        <f t="shared" si="46"/>
        <v>0</v>
      </c>
      <c r="BZ35" s="275">
        <f t="shared" si="47"/>
        <v>0</v>
      </c>
      <c r="CA35" s="275">
        <f t="shared" si="48"/>
        <v>0</v>
      </c>
      <c r="CB35" s="275">
        <f t="shared" si="49"/>
        <v>0</v>
      </c>
      <c r="CC35" s="275">
        <f t="shared" si="50"/>
        <v>0</v>
      </c>
      <c r="CD35" s="275">
        <f t="shared" si="83"/>
        <v>0</v>
      </c>
      <c r="CE35" s="275">
        <f t="shared" si="84"/>
        <v>0</v>
      </c>
      <c r="CF35" s="275">
        <f t="shared" si="85"/>
        <v>0</v>
      </c>
      <c r="CG35" s="275">
        <f t="shared" si="86"/>
        <v>0</v>
      </c>
      <c r="CH35" s="275">
        <f t="shared" si="51"/>
        <v>0</v>
      </c>
      <c r="CI35" s="275">
        <f t="shared" si="52"/>
        <v>0</v>
      </c>
      <c r="CJ35" s="275">
        <f t="shared" si="87"/>
        <v>0</v>
      </c>
      <c r="CK35" s="275">
        <f t="shared" si="88"/>
        <v>0</v>
      </c>
      <c r="CL35" s="275">
        <f t="shared" si="53"/>
        <v>0</v>
      </c>
      <c r="CM35" s="275">
        <f t="shared" si="54"/>
        <v>0</v>
      </c>
      <c r="CN35" s="275">
        <f t="shared" si="55"/>
        <v>0</v>
      </c>
      <c r="CO35" s="275">
        <f t="shared" si="56"/>
        <v>0</v>
      </c>
      <c r="CP35" s="275">
        <f t="shared" si="89"/>
        <v>0</v>
      </c>
      <c r="CQ35" s="275">
        <f t="shared" si="90"/>
        <v>0</v>
      </c>
      <c r="CR35" s="275">
        <f t="shared" si="91"/>
        <v>0</v>
      </c>
      <c r="CS35" s="275">
        <f t="shared" si="92"/>
        <v>0</v>
      </c>
      <c r="CT35" s="275">
        <f t="shared" si="57"/>
        <v>0</v>
      </c>
      <c r="CU35" s="275">
        <f t="shared" si="58"/>
        <v>0</v>
      </c>
      <c r="CV35" s="275">
        <f t="shared" si="59"/>
        <v>0</v>
      </c>
      <c r="CW35" s="275">
        <f t="shared" si="60"/>
        <v>0</v>
      </c>
      <c r="CX35" s="275">
        <f t="shared" si="93"/>
        <v>0</v>
      </c>
      <c r="CY35" s="275">
        <f t="shared" si="94"/>
        <v>0</v>
      </c>
      <c r="CZ35" s="275">
        <f t="shared" si="95"/>
        <v>0</v>
      </c>
      <c r="DA35" s="275">
        <f t="shared" si="96"/>
        <v>0</v>
      </c>
    </row>
    <row r="36" spans="1:105" s="272" customFormat="1" ht="15.75" customHeight="1">
      <c r="A36" s="63" t="str">
        <f t="array" ref="A36">IF(C36&lt;&gt;0,SUM(($C$11:C36&lt;&gt;0)*1),"")</f>
        <v/>
      </c>
      <c r="B36" s="273"/>
      <c r="C36" s="273"/>
      <c r="D36" s="273"/>
      <c r="E36" s="363"/>
      <c r="F36" s="324"/>
      <c r="G36" s="326"/>
      <c r="H36" s="326"/>
      <c r="I36" s="63" t="str">
        <f t="shared" si="97"/>
        <v/>
      </c>
      <c r="J36" s="275">
        <f t="shared" si="61"/>
        <v>0</v>
      </c>
      <c r="K36" s="275">
        <f t="shared" si="62"/>
        <v>0</v>
      </c>
      <c r="L36" s="275">
        <f t="shared" si="1"/>
        <v>0</v>
      </c>
      <c r="M36" s="275">
        <f t="shared" si="2"/>
        <v>0</v>
      </c>
      <c r="N36" s="275">
        <f t="shared" si="3"/>
        <v>0</v>
      </c>
      <c r="O36" s="275">
        <f t="shared" si="4"/>
        <v>0</v>
      </c>
      <c r="P36" s="275">
        <f t="shared" si="5"/>
        <v>0</v>
      </c>
      <c r="Q36" s="275">
        <f t="shared" si="6"/>
        <v>0</v>
      </c>
      <c r="R36" s="275">
        <f t="shared" si="7"/>
        <v>0</v>
      </c>
      <c r="S36" s="275">
        <f t="shared" si="8"/>
        <v>0</v>
      </c>
      <c r="T36" s="275">
        <f t="shared" si="9"/>
        <v>0</v>
      </c>
      <c r="U36" s="275">
        <f t="shared" si="10"/>
        <v>0</v>
      </c>
      <c r="V36" s="275">
        <f t="shared" si="11"/>
        <v>0</v>
      </c>
      <c r="W36" s="275">
        <f t="shared" si="12"/>
        <v>0</v>
      </c>
      <c r="X36" s="275">
        <f t="shared" si="13"/>
        <v>0</v>
      </c>
      <c r="Y36" s="275">
        <f t="shared" si="14"/>
        <v>0</v>
      </c>
      <c r="Z36" s="275">
        <f t="shared" si="15"/>
        <v>0</v>
      </c>
      <c r="AA36" s="275">
        <f t="shared" si="16"/>
        <v>0</v>
      </c>
      <c r="AB36" s="275">
        <f t="shared" si="63"/>
        <v>0</v>
      </c>
      <c r="AC36" s="275">
        <f t="shared" si="64"/>
        <v>0</v>
      </c>
      <c r="AD36" s="275">
        <f t="shared" si="17"/>
        <v>0</v>
      </c>
      <c r="AE36" s="275">
        <f t="shared" si="18"/>
        <v>0</v>
      </c>
      <c r="AF36" s="275">
        <f t="shared" si="19"/>
        <v>0</v>
      </c>
      <c r="AG36" s="275">
        <f t="shared" si="20"/>
        <v>0</v>
      </c>
      <c r="AH36" s="275">
        <f t="shared" si="65"/>
        <v>0</v>
      </c>
      <c r="AI36" s="275">
        <f t="shared" si="66"/>
        <v>0</v>
      </c>
      <c r="AJ36" s="275">
        <f t="shared" si="67"/>
        <v>0</v>
      </c>
      <c r="AK36" s="275">
        <f t="shared" si="68"/>
        <v>0</v>
      </c>
      <c r="AL36" s="275">
        <f t="shared" si="69"/>
        <v>0</v>
      </c>
      <c r="AM36" s="275">
        <f t="shared" si="70"/>
        <v>0</v>
      </c>
      <c r="AN36" s="275">
        <f t="shared" si="71"/>
        <v>0</v>
      </c>
      <c r="AO36" s="275">
        <f t="shared" si="72"/>
        <v>0</v>
      </c>
      <c r="AP36" s="275">
        <f t="shared" si="21"/>
        <v>0</v>
      </c>
      <c r="AQ36" s="275">
        <f t="shared" si="22"/>
        <v>0</v>
      </c>
      <c r="AR36" s="275">
        <f t="shared" si="23"/>
        <v>0</v>
      </c>
      <c r="AS36" s="275">
        <f t="shared" si="24"/>
        <v>0</v>
      </c>
      <c r="AT36" s="275">
        <f t="shared" si="73"/>
        <v>0</v>
      </c>
      <c r="AU36" s="275">
        <f t="shared" si="74"/>
        <v>0</v>
      </c>
      <c r="AV36" s="275">
        <f t="shared" si="25"/>
        <v>0</v>
      </c>
      <c r="AW36" s="275">
        <f t="shared" si="26"/>
        <v>0</v>
      </c>
      <c r="AX36" s="275">
        <f t="shared" si="27"/>
        <v>0</v>
      </c>
      <c r="AY36" s="275">
        <f t="shared" si="28"/>
        <v>0</v>
      </c>
      <c r="AZ36" s="275">
        <f t="shared" si="29"/>
        <v>0</v>
      </c>
      <c r="BA36" s="275">
        <f t="shared" si="30"/>
        <v>0</v>
      </c>
      <c r="BB36" s="275">
        <f t="shared" si="31"/>
        <v>0</v>
      </c>
      <c r="BC36" s="275">
        <f t="shared" si="32"/>
        <v>0</v>
      </c>
      <c r="BD36" s="275">
        <f t="shared" si="33"/>
        <v>0</v>
      </c>
      <c r="BE36" s="275">
        <f t="shared" si="34"/>
        <v>0</v>
      </c>
      <c r="BF36" s="275">
        <f t="shared" si="35"/>
        <v>0</v>
      </c>
      <c r="BG36" s="275">
        <f t="shared" si="36"/>
        <v>0</v>
      </c>
      <c r="BH36" s="275">
        <f t="shared" si="75"/>
        <v>0</v>
      </c>
      <c r="BI36" s="275">
        <f t="shared" si="76"/>
        <v>0</v>
      </c>
      <c r="BJ36" s="275">
        <f t="shared" si="37"/>
        <v>0</v>
      </c>
      <c r="BK36" s="275">
        <f t="shared" si="38"/>
        <v>0</v>
      </c>
      <c r="BL36" s="275">
        <f t="shared" si="39"/>
        <v>0</v>
      </c>
      <c r="BM36" s="275">
        <f t="shared" si="40"/>
        <v>0</v>
      </c>
      <c r="BN36" s="275">
        <f t="shared" si="41"/>
        <v>0</v>
      </c>
      <c r="BO36" s="275">
        <f t="shared" si="42"/>
        <v>0</v>
      </c>
      <c r="BP36" s="275">
        <f t="shared" si="77"/>
        <v>0</v>
      </c>
      <c r="BQ36" s="275">
        <f t="shared" si="78"/>
        <v>0</v>
      </c>
      <c r="BR36" s="275">
        <f t="shared" si="43"/>
        <v>0</v>
      </c>
      <c r="BS36" s="275">
        <f t="shared" si="44"/>
        <v>0</v>
      </c>
      <c r="BT36" s="275">
        <f t="shared" si="79"/>
        <v>0</v>
      </c>
      <c r="BU36" s="275">
        <f t="shared" si="80"/>
        <v>0</v>
      </c>
      <c r="BV36" s="275">
        <f t="shared" si="81"/>
        <v>0</v>
      </c>
      <c r="BW36" s="275">
        <f t="shared" si="82"/>
        <v>0</v>
      </c>
      <c r="BX36" s="275">
        <f t="shared" si="45"/>
        <v>0</v>
      </c>
      <c r="BY36" s="275">
        <f t="shared" si="46"/>
        <v>0</v>
      </c>
      <c r="BZ36" s="275">
        <f t="shared" si="47"/>
        <v>0</v>
      </c>
      <c r="CA36" s="275">
        <f t="shared" si="48"/>
        <v>0</v>
      </c>
      <c r="CB36" s="275">
        <f t="shared" si="49"/>
        <v>0</v>
      </c>
      <c r="CC36" s="275">
        <f t="shared" si="50"/>
        <v>0</v>
      </c>
      <c r="CD36" s="275">
        <f t="shared" si="83"/>
        <v>0</v>
      </c>
      <c r="CE36" s="275">
        <f t="shared" si="84"/>
        <v>0</v>
      </c>
      <c r="CF36" s="275">
        <f t="shared" si="85"/>
        <v>0</v>
      </c>
      <c r="CG36" s="275">
        <f t="shared" si="86"/>
        <v>0</v>
      </c>
      <c r="CH36" s="275">
        <f t="shared" si="51"/>
        <v>0</v>
      </c>
      <c r="CI36" s="275">
        <f t="shared" si="52"/>
        <v>0</v>
      </c>
      <c r="CJ36" s="275">
        <f t="shared" si="87"/>
        <v>0</v>
      </c>
      <c r="CK36" s="275">
        <f t="shared" si="88"/>
        <v>0</v>
      </c>
      <c r="CL36" s="275">
        <f t="shared" si="53"/>
        <v>0</v>
      </c>
      <c r="CM36" s="275">
        <f t="shared" si="54"/>
        <v>0</v>
      </c>
      <c r="CN36" s="275">
        <f t="shared" si="55"/>
        <v>0</v>
      </c>
      <c r="CO36" s="275">
        <f t="shared" si="56"/>
        <v>0</v>
      </c>
      <c r="CP36" s="275">
        <f t="shared" si="89"/>
        <v>0</v>
      </c>
      <c r="CQ36" s="275">
        <f t="shared" si="90"/>
        <v>0</v>
      </c>
      <c r="CR36" s="275">
        <f t="shared" si="91"/>
        <v>0</v>
      </c>
      <c r="CS36" s="275">
        <f t="shared" si="92"/>
        <v>0</v>
      </c>
      <c r="CT36" s="275">
        <f t="shared" si="57"/>
        <v>0</v>
      </c>
      <c r="CU36" s="275">
        <f t="shared" si="58"/>
        <v>0</v>
      </c>
      <c r="CV36" s="275">
        <f t="shared" si="59"/>
        <v>0</v>
      </c>
      <c r="CW36" s="275">
        <f t="shared" si="60"/>
        <v>0</v>
      </c>
      <c r="CX36" s="275">
        <f t="shared" si="93"/>
        <v>0</v>
      </c>
      <c r="CY36" s="275">
        <f t="shared" si="94"/>
        <v>0</v>
      </c>
      <c r="CZ36" s="275">
        <f t="shared" si="95"/>
        <v>0</v>
      </c>
      <c r="DA36" s="275">
        <f t="shared" si="96"/>
        <v>0</v>
      </c>
    </row>
    <row r="37" spans="1:105" s="272" customFormat="1" ht="15.75" customHeight="1">
      <c r="A37" s="63" t="str">
        <f t="array" ref="A37">IF(C37&lt;&gt;0,SUM(($C$11:C37&lt;&gt;0)*1),"")</f>
        <v/>
      </c>
      <c r="B37" s="273"/>
      <c r="C37" s="273"/>
      <c r="D37" s="273"/>
      <c r="E37" s="363"/>
      <c r="F37" s="324"/>
      <c r="G37" s="326"/>
      <c r="H37" s="326"/>
      <c r="I37" s="63" t="str">
        <f t="shared" si="97"/>
        <v/>
      </c>
      <c r="J37" s="275">
        <f t="shared" si="61"/>
        <v>0</v>
      </c>
      <c r="K37" s="275">
        <f t="shared" si="62"/>
        <v>0</v>
      </c>
      <c r="L37" s="275">
        <f t="shared" si="1"/>
        <v>0</v>
      </c>
      <c r="M37" s="275">
        <f t="shared" si="2"/>
        <v>0</v>
      </c>
      <c r="N37" s="275">
        <f t="shared" si="3"/>
        <v>0</v>
      </c>
      <c r="O37" s="275">
        <f t="shared" si="4"/>
        <v>0</v>
      </c>
      <c r="P37" s="275">
        <f t="shared" si="5"/>
        <v>0</v>
      </c>
      <c r="Q37" s="275">
        <f t="shared" si="6"/>
        <v>0</v>
      </c>
      <c r="R37" s="275">
        <f t="shared" si="7"/>
        <v>0</v>
      </c>
      <c r="S37" s="275">
        <f t="shared" si="8"/>
        <v>0</v>
      </c>
      <c r="T37" s="275">
        <f t="shared" si="9"/>
        <v>0</v>
      </c>
      <c r="U37" s="275">
        <f t="shared" si="10"/>
        <v>0</v>
      </c>
      <c r="V37" s="275">
        <f t="shared" si="11"/>
        <v>0</v>
      </c>
      <c r="W37" s="275">
        <f t="shared" si="12"/>
        <v>0</v>
      </c>
      <c r="X37" s="275">
        <f t="shared" si="13"/>
        <v>0</v>
      </c>
      <c r="Y37" s="275">
        <f t="shared" si="14"/>
        <v>0</v>
      </c>
      <c r="Z37" s="275">
        <f t="shared" si="15"/>
        <v>0</v>
      </c>
      <c r="AA37" s="275">
        <f t="shared" si="16"/>
        <v>0</v>
      </c>
      <c r="AB37" s="275">
        <f t="shared" si="63"/>
        <v>0</v>
      </c>
      <c r="AC37" s="275">
        <f t="shared" si="64"/>
        <v>0</v>
      </c>
      <c r="AD37" s="275">
        <f t="shared" si="17"/>
        <v>0</v>
      </c>
      <c r="AE37" s="275">
        <f t="shared" si="18"/>
        <v>0</v>
      </c>
      <c r="AF37" s="275">
        <f t="shared" si="19"/>
        <v>0</v>
      </c>
      <c r="AG37" s="275">
        <f t="shared" si="20"/>
        <v>0</v>
      </c>
      <c r="AH37" s="275">
        <f t="shared" si="65"/>
        <v>0</v>
      </c>
      <c r="AI37" s="275">
        <f t="shared" si="66"/>
        <v>0</v>
      </c>
      <c r="AJ37" s="275">
        <f t="shared" si="67"/>
        <v>0</v>
      </c>
      <c r="AK37" s="275">
        <f t="shared" si="68"/>
        <v>0</v>
      </c>
      <c r="AL37" s="275">
        <f t="shared" si="69"/>
        <v>0</v>
      </c>
      <c r="AM37" s="275">
        <f t="shared" si="70"/>
        <v>0</v>
      </c>
      <c r="AN37" s="275">
        <f t="shared" si="71"/>
        <v>0</v>
      </c>
      <c r="AO37" s="275">
        <f t="shared" si="72"/>
        <v>0</v>
      </c>
      <c r="AP37" s="275">
        <f t="shared" si="21"/>
        <v>0</v>
      </c>
      <c r="AQ37" s="275">
        <f t="shared" si="22"/>
        <v>0</v>
      </c>
      <c r="AR37" s="275">
        <f t="shared" si="23"/>
        <v>0</v>
      </c>
      <c r="AS37" s="275">
        <f t="shared" si="24"/>
        <v>0</v>
      </c>
      <c r="AT37" s="275">
        <f t="shared" si="73"/>
        <v>0</v>
      </c>
      <c r="AU37" s="275">
        <f t="shared" si="74"/>
        <v>0</v>
      </c>
      <c r="AV37" s="275">
        <f t="shared" si="25"/>
        <v>0</v>
      </c>
      <c r="AW37" s="275">
        <f t="shared" si="26"/>
        <v>0</v>
      </c>
      <c r="AX37" s="275">
        <f t="shared" si="27"/>
        <v>0</v>
      </c>
      <c r="AY37" s="275">
        <f t="shared" si="28"/>
        <v>0</v>
      </c>
      <c r="AZ37" s="275">
        <f t="shared" si="29"/>
        <v>0</v>
      </c>
      <c r="BA37" s="275">
        <f t="shared" si="30"/>
        <v>0</v>
      </c>
      <c r="BB37" s="275">
        <f t="shared" si="31"/>
        <v>0</v>
      </c>
      <c r="BC37" s="275">
        <f t="shared" si="32"/>
        <v>0</v>
      </c>
      <c r="BD37" s="275">
        <f t="shared" si="33"/>
        <v>0</v>
      </c>
      <c r="BE37" s="275">
        <f t="shared" si="34"/>
        <v>0</v>
      </c>
      <c r="BF37" s="275">
        <f t="shared" si="35"/>
        <v>0</v>
      </c>
      <c r="BG37" s="275">
        <f t="shared" si="36"/>
        <v>0</v>
      </c>
      <c r="BH37" s="275">
        <f t="shared" si="75"/>
        <v>0</v>
      </c>
      <c r="BI37" s="275">
        <f t="shared" si="76"/>
        <v>0</v>
      </c>
      <c r="BJ37" s="275">
        <f t="shared" si="37"/>
        <v>0</v>
      </c>
      <c r="BK37" s="275">
        <f t="shared" si="38"/>
        <v>0</v>
      </c>
      <c r="BL37" s="275">
        <f t="shared" si="39"/>
        <v>0</v>
      </c>
      <c r="BM37" s="275">
        <f t="shared" si="40"/>
        <v>0</v>
      </c>
      <c r="BN37" s="275">
        <f t="shared" si="41"/>
        <v>0</v>
      </c>
      <c r="BO37" s="275">
        <f t="shared" si="42"/>
        <v>0</v>
      </c>
      <c r="BP37" s="275">
        <f t="shared" si="77"/>
        <v>0</v>
      </c>
      <c r="BQ37" s="275">
        <f t="shared" si="78"/>
        <v>0</v>
      </c>
      <c r="BR37" s="275">
        <f t="shared" si="43"/>
        <v>0</v>
      </c>
      <c r="BS37" s="275">
        <f t="shared" si="44"/>
        <v>0</v>
      </c>
      <c r="BT37" s="275">
        <f t="shared" si="79"/>
        <v>0</v>
      </c>
      <c r="BU37" s="275">
        <f t="shared" si="80"/>
        <v>0</v>
      </c>
      <c r="BV37" s="275">
        <f t="shared" si="81"/>
        <v>0</v>
      </c>
      <c r="BW37" s="275">
        <f t="shared" si="82"/>
        <v>0</v>
      </c>
      <c r="BX37" s="275">
        <f t="shared" si="45"/>
        <v>0</v>
      </c>
      <c r="BY37" s="275">
        <f t="shared" si="46"/>
        <v>0</v>
      </c>
      <c r="BZ37" s="275">
        <f t="shared" si="47"/>
        <v>0</v>
      </c>
      <c r="CA37" s="275">
        <f t="shared" si="48"/>
        <v>0</v>
      </c>
      <c r="CB37" s="275">
        <f t="shared" si="49"/>
        <v>0</v>
      </c>
      <c r="CC37" s="275">
        <f t="shared" si="50"/>
        <v>0</v>
      </c>
      <c r="CD37" s="275">
        <f t="shared" si="83"/>
        <v>0</v>
      </c>
      <c r="CE37" s="275">
        <f t="shared" si="84"/>
        <v>0</v>
      </c>
      <c r="CF37" s="275">
        <f t="shared" si="85"/>
        <v>0</v>
      </c>
      <c r="CG37" s="275">
        <f t="shared" si="86"/>
        <v>0</v>
      </c>
      <c r="CH37" s="275">
        <f t="shared" si="51"/>
        <v>0</v>
      </c>
      <c r="CI37" s="275">
        <f t="shared" si="52"/>
        <v>0</v>
      </c>
      <c r="CJ37" s="275">
        <f t="shared" si="87"/>
        <v>0</v>
      </c>
      <c r="CK37" s="275">
        <f t="shared" si="88"/>
        <v>0</v>
      </c>
      <c r="CL37" s="275">
        <f t="shared" si="53"/>
        <v>0</v>
      </c>
      <c r="CM37" s="275">
        <f t="shared" si="54"/>
        <v>0</v>
      </c>
      <c r="CN37" s="275">
        <f t="shared" si="55"/>
        <v>0</v>
      </c>
      <c r="CO37" s="275">
        <f t="shared" si="56"/>
        <v>0</v>
      </c>
      <c r="CP37" s="275">
        <f t="shared" si="89"/>
        <v>0</v>
      </c>
      <c r="CQ37" s="275">
        <f t="shared" si="90"/>
        <v>0</v>
      </c>
      <c r="CR37" s="275">
        <f t="shared" si="91"/>
        <v>0</v>
      </c>
      <c r="CS37" s="275">
        <f t="shared" si="92"/>
        <v>0</v>
      </c>
      <c r="CT37" s="275">
        <f t="shared" si="57"/>
        <v>0</v>
      </c>
      <c r="CU37" s="275">
        <f t="shared" si="58"/>
        <v>0</v>
      </c>
      <c r="CV37" s="275">
        <f t="shared" si="59"/>
        <v>0</v>
      </c>
      <c r="CW37" s="275">
        <f t="shared" si="60"/>
        <v>0</v>
      </c>
      <c r="CX37" s="275">
        <f t="shared" si="93"/>
        <v>0</v>
      </c>
      <c r="CY37" s="275">
        <f t="shared" si="94"/>
        <v>0</v>
      </c>
      <c r="CZ37" s="275">
        <f t="shared" si="95"/>
        <v>0</v>
      </c>
      <c r="DA37" s="275">
        <f t="shared" si="96"/>
        <v>0</v>
      </c>
    </row>
    <row r="38" spans="1:105" s="272" customFormat="1" ht="15.75" customHeight="1">
      <c r="A38" s="63" t="str">
        <f t="array" ref="A38">IF(C38&lt;&gt;0,SUM(($C$11:C38&lt;&gt;0)*1),"")</f>
        <v/>
      </c>
      <c r="B38" s="273"/>
      <c r="C38" s="273"/>
      <c r="D38" s="273"/>
      <c r="E38" s="363"/>
      <c r="F38" s="324"/>
      <c r="G38" s="326"/>
      <c r="H38" s="326"/>
      <c r="I38" s="63" t="str">
        <f t="shared" si="97"/>
        <v/>
      </c>
      <c r="J38" s="275">
        <f t="shared" si="61"/>
        <v>0</v>
      </c>
      <c r="K38" s="275">
        <f t="shared" si="62"/>
        <v>0</v>
      </c>
      <c r="L38" s="275">
        <f t="shared" si="1"/>
        <v>0</v>
      </c>
      <c r="M38" s="275">
        <f t="shared" si="2"/>
        <v>0</v>
      </c>
      <c r="N38" s="275">
        <f t="shared" si="3"/>
        <v>0</v>
      </c>
      <c r="O38" s="275">
        <f t="shared" si="4"/>
        <v>0</v>
      </c>
      <c r="P38" s="275">
        <f t="shared" si="5"/>
        <v>0</v>
      </c>
      <c r="Q38" s="275">
        <f t="shared" si="6"/>
        <v>0</v>
      </c>
      <c r="R38" s="275">
        <f t="shared" si="7"/>
        <v>0</v>
      </c>
      <c r="S38" s="275">
        <f t="shared" si="8"/>
        <v>0</v>
      </c>
      <c r="T38" s="275">
        <f t="shared" si="9"/>
        <v>0</v>
      </c>
      <c r="U38" s="275">
        <f t="shared" si="10"/>
        <v>0</v>
      </c>
      <c r="V38" s="275">
        <f t="shared" si="11"/>
        <v>0</v>
      </c>
      <c r="W38" s="275">
        <f t="shared" si="12"/>
        <v>0</v>
      </c>
      <c r="X38" s="275">
        <f t="shared" si="13"/>
        <v>0</v>
      </c>
      <c r="Y38" s="275">
        <f t="shared" si="14"/>
        <v>0</v>
      </c>
      <c r="Z38" s="275">
        <f t="shared" si="15"/>
        <v>0</v>
      </c>
      <c r="AA38" s="275">
        <f t="shared" si="16"/>
        <v>0</v>
      </c>
      <c r="AB38" s="275">
        <f t="shared" si="63"/>
        <v>0</v>
      </c>
      <c r="AC38" s="275">
        <f t="shared" si="64"/>
        <v>0</v>
      </c>
      <c r="AD38" s="275">
        <f t="shared" si="17"/>
        <v>0</v>
      </c>
      <c r="AE38" s="275">
        <f t="shared" si="18"/>
        <v>0</v>
      </c>
      <c r="AF38" s="275">
        <f t="shared" si="19"/>
        <v>0</v>
      </c>
      <c r="AG38" s="275">
        <f t="shared" si="20"/>
        <v>0</v>
      </c>
      <c r="AH38" s="275">
        <f t="shared" si="65"/>
        <v>0</v>
      </c>
      <c r="AI38" s="275">
        <f t="shared" si="66"/>
        <v>0</v>
      </c>
      <c r="AJ38" s="275">
        <f t="shared" si="67"/>
        <v>0</v>
      </c>
      <c r="AK38" s="275">
        <f t="shared" si="68"/>
        <v>0</v>
      </c>
      <c r="AL38" s="275">
        <f t="shared" si="69"/>
        <v>0</v>
      </c>
      <c r="AM38" s="275">
        <f t="shared" si="70"/>
        <v>0</v>
      </c>
      <c r="AN38" s="275">
        <f t="shared" si="71"/>
        <v>0</v>
      </c>
      <c r="AO38" s="275">
        <f t="shared" si="72"/>
        <v>0</v>
      </c>
      <c r="AP38" s="275">
        <f t="shared" si="21"/>
        <v>0</v>
      </c>
      <c r="AQ38" s="275">
        <f t="shared" si="22"/>
        <v>0</v>
      </c>
      <c r="AR38" s="275">
        <f t="shared" si="23"/>
        <v>0</v>
      </c>
      <c r="AS38" s="275">
        <f t="shared" si="24"/>
        <v>0</v>
      </c>
      <c r="AT38" s="275">
        <f t="shared" si="73"/>
        <v>0</v>
      </c>
      <c r="AU38" s="275">
        <f t="shared" si="74"/>
        <v>0</v>
      </c>
      <c r="AV38" s="275">
        <f t="shared" si="25"/>
        <v>0</v>
      </c>
      <c r="AW38" s="275">
        <f t="shared" si="26"/>
        <v>0</v>
      </c>
      <c r="AX38" s="275">
        <f t="shared" si="27"/>
        <v>0</v>
      </c>
      <c r="AY38" s="275">
        <f t="shared" si="28"/>
        <v>0</v>
      </c>
      <c r="AZ38" s="275">
        <f t="shared" si="29"/>
        <v>0</v>
      </c>
      <c r="BA38" s="275">
        <f t="shared" si="30"/>
        <v>0</v>
      </c>
      <c r="BB38" s="275">
        <f t="shared" si="31"/>
        <v>0</v>
      </c>
      <c r="BC38" s="275">
        <f t="shared" si="32"/>
        <v>0</v>
      </c>
      <c r="BD38" s="275">
        <f t="shared" si="33"/>
        <v>0</v>
      </c>
      <c r="BE38" s="275">
        <f t="shared" si="34"/>
        <v>0</v>
      </c>
      <c r="BF38" s="275">
        <f t="shared" si="35"/>
        <v>0</v>
      </c>
      <c r="BG38" s="275">
        <f t="shared" si="36"/>
        <v>0</v>
      </c>
      <c r="BH38" s="275">
        <f t="shared" si="75"/>
        <v>0</v>
      </c>
      <c r="BI38" s="275">
        <f t="shared" si="76"/>
        <v>0</v>
      </c>
      <c r="BJ38" s="275">
        <f t="shared" si="37"/>
        <v>0</v>
      </c>
      <c r="BK38" s="275">
        <f t="shared" si="38"/>
        <v>0</v>
      </c>
      <c r="BL38" s="275">
        <f t="shared" si="39"/>
        <v>0</v>
      </c>
      <c r="BM38" s="275">
        <f t="shared" si="40"/>
        <v>0</v>
      </c>
      <c r="BN38" s="275">
        <f t="shared" si="41"/>
        <v>0</v>
      </c>
      <c r="BO38" s="275">
        <f t="shared" si="42"/>
        <v>0</v>
      </c>
      <c r="BP38" s="275">
        <f t="shared" si="77"/>
        <v>0</v>
      </c>
      <c r="BQ38" s="275">
        <f t="shared" si="78"/>
        <v>0</v>
      </c>
      <c r="BR38" s="275">
        <f t="shared" si="43"/>
        <v>0</v>
      </c>
      <c r="BS38" s="275">
        <f t="shared" si="44"/>
        <v>0</v>
      </c>
      <c r="BT38" s="275">
        <f t="shared" si="79"/>
        <v>0</v>
      </c>
      <c r="BU38" s="275">
        <f t="shared" si="80"/>
        <v>0</v>
      </c>
      <c r="BV38" s="275">
        <f t="shared" si="81"/>
        <v>0</v>
      </c>
      <c r="BW38" s="275">
        <f t="shared" si="82"/>
        <v>0</v>
      </c>
      <c r="BX38" s="275">
        <f t="shared" si="45"/>
        <v>0</v>
      </c>
      <c r="BY38" s="275">
        <f t="shared" si="46"/>
        <v>0</v>
      </c>
      <c r="BZ38" s="275">
        <f t="shared" si="47"/>
        <v>0</v>
      </c>
      <c r="CA38" s="275">
        <f t="shared" si="48"/>
        <v>0</v>
      </c>
      <c r="CB38" s="275">
        <f t="shared" si="49"/>
        <v>0</v>
      </c>
      <c r="CC38" s="275">
        <f t="shared" si="50"/>
        <v>0</v>
      </c>
      <c r="CD38" s="275">
        <f t="shared" si="83"/>
        <v>0</v>
      </c>
      <c r="CE38" s="275">
        <f t="shared" si="84"/>
        <v>0</v>
      </c>
      <c r="CF38" s="275">
        <f t="shared" si="85"/>
        <v>0</v>
      </c>
      <c r="CG38" s="275">
        <f t="shared" si="86"/>
        <v>0</v>
      </c>
      <c r="CH38" s="275">
        <f t="shared" si="51"/>
        <v>0</v>
      </c>
      <c r="CI38" s="275">
        <f t="shared" si="52"/>
        <v>0</v>
      </c>
      <c r="CJ38" s="275">
        <f t="shared" si="87"/>
        <v>0</v>
      </c>
      <c r="CK38" s="275">
        <f t="shared" si="88"/>
        <v>0</v>
      </c>
      <c r="CL38" s="275">
        <f t="shared" si="53"/>
        <v>0</v>
      </c>
      <c r="CM38" s="275">
        <f t="shared" si="54"/>
        <v>0</v>
      </c>
      <c r="CN38" s="275">
        <f t="shared" si="55"/>
        <v>0</v>
      </c>
      <c r="CO38" s="275">
        <f t="shared" si="56"/>
        <v>0</v>
      </c>
      <c r="CP38" s="275">
        <f t="shared" si="89"/>
        <v>0</v>
      </c>
      <c r="CQ38" s="275">
        <f t="shared" si="90"/>
        <v>0</v>
      </c>
      <c r="CR38" s="275">
        <f t="shared" si="91"/>
        <v>0</v>
      </c>
      <c r="CS38" s="275">
        <f t="shared" si="92"/>
        <v>0</v>
      </c>
      <c r="CT38" s="275">
        <f t="shared" si="57"/>
        <v>0</v>
      </c>
      <c r="CU38" s="275">
        <f t="shared" si="58"/>
        <v>0</v>
      </c>
      <c r="CV38" s="275">
        <f t="shared" si="59"/>
        <v>0</v>
      </c>
      <c r="CW38" s="275">
        <f t="shared" si="60"/>
        <v>0</v>
      </c>
      <c r="CX38" s="275">
        <f t="shared" si="93"/>
        <v>0</v>
      </c>
      <c r="CY38" s="275">
        <f t="shared" si="94"/>
        <v>0</v>
      </c>
      <c r="CZ38" s="275">
        <f t="shared" si="95"/>
        <v>0</v>
      </c>
      <c r="DA38" s="275">
        <f t="shared" si="96"/>
        <v>0</v>
      </c>
    </row>
    <row r="39" spans="1:105" s="272" customFormat="1" ht="15.75" customHeight="1">
      <c r="A39" s="63" t="str">
        <f t="array" ref="A39">IF(C39&lt;&gt;0,SUM(($C$11:C39&lt;&gt;0)*1),"")</f>
        <v/>
      </c>
      <c r="B39" s="273"/>
      <c r="C39" s="273"/>
      <c r="D39" s="273"/>
      <c r="E39" s="363"/>
      <c r="F39" s="324"/>
      <c r="G39" s="326"/>
      <c r="H39" s="326"/>
      <c r="I39" s="63" t="str">
        <f t="shared" si="97"/>
        <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si="73"/>
        <v>0</v>
      </c>
      <c r="AU39" s="275">
        <f t="shared" si="74"/>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si="81"/>
        <v>0</v>
      </c>
      <c r="BW39" s="275">
        <f t="shared" si="82"/>
        <v>0</v>
      </c>
      <c r="BX39" s="275">
        <f t="shared" si="45"/>
        <v>0</v>
      </c>
      <c r="BY39" s="275">
        <f t="shared" si="46"/>
        <v>0</v>
      </c>
      <c r="BZ39" s="275">
        <f t="shared" si="47"/>
        <v>0</v>
      </c>
      <c r="CA39" s="275">
        <f t="shared" si="48"/>
        <v>0</v>
      </c>
      <c r="CB39" s="275">
        <f t="shared" si="49"/>
        <v>0</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5.75" customHeight="1">
      <c r="A40" s="63">
        <f t="array" aca="1" ref="A40" ca="1">IF(C40&lt;&gt;0,SUM(($C$11:C40&lt;&gt;0)*1),"")</f>
        <v>2</v>
      </c>
      <c r="B40" s="273">
        <v>42643</v>
      </c>
      <c r="C40" s="276" t="s">
        <v>115</v>
      </c>
      <c r="D40" s="276">
        <f t="shared" ref="D40:D50" si="98">B40</f>
        <v>42643</v>
      </c>
      <c r="E40" s="960" t="s">
        <v>923</v>
      </c>
      <c r="F40" s="961">
        <f ca="1">AY52</f>
        <v>0</v>
      </c>
      <c r="G40" s="962" t="s">
        <v>928</v>
      </c>
      <c r="H40" s="962" t="s">
        <v>9</v>
      </c>
      <c r="I40" s="63">
        <f t="shared" ca="1" si="97"/>
        <v>2</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73"/>
        <v>0</v>
      </c>
      <c r="AU40" s="275">
        <f t="shared" si="74"/>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81"/>
        <v>0</v>
      </c>
      <c r="BW40" s="275">
        <f t="shared" si="8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5.75" customHeight="1">
      <c r="A41" s="63">
        <f t="array" aca="1" ref="A41" ca="1">IF(C41&lt;&gt;0,SUM(($C$11:C41&lt;&gt;0)*1),"")</f>
        <v>3</v>
      </c>
      <c r="B41" s="273">
        <v>42643</v>
      </c>
      <c r="C41" s="276" t="s">
        <v>115</v>
      </c>
      <c r="D41" s="276">
        <f t="shared" si="98"/>
        <v>42643</v>
      </c>
      <c r="E41" s="960" t="s">
        <v>924</v>
      </c>
      <c r="F41" s="961">
        <f ca="1">CL52</f>
        <v>0</v>
      </c>
      <c r="G41" s="962" t="s">
        <v>109</v>
      </c>
      <c r="H41" s="962" t="s">
        <v>294</v>
      </c>
      <c r="I41" s="63">
        <f t="shared" ca="1" si="97"/>
        <v>3</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73"/>
        <v>0</v>
      </c>
      <c r="AU41" s="275">
        <f t="shared" si="74"/>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81"/>
        <v>0</v>
      </c>
      <c r="BW41" s="275">
        <f t="shared" si="8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5.75" customHeight="1">
      <c r="A42" s="63">
        <f t="array" aca="1" ref="A42" ca="1">IF(C42&lt;&gt;0,SUM(($C$11:C42&lt;&gt;0)*1),"")</f>
        <v>4</v>
      </c>
      <c r="B42" s="273">
        <v>42643</v>
      </c>
      <c r="C42" s="276" t="s">
        <v>115</v>
      </c>
      <c r="D42" s="276">
        <f t="shared" si="98"/>
        <v>42643</v>
      </c>
      <c r="E42" s="960" t="s">
        <v>116</v>
      </c>
      <c r="F42" s="961">
        <f ca="1">CN52</f>
        <v>0</v>
      </c>
      <c r="G42" s="962" t="s">
        <v>109</v>
      </c>
      <c r="H42" s="962" t="s">
        <v>99</v>
      </c>
      <c r="I42" s="63">
        <f t="shared" ca="1" si="97"/>
        <v>4</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73"/>
        <v>0</v>
      </c>
      <c r="AU42" s="275">
        <f t="shared" si="74"/>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81"/>
        <v>0</v>
      </c>
      <c r="BW42" s="275">
        <f t="shared" si="8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5.75" customHeight="1">
      <c r="A43" s="63">
        <f t="array" aca="1" ref="A43" ca="1">IF(C43&lt;&gt;0,SUM(($C$11:C43&lt;&gt;0)*1),"")</f>
        <v>5</v>
      </c>
      <c r="B43" s="273">
        <v>42643</v>
      </c>
      <c r="C43" s="276" t="s">
        <v>115</v>
      </c>
      <c r="D43" s="276">
        <f t="shared" si="98"/>
        <v>42643</v>
      </c>
      <c r="E43" s="960" t="s">
        <v>925</v>
      </c>
      <c r="F43" s="961">
        <f ca="1">CP52</f>
        <v>0</v>
      </c>
      <c r="G43" s="962" t="s">
        <v>109</v>
      </c>
      <c r="H43" s="962" t="s">
        <v>588</v>
      </c>
      <c r="I43" s="63">
        <f t="shared" ca="1" si="97"/>
        <v>5</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73"/>
        <v>0</v>
      </c>
      <c r="AU43" s="275">
        <f t="shared" si="74"/>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81"/>
        <v>0</v>
      </c>
      <c r="BW43" s="275">
        <f t="shared" si="8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5.75" customHeight="1">
      <c r="A44" s="63">
        <f t="array" aca="1" ref="A44" ca="1">IF(C44&lt;&gt;0,SUM(($C$11:C44&lt;&gt;0)*1),"")</f>
        <v>6</v>
      </c>
      <c r="B44" s="273">
        <v>42643</v>
      </c>
      <c r="C44" s="276" t="s">
        <v>115</v>
      </c>
      <c r="D44" s="276">
        <f t="shared" si="98"/>
        <v>42643</v>
      </c>
      <c r="E44" s="960" t="s">
        <v>117</v>
      </c>
      <c r="F44" s="961">
        <f ca="1">CR52</f>
        <v>0</v>
      </c>
      <c r="G44" s="962" t="s">
        <v>109</v>
      </c>
      <c r="H44" s="962" t="s">
        <v>101</v>
      </c>
      <c r="I44" s="63">
        <f t="shared" ca="1" si="97"/>
        <v>6</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73"/>
        <v>0</v>
      </c>
      <c r="AU44" s="275">
        <f t="shared" si="74"/>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81"/>
        <v>0</v>
      </c>
      <c r="BW44" s="275">
        <f t="shared" si="8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5.75" customHeight="1">
      <c r="A45" s="63">
        <f t="array" aca="1" ref="A45" ca="1">IF(C45&lt;&gt;0,SUM(($C$11:C45&lt;&gt;0)*1),"")</f>
        <v>7</v>
      </c>
      <c r="B45" s="273">
        <v>42643</v>
      </c>
      <c r="C45" s="276" t="s">
        <v>115</v>
      </c>
      <c r="D45" s="276">
        <f t="shared" si="98"/>
        <v>42643</v>
      </c>
      <c r="E45" s="960" t="s">
        <v>214</v>
      </c>
      <c r="F45" s="961"/>
      <c r="G45" s="962" t="s">
        <v>109</v>
      </c>
      <c r="H45" s="962" t="s">
        <v>94</v>
      </c>
      <c r="I45" s="63">
        <f t="shared" ca="1" si="97"/>
        <v>7</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73"/>
        <v>0</v>
      </c>
      <c r="AU45" s="275">
        <f t="shared" si="74"/>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81"/>
        <v>0</v>
      </c>
      <c r="BW45" s="275">
        <f t="shared" si="8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5.75" customHeight="1">
      <c r="A46" s="63">
        <f t="array" aca="1" ref="A46" ca="1">IF(C46&lt;&gt;0,SUM(($C$11:C46&lt;&gt;0)*1),"")</f>
        <v>8</v>
      </c>
      <c r="B46" s="273">
        <v>42643</v>
      </c>
      <c r="C46" s="276" t="s">
        <v>115</v>
      </c>
      <c r="D46" s="276">
        <f t="shared" si="98"/>
        <v>42643</v>
      </c>
      <c r="E46" s="960" t="s">
        <v>118</v>
      </c>
      <c r="F46" s="961">
        <f ca="1">CI52</f>
        <v>0</v>
      </c>
      <c r="G46" s="962" t="s">
        <v>43</v>
      </c>
      <c r="H46" s="962" t="s">
        <v>109</v>
      </c>
      <c r="I46" s="63">
        <f t="shared" ca="1" si="97"/>
        <v>8</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73"/>
        <v>0</v>
      </c>
      <c r="AU46" s="275">
        <f t="shared" si="74"/>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81"/>
        <v>0</v>
      </c>
      <c r="BW46" s="275">
        <f t="shared" si="8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5.75" customHeight="1">
      <c r="A47" s="63">
        <f t="array" aca="1" ref="A47" ca="1">IF(C47&lt;&gt;0,SUM(($C$11:C47&lt;&gt;0)*1),"")</f>
        <v>9</v>
      </c>
      <c r="B47" s="273">
        <v>42643</v>
      </c>
      <c r="C47" s="276" t="s">
        <v>115</v>
      </c>
      <c r="D47" s="276">
        <f t="shared" si="98"/>
        <v>42643</v>
      </c>
      <c r="E47" s="960" t="s">
        <v>926</v>
      </c>
      <c r="F47" s="961">
        <f ca="1">CE52</f>
        <v>0</v>
      </c>
      <c r="G47" s="962" t="s">
        <v>296</v>
      </c>
      <c r="H47" s="962" t="s">
        <v>109</v>
      </c>
      <c r="I47" s="63">
        <f t="shared" ca="1" si="97"/>
        <v>9</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73"/>
        <v>0</v>
      </c>
      <c r="AU47" s="275">
        <f t="shared" si="74"/>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81"/>
        <v>0</v>
      </c>
      <c r="BW47" s="275">
        <f t="shared" si="8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5.75" customHeight="1">
      <c r="A48" s="63">
        <f t="array" aca="1" ref="A48" ca="1">IF(C48&lt;&gt;0,SUM(($C$11:C48&lt;&gt;0)*1),"")</f>
        <v>10</v>
      </c>
      <c r="B48" s="273">
        <v>42643</v>
      </c>
      <c r="C48" s="276" t="s">
        <v>115</v>
      </c>
      <c r="D48" s="276">
        <f t="shared" si="98"/>
        <v>42643</v>
      </c>
      <c r="E48" s="960" t="s">
        <v>927</v>
      </c>
      <c r="F48" s="961">
        <f ca="1">CG52</f>
        <v>0</v>
      </c>
      <c r="G48" s="962" t="s">
        <v>298</v>
      </c>
      <c r="H48" s="962" t="s">
        <v>109</v>
      </c>
      <c r="I48" s="63">
        <f t="shared" ca="1" si="97"/>
        <v>10</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73"/>
        <v>0</v>
      </c>
      <c r="AU48" s="275">
        <f t="shared" si="74"/>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81"/>
        <v>0</v>
      </c>
      <c r="BW48" s="275">
        <f t="shared" si="8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5.75" customHeight="1">
      <c r="A49" s="63">
        <f t="array" aca="1" ref="A49" ca="1">IF(C49&lt;&gt;0,SUM(($C$11:C49&lt;&gt;0)*1),"")</f>
        <v>11</v>
      </c>
      <c r="B49" s="273">
        <v>42643</v>
      </c>
      <c r="C49" s="276" t="s">
        <v>115</v>
      </c>
      <c r="D49" s="276">
        <f t="shared" si="98"/>
        <v>42643</v>
      </c>
      <c r="E49" s="960" t="s">
        <v>119</v>
      </c>
      <c r="F49" s="961">
        <f ca="1">CU52</f>
        <v>0</v>
      </c>
      <c r="G49" s="962" t="s">
        <v>103</v>
      </c>
      <c r="H49" s="962" t="s">
        <v>109</v>
      </c>
      <c r="I49" s="63">
        <f t="shared" ca="1" si="97"/>
        <v>11</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73"/>
        <v>0</v>
      </c>
      <c r="AU49" s="275">
        <f t="shared" si="74"/>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81"/>
        <v>0</v>
      </c>
      <c r="BW49" s="275">
        <f t="shared" si="8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5.75" customHeight="1">
      <c r="A50" s="63">
        <f t="array" aca="1" ref="A50" ca="1">IF(C50&lt;&gt;0,SUM(($C$11:C50&lt;&gt;0)*1),"")</f>
        <v>12</v>
      </c>
      <c r="B50" s="273">
        <v>42643</v>
      </c>
      <c r="C50" s="276" t="s">
        <v>115</v>
      </c>
      <c r="D50" s="276">
        <f t="shared" si="98"/>
        <v>42643</v>
      </c>
      <c r="E50" s="960" t="s">
        <v>120</v>
      </c>
      <c r="F50" s="961">
        <f ca="1">CV52</f>
        <v>0</v>
      </c>
      <c r="G50" s="962" t="s">
        <v>109</v>
      </c>
      <c r="H50" s="962" t="s">
        <v>105</v>
      </c>
      <c r="I50" s="63">
        <f t="shared" ca="1" si="97"/>
        <v>12</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73"/>
        <v>0</v>
      </c>
      <c r="AU50" s="275">
        <f t="shared" si="74"/>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81"/>
        <v>0</v>
      </c>
      <c r="BW50" s="275">
        <f t="shared" si="8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5.75" customHeight="1">
      <c r="A51" s="63" t="str">
        <f t="array" ref="A51">IF(C51&lt;&gt;0,SUM(($C$11:C51&lt;&gt;0)*1),"")</f>
        <v/>
      </c>
      <c r="B51" s="239"/>
      <c r="C51" s="277"/>
      <c r="D51" s="239"/>
      <c r="E51" s="274"/>
      <c r="F51" s="65"/>
      <c r="G51" s="278"/>
      <c r="H51" s="278"/>
      <c r="I51" s="63" t="str">
        <f>A51</f>
        <v/>
      </c>
      <c r="J51" s="275">
        <f>IF($G51="1111",$F51,0)</f>
        <v>0</v>
      </c>
      <c r="K51" s="275">
        <f>IF($H51="1111",$F51,0)</f>
        <v>0</v>
      </c>
      <c r="L51" s="275">
        <f>IF($G51="1121",$F51,0)</f>
        <v>0</v>
      </c>
      <c r="M51" s="275">
        <f>IF($H51="1121",$F51,0)</f>
        <v>0</v>
      </c>
      <c r="N51" s="275">
        <f>IF($G51="1122",$F51,0)</f>
        <v>0</v>
      </c>
      <c r="O51" s="275">
        <f>IF($H51="1122",$F51,0)</f>
        <v>0</v>
      </c>
      <c r="P51" s="275">
        <f>IF($G51="131",$F51,0)</f>
        <v>0</v>
      </c>
      <c r="Q51" s="275">
        <f>IF($H51="131",$F51,0)</f>
        <v>0</v>
      </c>
      <c r="R51" s="275">
        <f>IF($G51="1331",$F51,0)</f>
        <v>0</v>
      </c>
      <c r="S51" s="275">
        <f>IF($H51="1331",$F51,0)</f>
        <v>0</v>
      </c>
      <c r="T51" s="275">
        <f>IF($G51="1388",$F51,0)</f>
        <v>0</v>
      </c>
      <c r="U51" s="275">
        <f>IF($H51="1388",$F51,0)</f>
        <v>0</v>
      </c>
      <c r="V51" s="275">
        <f>IF($G51="141",$F51,0)</f>
        <v>0</v>
      </c>
      <c r="W51" s="275">
        <f>IF($H51="141",$F51,0)</f>
        <v>0</v>
      </c>
      <c r="X51" s="275">
        <f>IF($G51="1521",$F51,0)</f>
        <v>0</v>
      </c>
      <c r="Y51" s="275">
        <f>IF($H51="1521",$F51,0)</f>
        <v>0</v>
      </c>
      <c r="Z51" s="275">
        <f>IF($G51="1522",$F51,0)</f>
        <v>0</v>
      </c>
      <c r="AA51" s="275">
        <f>IF($H51="1522",$F51,0)</f>
        <v>0</v>
      </c>
      <c r="AB51" s="275">
        <f>IF($G51="153",$F51,0)</f>
        <v>0</v>
      </c>
      <c r="AC51" s="275">
        <f>IF($H51="153",$F51,0)</f>
        <v>0</v>
      </c>
      <c r="AD51" s="275">
        <f>IF($G51="154",$F51,0)</f>
        <v>0</v>
      </c>
      <c r="AE51" s="275">
        <f>IF($H51="154",$F51,0)</f>
        <v>0</v>
      </c>
      <c r="AF51" s="275">
        <f>IF($G51="155",$F51,0)</f>
        <v>0</v>
      </c>
      <c r="AG51" s="275">
        <f>IF($H51="155",$F51,0)</f>
        <v>0</v>
      </c>
      <c r="AH51" s="275">
        <f>IF($G51="2111",$F51,0)</f>
        <v>0</v>
      </c>
      <c r="AI51" s="275">
        <f>IF($H51="2111",$F51,0)</f>
        <v>0</v>
      </c>
      <c r="AJ51" s="275">
        <f>IF($G51="2112",$F51,0)</f>
        <v>0</v>
      </c>
      <c r="AK51" s="275">
        <f>IF($H51="2112",$F51,0)</f>
        <v>0</v>
      </c>
      <c r="AL51" s="275">
        <f>IF($G51="2113",$F51,0)</f>
        <v>0</v>
      </c>
      <c r="AM51" s="275">
        <f>IF($H51="2113",$F51,0)</f>
        <v>0</v>
      </c>
      <c r="AN51" s="275">
        <f>IF($G51="2131",$F51,0)</f>
        <v>0</v>
      </c>
      <c r="AO51" s="275">
        <f>IF($H51="2131",$F51,0)</f>
        <v>0</v>
      </c>
      <c r="AP51" s="275">
        <f>IF($G51="2141",$F51,0)</f>
        <v>0</v>
      </c>
      <c r="AQ51" s="275">
        <f>IF($H51="2141",$F51,0)</f>
        <v>0</v>
      </c>
      <c r="AR51" s="275">
        <f>IF($G51="2143",$F51,0)</f>
        <v>0</v>
      </c>
      <c r="AS51" s="275">
        <f>IF($H51="2143",$F51,0)</f>
        <v>0</v>
      </c>
      <c r="AT51" s="275">
        <f>IF($G51="2412",$F51,0)</f>
        <v>0</v>
      </c>
      <c r="AU51" s="275">
        <f>IF($H51="2412",$F51,0)</f>
        <v>0</v>
      </c>
      <c r="AV51" s="275">
        <f>IF($G51="331",$F51,0)</f>
        <v>0</v>
      </c>
      <c r="AW51" s="275">
        <f>IF($H51="331",$F51,0)</f>
        <v>0</v>
      </c>
      <c r="AX51" s="275">
        <f>IF($G51="33311",$F51,0)</f>
        <v>0</v>
      </c>
      <c r="AY51" s="275">
        <f>IF($H51="33311",$F51,0)</f>
        <v>0</v>
      </c>
      <c r="AZ51" s="275">
        <f>IF($G51="33312",$F51,0)</f>
        <v>0</v>
      </c>
      <c r="BA51" s="275">
        <f>IF($H51="33312",$F51,0)</f>
        <v>0</v>
      </c>
      <c r="BB51" s="275">
        <f>IF($G51="3333",$F51,0)</f>
        <v>0</v>
      </c>
      <c r="BC51" s="275">
        <f>IF($H51="3333",$F51,0)</f>
        <v>0</v>
      </c>
      <c r="BD51" s="275">
        <f>IF($G51="3334",$F51,0)</f>
        <v>0</v>
      </c>
      <c r="BE51" s="275">
        <f>IF($H51="3334",$F51,0)</f>
        <v>0</v>
      </c>
      <c r="BF51" s="275">
        <f>IF($G51="3335",$F51,0)</f>
        <v>0</v>
      </c>
      <c r="BG51" s="275">
        <f>IF($H51="3335",$F51,0)</f>
        <v>0</v>
      </c>
      <c r="BH51" s="275">
        <f>IF($G51="33382",$F51,0)</f>
        <v>0</v>
      </c>
      <c r="BI51" s="275">
        <f>IF($H51="33382",$F51,0)</f>
        <v>0</v>
      </c>
      <c r="BJ51" s="275">
        <f>IF($G51="3341",$F51,0)</f>
        <v>0</v>
      </c>
      <c r="BK51" s="275">
        <f>IF($H51="3341",$F51,0)</f>
        <v>0</v>
      </c>
      <c r="BL51" s="275">
        <f>IF($G51="3383",$F51,0)</f>
        <v>0</v>
      </c>
      <c r="BM51" s="275">
        <f>IF($H51="3383",$F51,0)</f>
        <v>0</v>
      </c>
      <c r="BN51" s="275">
        <f>IF($G51="3384",$F51,0)</f>
        <v>0</v>
      </c>
      <c r="BO51" s="275">
        <f>IF($H51="3384",$F51,0)</f>
        <v>0</v>
      </c>
      <c r="BP51" s="275">
        <f>IF($G51="3386",$F51,0)</f>
        <v>0</v>
      </c>
      <c r="BQ51" s="275">
        <f>IF($H51="3386",$F51,0)</f>
        <v>0</v>
      </c>
      <c r="BR51" s="275">
        <f>IF($G51="3388",$F51,0)</f>
        <v>0</v>
      </c>
      <c r="BS51" s="275">
        <f>IF($H51="3388",$F51,0)</f>
        <v>0</v>
      </c>
      <c r="BT51" s="275">
        <f>IF($G51="3411",$F51,0)</f>
        <v>0</v>
      </c>
      <c r="BU51" s="275">
        <f>IF($H51="3411",$F51,0)</f>
        <v>0</v>
      </c>
      <c r="BV51" s="275">
        <f>IF($G51="3412",$F51,0)</f>
        <v>0</v>
      </c>
      <c r="BW51" s="275">
        <f>IF($H51="3412",$F51,0)</f>
        <v>0</v>
      </c>
      <c r="BX51" s="275">
        <f>IF($G51="4111",$F51,0)</f>
        <v>0</v>
      </c>
      <c r="BY51" s="275">
        <f>IF($H51="4111",$F51,0)</f>
        <v>0</v>
      </c>
      <c r="BZ51" s="275">
        <f>IF($G51="4211",$F51,0)</f>
        <v>0</v>
      </c>
      <c r="CA51" s="275">
        <f>IF($H51="4211",$F51,0)</f>
        <v>0</v>
      </c>
      <c r="CB51" s="275">
        <f>IF($G51="4212",$F51,0)</f>
        <v>0</v>
      </c>
      <c r="CC51" s="275">
        <f>IF($H51="4212",$F51,0)</f>
        <v>0</v>
      </c>
      <c r="CD51" s="275">
        <f>IF($G51="5112N",$F51,0)</f>
        <v>0</v>
      </c>
      <c r="CE51" s="275">
        <f>IF($H51="5112N",$F51,0)</f>
        <v>0</v>
      </c>
      <c r="CF51" s="275">
        <f>IF($G51="5112X",$F51,0)</f>
        <v>0</v>
      </c>
      <c r="CG51" s="275">
        <f>IF($H51="5112X",$F51,0)</f>
        <v>0</v>
      </c>
      <c r="CH51" s="275">
        <f>IF($G51="515",$F51,0)</f>
        <v>0</v>
      </c>
      <c r="CI51" s="275">
        <f>IF($H51="515",$F51,0)</f>
        <v>0</v>
      </c>
      <c r="CJ51" s="275">
        <f>IF($G51="5213",$F51,0)</f>
        <v>0</v>
      </c>
      <c r="CK51" s="275">
        <f>IF($H51="5213",$F51,0)</f>
        <v>0</v>
      </c>
      <c r="CL51" s="275">
        <f>IF($G51="632",$F51,0)</f>
        <v>0</v>
      </c>
      <c r="CM51" s="275">
        <f>IF($H51="632",$F51,0)</f>
        <v>0</v>
      </c>
      <c r="CN51" s="275">
        <f>IF($G51="635",$F51,0)</f>
        <v>0</v>
      </c>
      <c r="CO51" s="275">
        <f>IF($H51="635",$F51,0)</f>
        <v>0</v>
      </c>
      <c r="CP51" s="275">
        <f>IF($G51="641",$F51,0)</f>
        <v>0</v>
      </c>
      <c r="CQ51" s="275">
        <f>IF($H51="641",$F51,0)</f>
        <v>0</v>
      </c>
      <c r="CR51" s="275">
        <f>IF($G51="642",$F51,0)</f>
        <v>0</v>
      </c>
      <c r="CS51" s="275">
        <f>IF($H51="642",$F51,0)</f>
        <v>0</v>
      </c>
      <c r="CT51" s="275">
        <f>IF($G51="711",$F51,0)</f>
        <v>0</v>
      </c>
      <c r="CU51" s="275">
        <f>IF($H51="711",$F51,0)</f>
        <v>0</v>
      </c>
      <c r="CV51" s="275">
        <f>IF($G51="811",$F51,0)</f>
        <v>0</v>
      </c>
      <c r="CW51" s="275">
        <f>IF($H51="811",$F51,0)</f>
        <v>0</v>
      </c>
      <c r="CX51" s="275">
        <f>IF($G51="821",$F51,0)</f>
        <v>0</v>
      </c>
      <c r="CY51" s="275">
        <f>IF($H51="821",$F51,0)</f>
        <v>0</v>
      </c>
      <c r="CZ51" s="275">
        <f>IF($G51="911",$F51,0)</f>
        <v>0</v>
      </c>
      <c r="DA51" s="275">
        <f>IF($H51="911",$F51,0)</f>
        <v>0</v>
      </c>
    </row>
    <row r="52" spans="1:105" s="272" customFormat="1" ht="15.75" customHeight="1">
      <c r="A52" s="279"/>
      <c r="B52" s="279"/>
      <c r="C52" s="306"/>
      <c r="D52" s="279"/>
      <c r="E52" s="274" t="s">
        <v>174</v>
      </c>
      <c r="F52" s="279"/>
      <c r="G52" s="278"/>
      <c r="H52" s="278"/>
      <c r="I52" s="279"/>
      <c r="J52" s="279">
        <f t="shared" ref="J52:AO52" ca="1" si="99">SUM(J11:J51)</f>
        <v>0</v>
      </c>
      <c r="K52" s="279">
        <f t="shared" ca="1" si="99"/>
        <v>0</v>
      </c>
      <c r="L52" s="279">
        <f t="shared" ca="1" si="99"/>
        <v>0</v>
      </c>
      <c r="M52" s="279">
        <f t="shared" ca="1" si="99"/>
        <v>0</v>
      </c>
      <c r="N52" s="279">
        <f t="shared" ca="1" si="99"/>
        <v>0</v>
      </c>
      <c r="O52" s="279">
        <f t="shared" ca="1" si="99"/>
        <v>0</v>
      </c>
      <c r="P52" s="279">
        <f t="shared" ca="1" si="99"/>
        <v>0</v>
      </c>
      <c r="Q52" s="279">
        <f t="shared" ca="1" si="99"/>
        <v>0</v>
      </c>
      <c r="R52" s="279">
        <f t="shared" ca="1" si="99"/>
        <v>0</v>
      </c>
      <c r="S52" s="279">
        <f t="shared" ca="1" si="99"/>
        <v>0</v>
      </c>
      <c r="T52" s="279">
        <f t="shared" ca="1" si="99"/>
        <v>0</v>
      </c>
      <c r="U52" s="279">
        <f t="shared" ca="1" si="99"/>
        <v>0</v>
      </c>
      <c r="V52" s="279">
        <f t="shared" ca="1" si="99"/>
        <v>0</v>
      </c>
      <c r="W52" s="279">
        <f t="shared" ca="1" si="99"/>
        <v>0</v>
      </c>
      <c r="X52" s="279">
        <f t="shared" ca="1" si="99"/>
        <v>0</v>
      </c>
      <c r="Y52" s="279">
        <f t="shared" ca="1" si="99"/>
        <v>0</v>
      </c>
      <c r="Z52" s="279">
        <f t="shared" ca="1" si="99"/>
        <v>0</v>
      </c>
      <c r="AA52" s="279">
        <f t="shared" ca="1" si="99"/>
        <v>0</v>
      </c>
      <c r="AB52" s="279">
        <f t="shared" ca="1" si="99"/>
        <v>0</v>
      </c>
      <c r="AC52" s="279">
        <f t="shared" ca="1" si="99"/>
        <v>0</v>
      </c>
      <c r="AD52" s="279">
        <f t="shared" ca="1" si="99"/>
        <v>0</v>
      </c>
      <c r="AE52" s="279">
        <f t="shared" ca="1" si="99"/>
        <v>0</v>
      </c>
      <c r="AF52" s="279">
        <f t="shared" ca="1" si="99"/>
        <v>0</v>
      </c>
      <c r="AG52" s="279">
        <f t="shared" ca="1" si="99"/>
        <v>0</v>
      </c>
      <c r="AH52" s="279">
        <f t="shared" ca="1" si="99"/>
        <v>0</v>
      </c>
      <c r="AI52" s="279">
        <f t="shared" ca="1" si="99"/>
        <v>0</v>
      </c>
      <c r="AJ52" s="279">
        <f t="shared" ca="1" si="99"/>
        <v>0</v>
      </c>
      <c r="AK52" s="279">
        <f t="shared" ca="1" si="99"/>
        <v>0</v>
      </c>
      <c r="AL52" s="279">
        <f t="shared" ca="1" si="99"/>
        <v>0</v>
      </c>
      <c r="AM52" s="279">
        <f t="shared" ca="1" si="99"/>
        <v>0</v>
      </c>
      <c r="AN52" s="279">
        <f t="shared" ca="1" si="99"/>
        <v>0</v>
      </c>
      <c r="AO52" s="279">
        <f t="shared" ca="1" si="99"/>
        <v>0</v>
      </c>
      <c r="AP52" s="279">
        <f t="shared" ref="AP52:BU52" ca="1" si="100">SUM(AP11:AP51)</f>
        <v>0</v>
      </c>
      <c r="AQ52" s="279">
        <f t="shared" ca="1" si="100"/>
        <v>0</v>
      </c>
      <c r="AR52" s="279">
        <f t="shared" ca="1" si="100"/>
        <v>0</v>
      </c>
      <c r="AS52" s="279">
        <f t="shared" ca="1" si="100"/>
        <v>0</v>
      </c>
      <c r="AT52" s="279">
        <f t="shared" ca="1" si="100"/>
        <v>0</v>
      </c>
      <c r="AU52" s="279">
        <f t="shared" ca="1" si="100"/>
        <v>0</v>
      </c>
      <c r="AV52" s="279">
        <f t="shared" ca="1" si="100"/>
        <v>0</v>
      </c>
      <c r="AW52" s="279">
        <f t="shared" ca="1" si="100"/>
        <v>0</v>
      </c>
      <c r="AX52" s="279">
        <f t="shared" ca="1" si="100"/>
        <v>0</v>
      </c>
      <c r="AY52" s="279">
        <f t="shared" ca="1" si="100"/>
        <v>0</v>
      </c>
      <c r="AZ52" s="279">
        <f t="shared" ca="1" si="100"/>
        <v>0</v>
      </c>
      <c r="BA52" s="279">
        <f t="shared" ca="1" si="100"/>
        <v>0</v>
      </c>
      <c r="BB52" s="279">
        <f t="shared" ca="1" si="100"/>
        <v>0</v>
      </c>
      <c r="BC52" s="279">
        <f t="shared" ca="1" si="100"/>
        <v>0</v>
      </c>
      <c r="BD52" s="279">
        <f t="shared" ca="1" si="100"/>
        <v>0</v>
      </c>
      <c r="BE52" s="279">
        <f t="shared" ca="1" si="100"/>
        <v>0</v>
      </c>
      <c r="BF52" s="279">
        <f t="shared" ca="1" si="100"/>
        <v>0</v>
      </c>
      <c r="BG52" s="279">
        <f t="shared" ca="1" si="100"/>
        <v>0</v>
      </c>
      <c r="BH52" s="279">
        <f t="shared" ca="1" si="100"/>
        <v>0</v>
      </c>
      <c r="BI52" s="279">
        <f t="shared" ca="1" si="100"/>
        <v>0</v>
      </c>
      <c r="BJ52" s="279">
        <f t="shared" ca="1" si="100"/>
        <v>0</v>
      </c>
      <c r="BK52" s="279">
        <f t="shared" ca="1" si="100"/>
        <v>0</v>
      </c>
      <c r="BL52" s="279">
        <f t="shared" ca="1" si="100"/>
        <v>0</v>
      </c>
      <c r="BM52" s="279">
        <f t="shared" ca="1" si="100"/>
        <v>0</v>
      </c>
      <c r="BN52" s="279">
        <f t="shared" ca="1" si="100"/>
        <v>0</v>
      </c>
      <c r="BO52" s="279">
        <f t="shared" ca="1" si="100"/>
        <v>0</v>
      </c>
      <c r="BP52" s="279">
        <f t="shared" ca="1" si="100"/>
        <v>0</v>
      </c>
      <c r="BQ52" s="279">
        <f t="shared" ca="1" si="100"/>
        <v>0</v>
      </c>
      <c r="BR52" s="279">
        <f t="shared" ca="1" si="100"/>
        <v>0</v>
      </c>
      <c r="BS52" s="279">
        <f t="shared" ca="1" si="100"/>
        <v>0</v>
      </c>
      <c r="BT52" s="279">
        <f t="shared" ca="1" si="100"/>
        <v>0</v>
      </c>
      <c r="BU52" s="279">
        <f t="shared" ca="1" si="100"/>
        <v>0</v>
      </c>
      <c r="BV52" s="279">
        <f t="shared" ref="BV52:DA52" ca="1" si="101">SUM(BV11:BV51)</f>
        <v>0</v>
      </c>
      <c r="BW52" s="279">
        <f t="shared" ca="1" si="101"/>
        <v>0</v>
      </c>
      <c r="BX52" s="279">
        <f t="shared" ca="1" si="101"/>
        <v>0</v>
      </c>
      <c r="BY52" s="279">
        <f t="shared" ca="1" si="101"/>
        <v>0</v>
      </c>
      <c r="BZ52" s="279">
        <f t="shared" ca="1" si="101"/>
        <v>0</v>
      </c>
      <c r="CA52" s="279">
        <f t="shared" ca="1" si="101"/>
        <v>0</v>
      </c>
      <c r="CB52" s="279">
        <f t="shared" ca="1" si="101"/>
        <v>0</v>
      </c>
      <c r="CC52" s="279">
        <f t="shared" ca="1" si="101"/>
        <v>0</v>
      </c>
      <c r="CD52" s="279">
        <f t="shared" ca="1" si="101"/>
        <v>0</v>
      </c>
      <c r="CE52" s="279">
        <f t="shared" ca="1" si="101"/>
        <v>0</v>
      </c>
      <c r="CF52" s="279">
        <f t="shared" ca="1" si="101"/>
        <v>0</v>
      </c>
      <c r="CG52" s="279">
        <f t="shared" ca="1" si="101"/>
        <v>0</v>
      </c>
      <c r="CH52" s="279">
        <f t="shared" ca="1" si="101"/>
        <v>0</v>
      </c>
      <c r="CI52" s="279">
        <f t="shared" ca="1" si="101"/>
        <v>0</v>
      </c>
      <c r="CJ52" s="279">
        <f t="shared" ca="1" si="101"/>
        <v>0</v>
      </c>
      <c r="CK52" s="279">
        <f t="shared" ca="1" si="101"/>
        <v>0</v>
      </c>
      <c r="CL52" s="279">
        <f t="shared" ca="1" si="101"/>
        <v>0</v>
      </c>
      <c r="CM52" s="279">
        <f t="shared" ca="1" si="101"/>
        <v>0</v>
      </c>
      <c r="CN52" s="279">
        <f t="shared" ca="1" si="101"/>
        <v>0</v>
      </c>
      <c r="CO52" s="279">
        <f t="shared" ca="1" si="101"/>
        <v>0</v>
      </c>
      <c r="CP52" s="279">
        <f t="shared" ca="1" si="101"/>
        <v>0</v>
      </c>
      <c r="CQ52" s="279">
        <f t="shared" ca="1" si="101"/>
        <v>0</v>
      </c>
      <c r="CR52" s="279">
        <f t="shared" ca="1" si="101"/>
        <v>0</v>
      </c>
      <c r="CS52" s="279">
        <f t="shared" ca="1" si="101"/>
        <v>0</v>
      </c>
      <c r="CT52" s="279">
        <f t="shared" ca="1" si="101"/>
        <v>0</v>
      </c>
      <c r="CU52" s="279">
        <f t="shared" ca="1" si="101"/>
        <v>0</v>
      </c>
      <c r="CV52" s="279">
        <f t="shared" ca="1" si="101"/>
        <v>0</v>
      </c>
      <c r="CW52" s="279">
        <f t="shared" ca="1" si="101"/>
        <v>0</v>
      </c>
      <c r="CX52" s="279">
        <f t="shared" ca="1" si="101"/>
        <v>0</v>
      </c>
      <c r="CY52" s="279">
        <f t="shared" ca="1" si="101"/>
        <v>0</v>
      </c>
      <c r="CZ52" s="279">
        <f t="shared" ca="1" si="101"/>
        <v>0</v>
      </c>
      <c r="DA52" s="279">
        <f t="shared" ca="1" si="101"/>
        <v>0</v>
      </c>
    </row>
    <row r="53" spans="1:105" s="272" customFormat="1" ht="15.75" customHeight="1">
      <c r="A53" s="280"/>
      <c r="B53" s="280"/>
      <c r="C53" s="280"/>
      <c r="D53" s="280"/>
      <c r="E53" s="281" t="s">
        <v>215</v>
      </c>
      <c r="F53" s="280"/>
      <c r="G53" s="282"/>
      <c r="H53" s="282"/>
      <c r="I53" s="280"/>
      <c r="J53" s="302">
        <f ca="1">MAX(J10+J52-K10-K52,0)</f>
        <v>3705039095</v>
      </c>
      <c r="K53" s="302">
        <f ca="1">MAX(K10+K52-J10-J52,0)</f>
        <v>0</v>
      </c>
      <c r="L53" s="302">
        <f ca="1">MAX(L10+L52-M10-M52,0)</f>
        <v>19829295</v>
      </c>
      <c r="M53" s="302">
        <f ca="1">MAX(M10+M52-L10-L52,0)</f>
        <v>0</v>
      </c>
      <c r="N53" s="302">
        <f ca="1">MAX(N10+N52-O10-O52,0)</f>
        <v>2236796790</v>
      </c>
      <c r="O53" s="302">
        <f ca="1">MAX(O10+O52-N10-N52,0)</f>
        <v>0</v>
      </c>
      <c r="P53" s="302">
        <f ca="1">MAX(P10+P52-Q10-Q52,0)</f>
        <v>3343381600</v>
      </c>
      <c r="Q53" s="302">
        <f ca="1">MAX(Q10+Q52-P10-P52,0)</f>
        <v>0</v>
      </c>
      <c r="R53" s="302">
        <f ca="1">MAX(R10+R52-S10-S52,0)</f>
        <v>162420936</v>
      </c>
      <c r="S53" s="302">
        <f ca="1">MAX(S10+S52-R10-R52,0)</f>
        <v>0</v>
      </c>
      <c r="T53" s="302">
        <f ca="1">MAX(T10+T52-U10-U52,0)</f>
        <v>1500000000</v>
      </c>
      <c r="U53" s="302">
        <f ca="1">MAX(U10+U52-T10-T52,0)</f>
        <v>0</v>
      </c>
      <c r="V53" s="302">
        <f ca="1">MAX(V10+V52-W10-W52,0)</f>
        <v>0</v>
      </c>
      <c r="W53" s="302">
        <f ca="1">MAX(W10+W52-V10-V52,0)</f>
        <v>0</v>
      </c>
      <c r="X53" s="302">
        <f ca="1">MAX(X10+X52-Y10-Y52,0)</f>
        <v>2772400000</v>
      </c>
      <c r="Y53" s="302">
        <f ca="1">MAX(Y10+Y52-X10-X52,0)</f>
        <v>0</v>
      </c>
      <c r="Z53" s="302">
        <f ca="1">MAX(Z10+Z52-AA10-AA52,0)</f>
        <v>526519887</v>
      </c>
      <c r="AA53" s="302">
        <f ca="1">MAX(AA10+AA52-Z10-Z52,0)</f>
        <v>0</v>
      </c>
      <c r="AB53" s="302">
        <f ca="1">MAX(AB10+AB52-AC10-AC52,0)</f>
        <v>0</v>
      </c>
      <c r="AC53" s="302">
        <f ca="1">MAX(AC10+AC52-AB10-AB52,0)</f>
        <v>0</v>
      </c>
      <c r="AD53" s="302">
        <f ca="1">MAX(AD10+AD52-AE10-AE52,0)</f>
        <v>0</v>
      </c>
      <c r="AE53" s="302">
        <f ca="1">MAX(AE10+AE52-AD10-AD52,0)</f>
        <v>0</v>
      </c>
      <c r="AF53" s="302">
        <f ca="1">MAX(AF10+AF52-AG10-AG52,0)</f>
        <v>9386323824</v>
      </c>
      <c r="AG53" s="302">
        <f ca="1">MAX(AG10+AG52-AF10-AF52,0)</f>
        <v>0</v>
      </c>
      <c r="AH53" s="302">
        <f ca="1">MAX(AH10+AH52-AI10-AI52,0)</f>
        <v>7490743648</v>
      </c>
      <c r="AI53" s="302">
        <f ca="1">MAX(AI10+AI52-AH10-AH52,0)</f>
        <v>0</v>
      </c>
      <c r="AJ53" s="302">
        <f ca="1">MAX(AJ10+AJ52-AK10-AK52,0)</f>
        <v>3807898863</v>
      </c>
      <c r="AK53" s="302">
        <f ca="1">MAX(AK10+AK52-AJ10-AJ52,0)</f>
        <v>0</v>
      </c>
      <c r="AL53" s="302">
        <f ca="1">MAX(AL10+AL52-AM10-AM52,0)</f>
        <v>3790918485</v>
      </c>
      <c r="AM53" s="302">
        <f ca="1">MAX(AM10+AM52-AL10-AL52,0)</f>
        <v>0</v>
      </c>
      <c r="AN53" s="302">
        <f ca="1">MAX(AN10+AN52-AO10-AO52,0)</f>
        <v>5405781300</v>
      </c>
      <c r="AO53" s="302">
        <f ca="1">MAX(AO10+AO52-AN10-AN52,0)</f>
        <v>0</v>
      </c>
      <c r="AP53" s="302">
        <f ca="1">MAX(AP10+AP52-AQ10-AQ52,0)</f>
        <v>0</v>
      </c>
      <c r="AQ53" s="302">
        <f ca="1">MAX(AQ10+AQ52-AP10-AP52,0)</f>
        <v>9132359256</v>
      </c>
      <c r="AR53" s="302">
        <f ca="1">MAX(AR10+AR52-AS10-AS52,0)</f>
        <v>0</v>
      </c>
      <c r="AS53" s="302">
        <f ca="1">MAX(AS10+AS52-AR10-AR52,0)</f>
        <v>600642360</v>
      </c>
      <c r="AT53" s="302">
        <f ca="1">MAX(AT10+AT52-AU10-AU52,0)</f>
        <v>0</v>
      </c>
      <c r="AU53" s="302">
        <f ca="1">MAX(AU10+AU52-AT10-AT52,0)</f>
        <v>0</v>
      </c>
      <c r="AV53" s="302">
        <f ca="1">MAX(AV10+AV52-AW10-AW52,0)</f>
        <v>0</v>
      </c>
      <c r="AW53" s="302">
        <f ca="1">MAX(AW10+AW52-AV10-AV52,0)</f>
        <v>476953252</v>
      </c>
      <c r="AX53" s="302">
        <f ca="1">MAX(AX10+AX52-AY10-AY52,0)</f>
        <v>0</v>
      </c>
      <c r="AY53" s="302">
        <f ca="1">MAX(AY10+AY52-AX10-AX52,0)</f>
        <v>0</v>
      </c>
      <c r="AZ53" s="302">
        <f ca="1">MAX(AZ10+AZ52-BA10-BA52,0)</f>
        <v>0</v>
      </c>
      <c r="BA53" s="302">
        <f ca="1">MAX(BA10+BA52-AZ10-AZ52,0)</f>
        <v>0</v>
      </c>
      <c r="BB53" s="302">
        <f ca="1">MAX(BB10+BB52-BC10-BC52,0)</f>
        <v>0</v>
      </c>
      <c r="BC53" s="302">
        <f ca="1">MAX(BC10+BC52-BB10-BB52,0)</f>
        <v>0</v>
      </c>
      <c r="BD53" s="302">
        <f ca="1">MAX(BD10+BD52-BE10-BE52,0)</f>
        <v>0</v>
      </c>
      <c r="BE53" s="302">
        <f ca="1">MAX(BE10+BE52-BD10-BD52,0)</f>
        <v>3313435</v>
      </c>
      <c r="BF53" s="302">
        <f ca="1">MAX(BF10+BF52-BG10-BG52,0)</f>
        <v>3389804</v>
      </c>
      <c r="BG53" s="302">
        <f ca="1">MAX(BG10+BG52-BF10-BF52,0)</f>
        <v>0</v>
      </c>
      <c r="BH53" s="302">
        <f ca="1">MAX(BH10+BH52-BI10-BI52,0)</f>
        <v>0</v>
      </c>
      <c r="BI53" s="302">
        <f ca="1">MAX(BI10+BI52-BH10-BH52,0)</f>
        <v>0</v>
      </c>
      <c r="BJ53" s="302">
        <f ca="1">MAX(BJ10+BJ52-BK10-BK52,0)</f>
        <v>0</v>
      </c>
      <c r="BK53" s="302">
        <f ca="1">MAX(BK10+BK52-BJ10-BJ52,0)</f>
        <v>0</v>
      </c>
      <c r="BL53" s="302">
        <f ca="1">MAX(BL10+BL52-BM10-BM52,0)</f>
        <v>0</v>
      </c>
      <c r="BM53" s="302">
        <f ca="1">MAX(BM10+BM52-BL10-BL52,0)</f>
        <v>40272309</v>
      </c>
      <c r="BN53" s="302">
        <f ca="1">MAX(BN10+BN52-BO10-BO52,0)</f>
        <v>0</v>
      </c>
      <c r="BO53" s="302">
        <f ca="1">MAX(BO10+BO52-BN10-BN52,0)</f>
        <v>6403142</v>
      </c>
      <c r="BP53" s="302">
        <f ca="1">MAX(BP10+BP52-BQ10-BQ52,0)</f>
        <v>0</v>
      </c>
      <c r="BQ53" s="302">
        <f ca="1">MAX(BQ10+BQ52-BP10-BP52,0)</f>
        <v>2761373</v>
      </c>
      <c r="BR53" s="302">
        <f ca="1">MAX(BR10+BR52-BS10-BS52,0)</f>
        <v>0</v>
      </c>
      <c r="BS53" s="302">
        <f ca="1">MAX(BS10+BS52-BR10-BR52,0)</f>
        <v>0</v>
      </c>
      <c r="BT53" s="302">
        <f ca="1">MAX(BT10+BT52-BU10-BU52,0)</f>
        <v>0</v>
      </c>
      <c r="BU53" s="302">
        <f ca="1">MAX(BU10+BU52-BT10-BT52,0)</f>
        <v>2169121879</v>
      </c>
      <c r="BV53" s="302">
        <f ca="1">MAX(BV10+BV52-BW10-BW52,0)</f>
        <v>0</v>
      </c>
      <c r="BW53" s="302">
        <f ca="1">MAX(BW10+BW52-BV10-BV52,0)</f>
        <v>21202920500</v>
      </c>
      <c r="BX53" s="302">
        <f ca="1">MAX(BX10+BX52-BY10-BY52,0)</f>
        <v>0</v>
      </c>
      <c r="BY53" s="302">
        <f ca="1">MAX(BY10+BY52-BX10-BX52,0)</f>
        <v>10000000000</v>
      </c>
      <c r="BZ53" s="302">
        <f ca="1">MAX(BZ10+BZ52-CA10-CA52,0)</f>
        <v>0</v>
      </c>
      <c r="CA53" s="302">
        <f ca="1">MAX(CA10+CA52-BZ10-BZ52,0)</f>
        <v>594397022.00000048</v>
      </c>
      <c r="CB53" s="302">
        <f ca="1">MAX(CB10+CB52-CC10-CC52,0)</f>
        <v>77701001</v>
      </c>
      <c r="CC53" s="302">
        <f ca="1">MAX(CC10+CC52-CB10-CB52,0)</f>
        <v>0</v>
      </c>
      <c r="CD53" s="302">
        <f ca="1">MAX(CD10+CD52-CE10-CE52,0)</f>
        <v>0</v>
      </c>
      <c r="CE53" s="302">
        <f ca="1">MAX(CE10+CE52-CD10-CD52,0)</f>
        <v>0</v>
      </c>
      <c r="CF53" s="302">
        <f ca="1">MAX(CF10+CF52-CG10-CG52,0)</f>
        <v>0</v>
      </c>
      <c r="CG53" s="302">
        <f ca="1">MAX(CG10+CG52-CF10-CF52,0)</f>
        <v>0</v>
      </c>
      <c r="CH53" s="302">
        <f ca="1">MAX(CH10+CH52-CI10-CI52,0)</f>
        <v>0</v>
      </c>
      <c r="CI53" s="302">
        <f ca="1">MAX(CI10+CI52-CH10-CH52,0)</f>
        <v>0</v>
      </c>
      <c r="CJ53" s="302">
        <f ca="1">MAX(CJ10+CJ52-CK10-CK52,0)</f>
        <v>0</v>
      </c>
      <c r="CK53" s="302">
        <f ca="1">MAX(CK10+CK52-CJ10-CJ52,0)</f>
        <v>0</v>
      </c>
      <c r="CL53" s="302">
        <f ca="1">MAX(CL10+CL52-CM10-CM52,0)</f>
        <v>0</v>
      </c>
      <c r="CM53" s="302">
        <f ca="1">MAX(CM10+CM52-CL10-CL52,0)</f>
        <v>0</v>
      </c>
      <c r="CN53" s="302">
        <f ca="1">MAX(CN10+CN52-CO10-CO52,0)</f>
        <v>0</v>
      </c>
      <c r="CO53" s="302">
        <f ca="1">MAX(CO10+CO52-CN10-CN52,0)</f>
        <v>0</v>
      </c>
      <c r="CP53" s="302">
        <f ca="1">MAX(CP10+CP52-CQ10-CQ52,0)</f>
        <v>0</v>
      </c>
      <c r="CQ53" s="302">
        <f ca="1">MAX(CQ10+CQ52-CP10-CP52,0)</f>
        <v>0</v>
      </c>
      <c r="CR53" s="302">
        <f ca="1">MAX(CR10+CR52-CS10-CS52,0)</f>
        <v>0</v>
      </c>
      <c r="CS53" s="302">
        <f ca="1">MAX(CS10+CS52-CR10-CR52,0)</f>
        <v>0</v>
      </c>
      <c r="CT53" s="302">
        <f ca="1">MAX(CT10+CT52-CU10-CU52,0)</f>
        <v>0</v>
      </c>
      <c r="CU53" s="302">
        <f ca="1">MAX(CU10+CU52-CT10-CT52,0)</f>
        <v>0</v>
      </c>
      <c r="CV53" s="302">
        <f ca="1">MAX(CV10+CV52-CW10-CW52,0)</f>
        <v>0</v>
      </c>
      <c r="CW53" s="302">
        <f ca="1">MAX(CW10+CW52-CV10-CV52,0)</f>
        <v>0</v>
      </c>
      <c r="CX53" s="302">
        <f ca="1">MAX(CX10+CX52-CY10-CY52,0)</f>
        <v>0</v>
      </c>
      <c r="CY53" s="302">
        <f ca="1">MAX(CY10+CY52-CX10-CX52,0)</f>
        <v>0</v>
      </c>
      <c r="CZ53" s="302">
        <f ca="1">MAX(CZ10+CZ52-DA10-DA52,0)</f>
        <v>0</v>
      </c>
      <c r="DA53" s="302">
        <f ca="1">MAX(DA10+DA52-CZ10-CZ52,0)</f>
        <v>0</v>
      </c>
    </row>
    <row r="54" spans="1:105" s="272" customFormat="1" ht="15.75" customHeight="1">
      <c r="A54" s="284"/>
      <c r="B54" s="284"/>
      <c r="C54" s="285"/>
      <c r="D54" s="284"/>
      <c r="E54" s="286" t="s">
        <v>216</v>
      </c>
      <c r="F54" s="284"/>
      <c r="G54" s="287"/>
      <c r="H54" s="287"/>
      <c r="I54" s="284"/>
      <c r="J54" s="284">
        <f ca="1">J52+'SC-II'!J54</f>
        <v>0</v>
      </c>
      <c r="K54" s="284">
        <f ca="1">K52+'SC-II'!K54</f>
        <v>0</v>
      </c>
      <c r="L54" s="284">
        <f ca="1">L52+'SC-II'!L54</f>
        <v>0</v>
      </c>
      <c r="M54" s="284">
        <f ca="1">M52+'SC-II'!M54</f>
        <v>0</v>
      </c>
      <c r="N54" s="284">
        <f ca="1">N52+'SC-II'!N54</f>
        <v>0</v>
      </c>
      <c r="O54" s="284">
        <f ca="1">O52+'SC-II'!O54</f>
        <v>0</v>
      </c>
      <c r="P54" s="284">
        <f ca="1">P52+'SC-II'!P54</f>
        <v>0</v>
      </c>
      <c r="Q54" s="284">
        <f ca="1">Q52+'SC-II'!Q54</f>
        <v>0</v>
      </c>
      <c r="R54" s="284">
        <f ca="1">R52+'SC-II'!R54</f>
        <v>0</v>
      </c>
      <c r="S54" s="284">
        <f ca="1">S52+'SC-II'!S54</f>
        <v>0</v>
      </c>
      <c r="T54" s="284">
        <f ca="1">T52+'SC-II'!T54</f>
        <v>0</v>
      </c>
      <c r="U54" s="284">
        <f ca="1">U52+'SC-II'!U54</f>
        <v>0</v>
      </c>
      <c r="V54" s="284">
        <f ca="1">V52+'SC-II'!V54</f>
        <v>0</v>
      </c>
      <c r="W54" s="284">
        <f ca="1">W52+'SC-II'!W54</f>
        <v>0</v>
      </c>
      <c r="X54" s="284">
        <f ca="1">X52+'SC-II'!X54</f>
        <v>0</v>
      </c>
      <c r="Y54" s="284">
        <f ca="1">Y52+'SC-II'!Y54</f>
        <v>0</v>
      </c>
      <c r="Z54" s="284">
        <f ca="1">Z52+'SC-II'!Z54</f>
        <v>0</v>
      </c>
      <c r="AA54" s="284">
        <f ca="1">AA52+'SC-II'!AA54</f>
        <v>0</v>
      </c>
      <c r="AB54" s="284">
        <f ca="1">AB52+'SC-II'!AB54</f>
        <v>0</v>
      </c>
      <c r="AC54" s="284">
        <f ca="1">AC52+'SC-II'!AC54</f>
        <v>0</v>
      </c>
      <c r="AD54" s="284">
        <f ca="1">AD52+'SC-II'!AD54</f>
        <v>0</v>
      </c>
      <c r="AE54" s="284">
        <f ca="1">AE52+'SC-II'!AE54</f>
        <v>0</v>
      </c>
      <c r="AF54" s="284">
        <f ca="1">AF52+'SC-II'!AF54</f>
        <v>0</v>
      </c>
      <c r="AG54" s="284">
        <f ca="1">AG52+'SC-II'!AG54</f>
        <v>0</v>
      </c>
      <c r="AH54" s="284">
        <f ca="1">AH52+'SC-II'!AH54</f>
        <v>0</v>
      </c>
      <c r="AI54" s="284">
        <f ca="1">AI52+'SC-II'!AI54</f>
        <v>0</v>
      </c>
      <c r="AJ54" s="284">
        <f ca="1">AJ52+'SC-II'!AJ54</f>
        <v>0</v>
      </c>
      <c r="AK54" s="284">
        <f ca="1">AK52+'SC-II'!AK54</f>
        <v>0</v>
      </c>
      <c r="AL54" s="284">
        <f ca="1">AL52+'SC-II'!AL54</f>
        <v>0</v>
      </c>
      <c r="AM54" s="284">
        <f ca="1">AM52+'SC-II'!AM54</f>
        <v>0</v>
      </c>
      <c r="AN54" s="284">
        <f ca="1">AN52+'SC-II'!AN54</f>
        <v>0</v>
      </c>
      <c r="AO54" s="284">
        <f ca="1">AO52+'SC-II'!AO54</f>
        <v>0</v>
      </c>
      <c r="AP54" s="284">
        <f ca="1">AP52+'SC-II'!AP54</f>
        <v>0</v>
      </c>
      <c r="AQ54" s="284">
        <f ca="1">AQ52+'SC-II'!AQ54</f>
        <v>0</v>
      </c>
      <c r="AR54" s="284">
        <f ca="1">AR52+'SC-II'!AR54</f>
        <v>0</v>
      </c>
      <c r="AS54" s="284">
        <f ca="1">AS52+'SC-II'!AS54</f>
        <v>0</v>
      </c>
      <c r="AT54" s="284">
        <f ca="1">AT52+'SC-II'!AT54</f>
        <v>0</v>
      </c>
      <c r="AU54" s="284">
        <f ca="1">AU52+'SC-II'!AU54</f>
        <v>0</v>
      </c>
      <c r="AV54" s="284">
        <f ca="1">AV52+'SC-II'!AV54</f>
        <v>0</v>
      </c>
      <c r="AW54" s="284">
        <f ca="1">AW52+'SC-II'!AW54</f>
        <v>0</v>
      </c>
      <c r="AX54" s="284">
        <f ca="1">AX52+'SC-II'!AX54</f>
        <v>0</v>
      </c>
      <c r="AY54" s="284">
        <f ca="1">AY52+'SC-II'!AY54</f>
        <v>0</v>
      </c>
      <c r="AZ54" s="284">
        <f ca="1">AZ52+'SC-II'!AZ54</f>
        <v>0</v>
      </c>
      <c r="BA54" s="284">
        <f ca="1">BA52+'SC-II'!BA54</f>
        <v>0</v>
      </c>
      <c r="BB54" s="284">
        <f ca="1">BB52+'SC-II'!BB54</f>
        <v>0</v>
      </c>
      <c r="BC54" s="284">
        <f ca="1">BC52+'SC-II'!BC54</f>
        <v>0</v>
      </c>
      <c r="BD54" s="284">
        <f ca="1">BD52+'SC-II'!BD54</f>
        <v>0</v>
      </c>
      <c r="BE54" s="284">
        <f ca="1">BE52+'SC-II'!BE54</f>
        <v>0</v>
      </c>
      <c r="BF54" s="284">
        <f ca="1">BF52+'SC-II'!BF54</f>
        <v>0</v>
      </c>
      <c r="BG54" s="284">
        <f ca="1">BG52+'SC-II'!BG54</f>
        <v>0</v>
      </c>
      <c r="BH54" s="284">
        <f ca="1">BH52+'SC-II'!BH54</f>
        <v>0</v>
      </c>
      <c r="BI54" s="284">
        <f ca="1">BI52+'SC-II'!BI54</f>
        <v>0</v>
      </c>
      <c r="BJ54" s="284">
        <f ca="1">BJ52+'SC-II'!BJ54</f>
        <v>0</v>
      </c>
      <c r="BK54" s="284">
        <f ca="1">BK52+'SC-II'!BK54</f>
        <v>0</v>
      </c>
      <c r="BL54" s="284">
        <f ca="1">BL52+'SC-II'!BL54</f>
        <v>0</v>
      </c>
      <c r="BM54" s="284">
        <f ca="1">BM52+'SC-II'!BM54</f>
        <v>0</v>
      </c>
      <c r="BN54" s="284">
        <f ca="1">BN52+'SC-II'!BN54</f>
        <v>0</v>
      </c>
      <c r="BO54" s="284">
        <f ca="1">BO52+'SC-II'!BO54</f>
        <v>0</v>
      </c>
      <c r="BP54" s="284">
        <f ca="1">BP52+'SC-II'!BP54</f>
        <v>0</v>
      </c>
      <c r="BQ54" s="284">
        <f ca="1">BQ52+'SC-II'!BQ54</f>
        <v>0</v>
      </c>
      <c r="BR54" s="284">
        <f ca="1">BR52+'SC-II'!BR54</f>
        <v>0</v>
      </c>
      <c r="BS54" s="284">
        <f ca="1">BS52+'SC-II'!BS54</f>
        <v>0</v>
      </c>
      <c r="BT54" s="284">
        <f ca="1">BT52+'SC-II'!BT54</f>
        <v>0</v>
      </c>
      <c r="BU54" s="284">
        <f ca="1">BU52+'SC-II'!BU54</f>
        <v>0</v>
      </c>
      <c r="BV54" s="284">
        <f ca="1">BV52+'SC-II'!BV54</f>
        <v>0</v>
      </c>
      <c r="BW54" s="284">
        <f ca="1">BW52+'SC-II'!BW54</f>
        <v>0</v>
      </c>
      <c r="BX54" s="284">
        <f ca="1">BX52+'SC-II'!BX54</f>
        <v>0</v>
      </c>
      <c r="BY54" s="284">
        <f ca="1">BY52+'SC-II'!BY54</f>
        <v>0</v>
      </c>
      <c r="BZ54" s="284">
        <f ca="1">BZ52+'SC-II'!BZ54</f>
        <v>0</v>
      </c>
      <c r="CA54" s="284">
        <f ca="1">CA52+'SC-II'!CA54</f>
        <v>107861885.00000048</v>
      </c>
      <c r="CB54" s="284">
        <f ca="1">CB52+'SC-II'!CB54</f>
        <v>107861885.00000048</v>
      </c>
      <c r="CC54" s="284">
        <f ca="1">CC52+'SC-II'!CC54</f>
        <v>0</v>
      </c>
      <c r="CD54" s="284">
        <f ca="1">CD52+'SC-II'!CD54</f>
        <v>0</v>
      </c>
      <c r="CE54" s="284">
        <f ca="1">CE52+'SC-II'!CE54</f>
        <v>0</v>
      </c>
      <c r="CF54" s="284">
        <f ca="1">CF52+'SC-II'!CF54</f>
        <v>0</v>
      </c>
      <c r="CG54" s="284">
        <f ca="1">CG52+'SC-II'!CG54</f>
        <v>0</v>
      </c>
      <c r="CH54" s="284">
        <f ca="1">CH52+'SC-II'!CH54</f>
        <v>0</v>
      </c>
      <c r="CI54" s="284">
        <f ca="1">CI52+'SC-II'!CI54</f>
        <v>0</v>
      </c>
      <c r="CJ54" s="284">
        <f ca="1">CJ52+'SC-II'!CJ54</f>
        <v>0</v>
      </c>
      <c r="CK54" s="284">
        <f ca="1">CK52+'SC-II'!CK54</f>
        <v>0</v>
      </c>
      <c r="CL54" s="284">
        <f ca="1">CL52+'SC-II'!CL54</f>
        <v>0</v>
      </c>
      <c r="CM54" s="284">
        <f ca="1">CM52+'SC-II'!CM54</f>
        <v>0</v>
      </c>
      <c r="CN54" s="284">
        <f ca="1">CN52+'SC-II'!CN54</f>
        <v>0</v>
      </c>
      <c r="CO54" s="284">
        <f ca="1">CO52+'SC-II'!CO54</f>
        <v>0</v>
      </c>
      <c r="CP54" s="284">
        <f ca="1">CP52+'SC-II'!CP54</f>
        <v>0</v>
      </c>
      <c r="CQ54" s="284">
        <f ca="1">CQ52+'SC-II'!CQ54</f>
        <v>0</v>
      </c>
      <c r="CR54" s="284">
        <f ca="1">CR52+'SC-II'!CR54</f>
        <v>0</v>
      </c>
      <c r="CS54" s="284">
        <f ca="1">CS52+'SC-II'!CS54</f>
        <v>0</v>
      </c>
      <c r="CT54" s="284">
        <f ca="1">CT52+'SC-II'!CT54</f>
        <v>0</v>
      </c>
      <c r="CU54" s="284">
        <f ca="1">CU52+'SC-II'!CU54</f>
        <v>0</v>
      </c>
      <c r="CV54" s="284">
        <f ca="1">CV52+'SC-II'!CV54</f>
        <v>0</v>
      </c>
      <c r="CW54" s="284">
        <f ca="1">CW52+'SC-II'!CW54</f>
        <v>0</v>
      </c>
      <c r="CX54" s="284">
        <f ca="1">CX52+'SC-II'!CX54</f>
        <v>0</v>
      </c>
      <c r="CY54" s="284">
        <f ca="1">CY52+'SC-II'!CY54</f>
        <v>0</v>
      </c>
      <c r="CZ54" s="284">
        <f ca="1">CZ52+'SC-II'!CZ54</f>
        <v>0</v>
      </c>
      <c r="DA54" s="284">
        <f ca="1">DA52+'SC-II'!DA54</f>
        <v>0</v>
      </c>
    </row>
    <row r="55" spans="1:105" ht="12" customHeight="1">
      <c r="B55" s="289"/>
      <c r="C55" s="290"/>
      <c r="D55" s="290"/>
      <c r="E55" s="290"/>
      <c r="F55" s="290"/>
      <c r="G55" s="291"/>
      <c r="H55" s="291"/>
      <c r="I55" s="290"/>
      <c r="J55" s="290"/>
      <c r="K55" s="290"/>
      <c r="AR55" s="289"/>
      <c r="AS55" s="289"/>
      <c r="AT55" s="290"/>
      <c r="AU55" s="290"/>
      <c r="AV55" s="290"/>
      <c r="AW55" s="291"/>
      <c r="AX55" s="291"/>
      <c r="AY55" s="291"/>
      <c r="AZ55" s="291"/>
      <c r="BA55" s="307"/>
    </row>
    <row r="56" spans="1:105">
      <c r="F56" s="253"/>
      <c r="M56" s="292"/>
      <c r="O56" s="292"/>
      <c r="Q56" s="292"/>
      <c r="R56" s="292"/>
      <c r="S56" s="292"/>
      <c r="T56" s="292"/>
      <c r="U56" s="292"/>
      <c r="V56" s="292"/>
      <c r="AL56" s="293" t="s">
        <v>231</v>
      </c>
      <c r="AM56" s="294"/>
      <c r="AN56" s="294"/>
      <c r="AO56" s="294"/>
      <c r="AP56" s="294"/>
      <c r="AQ56" s="294"/>
      <c r="AR56" s="295"/>
      <c r="AS56" s="295"/>
      <c r="AT56" s="294"/>
    </row>
    <row r="57" spans="1:105">
      <c r="F57" s="253"/>
      <c r="M57" s="292"/>
      <c r="O57" s="292"/>
      <c r="Q57" s="292"/>
      <c r="R57" s="292"/>
      <c r="S57" s="292"/>
      <c r="T57" s="292"/>
      <c r="U57" s="292"/>
      <c r="V57" s="292"/>
      <c r="AL57" s="296" t="s">
        <v>222</v>
      </c>
      <c r="AM57" s="294"/>
      <c r="AN57" s="294"/>
      <c r="AO57" s="294"/>
      <c r="AP57" s="294"/>
      <c r="AQ57" s="294"/>
      <c r="AR57" s="295"/>
      <c r="AS57" s="295"/>
      <c r="AT57" s="294"/>
    </row>
    <row r="58" spans="1:105">
      <c r="F58" s="253"/>
      <c r="M58" s="292"/>
      <c r="O58" s="292"/>
      <c r="Q58" s="292"/>
      <c r="R58" s="292"/>
      <c r="S58" s="292"/>
      <c r="T58" s="292"/>
      <c r="U58" s="292"/>
      <c r="V58" s="292"/>
      <c r="AL58" s="294"/>
      <c r="AM58" s="294"/>
      <c r="AN58" s="294"/>
      <c r="AO58" s="294"/>
      <c r="AP58" s="294"/>
      <c r="AQ58" s="294"/>
      <c r="AR58" s="294"/>
      <c r="AS58" s="294"/>
      <c r="AT58" s="295"/>
    </row>
    <row r="59" spans="1:105">
      <c r="F59" s="253"/>
      <c r="M59" s="292"/>
      <c r="O59" s="292"/>
      <c r="Q59" s="292"/>
      <c r="R59" s="292"/>
      <c r="S59" s="292"/>
      <c r="T59" s="292"/>
      <c r="U59" s="292"/>
      <c r="V59" s="292"/>
      <c r="AL59" s="294"/>
      <c r="AM59" s="294"/>
      <c r="AN59" s="294"/>
      <c r="AO59" s="294"/>
      <c r="AP59" s="294"/>
      <c r="AQ59" s="294"/>
      <c r="AR59" s="294"/>
      <c r="AS59" s="294"/>
      <c r="AT59" s="295"/>
      <c r="AZ59" s="297" t="str">
        <f>"Ngày 30 tháng 09 năm 2015 "</f>
        <v xml:space="preserve">Ngày 30 tháng 09 năm 2015 </v>
      </c>
    </row>
    <row r="60" spans="1:105">
      <c r="F60" s="253"/>
      <c r="M60" s="292"/>
      <c r="O60" s="292"/>
      <c r="Q60" s="292"/>
      <c r="R60" s="292"/>
      <c r="S60" s="292"/>
      <c r="T60" s="292"/>
      <c r="U60" s="292"/>
      <c r="V60" s="292"/>
      <c r="AL60" s="294"/>
      <c r="AM60" s="298" t="s">
        <v>11</v>
      </c>
      <c r="AN60" s="294"/>
      <c r="AO60" s="294"/>
      <c r="AP60" s="294"/>
      <c r="AQ60" s="294"/>
      <c r="AR60" s="294"/>
      <c r="AS60" s="299" t="s">
        <v>12</v>
      </c>
      <c r="AT60" s="295"/>
      <c r="AZ60" s="298" t="s">
        <v>131</v>
      </c>
    </row>
    <row r="61" spans="1:105">
      <c r="F61" s="253"/>
      <c r="M61" s="292"/>
      <c r="O61" s="292"/>
      <c r="Q61" s="292"/>
      <c r="R61" s="292"/>
      <c r="S61" s="292"/>
      <c r="T61" s="292"/>
      <c r="U61" s="292"/>
      <c r="V61" s="292"/>
      <c r="AL61" s="294"/>
      <c r="AM61" s="300" t="s">
        <v>13</v>
      </c>
      <c r="AN61" s="294"/>
      <c r="AO61" s="294"/>
      <c r="AP61" s="294"/>
      <c r="AQ61" s="294"/>
      <c r="AR61" s="294"/>
      <c r="AS61" s="301" t="s">
        <v>13</v>
      </c>
      <c r="AT61" s="295"/>
      <c r="AZ61" s="300" t="s">
        <v>161</v>
      </c>
    </row>
    <row r="62" spans="1:105">
      <c r="F62" s="253"/>
      <c r="M62" s="292"/>
      <c r="O62" s="292"/>
      <c r="Q62" s="292"/>
      <c r="R62" s="292"/>
      <c r="S62" s="292"/>
      <c r="T62" s="292"/>
      <c r="U62" s="292"/>
      <c r="V62" s="292"/>
      <c r="AL62" s="294"/>
      <c r="AM62" s="294"/>
      <c r="AN62" s="294"/>
      <c r="AO62" s="294"/>
      <c r="AP62" s="294"/>
      <c r="AQ62" s="294"/>
      <c r="AR62" s="294"/>
      <c r="AS62" s="294"/>
      <c r="AT62" s="295"/>
      <c r="AZ62" s="294"/>
    </row>
    <row r="63" spans="1:105">
      <c r="F63" s="253"/>
      <c r="M63" s="292"/>
      <c r="O63" s="292"/>
      <c r="Q63" s="292"/>
      <c r="R63" s="292"/>
      <c r="S63" s="292"/>
      <c r="T63" s="292"/>
      <c r="U63" s="292"/>
      <c r="V63" s="292"/>
      <c r="AZ63" s="294"/>
    </row>
    <row r="64" spans="1:105">
      <c r="F64" s="253"/>
      <c r="M64" s="292"/>
      <c r="O64" s="292"/>
      <c r="Q64" s="292"/>
      <c r="R64" s="292"/>
      <c r="S64" s="292"/>
      <c r="T64" s="292"/>
      <c r="U64" s="292"/>
      <c r="V64" s="292"/>
    </row>
    <row r="65" spans="6:22">
      <c r="F65" s="253"/>
      <c r="M65" s="292"/>
      <c r="O65" s="292"/>
      <c r="Q65" s="292"/>
      <c r="R65" s="292"/>
      <c r="S65" s="292"/>
      <c r="T65" s="292"/>
      <c r="U65" s="292"/>
      <c r="V65" s="292"/>
    </row>
    <row r="66" spans="6:22">
      <c r="F66" s="253"/>
      <c r="M66" s="292"/>
      <c r="O66" s="292"/>
      <c r="Q66" s="292"/>
      <c r="R66" s="292"/>
      <c r="S66" s="292"/>
      <c r="T66" s="292"/>
      <c r="U66" s="292"/>
      <c r="V66" s="292"/>
    </row>
    <row r="67" spans="6:22">
      <c r="F67" s="253"/>
      <c r="M67" s="292"/>
      <c r="O67" s="292"/>
      <c r="Q67" s="292"/>
      <c r="R67" s="292"/>
      <c r="S67" s="292"/>
      <c r="T67" s="292"/>
      <c r="U67" s="292"/>
      <c r="V67" s="292"/>
    </row>
    <row r="68" spans="6:22">
      <c r="F68" s="253"/>
      <c r="M68" s="292"/>
      <c r="O68" s="292"/>
      <c r="Q68" s="292"/>
      <c r="R68" s="292"/>
      <c r="S68" s="292"/>
      <c r="T68" s="292"/>
      <c r="U68" s="292"/>
      <c r="V68" s="292"/>
    </row>
    <row r="69" spans="6:22">
      <c r="F69" s="253"/>
      <c r="M69" s="292"/>
      <c r="O69" s="292"/>
      <c r="Q69" s="292"/>
      <c r="R69" s="292"/>
      <c r="S69" s="292"/>
      <c r="T69" s="292"/>
      <c r="U69" s="292"/>
      <c r="V69" s="292"/>
    </row>
    <row r="78" spans="6:22">
      <c r="R78" s="292"/>
    </row>
    <row r="79" spans="6:22">
      <c r="R79" s="292"/>
    </row>
    <row r="80" spans="6:22">
      <c r="M80" s="292"/>
      <c r="O80" s="292"/>
      <c r="P80" s="292"/>
      <c r="Q80" s="292"/>
      <c r="R80" s="292"/>
    </row>
    <row r="81" spans="13:18">
      <c r="M81" s="292"/>
      <c r="O81" s="292"/>
      <c r="P81" s="292"/>
      <c r="Q81" s="292"/>
      <c r="R81" s="292"/>
    </row>
    <row r="82" spans="13:18">
      <c r="M82" s="292"/>
      <c r="O82" s="292"/>
      <c r="P82" s="292"/>
      <c r="Q82" s="292"/>
    </row>
    <row r="83" spans="13:18">
      <c r="M83" s="292"/>
      <c r="O83" s="292"/>
      <c r="P83" s="292"/>
      <c r="Q83" s="292"/>
    </row>
    <row r="85" spans="13:18">
      <c r="M85" s="292"/>
      <c r="O85" s="292"/>
      <c r="P85" s="292"/>
      <c r="Q85" s="292"/>
      <c r="R85" s="292"/>
    </row>
    <row r="86" spans="13:18">
      <c r="M86" s="292"/>
      <c r="O86" s="292"/>
      <c r="P86" s="292"/>
      <c r="Q86" s="292"/>
      <c r="R86" s="292"/>
    </row>
    <row r="93" spans="13:18">
      <c r="M93" s="292"/>
      <c r="O93" s="292"/>
      <c r="P93" s="292"/>
      <c r="Q93" s="292"/>
      <c r="R93" s="292"/>
    </row>
    <row r="94" spans="13:18">
      <c r="M94" s="292"/>
      <c r="O94" s="292"/>
      <c r="P94" s="292"/>
      <c r="Q94" s="292"/>
      <c r="R94" s="292"/>
    </row>
    <row r="95" spans="13:18">
      <c r="M95" s="292"/>
      <c r="O95" s="292"/>
      <c r="P95" s="292"/>
      <c r="Q95" s="292"/>
      <c r="R95" s="292"/>
    </row>
    <row r="99" spans="13:18">
      <c r="M99" s="292"/>
      <c r="O99" s="292"/>
      <c r="P99" s="292"/>
      <c r="Q99" s="292"/>
      <c r="R99" s="292"/>
    </row>
    <row r="100" spans="13:18">
      <c r="M100" s="292"/>
      <c r="O100" s="292"/>
      <c r="P100" s="292"/>
      <c r="Q100" s="292"/>
      <c r="R100" s="292"/>
    </row>
    <row r="101" spans="13:18">
      <c r="M101" s="292"/>
      <c r="O101" s="292"/>
      <c r="P101" s="292"/>
      <c r="Q101" s="292"/>
      <c r="R101" s="292"/>
    </row>
    <row r="102" spans="13:18">
      <c r="M102" s="292"/>
      <c r="O102" s="292"/>
      <c r="P102" s="292"/>
      <c r="Q102" s="292"/>
      <c r="R102" s="292"/>
    </row>
    <row r="103" spans="13:18">
      <c r="M103" s="292"/>
      <c r="O103" s="292"/>
      <c r="P103" s="292"/>
      <c r="Q103" s="292"/>
      <c r="R103" s="292"/>
    </row>
    <row r="104" spans="13:18">
      <c r="M104" s="292"/>
      <c r="O104" s="292"/>
      <c r="P104" s="292"/>
      <c r="Q104" s="292"/>
      <c r="R104" s="292"/>
    </row>
    <row r="105" spans="13:18">
      <c r="M105" s="292"/>
      <c r="O105" s="292"/>
      <c r="P105" s="292"/>
      <c r="Q105" s="292"/>
      <c r="R105" s="292"/>
    </row>
    <row r="106" spans="13:18">
      <c r="M106" s="292"/>
      <c r="O106" s="292"/>
      <c r="P106" s="292"/>
      <c r="Q106" s="292"/>
      <c r="R106" s="292"/>
    </row>
    <row r="107" spans="13:18">
      <c r="M107" s="292"/>
      <c r="O107" s="292"/>
      <c r="P107" s="292"/>
      <c r="Q107" s="292"/>
      <c r="R107" s="292"/>
    </row>
    <row r="108" spans="13:18">
      <c r="M108" s="292"/>
      <c r="O108" s="292"/>
      <c r="P108" s="292"/>
      <c r="Q108" s="292"/>
      <c r="R108" s="292"/>
    </row>
    <row r="109" spans="13:18">
      <c r="M109" s="292"/>
      <c r="O109" s="292"/>
      <c r="P109" s="292"/>
      <c r="Q109" s="292"/>
      <c r="R109" s="292"/>
    </row>
    <row r="110" spans="13:18">
      <c r="M110" s="292"/>
      <c r="O110" s="292"/>
      <c r="P110" s="292"/>
      <c r="Q110" s="292"/>
      <c r="R110" s="292"/>
    </row>
    <row r="111" spans="13:18">
      <c r="M111" s="292"/>
      <c r="O111" s="292"/>
      <c r="P111" s="292"/>
      <c r="Q111" s="292"/>
      <c r="R111" s="292"/>
    </row>
    <row r="112" spans="13:18">
      <c r="M112" s="292"/>
      <c r="O112" s="292"/>
      <c r="P112" s="292"/>
      <c r="Q112" s="292"/>
      <c r="R112" s="292"/>
    </row>
    <row r="113" spans="13:18">
      <c r="M113" s="292"/>
      <c r="O113" s="292"/>
      <c r="P113" s="292"/>
      <c r="Q113" s="292"/>
      <c r="R113" s="292"/>
    </row>
    <row r="114" spans="13:18">
      <c r="M114" s="292"/>
      <c r="O114" s="292"/>
      <c r="P114" s="292"/>
      <c r="Q114" s="292"/>
      <c r="R114" s="292"/>
    </row>
    <row r="115" spans="13:18">
      <c r="M115" s="292"/>
      <c r="O115" s="292"/>
      <c r="P115" s="292"/>
      <c r="Q115" s="292"/>
      <c r="R115" s="292"/>
    </row>
    <row r="116" spans="13:18">
      <c r="M116" s="292"/>
      <c r="O116" s="292"/>
      <c r="P116" s="292"/>
      <c r="Q116" s="292"/>
      <c r="R116" s="292"/>
    </row>
    <row r="117" spans="13:18">
      <c r="M117" s="292"/>
      <c r="O117" s="292"/>
      <c r="P117" s="292"/>
      <c r="Q117" s="292"/>
      <c r="R117" s="292"/>
    </row>
    <row r="118" spans="13:18">
      <c r="M118" s="292"/>
      <c r="O118" s="292"/>
      <c r="P118" s="292"/>
      <c r="Q118" s="292"/>
      <c r="R118" s="292"/>
    </row>
    <row r="119" spans="13:18">
      <c r="M119" s="292"/>
      <c r="O119" s="292"/>
      <c r="P119" s="292"/>
      <c r="Q119" s="292"/>
      <c r="R119" s="292"/>
    </row>
    <row r="120" spans="13:18">
      <c r="M120" s="292"/>
      <c r="O120" s="292"/>
      <c r="P120" s="292"/>
      <c r="Q120" s="292"/>
      <c r="R120" s="292"/>
    </row>
    <row r="121" spans="13:18">
      <c r="M121" s="292"/>
      <c r="O121" s="292"/>
      <c r="P121" s="292"/>
      <c r="Q121" s="292"/>
      <c r="R121" s="292"/>
    </row>
    <row r="122" spans="13:18">
      <c r="M122" s="292"/>
      <c r="O122" s="292"/>
      <c r="P122" s="292"/>
      <c r="Q122" s="292"/>
      <c r="R122" s="292"/>
    </row>
    <row r="123" spans="13:18">
      <c r="M123" s="292"/>
      <c r="O123" s="292"/>
      <c r="P123" s="292"/>
      <c r="Q123" s="292"/>
      <c r="R123" s="292"/>
    </row>
    <row r="124" spans="13:18">
      <c r="M124" s="292"/>
      <c r="O124" s="292"/>
      <c r="P124" s="292"/>
      <c r="Q124" s="292"/>
      <c r="R124" s="292"/>
    </row>
    <row r="125" spans="13:18">
      <c r="M125" s="292"/>
      <c r="O125" s="292"/>
      <c r="P125" s="292"/>
      <c r="Q125" s="292"/>
      <c r="R125" s="292"/>
    </row>
    <row r="126" spans="13:18">
      <c r="M126" s="292"/>
      <c r="O126" s="292"/>
      <c r="P126" s="292"/>
      <c r="Q126" s="292"/>
      <c r="R126" s="292"/>
    </row>
    <row r="127" spans="13:18">
      <c r="M127" s="292"/>
      <c r="O127" s="292"/>
      <c r="P127" s="292"/>
      <c r="Q127" s="292"/>
      <c r="R127" s="292"/>
    </row>
    <row r="128" spans="13:18">
      <c r="M128" s="292"/>
      <c r="O128" s="292"/>
      <c r="P128" s="292"/>
      <c r="Q128" s="292"/>
      <c r="R128" s="292"/>
    </row>
    <row r="129" spans="13:18">
      <c r="M129" s="292"/>
      <c r="O129" s="292"/>
      <c r="P129" s="292"/>
      <c r="Q129" s="292"/>
      <c r="R129" s="292"/>
    </row>
    <row r="130" spans="13:18">
      <c r="M130" s="292"/>
      <c r="O130" s="292"/>
      <c r="P130" s="292"/>
      <c r="Q130" s="292"/>
      <c r="R130" s="292"/>
    </row>
    <row r="131" spans="13:18">
      <c r="M131" s="292"/>
      <c r="O131" s="292"/>
      <c r="P131" s="292"/>
      <c r="Q131" s="292"/>
      <c r="R131" s="292"/>
    </row>
    <row r="132" spans="13:18">
      <c r="M132" s="292"/>
      <c r="O132" s="292"/>
      <c r="P132" s="292"/>
      <c r="Q132" s="292"/>
      <c r="R132" s="292"/>
    </row>
    <row r="133" spans="13:18">
      <c r="M133" s="292"/>
      <c r="O133" s="292"/>
      <c r="P133" s="292"/>
      <c r="Q133" s="292"/>
      <c r="R133" s="292"/>
    </row>
    <row r="134" spans="13:18">
      <c r="M134" s="292"/>
      <c r="O134" s="292"/>
      <c r="P134" s="292"/>
      <c r="Q134" s="292"/>
      <c r="R134" s="292"/>
    </row>
    <row r="135" spans="13:18">
      <c r="M135" s="292"/>
      <c r="O135" s="292"/>
      <c r="P135" s="292"/>
      <c r="Q135" s="292"/>
      <c r="R135" s="292"/>
    </row>
    <row r="136" spans="13:18">
      <c r="M136" s="292"/>
      <c r="O136" s="292"/>
      <c r="P136" s="292"/>
      <c r="Q136" s="292"/>
      <c r="R136" s="292"/>
    </row>
    <row r="137" spans="13:18">
      <c r="M137" s="292"/>
      <c r="O137" s="292"/>
      <c r="P137" s="292"/>
      <c r="Q137" s="292"/>
      <c r="R137" s="292"/>
    </row>
    <row r="138" spans="13:18">
      <c r="M138" s="292"/>
      <c r="O138" s="292"/>
      <c r="P138" s="292"/>
      <c r="Q138" s="292"/>
      <c r="R138" s="292"/>
    </row>
    <row r="139" spans="13:18">
      <c r="M139" s="292"/>
      <c r="O139" s="292"/>
      <c r="P139" s="292"/>
      <c r="Q139" s="292"/>
      <c r="R139" s="292"/>
    </row>
    <row r="140" spans="13:18">
      <c r="M140" s="292"/>
      <c r="O140" s="292"/>
      <c r="P140" s="292"/>
      <c r="Q140" s="292"/>
      <c r="R140" s="292"/>
    </row>
    <row r="141" spans="13:18">
      <c r="M141" s="292"/>
      <c r="O141" s="292"/>
      <c r="P141" s="292"/>
      <c r="Q141" s="292"/>
      <c r="R141" s="292"/>
    </row>
    <row r="142" spans="13:18">
      <c r="M142" s="292"/>
      <c r="O142" s="292"/>
      <c r="P142" s="292"/>
      <c r="Q142" s="292"/>
      <c r="R142" s="292"/>
    </row>
    <row r="143" spans="13:18">
      <c r="M143" s="292"/>
      <c r="O143" s="292"/>
      <c r="P143" s="292"/>
      <c r="Q143" s="292"/>
      <c r="R143" s="292"/>
    </row>
    <row r="144" spans="13:18">
      <c r="M144" s="292"/>
      <c r="O144" s="292"/>
      <c r="P144" s="292"/>
      <c r="Q144" s="292"/>
      <c r="R144" s="292"/>
    </row>
    <row r="145" spans="13:18">
      <c r="M145" s="292"/>
      <c r="O145" s="292"/>
      <c r="P145" s="292"/>
      <c r="Q145" s="292"/>
      <c r="R145" s="292"/>
    </row>
    <row r="146" spans="13:18">
      <c r="M146" s="292"/>
      <c r="O146" s="292"/>
      <c r="P146" s="292"/>
      <c r="Q146" s="292"/>
      <c r="R146" s="292"/>
    </row>
    <row r="147" spans="13:18">
      <c r="M147" s="292"/>
      <c r="O147" s="292"/>
      <c r="P147" s="292"/>
      <c r="Q147" s="292"/>
      <c r="R147" s="292"/>
    </row>
    <row r="148" spans="13:18">
      <c r="M148" s="292"/>
      <c r="O148" s="292"/>
      <c r="P148" s="292"/>
      <c r="Q148" s="292"/>
      <c r="R148" s="292"/>
    </row>
    <row r="149" spans="13:18">
      <c r="M149" s="292"/>
      <c r="O149" s="292"/>
      <c r="P149" s="292"/>
      <c r="Q149" s="292"/>
      <c r="R149" s="292"/>
    </row>
    <row r="150" spans="13:18">
      <c r="M150" s="292"/>
      <c r="O150" s="292"/>
      <c r="P150" s="292"/>
      <c r="Q150" s="292"/>
      <c r="R150" s="292"/>
    </row>
    <row r="151" spans="13:18">
      <c r="M151" s="292"/>
      <c r="O151" s="292"/>
      <c r="P151" s="292"/>
      <c r="Q151" s="292"/>
      <c r="R151" s="292"/>
    </row>
    <row r="152" spans="13:18">
      <c r="M152" s="292"/>
      <c r="O152" s="292"/>
      <c r="P152" s="292"/>
      <c r="Q152" s="292"/>
      <c r="R152" s="292"/>
    </row>
    <row r="153" spans="13:18">
      <c r="M153" s="292"/>
      <c r="O153" s="292"/>
      <c r="P153" s="292"/>
      <c r="Q153" s="292"/>
      <c r="R153" s="292"/>
    </row>
    <row r="154" spans="13:18">
      <c r="M154" s="292"/>
      <c r="O154" s="292"/>
      <c r="P154" s="292"/>
      <c r="Q154" s="292"/>
      <c r="R154" s="292"/>
    </row>
    <row r="155" spans="13:18">
      <c r="M155" s="292"/>
      <c r="O155" s="292"/>
      <c r="P155" s="292"/>
      <c r="Q155" s="292"/>
      <c r="R155" s="292"/>
    </row>
    <row r="156" spans="13:18">
      <c r="M156" s="292"/>
      <c r="O156" s="292"/>
      <c r="P156" s="292"/>
      <c r="Q156" s="292"/>
      <c r="R156" s="292"/>
    </row>
    <row r="157" spans="13:18">
      <c r="M157" s="292"/>
      <c r="O157" s="292"/>
      <c r="P157" s="292"/>
      <c r="Q157" s="292"/>
      <c r="R157" s="292"/>
    </row>
    <row r="158" spans="13:18">
      <c r="M158" s="292"/>
      <c r="O158" s="292"/>
      <c r="P158" s="292"/>
      <c r="Q158" s="292"/>
      <c r="R158" s="292"/>
    </row>
    <row r="159" spans="13:18">
      <c r="M159" s="292"/>
      <c r="O159" s="292"/>
      <c r="P159" s="292"/>
      <c r="Q159" s="292"/>
      <c r="R159" s="292"/>
    </row>
    <row r="160" spans="13:18">
      <c r="M160" s="292"/>
      <c r="O160" s="292"/>
      <c r="P160" s="292"/>
      <c r="Q160" s="292"/>
      <c r="R160" s="292"/>
    </row>
    <row r="161" spans="13:18">
      <c r="M161" s="292"/>
      <c r="O161" s="292"/>
      <c r="P161" s="292"/>
      <c r="Q161" s="292"/>
      <c r="R161" s="292"/>
    </row>
    <row r="162" spans="13:18">
      <c r="M162" s="292"/>
      <c r="O162" s="292"/>
      <c r="P162" s="292"/>
      <c r="Q162" s="292"/>
      <c r="R162" s="292"/>
    </row>
    <row r="163" spans="13:18">
      <c r="M163" s="292"/>
      <c r="O163" s="292"/>
      <c r="P163" s="292"/>
      <c r="Q163" s="292"/>
      <c r="R163" s="292"/>
    </row>
    <row r="164" spans="13:18">
      <c r="M164" s="292"/>
      <c r="O164" s="292"/>
      <c r="P164" s="292"/>
      <c r="Q164" s="292"/>
      <c r="R164" s="292"/>
    </row>
    <row r="165" spans="13:18">
      <c r="M165" s="292"/>
      <c r="O165" s="292"/>
      <c r="P165" s="292"/>
      <c r="Q165" s="292"/>
      <c r="R165" s="292"/>
    </row>
    <row r="166" spans="13:18">
      <c r="M166" s="292"/>
      <c r="O166" s="292"/>
      <c r="P166" s="292"/>
      <c r="Q166" s="292"/>
      <c r="R166" s="292"/>
    </row>
    <row r="167" spans="13:18">
      <c r="M167" s="292"/>
      <c r="O167" s="292"/>
      <c r="P167" s="292"/>
      <c r="Q167" s="292"/>
      <c r="R167" s="292"/>
    </row>
    <row r="168" spans="13:18">
      <c r="M168" s="292"/>
      <c r="O168" s="292"/>
      <c r="P168" s="292"/>
      <c r="Q168" s="292"/>
      <c r="R168" s="292"/>
    </row>
    <row r="169" spans="13:18">
      <c r="M169" s="292"/>
      <c r="O169" s="292"/>
      <c r="P169" s="292"/>
      <c r="Q169" s="292"/>
      <c r="R169" s="292"/>
    </row>
    <row r="170" spans="13:18">
      <c r="M170" s="292"/>
      <c r="O170" s="292"/>
      <c r="P170" s="292"/>
      <c r="Q170" s="292"/>
      <c r="R170" s="292"/>
    </row>
    <row r="171" spans="13:18">
      <c r="M171" s="292"/>
      <c r="O171" s="292"/>
      <c r="P171" s="292"/>
      <c r="Q171" s="292"/>
      <c r="R171" s="292"/>
    </row>
    <row r="172" spans="13:18">
      <c r="M172" s="292"/>
      <c r="O172" s="292"/>
      <c r="P172" s="292"/>
      <c r="Q172" s="292"/>
      <c r="R172" s="292"/>
    </row>
    <row r="173" spans="13:18">
      <c r="M173" s="292"/>
      <c r="O173" s="292"/>
      <c r="P173" s="292"/>
      <c r="Q173" s="292"/>
      <c r="R173" s="292"/>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3" customWidth="1"/>
    <col min="2" max="2" width="8.42578125" style="253" customWidth="1"/>
    <col min="3" max="3" width="7.85546875" style="253" customWidth="1"/>
    <col min="4" max="4" width="8.7109375" style="253" customWidth="1"/>
    <col min="5" max="5" width="44" style="253" customWidth="1"/>
    <col min="6" max="6" width="13.5703125" style="253" customWidth="1"/>
    <col min="7" max="8" width="5.85546875" style="254" customWidth="1"/>
    <col min="9" max="9" width="4.85546875" style="253" customWidth="1"/>
    <col min="10" max="10" width="13.140625" style="253" customWidth="1"/>
    <col min="11" max="11" width="13.28515625" style="253" customWidth="1"/>
    <col min="12" max="12" width="13.7109375" style="253" customWidth="1"/>
    <col min="13" max="13" width="14" style="253" customWidth="1"/>
    <col min="14" max="14" width="13.7109375" style="253" customWidth="1"/>
    <col min="15" max="15" width="14" style="253" customWidth="1"/>
    <col min="16" max="16" width="12.7109375" style="253" customWidth="1"/>
    <col min="17" max="17" width="14.5703125" style="253" customWidth="1"/>
    <col min="18" max="18" width="13.28515625" style="253" customWidth="1"/>
    <col min="19" max="19" width="13" style="253" customWidth="1"/>
    <col min="20" max="20" width="14" style="253" customWidth="1"/>
    <col min="21" max="21" width="5" style="253" customWidth="1"/>
    <col min="22" max="22" width="13.7109375" style="253" customWidth="1"/>
    <col min="23" max="23" width="13.42578125" style="253" customWidth="1"/>
    <col min="24" max="24" width="6.140625" style="253" customWidth="1"/>
    <col min="25" max="25" width="7.140625" style="253" customWidth="1"/>
    <col min="26" max="27" width="9.42578125" style="253" customWidth="1"/>
    <col min="28" max="28" width="11.140625" style="253" customWidth="1"/>
    <col min="29" max="29" width="13" style="253" customWidth="1"/>
    <col min="30" max="30" width="4.5703125" style="253" customWidth="1"/>
    <col min="31" max="31" width="13.5703125" style="253" customWidth="1"/>
    <col min="32" max="32" width="4.5703125" style="253" customWidth="1"/>
    <col min="33" max="33" width="13.5703125" style="253" customWidth="1"/>
    <col min="34" max="34" width="4.42578125" style="253" customWidth="1"/>
    <col min="35" max="35" width="12.7109375" style="253" customWidth="1"/>
    <col min="36" max="36" width="11.140625" style="253" customWidth="1"/>
    <col min="37" max="37" width="4.7109375" style="253" customWidth="1"/>
    <col min="38" max="38" width="12.28515625" style="253" customWidth="1"/>
    <col min="39" max="39" width="11.42578125" style="253" customWidth="1"/>
    <col min="40" max="40" width="11.28515625" style="253" customWidth="1"/>
    <col min="41" max="41" width="11.140625" style="253" customWidth="1"/>
    <col min="42" max="43" width="12.5703125" style="253" customWidth="1"/>
    <col min="44" max="44" width="13.42578125" style="253" customWidth="1"/>
    <col min="45" max="45" width="12.7109375" style="253" customWidth="1"/>
    <col min="46" max="46" width="11.85546875" style="253" customWidth="1"/>
    <col min="47" max="47" width="11.5703125" style="253" customWidth="1"/>
    <col min="48" max="48" width="7.5703125" style="253" customWidth="1"/>
    <col min="49" max="49" width="8.140625" style="253" customWidth="1"/>
    <col min="50" max="50" width="7.5703125" style="253" customWidth="1"/>
    <col min="51" max="51" width="7.42578125" style="253" customWidth="1"/>
    <col min="52" max="53" width="13.140625" style="253" customWidth="1"/>
    <col min="54" max="16384" width="9.140625" style="253"/>
  </cols>
  <sheetData>
    <row r="1" spans="1:105" ht="12.75" customHeight="1">
      <c r="A1" s="249"/>
      <c r="B1" s="250" t="s">
        <v>121</v>
      </c>
      <c r="C1" s="251"/>
      <c r="D1" s="251"/>
      <c r="E1" s="252"/>
      <c r="I1" s="251"/>
      <c r="L1" s="1310" t="s">
        <v>190</v>
      </c>
      <c r="M1" s="1310"/>
      <c r="N1" s="1310"/>
      <c r="O1" s="1310"/>
      <c r="P1" s="1310"/>
      <c r="Q1" s="1310"/>
      <c r="R1" s="352"/>
      <c r="T1" s="251"/>
      <c r="U1" s="251"/>
      <c r="V1" s="251"/>
      <c r="W1" s="251"/>
      <c r="X1" s="251"/>
      <c r="Y1" s="251"/>
      <c r="Z1" s="251"/>
      <c r="AA1" s="251"/>
      <c r="AB1" s="251"/>
      <c r="AC1" s="251"/>
      <c r="AD1" s="251"/>
      <c r="AE1" s="251"/>
      <c r="AF1" s="423"/>
      <c r="AG1" s="423"/>
      <c r="AH1" s="251"/>
      <c r="AI1" s="251"/>
      <c r="AJ1" s="251"/>
      <c r="AK1" s="251"/>
      <c r="AL1" s="251"/>
      <c r="AM1" s="251"/>
      <c r="AN1" s="251"/>
      <c r="AO1" s="251"/>
      <c r="AP1" s="251"/>
      <c r="AQ1" s="251"/>
      <c r="AR1" s="251"/>
      <c r="AS1" s="251"/>
      <c r="AT1" s="251"/>
      <c r="AU1" s="251"/>
      <c r="AV1" s="251"/>
      <c r="AW1" s="251"/>
      <c r="AX1" s="251"/>
      <c r="AY1" s="251"/>
      <c r="AZ1" s="251"/>
      <c r="BA1" s="251"/>
    </row>
    <row r="2" spans="1:105" ht="12.75" customHeight="1">
      <c r="A2" s="249"/>
      <c r="B2" s="250" t="s">
        <v>179</v>
      </c>
      <c r="C2" s="251"/>
      <c r="D2" s="251"/>
      <c r="E2" s="251"/>
      <c r="I2" s="255"/>
      <c r="L2" s="1311" t="s">
        <v>144</v>
      </c>
      <c r="M2" s="1311"/>
      <c r="N2" s="1311"/>
      <c r="O2" s="1311"/>
      <c r="P2" s="1311"/>
      <c r="Q2" s="1311"/>
      <c r="R2" s="353"/>
      <c r="T2" s="255"/>
      <c r="U2" s="255"/>
      <c r="V2" s="255"/>
      <c r="W2" s="255"/>
      <c r="X2" s="255"/>
      <c r="Y2" s="255"/>
      <c r="Z2" s="255"/>
      <c r="AA2" s="255"/>
      <c r="AB2" s="255"/>
      <c r="AC2" s="255"/>
      <c r="AD2" s="255"/>
      <c r="AE2" s="255"/>
      <c r="AF2" s="424"/>
      <c r="AG2" s="424"/>
      <c r="AH2" s="255"/>
      <c r="AI2" s="255"/>
      <c r="AJ2" s="255"/>
      <c r="AK2" s="255"/>
      <c r="AL2" s="255"/>
      <c r="AM2" s="255"/>
      <c r="AN2" s="255"/>
      <c r="AO2" s="255"/>
      <c r="AP2" s="255"/>
      <c r="AQ2" s="255"/>
      <c r="AR2" s="255"/>
      <c r="AS2" s="255"/>
      <c r="AT2" s="255"/>
      <c r="AU2" s="255"/>
      <c r="AV2" s="255"/>
      <c r="AW2" s="255"/>
      <c r="AX2" s="255"/>
      <c r="AY2" s="255"/>
      <c r="AZ2" s="255"/>
      <c r="BA2" s="255"/>
    </row>
    <row r="3" spans="1:105" ht="10.5" customHeight="1">
      <c r="A3" s="251"/>
      <c r="B3" s="251"/>
      <c r="C3" s="251"/>
      <c r="D3" s="251"/>
      <c r="E3" s="251"/>
      <c r="F3" s="255"/>
      <c r="G3" s="257"/>
      <c r="H3" s="257"/>
      <c r="I3" s="255"/>
      <c r="L3" s="1311"/>
      <c r="M3" s="1311"/>
      <c r="N3" s="1311"/>
      <c r="O3" s="1311"/>
      <c r="P3" s="1311"/>
      <c r="Q3" s="1311"/>
      <c r="R3" s="353"/>
      <c r="T3" s="255"/>
      <c r="U3" s="255"/>
      <c r="V3" s="255"/>
      <c r="W3" s="255"/>
      <c r="X3" s="255"/>
      <c r="Y3" s="255"/>
      <c r="Z3" s="255"/>
      <c r="AA3" s="255"/>
      <c r="AB3" s="255"/>
      <c r="AC3" s="255"/>
      <c r="AD3" s="255"/>
      <c r="AE3" s="255"/>
      <c r="AF3" s="424"/>
      <c r="AG3" s="424"/>
      <c r="AH3" s="255"/>
      <c r="AI3" s="255"/>
      <c r="AJ3" s="255"/>
      <c r="AK3" s="255"/>
      <c r="AL3" s="255"/>
      <c r="AM3" s="255"/>
      <c r="AN3" s="255"/>
      <c r="AO3" s="255"/>
      <c r="AP3" s="255"/>
      <c r="AQ3" s="255"/>
      <c r="AR3" s="255"/>
      <c r="AS3" s="255"/>
      <c r="AT3" s="255"/>
      <c r="AU3" s="255"/>
      <c r="AV3" s="255"/>
      <c r="AW3" s="255"/>
      <c r="AX3" s="255"/>
      <c r="AY3" s="255"/>
      <c r="AZ3" s="255"/>
      <c r="BA3" s="255"/>
    </row>
    <row r="4" spans="1:105" ht="19.5" customHeight="1">
      <c r="B4" s="1312" t="s">
        <v>112</v>
      </c>
      <c r="C4" s="1312"/>
      <c r="D4" s="1312"/>
      <c r="E4" s="1312"/>
      <c r="F4" s="1312"/>
      <c r="G4" s="1312"/>
      <c r="H4" s="1312"/>
      <c r="I4" s="1312"/>
      <c r="J4" s="1312"/>
      <c r="K4" s="1312"/>
      <c r="L4" s="1312"/>
      <c r="M4" s="1312"/>
      <c r="N4" s="1312"/>
      <c r="O4" s="1312"/>
      <c r="P4" s="1312"/>
      <c r="Q4" s="1312"/>
      <c r="R4" s="1312"/>
      <c r="S4" s="258"/>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row>
    <row r="5" spans="1:105" ht="15">
      <c r="B5" s="1313" t="s">
        <v>223</v>
      </c>
      <c r="C5" s="1313"/>
      <c r="D5" s="1313"/>
      <c r="E5" s="1313"/>
      <c r="F5" s="1313"/>
      <c r="G5" s="1313"/>
      <c r="H5" s="1313"/>
      <c r="I5" s="1313"/>
      <c r="J5" s="1313"/>
      <c r="K5" s="1313"/>
      <c r="L5" s="1313"/>
      <c r="M5" s="1313"/>
      <c r="N5" s="1313"/>
      <c r="O5" s="1313"/>
      <c r="P5" s="1313"/>
      <c r="Q5" s="1313"/>
      <c r="R5" s="1313"/>
      <c r="S5" s="261"/>
    </row>
    <row r="7" spans="1:105" ht="13.5" customHeight="1">
      <c r="A7" s="1314" t="s">
        <v>37</v>
      </c>
      <c r="B7" s="1308" t="s">
        <v>22</v>
      </c>
      <c r="C7" s="1316" t="s">
        <v>1</v>
      </c>
      <c r="D7" s="1317"/>
      <c r="E7" s="1308" t="s">
        <v>0</v>
      </c>
      <c r="F7" s="1308" t="s">
        <v>113</v>
      </c>
      <c r="G7" s="1318" t="s">
        <v>114</v>
      </c>
      <c r="H7" s="1318"/>
      <c r="I7" s="1309" t="s">
        <v>37</v>
      </c>
      <c r="J7" s="1308" t="s">
        <v>192</v>
      </c>
      <c r="K7" s="1308"/>
      <c r="L7" s="1308" t="s">
        <v>193</v>
      </c>
      <c r="M7" s="1308"/>
      <c r="N7" s="1308" t="s">
        <v>268</v>
      </c>
      <c r="O7" s="1308"/>
      <c r="P7" s="1308" t="s">
        <v>966</v>
      </c>
      <c r="Q7" s="1308"/>
      <c r="R7" s="1308" t="s">
        <v>194</v>
      </c>
      <c r="S7" s="1308"/>
      <c r="T7" s="1308" t="s">
        <v>195</v>
      </c>
      <c r="U7" s="1308"/>
      <c r="V7" s="1308" t="s">
        <v>967</v>
      </c>
      <c r="W7" s="1308"/>
      <c r="X7" s="1308" t="s">
        <v>968</v>
      </c>
      <c r="Y7" s="1308"/>
      <c r="Z7" s="1308" t="s">
        <v>969</v>
      </c>
      <c r="AA7" s="1308"/>
      <c r="AB7" s="1308" t="s">
        <v>970</v>
      </c>
      <c r="AC7" s="1308"/>
      <c r="AD7" s="1308" t="s">
        <v>971</v>
      </c>
      <c r="AE7" s="1308"/>
      <c r="AF7" s="1308" t="s">
        <v>972</v>
      </c>
      <c r="AG7" s="1308"/>
      <c r="AH7" s="1308" t="s">
        <v>973</v>
      </c>
      <c r="AI7" s="1308"/>
      <c r="AJ7" s="1308" t="s">
        <v>974</v>
      </c>
      <c r="AK7" s="1308"/>
      <c r="AL7" s="1308" t="s">
        <v>975</v>
      </c>
      <c r="AM7" s="1308"/>
      <c r="AN7" s="1308" t="s">
        <v>976</v>
      </c>
      <c r="AO7" s="1308"/>
      <c r="AP7" s="1308" t="s">
        <v>977</v>
      </c>
      <c r="AQ7" s="1308"/>
      <c r="AR7" s="1308" t="s">
        <v>978</v>
      </c>
      <c r="AS7" s="1308"/>
      <c r="AT7" s="1308" t="s">
        <v>196</v>
      </c>
      <c r="AU7" s="1308"/>
      <c r="AV7" s="1308" t="s">
        <v>197</v>
      </c>
      <c r="AW7" s="1308"/>
      <c r="AX7" s="1308" t="s">
        <v>979</v>
      </c>
      <c r="AY7" s="1308"/>
      <c r="AZ7" s="1308" t="s">
        <v>980</v>
      </c>
      <c r="BA7" s="1308"/>
      <c r="BB7" s="1308" t="s">
        <v>981</v>
      </c>
      <c r="BC7" s="1308"/>
      <c r="BD7" s="1308" t="s">
        <v>198</v>
      </c>
      <c r="BE7" s="1308"/>
      <c r="BF7" s="1308" t="s">
        <v>982</v>
      </c>
      <c r="BG7" s="1308"/>
      <c r="BH7" s="1308" t="s">
        <v>199</v>
      </c>
      <c r="BI7" s="1308"/>
      <c r="BJ7" s="1308" t="s">
        <v>983</v>
      </c>
      <c r="BK7" s="1308"/>
      <c r="BL7" s="1308" t="s">
        <v>984</v>
      </c>
      <c r="BM7" s="1308"/>
      <c r="BN7" s="1308" t="s">
        <v>985</v>
      </c>
      <c r="BO7" s="1308"/>
      <c r="BP7" s="1308" t="s">
        <v>986</v>
      </c>
      <c r="BQ7" s="1308"/>
      <c r="BR7" s="1308" t="s">
        <v>200</v>
      </c>
      <c r="BS7" s="1308"/>
      <c r="BT7" s="1308" t="s">
        <v>201</v>
      </c>
      <c r="BU7" s="1308"/>
      <c r="BV7" s="1308" t="s">
        <v>263</v>
      </c>
      <c r="BW7" s="1308"/>
      <c r="BX7" s="1308" t="s">
        <v>202</v>
      </c>
      <c r="BY7" s="1308"/>
      <c r="BZ7" s="1308" t="s">
        <v>203</v>
      </c>
      <c r="CA7" s="1308"/>
      <c r="CB7" s="1308" t="s">
        <v>204</v>
      </c>
      <c r="CC7" s="1308"/>
      <c r="CD7" s="1308" t="s">
        <v>987</v>
      </c>
      <c r="CE7" s="1308"/>
      <c r="CF7" s="1308" t="s">
        <v>988</v>
      </c>
      <c r="CG7" s="1308"/>
      <c r="CH7" s="1308" t="s">
        <v>205</v>
      </c>
      <c r="CI7" s="1308"/>
      <c r="CJ7" s="1308" t="s">
        <v>989</v>
      </c>
      <c r="CK7" s="1308"/>
      <c r="CL7" s="1308" t="s">
        <v>990</v>
      </c>
      <c r="CM7" s="1308"/>
      <c r="CN7" s="1308" t="s">
        <v>206</v>
      </c>
      <c r="CO7" s="1308"/>
      <c r="CP7" s="1308" t="s">
        <v>991</v>
      </c>
      <c r="CQ7" s="1308"/>
      <c r="CR7" s="1308" t="s">
        <v>207</v>
      </c>
      <c r="CS7" s="1308"/>
      <c r="CT7" s="1308" t="s">
        <v>208</v>
      </c>
      <c r="CU7" s="1308"/>
      <c r="CV7" s="1308" t="s">
        <v>209</v>
      </c>
      <c r="CW7" s="1308"/>
      <c r="CX7" s="1308" t="s">
        <v>210</v>
      </c>
      <c r="CY7" s="1308"/>
      <c r="CZ7" s="1308" t="s">
        <v>211</v>
      </c>
      <c r="DA7" s="1308"/>
    </row>
    <row r="8" spans="1:105" ht="22.5" customHeight="1">
      <c r="A8" s="1315"/>
      <c r="B8" s="1308"/>
      <c r="C8" s="980" t="s">
        <v>17</v>
      </c>
      <c r="D8" s="979" t="s">
        <v>34</v>
      </c>
      <c r="E8" s="1308"/>
      <c r="F8" s="1308"/>
      <c r="G8" s="981" t="s">
        <v>24</v>
      </c>
      <c r="H8" s="981" t="s">
        <v>25</v>
      </c>
      <c r="I8" s="1309"/>
      <c r="J8" s="979" t="s">
        <v>24</v>
      </c>
      <c r="K8" s="979" t="s">
        <v>25</v>
      </c>
      <c r="L8" s="979" t="s">
        <v>24</v>
      </c>
      <c r="M8" s="979" t="s">
        <v>25</v>
      </c>
      <c r="N8" s="979" t="s">
        <v>24</v>
      </c>
      <c r="O8" s="979" t="s">
        <v>25</v>
      </c>
      <c r="P8" s="979" t="s">
        <v>24</v>
      </c>
      <c r="Q8" s="979" t="s">
        <v>25</v>
      </c>
      <c r="R8" s="979" t="s">
        <v>24</v>
      </c>
      <c r="S8" s="979" t="s">
        <v>25</v>
      </c>
      <c r="T8" s="979" t="s">
        <v>24</v>
      </c>
      <c r="U8" s="979" t="s">
        <v>25</v>
      </c>
      <c r="V8" s="979" t="s">
        <v>24</v>
      </c>
      <c r="W8" s="979" t="s">
        <v>25</v>
      </c>
      <c r="X8" s="979" t="s">
        <v>24</v>
      </c>
      <c r="Y8" s="979" t="s">
        <v>25</v>
      </c>
      <c r="Z8" s="979" t="s">
        <v>24</v>
      </c>
      <c r="AA8" s="979" t="s">
        <v>25</v>
      </c>
      <c r="AB8" s="979" t="s">
        <v>24</v>
      </c>
      <c r="AC8" s="979" t="s">
        <v>25</v>
      </c>
      <c r="AD8" s="979" t="s">
        <v>24</v>
      </c>
      <c r="AE8" s="979" t="s">
        <v>25</v>
      </c>
      <c r="AF8" s="979" t="s">
        <v>24</v>
      </c>
      <c r="AG8" s="979" t="s">
        <v>25</v>
      </c>
      <c r="AH8" s="979" t="s">
        <v>24</v>
      </c>
      <c r="AI8" s="979" t="s">
        <v>25</v>
      </c>
      <c r="AJ8" s="979" t="s">
        <v>24</v>
      </c>
      <c r="AK8" s="979" t="s">
        <v>25</v>
      </c>
      <c r="AL8" s="979" t="s">
        <v>24</v>
      </c>
      <c r="AM8" s="979" t="s">
        <v>25</v>
      </c>
      <c r="AN8" s="979" t="s">
        <v>24</v>
      </c>
      <c r="AO8" s="979" t="s">
        <v>25</v>
      </c>
      <c r="AP8" s="979" t="s">
        <v>24</v>
      </c>
      <c r="AQ8" s="979" t="s">
        <v>25</v>
      </c>
      <c r="AR8" s="979" t="s">
        <v>24</v>
      </c>
      <c r="AS8" s="979" t="s">
        <v>25</v>
      </c>
      <c r="AT8" s="979" t="s">
        <v>24</v>
      </c>
      <c r="AU8" s="979" t="s">
        <v>25</v>
      </c>
      <c r="AV8" s="979" t="s">
        <v>24</v>
      </c>
      <c r="AW8" s="979" t="s">
        <v>25</v>
      </c>
      <c r="AX8" s="979" t="s">
        <v>24</v>
      </c>
      <c r="AY8" s="979" t="s">
        <v>25</v>
      </c>
      <c r="AZ8" s="979" t="s">
        <v>24</v>
      </c>
      <c r="BA8" s="979" t="s">
        <v>25</v>
      </c>
      <c r="BB8" s="979" t="s">
        <v>24</v>
      </c>
      <c r="BC8" s="979" t="s">
        <v>25</v>
      </c>
      <c r="BD8" s="979" t="s">
        <v>24</v>
      </c>
      <c r="BE8" s="979" t="s">
        <v>25</v>
      </c>
      <c r="BF8" s="979" t="s">
        <v>24</v>
      </c>
      <c r="BG8" s="979" t="s">
        <v>25</v>
      </c>
      <c r="BH8" s="979" t="s">
        <v>24</v>
      </c>
      <c r="BI8" s="979" t="s">
        <v>25</v>
      </c>
      <c r="BJ8" s="979" t="s">
        <v>24</v>
      </c>
      <c r="BK8" s="979" t="s">
        <v>25</v>
      </c>
      <c r="BL8" s="979" t="s">
        <v>24</v>
      </c>
      <c r="BM8" s="979" t="s">
        <v>25</v>
      </c>
      <c r="BN8" s="979" t="s">
        <v>24</v>
      </c>
      <c r="BO8" s="979" t="s">
        <v>25</v>
      </c>
      <c r="BP8" s="979" t="s">
        <v>24</v>
      </c>
      <c r="BQ8" s="979" t="s">
        <v>25</v>
      </c>
      <c r="BR8" s="979" t="s">
        <v>24</v>
      </c>
      <c r="BS8" s="979" t="s">
        <v>25</v>
      </c>
      <c r="BT8" s="979" t="s">
        <v>24</v>
      </c>
      <c r="BU8" s="979" t="s">
        <v>25</v>
      </c>
      <c r="BV8" s="979" t="s">
        <v>24</v>
      </c>
      <c r="BW8" s="979" t="s">
        <v>25</v>
      </c>
      <c r="BX8" s="979" t="s">
        <v>24</v>
      </c>
      <c r="BY8" s="979" t="s">
        <v>25</v>
      </c>
      <c r="BZ8" s="979" t="s">
        <v>24</v>
      </c>
      <c r="CA8" s="979" t="s">
        <v>25</v>
      </c>
      <c r="CB8" s="979" t="s">
        <v>24</v>
      </c>
      <c r="CC8" s="979" t="s">
        <v>25</v>
      </c>
      <c r="CD8" s="979" t="s">
        <v>24</v>
      </c>
      <c r="CE8" s="979" t="s">
        <v>25</v>
      </c>
      <c r="CF8" s="979" t="s">
        <v>24</v>
      </c>
      <c r="CG8" s="979" t="s">
        <v>25</v>
      </c>
      <c r="CH8" s="979" t="s">
        <v>24</v>
      </c>
      <c r="CI8" s="979" t="s">
        <v>25</v>
      </c>
      <c r="CJ8" s="979" t="s">
        <v>24</v>
      </c>
      <c r="CK8" s="979" t="s">
        <v>25</v>
      </c>
      <c r="CL8" s="979" t="s">
        <v>24</v>
      </c>
      <c r="CM8" s="979" t="s">
        <v>25</v>
      </c>
      <c r="CN8" s="979" t="s">
        <v>24</v>
      </c>
      <c r="CO8" s="979" t="s">
        <v>25</v>
      </c>
      <c r="CP8" s="979" t="s">
        <v>24</v>
      </c>
      <c r="CQ8" s="979" t="s">
        <v>25</v>
      </c>
      <c r="CR8" s="979" t="s">
        <v>24</v>
      </c>
      <c r="CS8" s="979" t="s">
        <v>25</v>
      </c>
      <c r="CT8" s="979" t="s">
        <v>24</v>
      </c>
      <c r="CU8" s="979" t="s">
        <v>25</v>
      </c>
      <c r="CV8" s="979" t="s">
        <v>24</v>
      </c>
      <c r="CW8" s="979" t="s">
        <v>25</v>
      </c>
      <c r="CX8" s="979" t="s">
        <v>24</v>
      </c>
      <c r="CY8" s="979" t="s">
        <v>25</v>
      </c>
      <c r="CZ8" s="979" t="s">
        <v>24</v>
      </c>
      <c r="DA8" s="979"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 ca="1">'SC-III'!J53</f>
        <v>3705039095</v>
      </c>
      <c r="K10" s="271">
        <f ca="1">'SC-III'!K53</f>
        <v>0</v>
      </c>
      <c r="L10" s="271">
        <f ca="1">'SC-III'!L53</f>
        <v>19829295</v>
      </c>
      <c r="M10" s="271">
        <f ca="1">'SC-III'!M53</f>
        <v>0</v>
      </c>
      <c r="N10" s="271">
        <f ca="1">'SC-III'!N53</f>
        <v>2236796790</v>
      </c>
      <c r="O10" s="271">
        <f ca="1">'SC-III'!O53</f>
        <v>0</v>
      </c>
      <c r="P10" s="271">
        <f ca="1">'SC-III'!P53</f>
        <v>3343381600</v>
      </c>
      <c r="Q10" s="271">
        <f ca="1">'SC-III'!Q53</f>
        <v>0</v>
      </c>
      <c r="R10" s="271">
        <f ca="1">'SC-III'!R53</f>
        <v>162420936</v>
      </c>
      <c r="S10" s="271">
        <f ca="1">'SC-III'!S53</f>
        <v>0</v>
      </c>
      <c r="T10" s="271">
        <f ca="1">'SC-III'!T53</f>
        <v>1500000000</v>
      </c>
      <c r="U10" s="271">
        <f ca="1">'SC-III'!U53</f>
        <v>0</v>
      </c>
      <c r="V10" s="271">
        <f ca="1">'SC-III'!V53</f>
        <v>0</v>
      </c>
      <c r="W10" s="271">
        <f ca="1">'SC-III'!W53</f>
        <v>0</v>
      </c>
      <c r="X10" s="271">
        <f ca="1">'SC-III'!X53</f>
        <v>2772400000</v>
      </c>
      <c r="Y10" s="271">
        <f ca="1">'SC-III'!Y53</f>
        <v>0</v>
      </c>
      <c r="Z10" s="271">
        <f ca="1">'SC-III'!Z53</f>
        <v>526519887</v>
      </c>
      <c r="AA10" s="271">
        <f ca="1">'SC-III'!AA53</f>
        <v>0</v>
      </c>
      <c r="AB10" s="271">
        <f ca="1">'SC-III'!AB53</f>
        <v>0</v>
      </c>
      <c r="AC10" s="271">
        <f ca="1">'SC-III'!AC53</f>
        <v>0</v>
      </c>
      <c r="AD10" s="271">
        <f ca="1">'SC-III'!AD53</f>
        <v>0</v>
      </c>
      <c r="AE10" s="271">
        <f ca="1">'SC-III'!AE53</f>
        <v>0</v>
      </c>
      <c r="AF10" s="271">
        <f ca="1">'SC-III'!AF53</f>
        <v>9386323824</v>
      </c>
      <c r="AG10" s="271">
        <f ca="1">'SC-III'!AG53</f>
        <v>0</v>
      </c>
      <c r="AH10" s="271">
        <f ca="1">'SC-III'!AH53</f>
        <v>7490743648</v>
      </c>
      <c r="AI10" s="271">
        <f ca="1">'SC-III'!AI53</f>
        <v>0</v>
      </c>
      <c r="AJ10" s="271">
        <f ca="1">'SC-III'!AJ53</f>
        <v>3807898863</v>
      </c>
      <c r="AK10" s="271">
        <f ca="1">'SC-III'!AK53</f>
        <v>0</v>
      </c>
      <c r="AL10" s="271">
        <f ca="1">'SC-III'!AL53</f>
        <v>3790918485</v>
      </c>
      <c r="AM10" s="271">
        <f ca="1">'SC-III'!AM53</f>
        <v>0</v>
      </c>
      <c r="AN10" s="271">
        <f ca="1">'SC-III'!AN53</f>
        <v>5405781300</v>
      </c>
      <c r="AO10" s="271">
        <f ca="1">'SC-III'!AO53</f>
        <v>0</v>
      </c>
      <c r="AP10" s="271">
        <f ca="1">'SC-III'!AP53</f>
        <v>0</v>
      </c>
      <c r="AQ10" s="271">
        <f ca="1">'SC-III'!AQ53</f>
        <v>9132359256</v>
      </c>
      <c r="AR10" s="271">
        <f ca="1">'SC-III'!AR53</f>
        <v>0</v>
      </c>
      <c r="AS10" s="271">
        <f ca="1">'SC-III'!AS53</f>
        <v>600642360</v>
      </c>
      <c r="AT10" s="271">
        <f ca="1">'SC-III'!AT53</f>
        <v>0</v>
      </c>
      <c r="AU10" s="271">
        <f ca="1">'SC-III'!AU53</f>
        <v>0</v>
      </c>
      <c r="AV10" s="271">
        <f ca="1">'SC-III'!AV53</f>
        <v>0</v>
      </c>
      <c r="AW10" s="271">
        <f ca="1">'SC-III'!AW53</f>
        <v>476953252</v>
      </c>
      <c r="AX10" s="271">
        <f ca="1">'SC-III'!AX53</f>
        <v>0</v>
      </c>
      <c r="AY10" s="271">
        <f ca="1">'SC-III'!AY53</f>
        <v>0</v>
      </c>
      <c r="AZ10" s="271">
        <f ca="1">'SC-III'!AZ53</f>
        <v>0</v>
      </c>
      <c r="BA10" s="271">
        <f ca="1">'SC-III'!BA53</f>
        <v>0</v>
      </c>
      <c r="BB10" s="271">
        <f ca="1">'SC-III'!BB53</f>
        <v>0</v>
      </c>
      <c r="BC10" s="271">
        <f ca="1">'SC-III'!BC53</f>
        <v>0</v>
      </c>
      <c r="BD10" s="271">
        <f ca="1">'SC-III'!BD53</f>
        <v>0</v>
      </c>
      <c r="BE10" s="271">
        <f ca="1">'SC-III'!BE53</f>
        <v>3313435</v>
      </c>
      <c r="BF10" s="271">
        <f ca="1">'SC-III'!BF53</f>
        <v>3389804</v>
      </c>
      <c r="BG10" s="271">
        <f ca="1">'SC-III'!BG53</f>
        <v>0</v>
      </c>
      <c r="BH10" s="271">
        <f ca="1">'SC-III'!BH53</f>
        <v>0</v>
      </c>
      <c r="BI10" s="271">
        <f ca="1">'SC-III'!BI53</f>
        <v>0</v>
      </c>
      <c r="BJ10" s="271">
        <f ca="1">'SC-III'!BJ53</f>
        <v>0</v>
      </c>
      <c r="BK10" s="271">
        <f ca="1">'SC-III'!BK53</f>
        <v>0</v>
      </c>
      <c r="BL10" s="271">
        <f ca="1">'SC-III'!BL53</f>
        <v>0</v>
      </c>
      <c r="BM10" s="271">
        <f ca="1">'SC-III'!BM53</f>
        <v>40272309</v>
      </c>
      <c r="BN10" s="271">
        <f ca="1">'SC-III'!BN53</f>
        <v>0</v>
      </c>
      <c r="BO10" s="271">
        <f ca="1">'SC-III'!BO53</f>
        <v>6403142</v>
      </c>
      <c r="BP10" s="271">
        <f ca="1">'SC-III'!BP53</f>
        <v>0</v>
      </c>
      <c r="BQ10" s="271">
        <f ca="1">'SC-III'!BQ53</f>
        <v>2761373</v>
      </c>
      <c r="BR10" s="271">
        <f ca="1">'SC-III'!BR53</f>
        <v>0</v>
      </c>
      <c r="BS10" s="271">
        <f ca="1">'SC-III'!BS53</f>
        <v>0</v>
      </c>
      <c r="BT10" s="271">
        <f ca="1">'SC-III'!BT53</f>
        <v>0</v>
      </c>
      <c r="BU10" s="271">
        <f ca="1">'SC-III'!BU53</f>
        <v>2169121879</v>
      </c>
      <c r="BV10" s="271">
        <f ca="1">'SC-III'!BV53</f>
        <v>0</v>
      </c>
      <c r="BW10" s="271">
        <f ca="1">'SC-III'!BW53</f>
        <v>21202920500</v>
      </c>
      <c r="BX10" s="271">
        <f ca="1">'SC-III'!BX53</f>
        <v>0</v>
      </c>
      <c r="BY10" s="271">
        <f ca="1">'SC-III'!BY53</f>
        <v>10000000000</v>
      </c>
      <c r="BZ10" s="271">
        <f ca="1">'SC-III'!BZ53</f>
        <v>0</v>
      </c>
      <c r="CA10" s="271">
        <f ca="1">'SC-III'!CA53</f>
        <v>594397022.00000048</v>
      </c>
      <c r="CB10" s="271">
        <f ca="1">'SC-III'!CB53</f>
        <v>77701001</v>
      </c>
      <c r="CC10" s="271">
        <f ca="1">'SC-III'!CC53</f>
        <v>0</v>
      </c>
      <c r="CD10" s="271">
        <f ca="1">'SC-III'!CD53</f>
        <v>0</v>
      </c>
      <c r="CE10" s="271">
        <f ca="1">'SC-III'!CE53</f>
        <v>0</v>
      </c>
      <c r="CF10" s="271">
        <f ca="1">'SC-III'!CF53</f>
        <v>0</v>
      </c>
      <c r="CG10" s="271">
        <f ca="1">'SC-III'!CG53</f>
        <v>0</v>
      </c>
      <c r="CH10" s="271">
        <f ca="1">'SC-III'!CH53</f>
        <v>0</v>
      </c>
      <c r="CI10" s="271">
        <f ca="1">'SC-III'!CI53</f>
        <v>0</v>
      </c>
      <c r="CJ10" s="271">
        <f ca="1">'SC-III'!CJ53</f>
        <v>0</v>
      </c>
      <c r="CK10" s="271">
        <f ca="1">'SC-III'!CK53</f>
        <v>0</v>
      </c>
      <c r="CL10" s="271">
        <f ca="1">'SC-III'!CL53</f>
        <v>0</v>
      </c>
      <c r="CM10" s="271">
        <f ca="1">'SC-III'!CM53</f>
        <v>0</v>
      </c>
      <c r="CN10" s="271">
        <f ca="1">'SC-III'!CN53</f>
        <v>0</v>
      </c>
      <c r="CO10" s="271">
        <f ca="1">'SC-III'!CO53</f>
        <v>0</v>
      </c>
      <c r="CP10" s="271">
        <f ca="1">'SC-III'!CP53</f>
        <v>0</v>
      </c>
      <c r="CQ10" s="271">
        <f ca="1">'SC-III'!CQ53</f>
        <v>0</v>
      </c>
      <c r="CR10" s="271">
        <f ca="1">'SC-III'!CR53</f>
        <v>0</v>
      </c>
      <c r="CS10" s="271">
        <f ca="1">'SC-III'!CS53</f>
        <v>0</v>
      </c>
      <c r="CT10" s="271">
        <f ca="1">'SC-III'!CT53</f>
        <v>0</v>
      </c>
      <c r="CU10" s="271">
        <f ca="1">'SC-III'!CU53</f>
        <v>0</v>
      </c>
      <c r="CV10" s="271">
        <f ca="1">'SC-III'!CV53</f>
        <v>0</v>
      </c>
      <c r="CW10" s="271">
        <f ca="1">'SC-III'!CW53</f>
        <v>0</v>
      </c>
      <c r="CX10" s="271">
        <f ca="1">'SC-III'!CX53</f>
        <v>0</v>
      </c>
      <c r="CY10" s="271">
        <f ca="1">'SC-III'!CY53</f>
        <v>0</v>
      </c>
      <c r="CZ10" s="271">
        <f ca="1">'SC-III'!CZ53</f>
        <v>0</v>
      </c>
      <c r="DA10" s="271">
        <f ca="1">'SC-III'!DA53</f>
        <v>0</v>
      </c>
    </row>
    <row r="11" spans="1:105" s="272" customFormat="1" ht="16.5" customHeight="1">
      <c r="A11" s="63">
        <f t="array" aca="1" ref="A11" ca="1">IF(C11&lt;&gt;0,SUM(($C$11:C11&lt;&gt;0)*1),"")</f>
        <v>1</v>
      </c>
      <c r="B11" s="273" t="str">
        <f ca="1">IF(ROWS($1:1)&gt;COUNT(Dong9),"",OFFSET(TH!C$1,SMALL(Dong9,ROWS($1:1)),))</f>
        <v/>
      </c>
      <c r="C11" s="273" t="str">
        <f ca="1">IF(ROWS($1:1)&gt;COUNT(Dong9),"",OFFSET(TH!D$1,SMALL(Dong9,ROWS($1:1)),))</f>
        <v/>
      </c>
      <c r="D11" s="273" t="str">
        <f ca="1">IF(ROWS($1:1)&gt;COUNT(Dong9),"",OFFSET(TH!E$1,SMALL(Dong9,ROWS($1:1)),))</f>
        <v/>
      </c>
      <c r="E11" s="363" t="str">
        <f ca="1">IF(ROWS($1:1)&gt;COUNT(Dong9),"",OFFSET(TH!F$1,SMALL(Dong9,ROWS($1:1)),))</f>
        <v/>
      </c>
      <c r="F11" s="324" t="str">
        <f ca="1">IF(ROWS($1:1)&gt;COUNT(Dong9),"",OFFSET(TH!M$1,SMALL(Dong9,ROWS($1:1)),))</f>
        <v/>
      </c>
      <c r="G11" s="326" t="str">
        <f ca="1">IF(ROWS($1:1)&gt;COUNT(Dong9),"",OFFSET(TH!N$1,SMALL(Dong9,ROWS($1:1)),))</f>
        <v/>
      </c>
      <c r="H11" s="326" t="str">
        <f ca="1">IF(ROWS($1:1)&gt;COUNT(Dong9),"",OFFSET(TH!O$1,SMALL(Dong9,ROWS($1:1)),))</f>
        <v/>
      </c>
      <c r="I11" s="63">
        <f t="shared" ref="I11:I50" ca="1" si="0">A11</f>
        <v>1</v>
      </c>
      <c r="J11" s="275">
        <f ca="1">IF($G11="1111",$F11,0)</f>
        <v>0</v>
      </c>
      <c r="K11" s="275">
        <f ca="1">IF($H11="1111",$F11,0)</f>
        <v>0</v>
      </c>
      <c r="L11" s="275">
        <f t="shared" ref="L11:L50" ca="1" si="1">IF($G11="1121",$F11,0)</f>
        <v>0</v>
      </c>
      <c r="M11" s="275">
        <f t="shared" ref="M11:M50" ca="1" si="2">IF($H11="1121",$F11,0)</f>
        <v>0</v>
      </c>
      <c r="N11" s="275">
        <f t="shared" ref="N11:N50" ca="1" si="3">IF($G11="1122",$F11,0)</f>
        <v>0</v>
      </c>
      <c r="O11" s="275">
        <f t="shared" ref="O11:O50" ca="1" si="4">IF($H11="1122",$F11,0)</f>
        <v>0</v>
      </c>
      <c r="P11" s="275">
        <f t="shared" ref="P11:P50" ca="1" si="5">IF($G11="131",$F11,0)</f>
        <v>0</v>
      </c>
      <c r="Q11" s="275">
        <f t="shared" ref="Q11:Q50" ca="1" si="6">IF($H11="131",$F11,0)</f>
        <v>0</v>
      </c>
      <c r="R11" s="275">
        <f t="shared" ref="R11:R50" ca="1" si="7">IF($G11="1331",$F11,0)</f>
        <v>0</v>
      </c>
      <c r="S11" s="275">
        <f t="shared" ref="S11:S50" ca="1" si="8">IF($H11="1331",$F11,0)</f>
        <v>0</v>
      </c>
      <c r="T11" s="275">
        <f t="shared" ref="T11:T50" ca="1" si="9">IF($G11="1388",$F11,0)</f>
        <v>0</v>
      </c>
      <c r="U11" s="275">
        <f t="shared" ref="U11:U50" ca="1" si="10">IF($H11="1388",$F11,0)</f>
        <v>0</v>
      </c>
      <c r="V11" s="275">
        <f t="shared" ref="V11:V50" ca="1" si="11">IF($G11="141",$F11,0)</f>
        <v>0</v>
      </c>
      <c r="W11" s="275">
        <f t="shared" ref="W11:W50" ca="1" si="12">IF($H11="141",$F11,0)</f>
        <v>0</v>
      </c>
      <c r="X11" s="275">
        <f t="shared" ref="X11:X50" ca="1" si="13">IF($G11="1521",$F11,0)</f>
        <v>0</v>
      </c>
      <c r="Y11" s="275">
        <f t="shared" ref="Y11:Y50" ca="1" si="14">IF($H11="1521",$F11,0)</f>
        <v>0</v>
      </c>
      <c r="Z11" s="275">
        <f t="shared" ref="Z11:Z50" ca="1" si="15">IF($G11="1522",$F11,0)</f>
        <v>0</v>
      </c>
      <c r="AA11" s="275">
        <f t="shared" ref="AA11:AA50" ca="1" si="16">IF($H11="1522",$F11,0)</f>
        <v>0</v>
      </c>
      <c r="AB11" s="275">
        <f ca="1">IF($G11="153",$F11,0)</f>
        <v>0</v>
      </c>
      <c r="AC11" s="275">
        <f ca="1">IF($H11="153",$F11,0)</f>
        <v>0</v>
      </c>
      <c r="AD11" s="275">
        <f t="shared" ref="AD11:AD50" ca="1" si="17">IF($G11="154",$F11,0)</f>
        <v>0</v>
      </c>
      <c r="AE11" s="275">
        <f t="shared" ref="AE11:AE50" ca="1" si="18">IF($H11="154",$F11,0)</f>
        <v>0</v>
      </c>
      <c r="AF11" s="275">
        <f t="shared" ref="AF11:AF50" ca="1" si="19">IF($G11="155",$F11,0)</f>
        <v>0</v>
      </c>
      <c r="AG11" s="275">
        <f t="shared" ref="AG11:AG50"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0" ca="1" si="21">IF($G11="2141",$F11,0)</f>
        <v>0</v>
      </c>
      <c r="AQ11" s="275">
        <f t="shared" ref="AQ11:AQ50" ca="1" si="22">IF($H11="2141",$F11,0)</f>
        <v>0</v>
      </c>
      <c r="AR11" s="275">
        <f t="shared" ref="AR11:AR50" ca="1" si="23">IF($G11="2143",$F11,0)</f>
        <v>0</v>
      </c>
      <c r="AS11" s="275">
        <f t="shared" ref="AS11:AS50" ca="1" si="24">IF($H11="2143",$F11,0)</f>
        <v>0</v>
      </c>
      <c r="AT11" s="275">
        <f ca="1">IF($G11="2412",$F11,0)</f>
        <v>0</v>
      </c>
      <c r="AU11" s="275">
        <f ca="1">IF($H11="2412",$F11,0)</f>
        <v>0</v>
      </c>
      <c r="AV11" s="275">
        <f t="shared" ref="AV11:AV50" ca="1" si="25">IF($G11="331",$F11,0)</f>
        <v>0</v>
      </c>
      <c r="AW11" s="275">
        <f t="shared" ref="AW11:AW50" ca="1" si="26">IF($H11="331",$F11,0)</f>
        <v>0</v>
      </c>
      <c r="AX11" s="275">
        <f t="shared" ref="AX11:AX50" ca="1" si="27">IF($G11="33311",$F11,0)</f>
        <v>0</v>
      </c>
      <c r="AY11" s="275">
        <f t="shared" ref="AY11:AY50" ca="1" si="28">IF($H11="33311",$F11,0)</f>
        <v>0</v>
      </c>
      <c r="AZ11" s="275">
        <f t="shared" ref="AZ11:AZ50" ca="1" si="29">IF($G11="33312",$F11,0)</f>
        <v>0</v>
      </c>
      <c r="BA11" s="275">
        <f t="shared" ref="BA11:BA50" ca="1" si="30">IF($H11="33312",$F11,0)</f>
        <v>0</v>
      </c>
      <c r="BB11" s="275">
        <f t="shared" ref="BB11:BB50" ca="1" si="31">IF($G11="3333",$F11,0)</f>
        <v>0</v>
      </c>
      <c r="BC11" s="275">
        <f t="shared" ref="BC11:BC50" ca="1" si="32">IF($H11="3333",$F11,0)</f>
        <v>0</v>
      </c>
      <c r="BD11" s="275">
        <f t="shared" ref="BD11:BD50" ca="1" si="33">IF($G11="3334",$F11,0)</f>
        <v>0</v>
      </c>
      <c r="BE11" s="275">
        <f t="shared" ref="BE11:BE50" ca="1" si="34">IF($H11="3334",$F11,0)</f>
        <v>0</v>
      </c>
      <c r="BF11" s="275">
        <f t="shared" ref="BF11:BF50" ca="1" si="35">IF($G11="3335",$F11,0)</f>
        <v>0</v>
      </c>
      <c r="BG11" s="275">
        <f t="shared" ref="BG11:BG50" ca="1" si="36">IF($H11="3335",$F11,0)</f>
        <v>0</v>
      </c>
      <c r="BH11" s="275">
        <f ca="1">IF($G11="33382",$F11,0)</f>
        <v>0</v>
      </c>
      <c r="BI11" s="275">
        <f ca="1">IF($H11="33382",$F11,0)</f>
        <v>0</v>
      </c>
      <c r="BJ11" s="275">
        <f t="shared" ref="BJ11:BJ50" ca="1" si="37">IF($G11="3341",$F11,0)</f>
        <v>0</v>
      </c>
      <c r="BK11" s="275">
        <f t="shared" ref="BK11:BK50" ca="1" si="38">IF($H11="3341",$F11,0)</f>
        <v>0</v>
      </c>
      <c r="BL11" s="275">
        <f t="shared" ref="BL11:BL50" ca="1" si="39">IF($G11="3383",$F11,0)</f>
        <v>0</v>
      </c>
      <c r="BM11" s="275">
        <f t="shared" ref="BM11:BM50" ca="1" si="40">IF($H11="3383",$F11,0)</f>
        <v>0</v>
      </c>
      <c r="BN11" s="275">
        <f t="shared" ref="BN11:BN50" ca="1" si="41">IF($G11="3384",$F11,0)</f>
        <v>0</v>
      </c>
      <c r="BO11" s="275">
        <f t="shared" ref="BO11:BO50" ca="1" si="42">IF($H11="3384",$F11,0)</f>
        <v>0</v>
      </c>
      <c r="BP11" s="275">
        <f ca="1">IF($G11="3386",$F11,0)</f>
        <v>0</v>
      </c>
      <c r="BQ11" s="275">
        <f ca="1">IF($H11="3386",$F11,0)</f>
        <v>0</v>
      </c>
      <c r="BR11" s="275">
        <f t="shared" ref="BR11:BR50" ca="1" si="43">IF($G11="3388",$F11,0)</f>
        <v>0</v>
      </c>
      <c r="BS11" s="275">
        <f t="shared" ref="BS11:BS50" ca="1" si="44">IF($H11="3388",$F11,0)</f>
        <v>0</v>
      </c>
      <c r="BT11" s="275">
        <f ca="1">IF($G11="3411",$F11,0)</f>
        <v>0</v>
      </c>
      <c r="BU11" s="275">
        <f ca="1">IF($H11="3411",$F11,0)</f>
        <v>0</v>
      </c>
      <c r="BV11" s="275">
        <f ca="1">IF($G11="3412",$F11,0)</f>
        <v>0</v>
      </c>
      <c r="BW11" s="275">
        <f ca="1">IF($H11="3412",$F11,0)</f>
        <v>0</v>
      </c>
      <c r="BX11" s="275">
        <f t="shared" ref="BX11:BX50" ca="1" si="45">IF($G11="4111",$F11,0)</f>
        <v>0</v>
      </c>
      <c r="BY11" s="275">
        <f t="shared" ref="BY11:BY50" ca="1" si="46">IF($H11="4111",$F11,0)</f>
        <v>0</v>
      </c>
      <c r="BZ11" s="275">
        <f t="shared" ref="BZ11:BZ50" ca="1" si="47">IF($G11="4211",$F11,0)</f>
        <v>0</v>
      </c>
      <c r="CA11" s="275">
        <f t="shared" ref="CA11:CA50" ca="1" si="48">IF($H11="4211",$F11,0)</f>
        <v>0</v>
      </c>
      <c r="CB11" s="275">
        <f t="shared" ref="CB11:CB50" ca="1" si="49">IF($G11="4212",$F11,0)</f>
        <v>0</v>
      </c>
      <c r="CC11" s="275">
        <f t="shared" ref="CC11:CC50" ca="1" si="50">IF($H11="4212",$F11,0)</f>
        <v>0</v>
      </c>
      <c r="CD11" s="275">
        <f ca="1">IF($G11="5112N",$F11,0)</f>
        <v>0</v>
      </c>
      <c r="CE11" s="275">
        <f ca="1">IF($H11="5112N",$F11,0)</f>
        <v>0</v>
      </c>
      <c r="CF11" s="275">
        <f ca="1">IF($G11="5112X",$F11,0)</f>
        <v>0</v>
      </c>
      <c r="CG11" s="275">
        <f ca="1">IF($H11="5112X",$F11,0)</f>
        <v>0</v>
      </c>
      <c r="CH11" s="275">
        <f t="shared" ref="CH11:CH50" ca="1" si="51">IF($G11="515",$F11,0)</f>
        <v>0</v>
      </c>
      <c r="CI11" s="275">
        <f t="shared" ref="CI11:CI50" ca="1" si="52">IF($H11="515",$F11,0)</f>
        <v>0</v>
      </c>
      <c r="CJ11" s="275">
        <f ca="1">IF($G11="5213",$F11,0)</f>
        <v>0</v>
      </c>
      <c r="CK11" s="275">
        <f ca="1">IF($H11="5213",$F11,0)</f>
        <v>0</v>
      </c>
      <c r="CL11" s="275">
        <f t="shared" ref="CL11:CL50" ca="1" si="53">IF($G11="632",$F11,0)</f>
        <v>0</v>
      </c>
      <c r="CM11" s="275">
        <f t="shared" ref="CM11:CM50" ca="1" si="54">IF($H11="632",$F11,0)</f>
        <v>0</v>
      </c>
      <c r="CN11" s="275">
        <f t="shared" ref="CN11:CN50" ca="1" si="55">IF($G11="635",$F11,0)</f>
        <v>0</v>
      </c>
      <c r="CO11" s="275">
        <f t="shared" ref="CO11:CO50" ca="1" si="56">IF($H11="635",$F11,0)</f>
        <v>0</v>
      </c>
      <c r="CP11" s="275">
        <f ca="1">IF($G11="641",$F11,0)</f>
        <v>0</v>
      </c>
      <c r="CQ11" s="275">
        <f ca="1">IF($H11="641",$F11,0)</f>
        <v>0</v>
      </c>
      <c r="CR11" s="275">
        <f ca="1">IF($G11="642",$F11,0)</f>
        <v>0</v>
      </c>
      <c r="CS11" s="275">
        <f ca="1">IF($H11="642",$F11,0)</f>
        <v>0</v>
      </c>
      <c r="CT11" s="275">
        <f t="shared" ref="CT11:CT50" ca="1" si="57">IF($G11="711",$F11,0)</f>
        <v>0</v>
      </c>
      <c r="CU11" s="275">
        <f t="shared" ref="CU11:CU50" ca="1" si="58">IF($H11="711",$F11,0)</f>
        <v>0</v>
      </c>
      <c r="CV11" s="275">
        <f t="shared" ref="CV11:CV50" ca="1" si="59">IF($G11="811",$F11,0)</f>
        <v>0</v>
      </c>
      <c r="CW11" s="275">
        <f t="shared" ref="CW11:CW50" ca="1" si="60">IF($H11="811",$F11,0)</f>
        <v>0</v>
      </c>
      <c r="CX11" s="275">
        <f ca="1">IF($G11="821",$F11,0)</f>
        <v>0</v>
      </c>
      <c r="CY11" s="275">
        <f ca="1">IF($H11="821",$F11,0)</f>
        <v>0</v>
      </c>
      <c r="CZ11" s="275">
        <f ca="1">IF($G11="911",$F11,0)</f>
        <v>0</v>
      </c>
      <c r="DA11" s="275">
        <f ca="1">IF($H11="911",$F11,0)</f>
        <v>0</v>
      </c>
    </row>
    <row r="12" spans="1:105" s="272" customFormat="1" ht="16.5" customHeight="1">
      <c r="A12" s="63" t="str">
        <f t="array" ref="A12">IF(C12&lt;&gt;0,SUM(($C$11:C12&lt;&gt;0)*1),"")</f>
        <v/>
      </c>
      <c r="B12" s="273"/>
      <c r="C12" s="273"/>
      <c r="D12" s="273"/>
      <c r="E12" s="363"/>
      <c r="F12" s="324"/>
      <c r="G12" s="326"/>
      <c r="H12" s="326"/>
      <c r="I12" s="63" t="str">
        <f t="shared" si="0"/>
        <v/>
      </c>
      <c r="J12" s="275">
        <f t="shared" ref="J12:J50" si="61">IF($G12="1111",$F12,0)</f>
        <v>0</v>
      </c>
      <c r="K12" s="275">
        <f t="shared" ref="K12:K50" si="62">IF($H12="1111",$F12,0)</f>
        <v>0</v>
      </c>
      <c r="L12" s="275">
        <f t="shared" si="1"/>
        <v>0</v>
      </c>
      <c r="M12" s="275">
        <f t="shared" si="2"/>
        <v>0</v>
      </c>
      <c r="N12" s="275">
        <f t="shared" si="3"/>
        <v>0</v>
      </c>
      <c r="O12" s="275">
        <f t="shared" si="4"/>
        <v>0</v>
      </c>
      <c r="P12" s="275">
        <f t="shared" si="5"/>
        <v>0</v>
      </c>
      <c r="Q12" s="275">
        <f t="shared" si="6"/>
        <v>0</v>
      </c>
      <c r="R12" s="275">
        <f t="shared" si="7"/>
        <v>0</v>
      </c>
      <c r="S12" s="275">
        <f t="shared" si="8"/>
        <v>0</v>
      </c>
      <c r="T12" s="275">
        <f t="shared" si="9"/>
        <v>0</v>
      </c>
      <c r="U12" s="275">
        <f t="shared" si="10"/>
        <v>0</v>
      </c>
      <c r="V12" s="275">
        <f t="shared" si="11"/>
        <v>0</v>
      </c>
      <c r="W12" s="275">
        <f t="shared" si="12"/>
        <v>0</v>
      </c>
      <c r="X12" s="275">
        <f t="shared" si="13"/>
        <v>0</v>
      </c>
      <c r="Y12" s="275">
        <f t="shared" si="14"/>
        <v>0</v>
      </c>
      <c r="Z12" s="275">
        <f t="shared" si="15"/>
        <v>0</v>
      </c>
      <c r="AA12" s="275">
        <f t="shared" si="16"/>
        <v>0</v>
      </c>
      <c r="AB12" s="275">
        <f t="shared" ref="AB12:AB50" si="63">IF($G12="153",$F12,0)</f>
        <v>0</v>
      </c>
      <c r="AC12" s="275">
        <f t="shared" ref="AC12:AC50" si="64">IF($H12="153",$F12,0)</f>
        <v>0</v>
      </c>
      <c r="AD12" s="275">
        <f t="shared" si="17"/>
        <v>0</v>
      </c>
      <c r="AE12" s="275">
        <f t="shared" si="18"/>
        <v>0</v>
      </c>
      <c r="AF12" s="275">
        <f t="shared" si="19"/>
        <v>0</v>
      </c>
      <c r="AG12" s="275">
        <f t="shared" si="20"/>
        <v>0</v>
      </c>
      <c r="AH12" s="275">
        <f t="shared" ref="AH12:AH50" si="65">IF($G12="2111",$F12,0)</f>
        <v>0</v>
      </c>
      <c r="AI12" s="275">
        <f t="shared" ref="AI12:AI50" si="66">IF($H12="2111",$F12,0)</f>
        <v>0</v>
      </c>
      <c r="AJ12" s="275">
        <f t="shared" ref="AJ12:AJ50" si="67">IF($G12="2112",$F12,0)</f>
        <v>0</v>
      </c>
      <c r="AK12" s="275">
        <f t="shared" ref="AK12:AK50" si="68">IF($H12="2112",$F12,0)</f>
        <v>0</v>
      </c>
      <c r="AL12" s="275">
        <f t="shared" ref="AL12:AL50" si="69">IF($G12="2113",$F12,0)</f>
        <v>0</v>
      </c>
      <c r="AM12" s="275">
        <f t="shared" ref="AM12:AM50" si="70">IF($H12="2113",$F12,0)</f>
        <v>0</v>
      </c>
      <c r="AN12" s="275">
        <f t="shared" ref="AN12:AN50" si="71">IF($G12="2131",$F12,0)</f>
        <v>0</v>
      </c>
      <c r="AO12" s="275">
        <f t="shared" ref="AO12:AO50" si="72">IF($H12="2131",$F12,0)</f>
        <v>0</v>
      </c>
      <c r="AP12" s="275">
        <f t="shared" si="21"/>
        <v>0</v>
      </c>
      <c r="AQ12" s="275">
        <f t="shared" si="22"/>
        <v>0</v>
      </c>
      <c r="AR12" s="275">
        <f t="shared" si="23"/>
        <v>0</v>
      </c>
      <c r="AS12" s="275">
        <f t="shared" si="24"/>
        <v>0</v>
      </c>
      <c r="AT12" s="275">
        <f t="shared" ref="AT12:AT50" si="73">IF($G12="2412",$F12,0)</f>
        <v>0</v>
      </c>
      <c r="AU12" s="275">
        <f t="shared" ref="AU12:AU50" si="74">IF($H12="2412",$F12,0)</f>
        <v>0</v>
      </c>
      <c r="AV12" s="275">
        <f t="shared" si="25"/>
        <v>0</v>
      </c>
      <c r="AW12" s="275">
        <f t="shared" si="26"/>
        <v>0</v>
      </c>
      <c r="AX12" s="275">
        <f t="shared" si="27"/>
        <v>0</v>
      </c>
      <c r="AY12" s="275">
        <f t="shared" si="28"/>
        <v>0</v>
      </c>
      <c r="AZ12" s="275">
        <f t="shared" si="29"/>
        <v>0</v>
      </c>
      <c r="BA12" s="275">
        <f t="shared" si="30"/>
        <v>0</v>
      </c>
      <c r="BB12" s="275">
        <f t="shared" si="31"/>
        <v>0</v>
      </c>
      <c r="BC12" s="275">
        <f t="shared" si="32"/>
        <v>0</v>
      </c>
      <c r="BD12" s="275">
        <f t="shared" si="33"/>
        <v>0</v>
      </c>
      <c r="BE12" s="275">
        <f t="shared" si="34"/>
        <v>0</v>
      </c>
      <c r="BF12" s="275">
        <f t="shared" si="35"/>
        <v>0</v>
      </c>
      <c r="BG12" s="275">
        <f t="shared" si="36"/>
        <v>0</v>
      </c>
      <c r="BH12" s="275">
        <f t="shared" ref="BH12:BH50" si="75">IF($G12="33382",$F12,0)</f>
        <v>0</v>
      </c>
      <c r="BI12" s="275">
        <f t="shared" ref="BI12:BI50" si="76">IF($H12="33382",$F12,0)</f>
        <v>0</v>
      </c>
      <c r="BJ12" s="275">
        <f t="shared" si="37"/>
        <v>0</v>
      </c>
      <c r="BK12" s="275">
        <f t="shared" si="38"/>
        <v>0</v>
      </c>
      <c r="BL12" s="275">
        <f t="shared" si="39"/>
        <v>0</v>
      </c>
      <c r="BM12" s="275">
        <f t="shared" si="40"/>
        <v>0</v>
      </c>
      <c r="BN12" s="275">
        <f t="shared" si="41"/>
        <v>0</v>
      </c>
      <c r="BO12" s="275">
        <f t="shared" si="42"/>
        <v>0</v>
      </c>
      <c r="BP12" s="275">
        <f t="shared" ref="BP12:BP50" si="77">IF($G12="3386",$F12,0)</f>
        <v>0</v>
      </c>
      <c r="BQ12" s="275">
        <f t="shared" ref="BQ12:BQ50" si="78">IF($H12="3386",$F12,0)</f>
        <v>0</v>
      </c>
      <c r="BR12" s="275">
        <f t="shared" si="43"/>
        <v>0</v>
      </c>
      <c r="BS12" s="275">
        <f t="shared" si="44"/>
        <v>0</v>
      </c>
      <c r="BT12" s="275">
        <f t="shared" ref="BT12:BT50" si="79">IF($G12="3411",$F12,0)</f>
        <v>0</v>
      </c>
      <c r="BU12" s="275">
        <f t="shared" ref="BU12:BU50" si="80">IF($H12="3411",$F12,0)</f>
        <v>0</v>
      </c>
      <c r="BV12" s="275">
        <f t="shared" ref="BV12:BV50" si="81">IF($G12="3412",$F12,0)</f>
        <v>0</v>
      </c>
      <c r="BW12" s="275">
        <f t="shared" ref="BW12:BW50" si="82">IF($H12="3412",$F12,0)</f>
        <v>0</v>
      </c>
      <c r="BX12" s="275">
        <f t="shared" si="45"/>
        <v>0</v>
      </c>
      <c r="BY12" s="275">
        <f t="shared" si="46"/>
        <v>0</v>
      </c>
      <c r="BZ12" s="275">
        <f t="shared" si="47"/>
        <v>0</v>
      </c>
      <c r="CA12" s="275">
        <f t="shared" si="48"/>
        <v>0</v>
      </c>
      <c r="CB12" s="275">
        <f t="shared" si="49"/>
        <v>0</v>
      </c>
      <c r="CC12" s="275">
        <f t="shared" si="50"/>
        <v>0</v>
      </c>
      <c r="CD12" s="275">
        <f t="shared" ref="CD12:CD50" si="83">IF($G12="5112N",$F12,0)</f>
        <v>0</v>
      </c>
      <c r="CE12" s="275">
        <f t="shared" ref="CE12:CE50" si="84">IF($H12="5112N",$F12,0)</f>
        <v>0</v>
      </c>
      <c r="CF12" s="275">
        <f t="shared" ref="CF12:CF50" si="85">IF($G12="5112X",$F12,0)</f>
        <v>0</v>
      </c>
      <c r="CG12" s="275">
        <f t="shared" ref="CG12:CG50" si="86">IF($H12="5112X",$F12,0)</f>
        <v>0</v>
      </c>
      <c r="CH12" s="275">
        <f t="shared" si="51"/>
        <v>0</v>
      </c>
      <c r="CI12" s="275">
        <f t="shared" si="52"/>
        <v>0</v>
      </c>
      <c r="CJ12" s="275">
        <f t="shared" ref="CJ12:CJ50" si="87">IF($G12="5213",$F12,0)</f>
        <v>0</v>
      </c>
      <c r="CK12" s="275">
        <f t="shared" ref="CK12:CK50" si="88">IF($H12="5213",$F12,0)</f>
        <v>0</v>
      </c>
      <c r="CL12" s="275">
        <f t="shared" si="53"/>
        <v>0</v>
      </c>
      <c r="CM12" s="275">
        <f t="shared" si="54"/>
        <v>0</v>
      </c>
      <c r="CN12" s="275">
        <f t="shared" si="55"/>
        <v>0</v>
      </c>
      <c r="CO12" s="275">
        <f t="shared" si="56"/>
        <v>0</v>
      </c>
      <c r="CP12" s="275">
        <f t="shared" ref="CP12:CP50" si="89">IF($G12="641",$F12,0)</f>
        <v>0</v>
      </c>
      <c r="CQ12" s="275">
        <f t="shared" ref="CQ12:CQ50" si="90">IF($H12="641",$F12,0)</f>
        <v>0</v>
      </c>
      <c r="CR12" s="275">
        <f t="shared" ref="CR12:CR50" si="91">IF($G12="642",$F12,0)</f>
        <v>0</v>
      </c>
      <c r="CS12" s="275">
        <f t="shared" ref="CS12:CS50" si="92">IF($H12="642",$F12,0)</f>
        <v>0</v>
      </c>
      <c r="CT12" s="275">
        <f t="shared" si="57"/>
        <v>0</v>
      </c>
      <c r="CU12" s="275">
        <f t="shared" si="58"/>
        <v>0</v>
      </c>
      <c r="CV12" s="275">
        <f t="shared" si="59"/>
        <v>0</v>
      </c>
      <c r="CW12" s="275">
        <f t="shared" si="60"/>
        <v>0</v>
      </c>
      <c r="CX12" s="275">
        <f t="shared" ref="CX12:CX50" si="93">IF($G12="821",$F12,0)</f>
        <v>0</v>
      </c>
      <c r="CY12" s="275">
        <f t="shared" ref="CY12:CY50" si="94">IF($H12="821",$F12,0)</f>
        <v>0</v>
      </c>
      <c r="CZ12" s="275">
        <f t="shared" ref="CZ12:CZ50" si="95">IF($G12="911",$F12,0)</f>
        <v>0</v>
      </c>
      <c r="DA12" s="275">
        <f t="shared" ref="DA12:DA50" si="96">IF($H12="911",$F12,0)</f>
        <v>0</v>
      </c>
    </row>
    <row r="13" spans="1:105" s="272" customFormat="1" ht="16.5" customHeight="1">
      <c r="A13" s="63" t="str">
        <f t="array" ref="A13">IF(C13&lt;&gt;0,SUM(($C$11:C13&lt;&gt;0)*1),"")</f>
        <v/>
      </c>
      <c r="B13" s="273"/>
      <c r="C13" s="273"/>
      <c r="D13" s="273"/>
      <c r="E13" s="363"/>
      <c r="F13" s="324"/>
      <c r="G13" s="326"/>
      <c r="H13" s="326"/>
      <c r="I13" s="63" t="str">
        <f t="shared" si="0"/>
        <v/>
      </c>
      <c r="J13" s="275">
        <f t="shared" si="61"/>
        <v>0</v>
      </c>
      <c r="K13" s="275">
        <f t="shared" si="62"/>
        <v>0</v>
      </c>
      <c r="L13" s="275">
        <f t="shared" si="1"/>
        <v>0</v>
      </c>
      <c r="M13" s="275">
        <f t="shared" si="2"/>
        <v>0</v>
      </c>
      <c r="N13" s="275">
        <f t="shared" si="3"/>
        <v>0</v>
      </c>
      <c r="O13" s="275">
        <f t="shared" si="4"/>
        <v>0</v>
      </c>
      <c r="P13" s="275">
        <f t="shared" si="5"/>
        <v>0</v>
      </c>
      <c r="Q13" s="275">
        <f t="shared" si="6"/>
        <v>0</v>
      </c>
      <c r="R13" s="275">
        <f t="shared" si="7"/>
        <v>0</v>
      </c>
      <c r="S13" s="275">
        <f t="shared" si="8"/>
        <v>0</v>
      </c>
      <c r="T13" s="275">
        <f t="shared" si="9"/>
        <v>0</v>
      </c>
      <c r="U13" s="275">
        <f t="shared" si="10"/>
        <v>0</v>
      </c>
      <c r="V13" s="275">
        <f t="shared" si="11"/>
        <v>0</v>
      </c>
      <c r="W13" s="275">
        <f t="shared" si="12"/>
        <v>0</v>
      </c>
      <c r="X13" s="275">
        <f t="shared" si="13"/>
        <v>0</v>
      </c>
      <c r="Y13" s="275">
        <f t="shared" si="14"/>
        <v>0</v>
      </c>
      <c r="Z13" s="275">
        <f t="shared" si="15"/>
        <v>0</v>
      </c>
      <c r="AA13" s="275">
        <f t="shared" si="16"/>
        <v>0</v>
      </c>
      <c r="AB13" s="275">
        <f t="shared" si="63"/>
        <v>0</v>
      </c>
      <c r="AC13" s="275">
        <f t="shared" si="64"/>
        <v>0</v>
      </c>
      <c r="AD13" s="275">
        <f t="shared" si="17"/>
        <v>0</v>
      </c>
      <c r="AE13" s="275">
        <f t="shared" si="18"/>
        <v>0</v>
      </c>
      <c r="AF13" s="275">
        <f t="shared" si="19"/>
        <v>0</v>
      </c>
      <c r="AG13" s="275">
        <f t="shared" si="20"/>
        <v>0</v>
      </c>
      <c r="AH13" s="275">
        <f t="shared" si="65"/>
        <v>0</v>
      </c>
      <c r="AI13" s="275">
        <f t="shared" si="66"/>
        <v>0</v>
      </c>
      <c r="AJ13" s="275">
        <f t="shared" si="67"/>
        <v>0</v>
      </c>
      <c r="AK13" s="275">
        <f t="shared" si="68"/>
        <v>0</v>
      </c>
      <c r="AL13" s="275">
        <f t="shared" si="69"/>
        <v>0</v>
      </c>
      <c r="AM13" s="275">
        <f t="shared" si="70"/>
        <v>0</v>
      </c>
      <c r="AN13" s="275">
        <f t="shared" si="71"/>
        <v>0</v>
      </c>
      <c r="AO13" s="275">
        <f t="shared" si="72"/>
        <v>0</v>
      </c>
      <c r="AP13" s="275">
        <f t="shared" si="21"/>
        <v>0</v>
      </c>
      <c r="AQ13" s="275">
        <f t="shared" si="22"/>
        <v>0</v>
      </c>
      <c r="AR13" s="275">
        <f t="shared" si="23"/>
        <v>0</v>
      </c>
      <c r="AS13" s="275">
        <f t="shared" si="24"/>
        <v>0</v>
      </c>
      <c r="AT13" s="275">
        <f t="shared" si="73"/>
        <v>0</v>
      </c>
      <c r="AU13" s="275">
        <f t="shared" si="74"/>
        <v>0</v>
      </c>
      <c r="AV13" s="275">
        <f t="shared" si="25"/>
        <v>0</v>
      </c>
      <c r="AW13" s="275">
        <f t="shared" si="26"/>
        <v>0</v>
      </c>
      <c r="AX13" s="275">
        <f t="shared" si="27"/>
        <v>0</v>
      </c>
      <c r="AY13" s="275">
        <f t="shared" si="28"/>
        <v>0</v>
      </c>
      <c r="AZ13" s="275">
        <f t="shared" si="29"/>
        <v>0</v>
      </c>
      <c r="BA13" s="275">
        <f t="shared" si="30"/>
        <v>0</v>
      </c>
      <c r="BB13" s="275">
        <f t="shared" si="31"/>
        <v>0</v>
      </c>
      <c r="BC13" s="275">
        <f t="shared" si="32"/>
        <v>0</v>
      </c>
      <c r="BD13" s="275">
        <f t="shared" si="33"/>
        <v>0</v>
      </c>
      <c r="BE13" s="275">
        <f t="shared" si="34"/>
        <v>0</v>
      </c>
      <c r="BF13" s="275">
        <f t="shared" si="35"/>
        <v>0</v>
      </c>
      <c r="BG13" s="275">
        <f t="shared" si="36"/>
        <v>0</v>
      </c>
      <c r="BH13" s="275">
        <f t="shared" si="75"/>
        <v>0</v>
      </c>
      <c r="BI13" s="275">
        <f t="shared" si="76"/>
        <v>0</v>
      </c>
      <c r="BJ13" s="275">
        <f t="shared" si="37"/>
        <v>0</v>
      </c>
      <c r="BK13" s="275">
        <f t="shared" si="38"/>
        <v>0</v>
      </c>
      <c r="BL13" s="275">
        <f t="shared" si="39"/>
        <v>0</v>
      </c>
      <c r="BM13" s="275">
        <f t="shared" si="40"/>
        <v>0</v>
      </c>
      <c r="BN13" s="275">
        <f t="shared" si="41"/>
        <v>0</v>
      </c>
      <c r="BO13" s="275">
        <f t="shared" si="42"/>
        <v>0</v>
      </c>
      <c r="BP13" s="275">
        <f t="shared" si="77"/>
        <v>0</v>
      </c>
      <c r="BQ13" s="275">
        <f t="shared" si="78"/>
        <v>0</v>
      </c>
      <c r="BR13" s="275">
        <f t="shared" si="43"/>
        <v>0</v>
      </c>
      <c r="BS13" s="275">
        <f t="shared" si="44"/>
        <v>0</v>
      </c>
      <c r="BT13" s="275">
        <f t="shared" si="79"/>
        <v>0</v>
      </c>
      <c r="BU13" s="275">
        <f t="shared" si="80"/>
        <v>0</v>
      </c>
      <c r="BV13" s="275">
        <f t="shared" si="81"/>
        <v>0</v>
      </c>
      <c r="BW13" s="275">
        <f t="shared" si="82"/>
        <v>0</v>
      </c>
      <c r="BX13" s="275">
        <f t="shared" si="45"/>
        <v>0</v>
      </c>
      <c r="BY13" s="275">
        <f t="shared" si="46"/>
        <v>0</v>
      </c>
      <c r="BZ13" s="275">
        <f t="shared" si="47"/>
        <v>0</v>
      </c>
      <c r="CA13" s="275">
        <f t="shared" si="48"/>
        <v>0</v>
      </c>
      <c r="CB13" s="275">
        <f t="shared" si="49"/>
        <v>0</v>
      </c>
      <c r="CC13" s="275">
        <f t="shared" si="50"/>
        <v>0</v>
      </c>
      <c r="CD13" s="275">
        <f t="shared" si="83"/>
        <v>0</v>
      </c>
      <c r="CE13" s="275">
        <f t="shared" si="84"/>
        <v>0</v>
      </c>
      <c r="CF13" s="275">
        <f t="shared" si="85"/>
        <v>0</v>
      </c>
      <c r="CG13" s="275">
        <f t="shared" si="86"/>
        <v>0</v>
      </c>
      <c r="CH13" s="275">
        <f t="shared" si="51"/>
        <v>0</v>
      </c>
      <c r="CI13" s="275">
        <f t="shared" si="52"/>
        <v>0</v>
      </c>
      <c r="CJ13" s="275">
        <f t="shared" si="87"/>
        <v>0</v>
      </c>
      <c r="CK13" s="275">
        <f t="shared" si="88"/>
        <v>0</v>
      </c>
      <c r="CL13" s="275">
        <f t="shared" si="53"/>
        <v>0</v>
      </c>
      <c r="CM13" s="275">
        <f t="shared" si="54"/>
        <v>0</v>
      </c>
      <c r="CN13" s="275">
        <f t="shared" si="55"/>
        <v>0</v>
      </c>
      <c r="CO13" s="275">
        <f t="shared" si="56"/>
        <v>0</v>
      </c>
      <c r="CP13" s="275">
        <f t="shared" si="89"/>
        <v>0</v>
      </c>
      <c r="CQ13" s="275">
        <f t="shared" si="90"/>
        <v>0</v>
      </c>
      <c r="CR13" s="275">
        <f t="shared" si="91"/>
        <v>0</v>
      </c>
      <c r="CS13" s="275">
        <f t="shared" si="92"/>
        <v>0</v>
      </c>
      <c r="CT13" s="275">
        <f t="shared" si="57"/>
        <v>0</v>
      </c>
      <c r="CU13" s="275">
        <f t="shared" si="58"/>
        <v>0</v>
      </c>
      <c r="CV13" s="275">
        <f t="shared" si="59"/>
        <v>0</v>
      </c>
      <c r="CW13" s="275">
        <f t="shared" si="60"/>
        <v>0</v>
      </c>
      <c r="CX13" s="275">
        <f t="shared" si="93"/>
        <v>0</v>
      </c>
      <c r="CY13" s="275">
        <f t="shared" si="94"/>
        <v>0</v>
      </c>
      <c r="CZ13" s="275">
        <f t="shared" si="95"/>
        <v>0</v>
      </c>
      <c r="DA13" s="275">
        <f t="shared" si="96"/>
        <v>0</v>
      </c>
    </row>
    <row r="14" spans="1:105" s="272" customFormat="1" ht="16.5" customHeight="1">
      <c r="A14" s="63" t="str">
        <f t="array" ref="A14">IF(C14&lt;&gt;0,SUM(($C$11:C14&lt;&gt;0)*1),"")</f>
        <v/>
      </c>
      <c r="B14" s="273"/>
      <c r="C14" s="273"/>
      <c r="D14" s="273"/>
      <c r="E14" s="363"/>
      <c r="F14" s="324"/>
      <c r="G14" s="326"/>
      <c r="H14" s="326"/>
      <c r="I14" s="63" t="str">
        <f t="shared" si="0"/>
        <v/>
      </c>
      <c r="J14" s="275">
        <f t="shared" si="61"/>
        <v>0</v>
      </c>
      <c r="K14" s="275">
        <f t="shared" si="62"/>
        <v>0</v>
      </c>
      <c r="L14" s="275">
        <f t="shared" si="1"/>
        <v>0</v>
      </c>
      <c r="M14" s="275">
        <f t="shared" si="2"/>
        <v>0</v>
      </c>
      <c r="N14" s="275">
        <f t="shared" si="3"/>
        <v>0</v>
      </c>
      <c r="O14" s="275">
        <f t="shared" si="4"/>
        <v>0</v>
      </c>
      <c r="P14" s="275">
        <f t="shared" si="5"/>
        <v>0</v>
      </c>
      <c r="Q14" s="275">
        <f t="shared" si="6"/>
        <v>0</v>
      </c>
      <c r="R14" s="275">
        <f t="shared" si="7"/>
        <v>0</v>
      </c>
      <c r="S14" s="275">
        <f t="shared" si="8"/>
        <v>0</v>
      </c>
      <c r="T14" s="275">
        <f t="shared" si="9"/>
        <v>0</v>
      </c>
      <c r="U14" s="275">
        <f t="shared" si="10"/>
        <v>0</v>
      </c>
      <c r="V14" s="275">
        <f t="shared" si="11"/>
        <v>0</v>
      </c>
      <c r="W14" s="275">
        <f t="shared" si="12"/>
        <v>0</v>
      </c>
      <c r="X14" s="275">
        <f t="shared" si="13"/>
        <v>0</v>
      </c>
      <c r="Y14" s="275">
        <f t="shared" si="14"/>
        <v>0</v>
      </c>
      <c r="Z14" s="275">
        <f t="shared" si="15"/>
        <v>0</v>
      </c>
      <c r="AA14" s="275">
        <f t="shared" si="16"/>
        <v>0</v>
      </c>
      <c r="AB14" s="275">
        <f t="shared" si="63"/>
        <v>0</v>
      </c>
      <c r="AC14" s="275">
        <f t="shared" si="64"/>
        <v>0</v>
      </c>
      <c r="AD14" s="275">
        <f t="shared" si="17"/>
        <v>0</v>
      </c>
      <c r="AE14" s="275">
        <f t="shared" si="18"/>
        <v>0</v>
      </c>
      <c r="AF14" s="275">
        <f t="shared" si="19"/>
        <v>0</v>
      </c>
      <c r="AG14" s="275">
        <f t="shared" si="20"/>
        <v>0</v>
      </c>
      <c r="AH14" s="275">
        <f t="shared" si="65"/>
        <v>0</v>
      </c>
      <c r="AI14" s="275">
        <f t="shared" si="66"/>
        <v>0</v>
      </c>
      <c r="AJ14" s="275">
        <f t="shared" si="67"/>
        <v>0</v>
      </c>
      <c r="AK14" s="275">
        <f t="shared" si="68"/>
        <v>0</v>
      </c>
      <c r="AL14" s="275">
        <f t="shared" si="69"/>
        <v>0</v>
      </c>
      <c r="AM14" s="275">
        <f t="shared" si="70"/>
        <v>0</v>
      </c>
      <c r="AN14" s="275">
        <f t="shared" si="71"/>
        <v>0</v>
      </c>
      <c r="AO14" s="275">
        <f t="shared" si="72"/>
        <v>0</v>
      </c>
      <c r="AP14" s="275">
        <f t="shared" si="21"/>
        <v>0</v>
      </c>
      <c r="AQ14" s="275">
        <f t="shared" si="22"/>
        <v>0</v>
      </c>
      <c r="AR14" s="275">
        <f t="shared" si="23"/>
        <v>0</v>
      </c>
      <c r="AS14" s="275">
        <f t="shared" si="24"/>
        <v>0</v>
      </c>
      <c r="AT14" s="275">
        <f t="shared" si="73"/>
        <v>0</v>
      </c>
      <c r="AU14" s="275">
        <f t="shared" si="74"/>
        <v>0</v>
      </c>
      <c r="AV14" s="275">
        <f t="shared" si="25"/>
        <v>0</v>
      </c>
      <c r="AW14" s="275">
        <f t="shared" si="26"/>
        <v>0</v>
      </c>
      <c r="AX14" s="275">
        <f t="shared" si="27"/>
        <v>0</v>
      </c>
      <c r="AY14" s="275">
        <f t="shared" si="28"/>
        <v>0</v>
      </c>
      <c r="AZ14" s="275">
        <f t="shared" si="29"/>
        <v>0</v>
      </c>
      <c r="BA14" s="275">
        <f t="shared" si="30"/>
        <v>0</v>
      </c>
      <c r="BB14" s="275">
        <f t="shared" si="31"/>
        <v>0</v>
      </c>
      <c r="BC14" s="275">
        <f t="shared" si="32"/>
        <v>0</v>
      </c>
      <c r="BD14" s="275">
        <f t="shared" si="33"/>
        <v>0</v>
      </c>
      <c r="BE14" s="275">
        <f t="shared" si="34"/>
        <v>0</v>
      </c>
      <c r="BF14" s="275">
        <f t="shared" si="35"/>
        <v>0</v>
      </c>
      <c r="BG14" s="275">
        <f t="shared" si="36"/>
        <v>0</v>
      </c>
      <c r="BH14" s="275">
        <f t="shared" si="75"/>
        <v>0</v>
      </c>
      <c r="BI14" s="275">
        <f t="shared" si="76"/>
        <v>0</v>
      </c>
      <c r="BJ14" s="275">
        <f t="shared" si="37"/>
        <v>0</v>
      </c>
      <c r="BK14" s="275">
        <f t="shared" si="38"/>
        <v>0</v>
      </c>
      <c r="BL14" s="275">
        <f t="shared" si="39"/>
        <v>0</v>
      </c>
      <c r="BM14" s="275">
        <f t="shared" si="40"/>
        <v>0</v>
      </c>
      <c r="BN14" s="275">
        <f t="shared" si="41"/>
        <v>0</v>
      </c>
      <c r="BO14" s="275">
        <f t="shared" si="42"/>
        <v>0</v>
      </c>
      <c r="BP14" s="275">
        <f t="shared" si="77"/>
        <v>0</v>
      </c>
      <c r="BQ14" s="275">
        <f t="shared" si="78"/>
        <v>0</v>
      </c>
      <c r="BR14" s="275">
        <f t="shared" si="43"/>
        <v>0</v>
      </c>
      <c r="BS14" s="275">
        <f t="shared" si="44"/>
        <v>0</v>
      </c>
      <c r="BT14" s="275">
        <f t="shared" si="79"/>
        <v>0</v>
      </c>
      <c r="BU14" s="275">
        <f t="shared" si="80"/>
        <v>0</v>
      </c>
      <c r="BV14" s="275">
        <f t="shared" si="81"/>
        <v>0</v>
      </c>
      <c r="BW14" s="275">
        <f t="shared" si="82"/>
        <v>0</v>
      </c>
      <c r="BX14" s="275">
        <f t="shared" si="45"/>
        <v>0</v>
      </c>
      <c r="BY14" s="275">
        <f t="shared" si="46"/>
        <v>0</v>
      </c>
      <c r="BZ14" s="275">
        <f t="shared" si="47"/>
        <v>0</v>
      </c>
      <c r="CA14" s="275">
        <f t="shared" si="48"/>
        <v>0</v>
      </c>
      <c r="CB14" s="275">
        <f t="shared" si="49"/>
        <v>0</v>
      </c>
      <c r="CC14" s="275">
        <f t="shared" si="50"/>
        <v>0</v>
      </c>
      <c r="CD14" s="275">
        <f t="shared" si="83"/>
        <v>0</v>
      </c>
      <c r="CE14" s="275">
        <f t="shared" si="84"/>
        <v>0</v>
      </c>
      <c r="CF14" s="275">
        <f t="shared" si="85"/>
        <v>0</v>
      </c>
      <c r="CG14" s="275">
        <f t="shared" si="86"/>
        <v>0</v>
      </c>
      <c r="CH14" s="275">
        <f t="shared" si="51"/>
        <v>0</v>
      </c>
      <c r="CI14" s="275">
        <f t="shared" si="52"/>
        <v>0</v>
      </c>
      <c r="CJ14" s="275">
        <f t="shared" si="87"/>
        <v>0</v>
      </c>
      <c r="CK14" s="275">
        <f t="shared" si="88"/>
        <v>0</v>
      </c>
      <c r="CL14" s="275">
        <f t="shared" si="53"/>
        <v>0</v>
      </c>
      <c r="CM14" s="275">
        <f t="shared" si="54"/>
        <v>0</v>
      </c>
      <c r="CN14" s="275">
        <f t="shared" si="55"/>
        <v>0</v>
      </c>
      <c r="CO14" s="275">
        <f t="shared" si="56"/>
        <v>0</v>
      </c>
      <c r="CP14" s="275">
        <f t="shared" si="89"/>
        <v>0</v>
      </c>
      <c r="CQ14" s="275">
        <f t="shared" si="90"/>
        <v>0</v>
      </c>
      <c r="CR14" s="275">
        <f t="shared" si="91"/>
        <v>0</v>
      </c>
      <c r="CS14" s="275">
        <f t="shared" si="92"/>
        <v>0</v>
      </c>
      <c r="CT14" s="275">
        <f t="shared" si="57"/>
        <v>0</v>
      </c>
      <c r="CU14" s="275">
        <f t="shared" si="58"/>
        <v>0</v>
      </c>
      <c r="CV14" s="275">
        <f t="shared" si="59"/>
        <v>0</v>
      </c>
      <c r="CW14" s="275">
        <f t="shared" si="60"/>
        <v>0</v>
      </c>
      <c r="CX14" s="275">
        <f t="shared" si="93"/>
        <v>0</v>
      </c>
      <c r="CY14" s="275">
        <f t="shared" si="94"/>
        <v>0</v>
      </c>
      <c r="CZ14" s="275">
        <f t="shared" si="95"/>
        <v>0</v>
      </c>
      <c r="DA14" s="275">
        <f t="shared" si="96"/>
        <v>0</v>
      </c>
    </row>
    <row r="15" spans="1:105" s="272" customFormat="1" ht="16.5" customHeight="1">
      <c r="A15" s="63" t="str">
        <f t="array" ref="A15">IF(C15&lt;&gt;0,SUM(($C$11:C15&lt;&gt;0)*1),"")</f>
        <v/>
      </c>
      <c r="B15" s="273"/>
      <c r="C15" s="273"/>
      <c r="D15" s="273"/>
      <c r="E15" s="363"/>
      <c r="F15" s="324"/>
      <c r="G15" s="326"/>
      <c r="H15" s="326"/>
      <c r="I15" s="63" t="str">
        <f t="shared" si="0"/>
        <v/>
      </c>
      <c r="J15" s="275">
        <f t="shared" si="61"/>
        <v>0</v>
      </c>
      <c r="K15" s="275">
        <f t="shared" si="62"/>
        <v>0</v>
      </c>
      <c r="L15" s="275">
        <f t="shared" si="1"/>
        <v>0</v>
      </c>
      <c r="M15" s="275">
        <f t="shared" si="2"/>
        <v>0</v>
      </c>
      <c r="N15" s="275">
        <f t="shared" si="3"/>
        <v>0</v>
      </c>
      <c r="O15" s="275">
        <f t="shared" si="4"/>
        <v>0</v>
      </c>
      <c r="P15" s="275">
        <f t="shared" si="5"/>
        <v>0</v>
      </c>
      <c r="Q15" s="275">
        <f t="shared" si="6"/>
        <v>0</v>
      </c>
      <c r="R15" s="275">
        <f t="shared" si="7"/>
        <v>0</v>
      </c>
      <c r="S15" s="275">
        <f t="shared" si="8"/>
        <v>0</v>
      </c>
      <c r="T15" s="275">
        <f t="shared" si="9"/>
        <v>0</v>
      </c>
      <c r="U15" s="275">
        <f t="shared" si="10"/>
        <v>0</v>
      </c>
      <c r="V15" s="275">
        <f t="shared" si="11"/>
        <v>0</v>
      </c>
      <c r="W15" s="275">
        <f t="shared" si="12"/>
        <v>0</v>
      </c>
      <c r="X15" s="275">
        <f t="shared" si="13"/>
        <v>0</v>
      </c>
      <c r="Y15" s="275">
        <f t="shared" si="14"/>
        <v>0</v>
      </c>
      <c r="Z15" s="275">
        <f t="shared" si="15"/>
        <v>0</v>
      </c>
      <c r="AA15" s="275">
        <f t="shared" si="16"/>
        <v>0</v>
      </c>
      <c r="AB15" s="275">
        <f t="shared" si="63"/>
        <v>0</v>
      </c>
      <c r="AC15" s="275">
        <f t="shared" si="64"/>
        <v>0</v>
      </c>
      <c r="AD15" s="275">
        <f t="shared" si="17"/>
        <v>0</v>
      </c>
      <c r="AE15" s="275">
        <f t="shared" si="18"/>
        <v>0</v>
      </c>
      <c r="AF15" s="275">
        <f t="shared" si="19"/>
        <v>0</v>
      </c>
      <c r="AG15" s="275">
        <f t="shared" si="20"/>
        <v>0</v>
      </c>
      <c r="AH15" s="275">
        <f t="shared" si="65"/>
        <v>0</v>
      </c>
      <c r="AI15" s="275">
        <f t="shared" si="66"/>
        <v>0</v>
      </c>
      <c r="AJ15" s="275">
        <f t="shared" si="67"/>
        <v>0</v>
      </c>
      <c r="AK15" s="275">
        <f t="shared" si="68"/>
        <v>0</v>
      </c>
      <c r="AL15" s="275">
        <f t="shared" si="69"/>
        <v>0</v>
      </c>
      <c r="AM15" s="275">
        <f t="shared" si="70"/>
        <v>0</v>
      </c>
      <c r="AN15" s="275">
        <f t="shared" si="71"/>
        <v>0</v>
      </c>
      <c r="AO15" s="275">
        <f t="shared" si="72"/>
        <v>0</v>
      </c>
      <c r="AP15" s="275">
        <f t="shared" si="21"/>
        <v>0</v>
      </c>
      <c r="AQ15" s="275">
        <f t="shared" si="22"/>
        <v>0</v>
      </c>
      <c r="AR15" s="275">
        <f t="shared" si="23"/>
        <v>0</v>
      </c>
      <c r="AS15" s="275">
        <f t="shared" si="24"/>
        <v>0</v>
      </c>
      <c r="AT15" s="275">
        <f t="shared" si="73"/>
        <v>0</v>
      </c>
      <c r="AU15" s="275">
        <f t="shared" si="74"/>
        <v>0</v>
      </c>
      <c r="AV15" s="275">
        <f t="shared" si="25"/>
        <v>0</v>
      </c>
      <c r="AW15" s="275">
        <f t="shared" si="26"/>
        <v>0</v>
      </c>
      <c r="AX15" s="275">
        <f t="shared" si="27"/>
        <v>0</v>
      </c>
      <c r="AY15" s="275">
        <f t="shared" si="28"/>
        <v>0</v>
      </c>
      <c r="AZ15" s="275">
        <f t="shared" si="29"/>
        <v>0</v>
      </c>
      <c r="BA15" s="275">
        <f t="shared" si="30"/>
        <v>0</v>
      </c>
      <c r="BB15" s="275">
        <f t="shared" si="31"/>
        <v>0</v>
      </c>
      <c r="BC15" s="275">
        <f t="shared" si="32"/>
        <v>0</v>
      </c>
      <c r="BD15" s="275">
        <f t="shared" si="33"/>
        <v>0</v>
      </c>
      <c r="BE15" s="275">
        <f t="shared" si="34"/>
        <v>0</v>
      </c>
      <c r="BF15" s="275">
        <f t="shared" si="35"/>
        <v>0</v>
      </c>
      <c r="BG15" s="275">
        <f t="shared" si="36"/>
        <v>0</v>
      </c>
      <c r="BH15" s="275">
        <f t="shared" si="75"/>
        <v>0</v>
      </c>
      <c r="BI15" s="275">
        <f t="shared" si="76"/>
        <v>0</v>
      </c>
      <c r="BJ15" s="275">
        <f t="shared" si="37"/>
        <v>0</v>
      </c>
      <c r="BK15" s="275">
        <f t="shared" si="38"/>
        <v>0</v>
      </c>
      <c r="BL15" s="275">
        <f t="shared" si="39"/>
        <v>0</v>
      </c>
      <c r="BM15" s="275">
        <f t="shared" si="40"/>
        <v>0</v>
      </c>
      <c r="BN15" s="275">
        <f t="shared" si="41"/>
        <v>0</v>
      </c>
      <c r="BO15" s="275">
        <f t="shared" si="42"/>
        <v>0</v>
      </c>
      <c r="BP15" s="275">
        <f t="shared" si="77"/>
        <v>0</v>
      </c>
      <c r="BQ15" s="275">
        <f t="shared" si="78"/>
        <v>0</v>
      </c>
      <c r="BR15" s="275">
        <f t="shared" si="43"/>
        <v>0</v>
      </c>
      <c r="BS15" s="275">
        <f t="shared" si="44"/>
        <v>0</v>
      </c>
      <c r="BT15" s="275">
        <f t="shared" si="79"/>
        <v>0</v>
      </c>
      <c r="BU15" s="275">
        <f t="shared" si="80"/>
        <v>0</v>
      </c>
      <c r="BV15" s="275">
        <f t="shared" si="81"/>
        <v>0</v>
      </c>
      <c r="BW15" s="275">
        <f t="shared" si="82"/>
        <v>0</v>
      </c>
      <c r="BX15" s="275">
        <f t="shared" si="45"/>
        <v>0</v>
      </c>
      <c r="BY15" s="275">
        <f t="shared" si="46"/>
        <v>0</v>
      </c>
      <c r="BZ15" s="275">
        <f t="shared" si="47"/>
        <v>0</v>
      </c>
      <c r="CA15" s="275">
        <f t="shared" si="48"/>
        <v>0</v>
      </c>
      <c r="CB15" s="275">
        <f t="shared" si="49"/>
        <v>0</v>
      </c>
      <c r="CC15" s="275">
        <f t="shared" si="50"/>
        <v>0</v>
      </c>
      <c r="CD15" s="275">
        <f t="shared" si="83"/>
        <v>0</v>
      </c>
      <c r="CE15" s="275">
        <f t="shared" si="84"/>
        <v>0</v>
      </c>
      <c r="CF15" s="275">
        <f t="shared" si="85"/>
        <v>0</v>
      </c>
      <c r="CG15" s="275">
        <f t="shared" si="86"/>
        <v>0</v>
      </c>
      <c r="CH15" s="275">
        <f t="shared" si="51"/>
        <v>0</v>
      </c>
      <c r="CI15" s="275">
        <f t="shared" si="52"/>
        <v>0</v>
      </c>
      <c r="CJ15" s="275">
        <f t="shared" si="87"/>
        <v>0</v>
      </c>
      <c r="CK15" s="275">
        <f t="shared" si="88"/>
        <v>0</v>
      </c>
      <c r="CL15" s="275">
        <f t="shared" si="53"/>
        <v>0</v>
      </c>
      <c r="CM15" s="275">
        <f t="shared" si="54"/>
        <v>0</v>
      </c>
      <c r="CN15" s="275">
        <f t="shared" si="55"/>
        <v>0</v>
      </c>
      <c r="CO15" s="275">
        <f t="shared" si="56"/>
        <v>0</v>
      </c>
      <c r="CP15" s="275">
        <f t="shared" si="89"/>
        <v>0</v>
      </c>
      <c r="CQ15" s="275">
        <f t="shared" si="90"/>
        <v>0</v>
      </c>
      <c r="CR15" s="275">
        <f t="shared" si="91"/>
        <v>0</v>
      </c>
      <c r="CS15" s="275">
        <f t="shared" si="92"/>
        <v>0</v>
      </c>
      <c r="CT15" s="275">
        <f t="shared" si="57"/>
        <v>0</v>
      </c>
      <c r="CU15" s="275">
        <f t="shared" si="58"/>
        <v>0</v>
      </c>
      <c r="CV15" s="275">
        <f t="shared" si="59"/>
        <v>0</v>
      </c>
      <c r="CW15" s="275">
        <f t="shared" si="60"/>
        <v>0</v>
      </c>
      <c r="CX15" s="275">
        <f t="shared" si="93"/>
        <v>0</v>
      </c>
      <c r="CY15" s="275">
        <f t="shared" si="94"/>
        <v>0</v>
      </c>
      <c r="CZ15" s="275">
        <f t="shared" si="95"/>
        <v>0</v>
      </c>
      <c r="DA15" s="275">
        <f t="shared" si="96"/>
        <v>0</v>
      </c>
    </row>
    <row r="16" spans="1:105" s="272" customFormat="1" ht="16.5" customHeight="1">
      <c r="A16" s="63" t="str">
        <f t="array" ref="A16">IF(C16&lt;&gt;0,SUM(($C$11:C16&lt;&gt;0)*1),"")</f>
        <v/>
      </c>
      <c r="B16" s="273"/>
      <c r="C16" s="273"/>
      <c r="D16" s="273"/>
      <c r="E16" s="363"/>
      <c r="F16" s="324"/>
      <c r="G16" s="326"/>
      <c r="H16" s="326"/>
      <c r="I16" s="63" t="str">
        <f t="shared" si="0"/>
        <v/>
      </c>
      <c r="J16" s="275">
        <f t="shared" si="61"/>
        <v>0</v>
      </c>
      <c r="K16" s="275">
        <f t="shared" si="62"/>
        <v>0</v>
      </c>
      <c r="L16" s="275">
        <f t="shared" si="1"/>
        <v>0</v>
      </c>
      <c r="M16" s="275">
        <f t="shared" si="2"/>
        <v>0</v>
      </c>
      <c r="N16" s="275">
        <f t="shared" si="3"/>
        <v>0</v>
      </c>
      <c r="O16" s="275">
        <f t="shared" si="4"/>
        <v>0</v>
      </c>
      <c r="P16" s="275">
        <f t="shared" si="5"/>
        <v>0</v>
      </c>
      <c r="Q16" s="275">
        <f t="shared" si="6"/>
        <v>0</v>
      </c>
      <c r="R16" s="275">
        <f t="shared" si="7"/>
        <v>0</v>
      </c>
      <c r="S16" s="275">
        <f t="shared" si="8"/>
        <v>0</v>
      </c>
      <c r="T16" s="275">
        <f t="shared" si="9"/>
        <v>0</v>
      </c>
      <c r="U16" s="275">
        <f t="shared" si="10"/>
        <v>0</v>
      </c>
      <c r="V16" s="275">
        <f t="shared" si="11"/>
        <v>0</v>
      </c>
      <c r="W16" s="275">
        <f t="shared" si="12"/>
        <v>0</v>
      </c>
      <c r="X16" s="275">
        <f t="shared" si="13"/>
        <v>0</v>
      </c>
      <c r="Y16" s="275">
        <f t="shared" si="14"/>
        <v>0</v>
      </c>
      <c r="Z16" s="275">
        <f t="shared" si="15"/>
        <v>0</v>
      </c>
      <c r="AA16" s="275">
        <f t="shared" si="16"/>
        <v>0</v>
      </c>
      <c r="AB16" s="275">
        <f t="shared" si="63"/>
        <v>0</v>
      </c>
      <c r="AC16" s="275">
        <f t="shared" si="64"/>
        <v>0</v>
      </c>
      <c r="AD16" s="275">
        <f t="shared" si="17"/>
        <v>0</v>
      </c>
      <c r="AE16" s="275">
        <f t="shared" si="18"/>
        <v>0</v>
      </c>
      <c r="AF16" s="275">
        <f t="shared" si="19"/>
        <v>0</v>
      </c>
      <c r="AG16" s="275">
        <f t="shared" si="20"/>
        <v>0</v>
      </c>
      <c r="AH16" s="275">
        <f t="shared" si="65"/>
        <v>0</v>
      </c>
      <c r="AI16" s="275">
        <f t="shared" si="66"/>
        <v>0</v>
      </c>
      <c r="AJ16" s="275">
        <f t="shared" si="67"/>
        <v>0</v>
      </c>
      <c r="AK16" s="275">
        <f t="shared" si="68"/>
        <v>0</v>
      </c>
      <c r="AL16" s="275">
        <f t="shared" si="69"/>
        <v>0</v>
      </c>
      <c r="AM16" s="275">
        <f t="shared" si="70"/>
        <v>0</v>
      </c>
      <c r="AN16" s="275">
        <f t="shared" si="71"/>
        <v>0</v>
      </c>
      <c r="AO16" s="275">
        <f t="shared" si="72"/>
        <v>0</v>
      </c>
      <c r="AP16" s="275">
        <f t="shared" si="21"/>
        <v>0</v>
      </c>
      <c r="AQ16" s="275">
        <f t="shared" si="22"/>
        <v>0</v>
      </c>
      <c r="AR16" s="275">
        <f t="shared" si="23"/>
        <v>0</v>
      </c>
      <c r="AS16" s="275">
        <f t="shared" si="24"/>
        <v>0</v>
      </c>
      <c r="AT16" s="275">
        <f t="shared" si="73"/>
        <v>0</v>
      </c>
      <c r="AU16" s="275">
        <f t="shared" si="74"/>
        <v>0</v>
      </c>
      <c r="AV16" s="275">
        <f t="shared" si="25"/>
        <v>0</v>
      </c>
      <c r="AW16" s="275">
        <f t="shared" si="26"/>
        <v>0</v>
      </c>
      <c r="AX16" s="275">
        <f t="shared" si="27"/>
        <v>0</v>
      </c>
      <c r="AY16" s="275">
        <f t="shared" si="28"/>
        <v>0</v>
      </c>
      <c r="AZ16" s="275">
        <f t="shared" si="29"/>
        <v>0</v>
      </c>
      <c r="BA16" s="275">
        <f t="shared" si="30"/>
        <v>0</v>
      </c>
      <c r="BB16" s="275">
        <f t="shared" si="31"/>
        <v>0</v>
      </c>
      <c r="BC16" s="275">
        <f t="shared" si="32"/>
        <v>0</v>
      </c>
      <c r="BD16" s="275">
        <f t="shared" si="33"/>
        <v>0</v>
      </c>
      <c r="BE16" s="275">
        <f t="shared" si="34"/>
        <v>0</v>
      </c>
      <c r="BF16" s="275">
        <f t="shared" si="35"/>
        <v>0</v>
      </c>
      <c r="BG16" s="275">
        <f t="shared" si="36"/>
        <v>0</v>
      </c>
      <c r="BH16" s="275">
        <f t="shared" si="75"/>
        <v>0</v>
      </c>
      <c r="BI16" s="275">
        <f t="shared" si="76"/>
        <v>0</v>
      </c>
      <c r="BJ16" s="275">
        <f t="shared" si="37"/>
        <v>0</v>
      </c>
      <c r="BK16" s="275">
        <f t="shared" si="38"/>
        <v>0</v>
      </c>
      <c r="BL16" s="275">
        <f t="shared" si="39"/>
        <v>0</v>
      </c>
      <c r="BM16" s="275">
        <f t="shared" si="40"/>
        <v>0</v>
      </c>
      <c r="BN16" s="275">
        <f t="shared" si="41"/>
        <v>0</v>
      </c>
      <c r="BO16" s="275">
        <f t="shared" si="42"/>
        <v>0</v>
      </c>
      <c r="BP16" s="275">
        <f t="shared" si="77"/>
        <v>0</v>
      </c>
      <c r="BQ16" s="275">
        <f t="shared" si="78"/>
        <v>0</v>
      </c>
      <c r="BR16" s="275">
        <f t="shared" si="43"/>
        <v>0</v>
      </c>
      <c r="BS16" s="275">
        <f t="shared" si="44"/>
        <v>0</v>
      </c>
      <c r="BT16" s="275">
        <f t="shared" si="79"/>
        <v>0</v>
      </c>
      <c r="BU16" s="275">
        <f t="shared" si="80"/>
        <v>0</v>
      </c>
      <c r="BV16" s="275">
        <f t="shared" si="81"/>
        <v>0</v>
      </c>
      <c r="BW16" s="275">
        <f t="shared" si="82"/>
        <v>0</v>
      </c>
      <c r="BX16" s="275">
        <f t="shared" si="45"/>
        <v>0</v>
      </c>
      <c r="BY16" s="275">
        <f t="shared" si="46"/>
        <v>0</v>
      </c>
      <c r="BZ16" s="275">
        <f t="shared" si="47"/>
        <v>0</v>
      </c>
      <c r="CA16" s="275">
        <f t="shared" si="48"/>
        <v>0</v>
      </c>
      <c r="CB16" s="275">
        <f t="shared" si="49"/>
        <v>0</v>
      </c>
      <c r="CC16" s="275">
        <f t="shared" si="50"/>
        <v>0</v>
      </c>
      <c r="CD16" s="275">
        <f t="shared" si="83"/>
        <v>0</v>
      </c>
      <c r="CE16" s="275">
        <f t="shared" si="84"/>
        <v>0</v>
      </c>
      <c r="CF16" s="275">
        <f t="shared" si="85"/>
        <v>0</v>
      </c>
      <c r="CG16" s="275">
        <f t="shared" si="86"/>
        <v>0</v>
      </c>
      <c r="CH16" s="275">
        <f t="shared" si="51"/>
        <v>0</v>
      </c>
      <c r="CI16" s="275">
        <f t="shared" si="52"/>
        <v>0</v>
      </c>
      <c r="CJ16" s="275">
        <f t="shared" si="87"/>
        <v>0</v>
      </c>
      <c r="CK16" s="275">
        <f t="shared" si="88"/>
        <v>0</v>
      </c>
      <c r="CL16" s="275">
        <f t="shared" si="53"/>
        <v>0</v>
      </c>
      <c r="CM16" s="275">
        <f t="shared" si="54"/>
        <v>0</v>
      </c>
      <c r="CN16" s="275">
        <f t="shared" si="55"/>
        <v>0</v>
      </c>
      <c r="CO16" s="275">
        <f t="shared" si="56"/>
        <v>0</v>
      </c>
      <c r="CP16" s="275">
        <f t="shared" si="89"/>
        <v>0</v>
      </c>
      <c r="CQ16" s="275">
        <f t="shared" si="90"/>
        <v>0</v>
      </c>
      <c r="CR16" s="275">
        <f t="shared" si="91"/>
        <v>0</v>
      </c>
      <c r="CS16" s="275">
        <f t="shared" si="92"/>
        <v>0</v>
      </c>
      <c r="CT16" s="275">
        <f t="shared" si="57"/>
        <v>0</v>
      </c>
      <c r="CU16" s="275">
        <f t="shared" si="58"/>
        <v>0</v>
      </c>
      <c r="CV16" s="275">
        <f t="shared" si="59"/>
        <v>0</v>
      </c>
      <c r="CW16" s="275">
        <f t="shared" si="60"/>
        <v>0</v>
      </c>
      <c r="CX16" s="275">
        <f t="shared" si="93"/>
        <v>0</v>
      </c>
      <c r="CY16" s="275">
        <f t="shared" si="94"/>
        <v>0</v>
      </c>
      <c r="CZ16" s="275">
        <f t="shared" si="95"/>
        <v>0</v>
      </c>
      <c r="DA16" s="275">
        <f t="shared" si="96"/>
        <v>0</v>
      </c>
    </row>
    <row r="17" spans="1:105" s="272" customFormat="1" ht="16.5" customHeight="1">
      <c r="A17" s="63" t="str">
        <f t="array" ref="A17">IF(C17&lt;&gt;0,SUM(($C$11:C17&lt;&gt;0)*1),"")</f>
        <v/>
      </c>
      <c r="B17" s="273"/>
      <c r="C17" s="273"/>
      <c r="D17" s="273"/>
      <c r="E17" s="363"/>
      <c r="F17" s="324"/>
      <c r="G17" s="326"/>
      <c r="H17" s="326"/>
      <c r="I17" s="63" t="str">
        <f t="shared" si="0"/>
        <v/>
      </c>
      <c r="J17" s="275">
        <f t="shared" si="61"/>
        <v>0</v>
      </c>
      <c r="K17" s="275">
        <f t="shared" si="62"/>
        <v>0</v>
      </c>
      <c r="L17" s="275">
        <f t="shared" si="1"/>
        <v>0</v>
      </c>
      <c r="M17" s="275">
        <f t="shared" si="2"/>
        <v>0</v>
      </c>
      <c r="N17" s="275">
        <f t="shared" si="3"/>
        <v>0</v>
      </c>
      <c r="O17" s="275">
        <f t="shared" si="4"/>
        <v>0</v>
      </c>
      <c r="P17" s="275">
        <f t="shared" si="5"/>
        <v>0</v>
      </c>
      <c r="Q17" s="275">
        <f t="shared" si="6"/>
        <v>0</v>
      </c>
      <c r="R17" s="275">
        <f t="shared" si="7"/>
        <v>0</v>
      </c>
      <c r="S17" s="275">
        <f t="shared" si="8"/>
        <v>0</v>
      </c>
      <c r="T17" s="275">
        <f t="shared" si="9"/>
        <v>0</v>
      </c>
      <c r="U17" s="275">
        <f t="shared" si="10"/>
        <v>0</v>
      </c>
      <c r="V17" s="275">
        <f t="shared" si="11"/>
        <v>0</v>
      </c>
      <c r="W17" s="275">
        <f t="shared" si="12"/>
        <v>0</v>
      </c>
      <c r="X17" s="275">
        <f t="shared" si="13"/>
        <v>0</v>
      </c>
      <c r="Y17" s="275">
        <f t="shared" si="14"/>
        <v>0</v>
      </c>
      <c r="Z17" s="275">
        <f t="shared" si="15"/>
        <v>0</v>
      </c>
      <c r="AA17" s="275">
        <f t="shared" si="16"/>
        <v>0</v>
      </c>
      <c r="AB17" s="275">
        <f t="shared" si="63"/>
        <v>0</v>
      </c>
      <c r="AC17" s="275">
        <f t="shared" si="64"/>
        <v>0</v>
      </c>
      <c r="AD17" s="275">
        <f t="shared" si="17"/>
        <v>0</v>
      </c>
      <c r="AE17" s="275">
        <f t="shared" si="18"/>
        <v>0</v>
      </c>
      <c r="AF17" s="275">
        <f t="shared" si="19"/>
        <v>0</v>
      </c>
      <c r="AG17" s="275">
        <f t="shared" si="20"/>
        <v>0</v>
      </c>
      <c r="AH17" s="275">
        <f t="shared" si="65"/>
        <v>0</v>
      </c>
      <c r="AI17" s="275">
        <f t="shared" si="66"/>
        <v>0</v>
      </c>
      <c r="AJ17" s="275">
        <f t="shared" si="67"/>
        <v>0</v>
      </c>
      <c r="AK17" s="275">
        <f t="shared" si="68"/>
        <v>0</v>
      </c>
      <c r="AL17" s="275">
        <f t="shared" si="69"/>
        <v>0</v>
      </c>
      <c r="AM17" s="275">
        <f t="shared" si="70"/>
        <v>0</v>
      </c>
      <c r="AN17" s="275">
        <f t="shared" si="71"/>
        <v>0</v>
      </c>
      <c r="AO17" s="275">
        <f t="shared" si="72"/>
        <v>0</v>
      </c>
      <c r="AP17" s="275">
        <f t="shared" si="21"/>
        <v>0</v>
      </c>
      <c r="AQ17" s="275">
        <f t="shared" si="22"/>
        <v>0</v>
      </c>
      <c r="AR17" s="275">
        <f t="shared" si="23"/>
        <v>0</v>
      </c>
      <c r="AS17" s="275">
        <f t="shared" si="24"/>
        <v>0</v>
      </c>
      <c r="AT17" s="275">
        <f t="shared" si="73"/>
        <v>0</v>
      </c>
      <c r="AU17" s="275">
        <f t="shared" si="74"/>
        <v>0</v>
      </c>
      <c r="AV17" s="275">
        <f t="shared" si="25"/>
        <v>0</v>
      </c>
      <c r="AW17" s="275">
        <f t="shared" si="26"/>
        <v>0</v>
      </c>
      <c r="AX17" s="275">
        <f t="shared" si="27"/>
        <v>0</v>
      </c>
      <c r="AY17" s="275">
        <f t="shared" si="28"/>
        <v>0</v>
      </c>
      <c r="AZ17" s="275">
        <f t="shared" si="29"/>
        <v>0</v>
      </c>
      <c r="BA17" s="275">
        <f t="shared" si="30"/>
        <v>0</v>
      </c>
      <c r="BB17" s="275">
        <f t="shared" si="31"/>
        <v>0</v>
      </c>
      <c r="BC17" s="275">
        <f t="shared" si="32"/>
        <v>0</v>
      </c>
      <c r="BD17" s="275">
        <f t="shared" si="33"/>
        <v>0</v>
      </c>
      <c r="BE17" s="275">
        <f t="shared" si="34"/>
        <v>0</v>
      </c>
      <c r="BF17" s="275">
        <f t="shared" si="35"/>
        <v>0</v>
      </c>
      <c r="BG17" s="275">
        <f t="shared" si="36"/>
        <v>0</v>
      </c>
      <c r="BH17" s="275">
        <f t="shared" si="75"/>
        <v>0</v>
      </c>
      <c r="BI17" s="275">
        <f t="shared" si="76"/>
        <v>0</v>
      </c>
      <c r="BJ17" s="275">
        <f t="shared" si="37"/>
        <v>0</v>
      </c>
      <c r="BK17" s="275">
        <f t="shared" si="38"/>
        <v>0</v>
      </c>
      <c r="BL17" s="275">
        <f t="shared" si="39"/>
        <v>0</v>
      </c>
      <c r="BM17" s="275">
        <f t="shared" si="40"/>
        <v>0</v>
      </c>
      <c r="BN17" s="275">
        <f t="shared" si="41"/>
        <v>0</v>
      </c>
      <c r="BO17" s="275">
        <f t="shared" si="42"/>
        <v>0</v>
      </c>
      <c r="BP17" s="275">
        <f t="shared" si="77"/>
        <v>0</v>
      </c>
      <c r="BQ17" s="275">
        <f t="shared" si="78"/>
        <v>0</v>
      </c>
      <c r="BR17" s="275">
        <f t="shared" si="43"/>
        <v>0</v>
      </c>
      <c r="BS17" s="275">
        <f t="shared" si="44"/>
        <v>0</v>
      </c>
      <c r="BT17" s="275">
        <f t="shared" si="79"/>
        <v>0</v>
      </c>
      <c r="BU17" s="275">
        <f t="shared" si="80"/>
        <v>0</v>
      </c>
      <c r="BV17" s="275">
        <f t="shared" si="81"/>
        <v>0</v>
      </c>
      <c r="BW17" s="275">
        <f t="shared" si="82"/>
        <v>0</v>
      </c>
      <c r="BX17" s="275">
        <f t="shared" si="45"/>
        <v>0</v>
      </c>
      <c r="BY17" s="275">
        <f t="shared" si="46"/>
        <v>0</v>
      </c>
      <c r="BZ17" s="275">
        <f t="shared" si="47"/>
        <v>0</v>
      </c>
      <c r="CA17" s="275">
        <f t="shared" si="48"/>
        <v>0</v>
      </c>
      <c r="CB17" s="275">
        <f t="shared" si="49"/>
        <v>0</v>
      </c>
      <c r="CC17" s="275">
        <f t="shared" si="50"/>
        <v>0</v>
      </c>
      <c r="CD17" s="275">
        <f t="shared" si="83"/>
        <v>0</v>
      </c>
      <c r="CE17" s="275">
        <f t="shared" si="84"/>
        <v>0</v>
      </c>
      <c r="CF17" s="275">
        <f t="shared" si="85"/>
        <v>0</v>
      </c>
      <c r="CG17" s="275">
        <f t="shared" si="86"/>
        <v>0</v>
      </c>
      <c r="CH17" s="275">
        <f t="shared" si="51"/>
        <v>0</v>
      </c>
      <c r="CI17" s="275">
        <f t="shared" si="52"/>
        <v>0</v>
      </c>
      <c r="CJ17" s="275">
        <f t="shared" si="87"/>
        <v>0</v>
      </c>
      <c r="CK17" s="275">
        <f t="shared" si="88"/>
        <v>0</v>
      </c>
      <c r="CL17" s="275">
        <f t="shared" si="53"/>
        <v>0</v>
      </c>
      <c r="CM17" s="275">
        <f t="shared" si="54"/>
        <v>0</v>
      </c>
      <c r="CN17" s="275">
        <f t="shared" si="55"/>
        <v>0</v>
      </c>
      <c r="CO17" s="275">
        <f t="shared" si="56"/>
        <v>0</v>
      </c>
      <c r="CP17" s="275">
        <f t="shared" si="89"/>
        <v>0</v>
      </c>
      <c r="CQ17" s="275">
        <f t="shared" si="90"/>
        <v>0</v>
      </c>
      <c r="CR17" s="275">
        <f t="shared" si="91"/>
        <v>0</v>
      </c>
      <c r="CS17" s="275">
        <f t="shared" si="92"/>
        <v>0</v>
      </c>
      <c r="CT17" s="275">
        <f t="shared" si="57"/>
        <v>0</v>
      </c>
      <c r="CU17" s="275">
        <f t="shared" si="58"/>
        <v>0</v>
      </c>
      <c r="CV17" s="275">
        <f t="shared" si="59"/>
        <v>0</v>
      </c>
      <c r="CW17" s="275">
        <f t="shared" si="60"/>
        <v>0</v>
      </c>
      <c r="CX17" s="275">
        <f t="shared" si="93"/>
        <v>0</v>
      </c>
      <c r="CY17" s="275">
        <f t="shared" si="94"/>
        <v>0</v>
      </c>
      <c r="CZ17" s="275">
        <f t="shared" si="95"/>
        <v>0</v>
      </c>
      <c r="DA17" s="275">
        <f t="shared" si="96"/>
        <v>0</v>
      </c>
    </row>
    <row r="18" spans="1:105" s="272" customFormat="1" ht="16.5" customHeight="1">
      <c r="A18" s="63" t="str">
        <f t="array" ref="A18">IF(C18&lt;&gt;0,SUM(($C$11:C18&lt;&gt;0)*1),"")</f>
        <v/>
      </c>
      <c r="B18" s="273"/>
      <c r="C18" s="273"/>
      <c r="D18" s="273"/>
      <c r="E18" s="363"/>
      <c r="F18" s="324"/>
      <c r="G18" s="326"/>
      <c r="H18" s="326"/>
      <c r="I18" s="63" t="str">
        <f t="shared" si="0"/>
        <v/>
      </c>
      <c r="J18" s="275">
        <f t="shared" si="61"/>
        <v>0</v>
      </c>
      <c r="K18" s="275">
        <f t="shared" si="62"/>
        <v>0</v>
      </c>
      <c r="L18" s="275">
        <f t="shared" si="1"/>
        <v>0</v>
      </c>
      <c r="M18" s="275">
        <f t="shared" si="2"/>
        <v>0</v>
      </c>
      <c r="N18" s="275">
        <f t="shared" si="3"/>
        <v>0</v>
      </c>
      <c r="O18" s="275">
        <f t="shared" si="4"/>
        <v>0</v>
      </c>
      <c r="P18" s="275">
        <f t="shared" si="5"/>
        <v>0</v>
      </c>
      <c r="Q18" s="275">
        <f t="shared" si="6"/>
        <v>0</v>
      </c>
      <c r="R18" s="275">
        <f t="shared" si="7"/>
        <v>0</v>
      </c>
      <c r="S18" s="275">
        <f t="shared" si="8"/>
        <v>0</v>
      </c>
      <c r="T18" s="275">
        <f t="shared" si="9"/>
        <v>0</v>
      </c>
      <c r="U18" s="275">
        <f t="shared" si="10"/>
        <v>0</v>
      </c>
      <c r="V18" s="275">
        <f t="shared" si="11"/>
        <v>0</v>
      </c>
      <c r="W18" s="275">
        <f t="shared" si="12"/>
        <v>0</v>
      </c>
      <c r="X18" s="275">
        <f t="shared" si="13"/>
        <v>0</v>
      </c>
      <c r="Y18" s="275">
        <f t="shared" si="14"/>
        <v>0</v>
      </c>
      <c r="Z18" s="275">
        <f t="shared" si="15"/>
        <v>0</v>
      </c>
      <c r="AA18" s="275">
        <f t="shared" si="16"/>
        <v>0</v>
      </c>
      <c r="AB18" s="275">
        <f t="shared" si="63"/>
        <v>0</v>
      </c>
      <c r="AC18" s="275">
        <f t="shared" si="64"/>
        <v>0</v>
      </c>
      <c r="AD18" s="275">
        <f t="shared" si="17"/>
        <v>0</v>
      </c>
      <c r="AE18" s="275">
        <f t="shared" si="18"/>
        <v>0</v>
      </c>
      <c r="AF18" s="275">
        <f t="shared" si="19"/>
        <v>0</v>
      </c>
      <c r="AG18" s="275">
        <f t="shared" si="20"/>
        <v>0</v>
      </c>
      <c r="AH18" s="275">
        <f t="shared" si="65"/>
        <v>0</v>
      </c>
      <c r="AI18" s="275">
        <f t="shared" si="66"/>
        <v>0</v>
      </c>
      <c r="AJ18" s="275">
        <f t="shared" si="67"/>
        <v>0</v>
      </c>
      <c r="AK18" s="275">
        <f t="shared" si="68"/>
        <v>0</v>
      </c>
      <c r="AL18" s="275">
        <f t="shared" si="69"/>
        <v>0</v>
      </c>
      <c r="AM18" s="275">
        <f t="shared" si="70"/>
        <v>0</v>
      </c>
      <c r="AN18" s="275">
        <f t="shared" si="71"/>
        <v>0</v>
      </c>
      <c r="AO18" s="275">
        <f t="shared" si="72"/>
        <v>0</v>
      </c>
      <c r="AP18" s="275">
        <f t="shared" si="21"/>
        <v>0</v>
      </c>
      <c r="AQ18" s="275">
        <f t="shared" si="22"/>
        <v>0</v>
      </c>
      <c r="AR18" s="275">
        <f t="shared" si="23"/>
        <v>0</v>
      </c>
      <c r="AS18" s="275">
        <f t="shared" si="24"/>
        <v>0</v>
      </c>
      <c r="AT18" s="275">
        <f t="shared" si="73"/>
        <v>0</v>
      </c>
      <c r="AU18" s="275">
        <f t="shared" si="74"/>
        <v>0</v>
      </c>
      <c r="AV18" s="275">
        <f t="shared" si="25"/>
        <v>0</v>
      </c>
      <c r="AW18" s="275">
        <f t="shared" si="26"/>
        <v>0</v>
      </c>
      <c r="AX18" s="275">
        <f t="shared" si="27"/>
        <v>0</v>
      </c>
      <c r="AY18" s="275">
        <f t="shared" si="28"/>
        <v>0</v>
      </c>
      <c r="AZ18" s="275">
        <f t="shared" si="29"/>
        <v>0</v>
      </c>
      <c r="BA18" s="275">
        <f t="shared" si="30"/>
        <v>0</v>
      </c>
      <c r="BB18" s="275">
        <f t="shared" si="31"/>
        <v>0</v>
      </c>
      <c r="BC18" s="275">
        <f t="shared" si="32"/>
        <v>0</v>
      </c>
      <c r="BD18" s="275">
        <f t="shared" si="33"/>
        <v>0</v>
      </c>
      <c r="BE18" s="275">
        <f t="shared" si="34"/>
        <v>0</v>
      </c>
      <c r="BF18" s="275">
        <f t="shared" si="35"/>
        <v>0</v>
      </c>
      <c r="BG18" s="275">
        <f t="shared" si="36"/>
        <v>0</v>
      </c>
      <c r="BH18" s="275">
        <f t="shared" si="75"/>
        <v>0</v>
      </c>
      <c r="BI18" s="275">
        <f t="shared" si="76"/>
        <v>0</v>
      </c>
      <c r="BJ18" s="275">
        <f t="shared" si="37"/>
        <v>0</v>
      </c>
      <c r="BK18" s="275">
        <f t="shared" si="38"/>
        <v>0</v>
      </c>
      <c r="BL18" s="275">
        <f t="shared" si="39"/>
        <v>0</v>
      </c>
      <c r="BM18" s="275">
        <f t="shared" si="40"/>
        <v>0</v>
      </c>
      <c r="BN18" s="275">
        <f t="shared" si="41"/>
        <v>0</v>
      </c>
      <c r="BO18" s="275">
        <f t="shared" si="42"/>
        <v>0</v>
      </c>
      <c r="BP18" s="275">
        <f t="shared" si="77"/>
        <v>0</v>
      </c>
      <c r="BQ18" s="275">
        <f t="shared" si="78"/>
        <v>0</v>
      </c>
      <c r="BR18" s="275">
        <f t="shared" si="43"/>
        <v>0</v>
      </c>
      <c r="BS18" s="275">
        <f t="shared" si="44"/>
        <v>0</v>
      </c>
      <c r="BT18" s="275">
        <f t="shared" si="79"/>
        <v>0</v>
      </c>
      <c r="BU18" s="275">
        <f t="shared" si="80"/>
        <v>0</v>
      </c>
      <c r="BV18" s="275">
        <f t="shared" si="81"/>
        <v>0</v>
      </c>
      <c r="BW18" s="275">
        <f t="shared" si="82"/>
        <v>0</v>
      </c>
      <c r="BX18" s="275">
        <f t="shared" si="45"/>
        <v>0</v>
      </c>
      <c r="BY18" s="275">
        <f t="shared" si="46"/>
        <v>0</v>
      </c>
      <c r="BZ18" s="275">
        <f t="shared" si="47"/>
        <v>0</v>
      </c>
      <c r="CA18" s="275">
        <f t="shared" si="48"/>
        <v>0</v>
      </c>
      <c r="CB18" s="275">
        <f t="shared" si="49"/>
        <v>0</v>
      </c>
      <c r="CC18" s="275">
        <f t="shared" si="50"/>
        <v>0</v>
      </c>
      <c r="CD18" s="275">
        <f t="shared" si="83"/>
        <v>0</v>
      </c>
      <c r="CE18" s="275">
        <f t="shared" si="84"/>
        <v>0</v>
      </c>
      <c r="CF18" s="275">
        <f t="shared" si="85"/>
        <v>0</v>
      </c>
      <c r="CG18" s="275">
        <f t="shared" si="86"/>
        <v>0</v>
      </c>
      <c r="CH18" s="275">
        <f t="shared" si="51"/>
        <v>0</v>
      </c>
      <c r="CI18" s="275">
        <f t="shared" si="52"/>
        <v>0</v>
      </c>
      <c r="CJ18" s="275">
        <f t="shared" si="87"/>
        <v>0</v>
      </c>
      <c r="CK18" s="275">
        <f t="shared" si="88"/>
        <v>0</v>
      </c>
      <c r="CL18" s="275">
        <f t="shared" si="53"/>
        <v>0</v>
      </c>
      <c r="CM18" s="275">
        <f t="shared" si="54"/>
        <v>0</v>
      </c>
      <c r="CN18" s="275">
        <f t="shared" si="55"/>
        <v>0</v>
      </c>
      <c r="CO18" s="275">
        <f t="shared" si="56"/>
        <v>0</v>
      </c>
      <c r="CP18" s="275">
        <f t="shared" si="89"/>
        <v>0</v>
      </c>
      <c r="CQ18" s="275">
        <f t="shared" si="90"/>
        <v>0</v>
      </c>
      <c r="CR18" s="275">
        <f t="shared" si="91"/>
        <v>0</v>
      </c>
      <c r="CS18" s="275">
        <f t="shared" si="92"/>
        <v>0</v>
      </c>
      <c r="CT18" s="275">
        <f t="shared" si="57"/>
        <v>0</v>
      </c>
      <c r="CU18" s="275">
        <f t="shared" si="58"/>
        <v>0</v>
      </c>
      <c r="CV18" s="275">
        <f t="shared" si="59"/>
        <v>0</v>
      </c>
      <c r="CW18" s="275">
        <f t="shared" si="60"/>
        <v>0</v>
      </c>
      <c r="CX18" s="275">
        <f t="shared" si="93"/>
        <v>0</v>
      </c>
      <c r="CY18" s="275">
        <f t="shared" si="94"/>
        <v>0</v>
      </c>
      <c r="CZ18" s="275">
        <f t="shared" si="95"/>
        <v>0</v>
      </c>
      <c r="DA18" s="275">
        <f t="shared" si="96"/>
        <v>0</v>
      </c>
    </row>
    <row r="19" spans="1:105" s="272" customFormat="1" ht="16.5" customHeight="1">
      <c r="A19" s="63" t="str">
        <f t="array" ref="A19">IF(C19&lt;&gt;0,SUM(($C$11:C19&lt;&gt;0)*1),"")</f>
        <v/>
      </c>
      <c r="B19" s="273"/>
      <c r="C19" s="273"/>
      <c r="D19" s="273"/>
      <c r="E19" s="363"/>
      <c r="F19" s="324"/>
      <c r="G19" s="326"/>
      <c r="H19" s="326"/>
      <c r="I19" s="63" t="str">
        <f t="shared" si="0"/>
        <v/>
      </c>
      <c r="J19" s="275">
        <f t="shared" si="61"/>
        <v>0</v>
      </c>
      <c r="K19" s="275">
        <f t="shared" si="62"/>
        <v>0</v>
      </c>
      <c r="L19" s="275">
        <f t="shared" si="1"/>
        <v>0</v>
      </c>
      <c r="M19" s="275">
        <f t="shared" si="2"/>
        <v>0</v>
      </c>
      <c r="N19" s="275">
        <f t="shared" si="3"/>
        <v>0</v>
      </c>
      <c r="O19" s="275">
        <f t="shared" si="4"/>
        <v>0</v>
      </c>
      <c r="P19" s="275">
        <f t="shared" si="5"/>
        <v>0</v>
      </c>
      <c r="Q19" s="275">
        <f t="shared" si="6"/>
        <v>0</v>
      </c>
      <c r="R19" s="275">
        <f t="shared" si="7"/>
        <v>0</v>
      </c>
      <c r="S19" s="275">
        <f t="shared" si="8"/>
        <v>0</v>
      </c>
      <c r="T19" s="275">
        <f t="shared" si="9"/>
        <v>0</v>
      </c>
      <c r="U19" s="275">
        <f t="shared" si="10"/>
        <v>0</v>
      </c>
      <c r="V19" s="275">
        <f t="shared" si="11"/>
        <v>0</v>
      </c>
      <c r="W19" s="275">
        <f t="shared" si="12"/>
        <v>0</v>
      </c>
      <c r="X19" s="275">
        <f t="shared" si="13"/>
        <v>0</v>
      </c>
      <c r="Y19" s="275">
        <f t="shared" si="14"/>
        <v>0</v>
      </c>
      <c r="Z19" s="275">
        <f t="shared" si="15"/>
        <v>0</v>
      </c>
      <c r="AA19" s="275">
        <f t="shared" si="16"/>
        <v>0</v>
      </c>
      <c r="AB19" s="275">
        <f t="shared" si="63"/>
        <v>0</v>
      </c>
      <c r="AC19" s="275">
        <f t="shared" si="64"/>
        <v>0</v>
      </c>
      <c r="AD19" s="275">
        <f t="shared" si="17"/>
        <v>0</v>
      </c>
      <c r="AE19" s="275">
        <f t="shared" si="18"/>
        <v>0</v>
      </c>
      <c r="AF19" s="275">
        <f t="shared" si="19"/>
        <v>0</v>
      </c>
      <c r="AG19" s="275">
        <f t="shared" si="20"/>
        <v>0</v>
      </c>
      <c r="AH19" s="275">
        <f t="shared" si="65"/>
        <v>0</v>
      </c>
      <c r="AI19" s="275">
        <f t="shared" si="66"/>
        <v>0</v>
      </c>
      <c r="AJ19" s="275">
        <f t="shared" si="67"/>
        <v>0</v>
      </c>
      <c r="AK19" s="275">
        <f t="shared" si="68"/>
        <v>0</v>
      </c>
      <c r="AL19" s="275">
        <f t="shared" si="69"/>
        <v>0</v>
      </c>
      <c r="AM19" s="275">
        <f t="shared" si="70"/>
        <v>0</v>
      </c>
      <c r="AN19" s="275">
        <f t="shared" si="71"/>
        <v>0</v>
      </c>
      <c r="AO19" s="275">
        <f t="shared" si="72"/>
        <v>0</v>
      </c>
      <c r="AP19" s="275">
        <f t="shared" si="21"/>
        <v>0</v>
      </c>
      <c r="AQ19" s="275">
        <f t="shared" si="22"/>
        <v>0</v>
      </c>
      <c r="AR19" s="275">
        <f t="shared" si="23"/>
        <v>0</v>
      </c>
      <c r="AS19" s="275">
        <f t="shared" si="24"/>
        <v>0</v>
      </c>
      <c r="AT19" s="275">
        <f t="shared" si="73"/>
        <v>0</v>
      </c>
      <c r="AU19" s="275">
        <f t="shared" si="74"/>
        <v>0</v>
      </c>
      <c r="AV19" s="275">
        <f t="shared" si="25"/>
        <v>0</v>
      </c>
      <c r="AW19" s="275">
        <f t="shared" si="26"/>
        <v>0</v>
      </c>
      <c r="AX19" s="275">
        <f t="shared" si="27"/>
        <v>0</v>
      </c>
      <c r="AY19" s="275">
        <f t="shared" si="28"/>
        <v>0</v>
      </c>
      <c r="AZ19" s="275">
        <f t="shared" si="29"/>
        <v>0</v>
      </c>
      <c r="BA19" s="275">
        <f t="shared" si="30"/>
        <v>0</v>
      </c>
      <c r="BB19" s="275">
        <f t="shared" si="31"/>
        <v>0</v>
      </c>
      <c r="BC19" s="275">
        <f t="shared" si="32"/>
        <v>0</v>
      </c>
      <c r="BD19" s="275">
        <f t="shared" si="33"/>
        <v>0</v>
      </c>
      <c r="BE19" s="275">
        <f t="shared" si="34"/>
        <v>0</v>
      </c>
      <c r="BF19" s="275">
        <f t="shared" si="35"/>
        <v>0</v>
      </c>
      <c r="BG19" s="275">
        <f t="shared" si="36"/>
        <v>0</v>
      </c>
      <c r="BH19" s="275">
        <f t="shared" si="75"/>
        <v>0</v>
      </c>
      <c r="BI19" s="275">
        <f t="shared" si="76"/>
        <v>0</v>
      </c>
      <c r="BJ19" s="275">
        <f t="shared" si="37"/>
        <v>0</v>
      </c>
      <c r="BK19" s="275">
        <f t="shared" si="38"/>
        <v>0</v>
      </c>
      <c r="BL19" s="275">
        <f t="shared" si="39"/>
        <v>0</v>
      </c>
      <c r="BM19" s="275">
        <f t="shared" si="40"/>
        <v>0</v>
      </c>
      <c r="BN19" s="275">
        <f t="shared" si="41"/>
        <v>0</v>
      </c>
      <c r="BO19" s="275">
        <f t="shared" si="42"/>
        <v>0</v>
      </c>
      <c r="BP19" s="275">
        <f t="shared" si="77"/>
        <v>0</v>
      </c>
      <c r="BQ19" s="275">
        <f t="shared" si="78"/>
        <v>0</v>
      </c>
      <c r="BR19" s="275">
        <f t="shared" si="43"/>
        <v>0</v>
      </c>
      <c r="BS19" s="275">
        <f t="shared" si="44"/>
        <v>0</v>
      </c>
      <c r="BT19" s="275">
        <f t="shared" si="79"/>
        <v>0</v>
      </c>
      <c r="BU19" s="275">
        <f t="shared" si="80"/>
        <v>0</v>
      </c>
      <c r="BV19" s="275">
        <f t="shared" si="81"/>
        <v>0</v>
      </c>
      <c r="BW19" s="275">
        <f t="shared" si="82"/>
        <v>0</v>
      </c>
      <c r="BX19" s="275">
        <f t="shared" si="45"/>
        <v>0</v>
      </c>
      <c r="BY19" s="275">
        <f t="shared" si="46"/>
        <v>0</v>
      </c>
      <c r="BZ19" s="275">
        <f t="shared" si="47"/>
        <v>0</v>
      </c>
      <c r="CA19" s="275">
        <f t="shared" si="48"/>
        <v>0</v>
      </c>
      <c r="CB19" s="275">
        <f t="shared" si="49"/>
        <v>0</v>
      </c>
      <c r="CC19" s="275">
        <f t="shared" si="50"/>
        <v>0</v>
      </c>
      <c r="CD19" s="275">
        <f t="shared" si="83"/>
        <v>0</v>
      </c>
      <c r="CE19" s="275">
        <f t="shared" si="84"/>
        <v>0</v>
      </c>
      <c r="CF19" s="275">
        <f t="shared" si="85"/>
        <v>0</v>
      </c>
      <c r="CG19" s="275">
        <f t="shared" si="86"/>
        <v>0</v>
      </c>
      <c r="CH19" s="275">
        <f t="shared" si="51"/>
        <v>0</v>
      </c>
      <c r="CI19" s="275">
        <f t="shared" si="52"/>
        <v>0</v>
      </c>
      <c r="CJ19" s="275">
        <f t="shared" si="87"/>
        <v>0</v>
      </c>
      <c r="CK19" s="275">
        <f t="shared" si="88"/>
        <v>0</v>
      </c>
      <c r="CL19" s="275">
        <f t="shared" si="53"/>
        <v>0</v>
      </c>
      <c r="CM19" s="275">
        <f t="shared" si="54"/>
        <v>0</v>
      </c>
      <c r="CN19" s="275">
        <f t="shared" si="55"/>
        <v>0</v>
      </c>
      <c r="CO19" s="275">
        <f t="shared" si="56"/>
        <v>0</v>
      </c>
      <c r="CP19" s="275">
        <f t="shared" si="89"/>
        <v>0</v>
      </c>
      <c r="CQ19" s="275">
        <f t="shared" si="90"/>
        <v>0</v>
      </c>
      <c r="CR19" s="275">
        <f t="shared" si="91"/>
        <v>0</v>
      </c>
      <c r="CS19" s="275">
        <f t="shared" si="92"/>
        <v>0</v>
      </c>
      <c r="CT19" s="275">
        <f t="shared" si="57"/>
        <v>0</v>
      </c>
      <c r="CU19" s="275">
        <f t="shared" si="58"/>
        <v>0</v>
      </c>
      <c r="CV19" s="275">
        <f t="shared" si="59"/>
        <v>0</v>
      </c>
      <c r="CW19" s="275">
        <f t="shared" si="60"/>
        <v>0</v>
      </c>
      <c r="CX19" s="275">
        <f t="shared" si="93"/>
        <v>0</v>
      </c>
      <c r="CY19" s="275">
        <f t="shared" si="94"/>
        <v>0</v>
      </c>
      <c r="CZ19" s="275">
        <f t="shared" si="95"/>
        <v>0</v>
      </c>
      <c r="DA19" s="275">
        <f t="shared" si="96"/>
        <v>0</v>
      </c>
    </row>
    <row r="20" spans="1:105" s="272" customFormat="1" ht="16.5" customHeight="1">
      <c r="A20" s="63" t="str">
        <f t="array" ref="A20">IF(C20&lt;&gt;0,SUM(($C$11:C20&lt;&gt;0)*1),"")</f>
        <v/>
      </c>
      <c r="B20" s="273"/>
      <c r="C20" s="273"/>
      <c r="D20" s="273"/>
      <c r="E20" s="363"/>
      <c r="F20" s="324"/>
      <c r="G20" s="326"/>
      <c r="H20" s="326"/>
      <c r="I20" s="63" t="str">
        <f t="shared" si="0"/>
        <v/>
      </c>
      <c r="J20" s="275">
        <f t="shared" si="61"/>
        <v>0</v>
      </c>
      <c r="K20" s="275">
        <f t="shared" si="62"/>
        <v>0</v>
      </c>
      <c r="L20" s="275">
        <f t="shared" si="1"/>
        <v>0</v>
      </c>
      <c r="M20" s="275">
        <f t="shared" si="2"/>
        <v>0</v>
      </c>
      <c r="N20" s="275">
        <f t="shared" si="3"/>
        <v>0</v>
      </c>
      <c r="O20" s="275">
        <f t="shared" si="4"/>
        <v>0</v>
      </c>
      <c r="P20" s="275">
        <f t="shared" si="5"/>
        <v>0</v>
      </c>
      <c r="Q20" s="275">
        <f t="shared" si="6"/>
        <v>0</v>
      </c>
      <c r="R20" s="275">
        <f t="shared" si="7"/>
        <v>0</v>
      </c>
      <c r="S20" s="275">
        <f t="shared" si="8"/>
        <v>0</v>
      </c>
      <c r="T20" s="275">
        <f t="shared" si="9"/>
        <v>0</v>
      </c>
      <c r="U20" s="275">
        <f t="shared" si="10"/>
        <v>0</v>
      </c>
      <c r="V20" s="275">
        <f t="shared" si="11"/>
        <v>0</v>
      </c>
      <c r="W20" s="275">
        <f t="shared" si="12"/>
        <v>0</v>
      </c>
      <c r="X20" s="275">
        <f t="shared" si="13"/>
        <v>0</v>
      </c>
      <c r="Y20" s="275">
        <f t="shared" si="14"/>
        <v>0</v>
      </c>
      <c r="Z20" s="275">
        <f t="shared" si="15"/>
        <v>0</v>
      </c>
      <c r="AA20" s="275">
        <f t="shared" si="16"/>
        <v>0</v>
      </c>
      <c r="AB20" s="275">
        <f t="shared" si="63"/>
        <v>0</v>
      </c>
      <c r="AC20" s="275">
        <f t="shared" si="64"/>
        <v>0</v>
      </c>
      <c r="AD20" s="275">
        <f t="shared" si="17"/>
        <v>0</v>
      </c>
      <c r="AE20" s="275">
        <f t="shared" si="18"/>
        <v>0</v>
      </c>
      <c r="AF20" s="275">
        <f t="shared" si="19"/>
        <v>0</v>
      </c>
      <c r="AG20" s="275">
        <f t="shared" si="20"/>
        <v>0</v>
      </c>
      <c r="AH20" s="275">
        <f t="shared" si="65"/>
        <v>0</v>
      </c>
      <c r="AI20" s="275">
        <f t="shared" si="66"/>
        <v>0</v>
      </c>
      <c r="AJ20" s="275">
        <f t="shared" si="67"/>
        <v>0</v>
      </c>
      <c r="AK20" s="275">
        <f t="shared" si="68"/>
        <v>0</v>
      </c>
      <c r="AL20" s="275">
        <f t="shared" si="69"/>
        <v>0</v>
      </c>
      <c r="AM20" s="275">
        <f t="shared" si="70"/>
        <v>0</v>
      </c>
      <c r="AN20" s="275">
        <f t="shared" si="71"/>
        <v>0</v>
      </c>
      <c r="AO20" s="275">
        <f t="shared" si="72"/>
        <v>0</v>
      </c>
      <c r="AP20" s="275">
        <f t="shared" si="21"/>
        <v>0</v>
      </c>
      <c r="AQ20" s="275">
        <f t="shared" si="22"/>
        <v>0</v>
      </c>
      <c r="AR20" s="275">
        <f t="shared" si="23"/>
        <v>0</v>
      </c>
      <c r="AS20" s="275">
        <f t="shared" si="24"/>
        <v>0</v>
      </c>
      <c r="AT20" s="275">
        <f t="shared" si="73"/>
        <v>0</v>
      </c>
      <c r="AU20" s="275">
        <f t="shared" si="74"/>
        <v>0</v>
      </c>
      <c r="AV20" s="275">
        <f t="shared" si="25"/>
        <v>0</v>
      </c>
      <c r="AW20" s="275">
        <f t="shared" si="26"/>
        <v>0</v>
      </c>
      <c r="AX20" s="275">
        <f t="shared" si="27"/>
        <v>0</v>
      </c>
      <c r="AY20" s="275">
        <f t="shared" si="28"/>
        <v>0</v>
      </c>
      <c r="AZ20" s="275">
        <f t="shared" si="29"/>
        <v>0</v>
      </c>
      <c r="BA20" s="275">
        <f t="shared" si="30"/>
        <v>0</v>
      </c>
      <c r="BB20" s="275">
        <f t="shared" si="31"/>
        <v>0</v>
      </c>
      <c r="BC20" s="275">
        <f t="shared" si="32"/>
        <v>0</v>
      </c>
      <c r="BD20" s="275">
        <f t="shared" si="33"/>
        <v>0</v>
      </c>
      <c r="BE20" s="275">
        <f t="shared" si="34"/>
        <v>0</v>
      </c>
      <c r="BF20" s="275">
        <f t="shared" si="35"/>
        <v>0</v>
      </c>
      <c r="BG20" s="275">
        <f t="shared" si="36"/>
        <v>0</v>
      </c>
      <c r="BH20" s="275">
        <f t="shared" si="75"/>
        <v>0</v>
      </c>
      <c r="BI20" s="275">
        <f t="shared" si="76"/>
        <v>0</v>
      </c>
      <c r="BJ20" s="275">
        <f t="shared" si="37"/>
        <v>0</v>
      </c>
      <c r="BK20" s="275">
        <f t="shared" si="38"/>
        <v>0</v>
      </c>
      <c r="BL20" s="275">
        <f t="shared" si="39"/>
        <v>0</v>
      </c>
      <c r="BM20" s="275">
        <f t="shared" si="40"/>
        <v>0</v>
      </c>
      <c r="BN20" s="275">
        <f t="shared" si="41"/>
        <v>0</v>
      </c>
      <c r="BO20" s="275">
        <f t="shared" si="42"/>
        <v>0</v>
      </c>
      <c r="BP20" s="275">
        <f t="shared" si="77"/>
        <v>0</v>
      </c>
      <c r="BQ20" s="275">
        <f t="shared" si="78"/>
        <v>0</v>
      </c>
      <c r="BR20" s="275">
        <f t="shared" si="43"/>
        <v>0</v>
      </c>
      <c r="BS20" s="275">
        <f t="shared" si="44"/>
        <v>0</v>
      </c>
      <c r="BT20" s="275">
        <f t="shared" si="79"/>
        <v>0</v>
      </c>
      <c r="BU20" s="275">
        <f t="shared" si="80"/>
        <v>0</v>
      </c>
      <c r="BV20" s="275">
        <f t="shared" si="81"/>
        <v>0</v>
      </c>
      <c r="BW20" s="275">
        <f t="shared" si="82"/>
        <v>0</v>
      </c>
      <c r="BX20" s="275">
        <f t="shared" si="45"/>
        <v>0</v>
      </c>
      <c r="BY20" s="275">
        <f t="shared" si="46"/>
        <v>0</v>
      </c>
      <c r="BZ20" s="275">
        <f t="shared" si="47"/>
        <v>0</v>
      </c>
      <c r="CA20" s="275">
        <f t="shared" si="48"/>
        <v>0</v>
      </c>
      <c r="CB20" s="275">
        <f t="shared" si="49"/>
        <v>0</v>
      </c>
      <c r="CC20" s="275">
        <f t="shared" si="50"/>
        <v>0</v>
      </c>
      <c r="CD20" s="275">
        <f t="shared" si="83"/>
        <v>0</v>
      </c>
      <c r="CE20" s="275">
        <f t="shared" si="84"/>
        <v>0</v>
      </c>
      <c r="CF20" s="275">
        <f t="shared" si="85"/>
        <v>0</v>
      </c>
      <c r="CG20" s="275">
        <f t="shared" si="86"/>
        <v>0</v>
      </c>
      <c r="CH20" s="275">
        <f t="shared" si="51"/>
        <v>0</v>
      </c>
      <c r="CI20" s="275">
        <f t="shared" si="52"/>
        <v>0</v>
      </c>
      <c r="CJ20" s="275">
        <f t="shared" si="87"/>
        <v>0</v>
      </c>
      <c r="CK20" s="275">
        <f t="shared" si="88"/>
        <v>0</v>
      </c>
      <c r="CL20" s="275">
        <f t="shared" si="53"/>
        <v>0</v>
      </c>
      <c r="CM20" s="275">
        <f t="shared" si="54"/>
        <v>0</v>
      </c>
      <c r="CN20" s="275">
        <f t="shared" si="55"/>
        <v>0</v>
      </c>
      <c r="CO20" s="275">
        <f t="shared" si="56"/>
        <v>0</v>
      </c>
      <c r="CP20" s="275">
        <f t="shared" si="89"/>
        <v>0</v>
      </c>
      <c r="CQ20" s="275">
        <f t="shared" si="90"/>
        <v>0</v>
      </c>
      <c r="CR20" s="275">
        <f t="shared" si="91"/>
        <v>0</v>
      </c>
      <c r="CS20" s="275">
        <f t="shared" si="92"/>
        <v>0</v>
      </c>
      <c r="CT20" s="275">
        <f t="shared" si="57"/>
        <v>0</v>
      </c>
      <c r="CU20" s="275">
        <f t="shared" si="58"/>
        <v>0</v>
      </c>
      <c r="CV20" s="275">
        <f t="shared" si="59"/>
        <v>0</v>
      </c>
      <c r="CW20" s="275">
        <f t="shared" si="60"/>
        <v>0</v>
      </c>
      <c r="CX20" s="275">
        <f t="shared" si="93"/>
        <v>0</v>
      </c>
      <c r="CY20" s="275">
        <f t="shared" si="94"/>
        <v>0</v>
      </c>
      <c r="CZ20" s="275">
        <f t="shared" si="95"/>
        <v>0</v>
      </c>
      <c r="DA20" s="275">
        <f t="shared" si="96"/>
        <v>0</v>
      </c>
    </row>
    <row r="21" spans="1:105" s="272" customFormat="1" ht="16.5" customHeight="1">
      <c r="A21" s="63" t="str">
        <f t="array" ref="A21">IF(C21&lt;&gt;0,SUM(($C$11:C21&lt;&gt;0)*1),"")</f>
        <v/>
      </c>
      <c r="B21" s="273"/>
      <c r="C21" s="273"/>
      <c r="D21" s="273"/>
      <c r="E21" s="363"/>
      <c r="F21" s="324"/>
      <c r="G21" s="326"/>
      <c r="H21" s="326"/>
      <c r="I21" s="63" t="str">
        <f t="shared" si="0"/>
        <v/>
      </c>
      <c r="J21" s="275">
        <f t="shared" si="61"/>
        <v>0</v>
      </c>
      <c r="K21" s="275">
        <f t="shared" si="62"/>
        <v>0</v>
      </c>
      <c r="L21" s="275">
        <f t="shared" si="1"/>
        <v>0</v>
      </c>
      <c r="M21" s="275">
        <f t="shared" si="2"/>
        <v>0</v>
      </c>
      <c r="N21" s="275">
        <f t="shared" si="3"/>
        <v>0</v>
      </c>
      <c r="O21" s="275">
        <f t="shared" si="4"/>
        <v>0</v>
      </c>
      <c r="P21" s="275">
        <f t="shared" si="5"/>
        <v>0</v>
      </c>
      <c r="Q21" s="275">
        <f t="shared" si="6"/>
        <v>0</v>
      </c>
      <c r="R21" s="275">
        <f t="shared" si="7"/>
        <v>0</v>
      </c>
      <c r="S21" s="275">
        <f t="shared" si="8"/>
        <v>0</v>
      </c>
      <c r="T21" s="275">
        <f t="shared" si="9"/>
        <v>0</v>
      </c>
      <c r="U21" s="275">
        <f t="shared" si="10"/>
        <v>0</v>
      </c>
      <c r="V21" s="275">
        <f t="shared" si="11"/>
        <v>0</v>
      </c>
      <c r="W21" s="275">
        <f t="shared" si="12"/>
        <v>0</v>
      </c>
      <c r="X21" s="275">
        <f t="shared" si="13"/>
        <v>0</v>
      </c>
      <c r="Y21" s="275">
        <f t="shared" si="14"/>
        <v>0</v>
      </c>
      <c r="Z21" s="275">
        <f t="shared" si="15"/>
        <v>0</v>
      </c>
      <c r="AA21" s="275">
        <f t="shared" si="16"/>
        <v>0</v>
      </c>
      <c r="AB21" s="275">
        <f t="shared" si="63"/>
        <v>0</v>
      </c>
      <c r="AC21" s="275">
        <f t="shared" si="64"/>
        <v>0</v>
      </c>
      <c r="AD21" s="275">
        <f t="shared" si="17"/>
        <v>0</v>
      </c>
      <c r="AE21" s="275">
        <f t="shared" si="18"/>
        <v>0</v>
      </c>
      <c r="AF21" s="275">
        <f t="shared" si="19"/>
        <v>0</v>
      </c>
      <c r="AG21" s="275">
        <f t="shared" si="20"/>
        <v>0</v>
      </c>
      <c r="AH21" s="275">
        <f t="shared" si="65"/>
        <v>0</v>
      </c>
      <c r="AI21" s="275">
        <f t="shared" si="66"/>
        <v>0</v>
      </c>
      <c r="AJ21" s="275">
        <f t="shared" si="67"/>
        <v>0</v>
      </c>
      <c r="AK21" s="275">
        <f t="shared" si="68"/>
        <v>0</v>
      </c>
      <c r="AL21" s="275">
        <f t="shared" si="69"/>
        <v>0</v>
      </c>
      <c r="AM21" s="275">
        <f t="shared" si="70"/>
        <v>0</v>
      </c>
      <c r="AN21" s="275">
        <f t="shared" si="71"/>
        <v>0</v>
      </c>
      <c r="AO21" s="275">
        <f t="shared" si="72"/>
        <v>0</v>
      </c>
      <c r="AP21" s="275">
        <f t="shared" si="21"/>
        <v>0</v>
      </c>
      <c r="AQ21" s="275">
        <f t="shared" si="22"/>
        <v>0</v>
      </c>
      <c r="AR21" s="275">
        <f t="shared" si="23"/>
        <v>0</v>
      </c>
      <c r="AS21" s="275">
        <f t="shared" si="24"/>
        <v>0</v>
      </c>
      <c r="AT21" s="275">
        <f t="shared" si="73"/>
        <v>0</v>
      </c>
      <c r="AU21" s="275">
        <f t="shared" si="74"/>
        <v>0</v>
      </c>
      <c r="AV21" s="275">
        <f t="shared" si="25"/>
        <v>0</v>
      </c>
      <c r="AW21" s="275">
        <f t="shared" si="26"/>
        <v>0</v>
      </c>
      <c r="AX21" s="275">
        <f t="shared" si="27"/>
        <v>0</v>
      </c>
      <c r="AY21" s="275">
        <f t="shared" si="28"/>
        <v>0</v>
      </c>
      <c r="AZ21" s="275">
        <f t="shared" si="29"/>
        <v>0</v>
      </c>
      <c r="BA21" s="275">
        <f t="shared" si="30"/>
        <v>0</v>
      </c>
      <c r="BB21" s="275">
        <f t="shared" si="31"/>
        <v>0</v>
      </c>
      <c r="BC21" s="275">
        <f t="shared" si="32"/>
        <v>0</v>
      </c>
      <c r="BD21" s="275">
        <f t="shared" si="33"/>
        <v>0</v>
      </c>
      <c r="BE21" s="275">
        <f t="shared" si="34"/>
        <v>0</v>
      </c>
      <c r="BF21" s="275">
        <f t="shared" si="35"/>
        <v>0</v>
      </c>
      <c r="BG21" s="275">
        <f t="shared" si="36"/>
        <v>0</v>
      </c>
      <c r="BH21" s="275">
        <f t="shared" si="75"/>
        <v>0</v>
      </c>
      <c r="BI21" s="275">
        <f t="shared" si="76"/>
        <v>0</v>
      </c>
      <c r="BJ21" s="275">
        <f t="shared" si="37"/>
        <v>0</v>
      </c>
      <c r="BK21" s="275">
        <f t="shared" si="38"/>
        <v>0</v>
      </c>
      <c r="BL21" s="275">
        <f t="shared" si="39"/>
        <v>0</v>
      </c>
      <c r="BM21" s="275">
        <f t="shared" si="40"/>
        <v>0</v>
      </c>
      <c r="BN21" s="275">
        <f t="shared" si="41"/>
        <v>0</v>
      </c>
      <c r="BO21" s="275">
        <f t="shared" si="42"/>
        <v>0</v>
      </c>
      <c r="BP21" s="275">
        <f t="shared" si="77"/>
        <v>0</v>
      </c>
      <c r="BQ21" s="275">
        <f t="shared" si="78"/>
        <v>0</v>
      </c>
      <c r="BR21" s="275">
        <f t="shared" si="43"/>
        <v>0</v>
      </c>
      <c r="BS21" s="275">
        <f t="shared" si="44"/>
        <v>0</v>
      </c>
      <c r="BT21" s="275">
        <f t="shared" si="79"/>
        <v>0</v>
      </c>
      <c r="BU21" s="275">
        <f t="shared" si="80"/>
        <v>0</v>
      </c>
      <c r="BV21" s="275">
        <f t="shared" si="81"/>
        <v>0</v>
      </c>
      <c r="BW21" s="275">
        <f t="shared" si="82"/>
        <v>0</v>
      </c>
      <c r="BX21" s="275">
        <f t="shared" si="45"/>
        <v>0</v>
      </c>
      <c r="BY21" s="275">
        <f t="shared" si="46"/>
        <v>0</v>
      </c>
      <c r="BZ21" s="275">
        <f t="shared" si="47"/>
        <v>0</v>
      </c>
      <c r="CA21" s="275">
        <f t="shared" si="48"/>
        <v>0</v>
      </c>
      <c r="CB21" s="275">
        <f t="shared" si="49"/>
        <v>0</v>
      </c>
      <c r="CC21" s="275">
        <f t="shared" si="50"/>
        <v>0</v>
      </c>
      <c r="CD21" s="275">
        <f t="shared" si="83"/>
        <v>0</v>
      </c>
      <c r="CE21" s="275">
        <f t="shared" si="84"/>
        <v>0</v>
      </c>
      <c r="CF21" s="275">
        <f t="shared" si="85"/>
        <v>0</v>
      </c>
      <c r="CG21" s="275">
        <f t="shared" si="86"/>
        <v>0</v>
      </c>
      <c r="CH21" s="275">
        <f t="shared" si="51"/>
        <v>0</v>
      </c>
      <c r="CI21" s="275">
        <f t="shared" si="52"/>
        <v>0</v>
      </c>
      <c r="CJ21" s="275">
        <f t="shared" si="87"/>
        <v>0</v>
      </c>
      <c r="CK21" s="275">
        <f t="shared" si="88"/>
        <v>0</v>
      </c>
      <c r="CL21" s="275">
        <f t="shared" si="53"/>
        <v>0</v>
      </c>
      <c r="CM21" s="275">
        <f t="shared" si="54"/>
        <v>0</v>
      </c>
      <c r="CN21" s="275">
        <f t="shared" si="55"/>
        <v>0</v>
      </c>
      <c r="CO21" s="275">
        <f t="shared" si="56"/>
        <v>0</v>
      </c>
      <c r="CP21" s="275">
        <f t="shared" si="89"/>
        <v>0</v>
      </c>
      <c r="CQ21" s="275">
        <f t="shared" si="90"/>
        <v>0</v>
      </c>
      <c r="CR21" s="275">
        <f t="shared" si="91"/>
        <v>0</v>
      </c>
      <c r="CS21" s="275">
        <f t="shared" si="92"/>
        <v>0</v>
      </c>
      <c r="CT21" s="275">
        <f t="shared" si="57"/>
        <v>0</v>
      </c>
      <c r="CU21" s="275">
        <f t="shared" si="58"/>
        <v>0</v>
      </c>
      <c r="CV21" s="275">
        <f t="shared" si="59"/>
        <v>0</v>
      </c>
      <c r="CW21" s="275">
        <f t="shared" si="60"/>
        <v>0</v>
      </c>
      <c r="CX21" s="275">
        <f t="shared" si="93"/>
        <v>0</v>
      </c>
      <c r="CY21" s="275">
        <f t="shared" si="94"/>
        <v>0</v>
      </c>
      <c r="CZ21" s="275">
        <f t="shared" si="95"/>
        <v>0</v>
      </c>
      <c r="DA21" s="275">
        <f t="shared" si="96"/>
        <v>0</v>
      </c>
    </row>
    <row r="22" spans="1:105" s="272" customFormat="1" ht="16.5" customHeight="1">
      <c r="A22" s="63" t="str">
        <f t="array" ref="A22">IF(C22&lt;&gt;0,SUM(($C$11:C22&lt;&gt;0)*1),"")</f>
        <v/>
      </c>
      <c r="B22" s="273"/>
      <c r="C22" s="273"/>
      <c r="D22" s="273"/>
      <c r="E22" s="363"/>
      <c r="F22" s="324"/>
      <c r="G22" s="326"/>
      <c r="H22" s="326"/>
      <c r="I22" s="63" t="str">
        <f t="shared" si="0"/>
        <v/>
      </c>
      <c r="J22" s="275">
        <f t="shared" si="61"/>
        <v>0</v>
      </c>
      <c r="K22" s="275">
        <f t="shared" si="62"/>
        <v>0</v>
      </c>
      <c r="L22" s="275">
        <f t="shared" si="1"/>
        <v>0</v>
      </c>
      <c r="M22" s="275">
        <f t="shared" si="2"/>
        <v>0</v>
      </c>
      <c r="N22" s="275">
        <f t="shared" si="3"/>
        <v>0</v>
      </c>
      <c r="O22" s="275">
        <f t="shared" si="4"/>
        <v>0</v>
      </c>
      <c r="P22" s="275">
        <f t="shared" si="5"/>
        <v>0</v>
      </c>
      <c r="Q22" s="275">
        <f t="shared" si="6"/>
        <v>0</v>
      </c>
      <c r="R22" s="275">
        <f t="shared" si="7"/>
        <v>0</v>
      </c>
      <c r="S22" s="275">
        <f t="shared" si="8"/>
        <v>0</v>
      </c>
      <c r="T22" s="275">
        <f t="shared" si="9"/>
        <v>0</v>
      </c>
      <c r="U22" s="275">
        <f t="shared" si="10"/>
        <v>0</v>
      </c>
      <c r="V22" s="275">
        <f t="shared" si="11"/>
        <v>0</v>
      </c>
      <c r="W22" s="275">
        <f t="shared" si="12"/>
        <v>0</v>
      </c>
      <c r="X22" s="275">
        <f t="shared" si="13"/>
        <v>0</v>
      </c>
      <c r="Y22" s="275">
        <f t="shared" si="14"/>
        <v>0</v>
      </c>
      <c r="Z22" s="275">
        <f t="shared" si="15"/>
        <v>0</v>
      </c>
      <c r="AA22" s="275">
        <f t="shared" si="16"/>
        <v>0</v>
      </c>
      <c r="AB22" s="275">
        <f t="shared" si="63"/>
        <v>0</v>
      </c>
      <c r="AC22" s="275">
        <f t="shared" si="64"/>
        <v>0</v>
      </c>
      <c r="AD22" s="275">
        <f t="shared" si="17"/>
        <v>0</v>
      </c>
      <c r="AE22" s="275">
        <f t="shared" si="18"/>
        <v>0</v>
      </c>
      <c r="AF22" s="275">
        <f t="shared" si="19"/>
        <v>0</v>
      </c>
      <c r="AG22" s="275">
        <f t="shared" si="20"/>
        <v>0</v>
      </c>
      <c r="AH22" s="275">
        <f t="shared" si="65"/>
        <v>0</v>
      </c>
      <c r="AI22" s="275">
        <f t="shared" si="66"/>
        <v>0</v>
      </c>
      <c r="AJ22" s="275">
        <f t="shared" si="67"/>
        <v>0</v>
      </c>
      <c r="AK22" s="275">
        <f t="shared" si="68"/>
        <v>0</v>
      </c>
      <c r="AL22" s="275">
        <f t="shared" si="69"/>
        <v>0</v>
      </c>
      <c r="AM22" s="275">
        <f t="shared" si="70"/>
        <v>0</v>
      </c>
      <c r="AN22" s="275">
        <f t="shared" si="71"/>
        <v>0</v>
      </c>
      <c r="AO22" s="275">
        <f t="shared" si="72"/>
        <v>0</v>
      </c>
      <c r="AP22" s="275">
        <f t="shared" si="21"/>
        <v>0</v>
      </c>
      <c r="AQ22" s="275">
        <f t="shared" si="22"/>
        <v>0</v>
      </c>
      <c r="AR22" s="275">
        <f t="shared" si="23"/>
        <v>0</v>
      </c>
      <c r="AS22" s="275">
        <f t="shared" si="24"/>
        <v>0</v>
      </c>
      <c r="AT22" s="275">
        <f t="shared" si="73"/>
        <v>0</v>
      </c>
      <c r="AU22" s="275">
        <f t="shared" si="74"/>
        <v>0</v>
      </c>
      <c r="AV22" s="275">
        <f t="shared" si="25"/>
        <v>0</v>
      </c>
      <c r="AW22" s="275">
        <f t="shared" si="26"/>
        <v>0</v>
      </c>
      <c r="AX22" s="275">
        <f t="shared" si="27"/>
        <v>0</v>
      </c>
      <c r="AY22" s="275">
        <f t="shared" si="28"/>
        <v>0</v>
      </c>
      <c r="AZ22" s="275">
        <f t="shared" si="29"/>
        <v>0</v>
      </c>
      <c r="BA22" s="275">
        <f t="shared" si="30"/>
        <v>0</v>
      </c>
      <c r="BB22" s="275">
        <f t="shared" si="31"/>
        <v>0</v>
      </c>
      <c r="BC22" s="275">
        <f t="shared" si="32"/>
        <v>0</v>
      </c>
      <c r="BD22" s="275">
        <f t="shared" si="33"/>
        <v>0</v>
      </c>
      <c r="BE22" s="275">
        <f t="shared" si="34"/>
        <v>0</v>
      </c>
      <c r="BF22" s="275">
        <f t="shared" si="35"/>
        <v>0</v>
      </c>
      <c r="BG22" s="275">
        <f t="shared" si="36"/>
        <v>0</v>
      </c>
      <c r="BH22" s="275">
        <f t="shared" si="75"/>
        <v>0</v>
      </c>
      <c r="BI22" s="275">
        <f t="shared" si="76"/>
        <v>0</v>
      </c>
      <c r="BJ22" s="275">
        <f t="shared" si="37"/>
        <v>0</v>
      </c>
      <c r="BK22" s="275">
        <f t="shared" si="38"/>
        <v>0</v>
      </c>
      <c r="BL22" s="275">
        <f t="shared" si="39"/>
        <v>0</v>
      </c>
      <c r="BM22" s="275">
        <f t="shared" si="40"/>
        <v>0</v>
      </c>
      <c r="BN22" s="275">
        <f t="shared" si="41"/>
        <v>0</v>
      </c>
      <c r="BO22" s="275">
        <f t="shared" si="42"/>
        <v>0</v>
      </c>
      <c r="BP22" s="275">
        <f t="shared" si="77"/>
        <v>0</v>
      </c>
      <c r="BQ22" s="275">
        <f t="shared" si="78"/>
        <v>0</v>
      </c>
      <c r="BR22" s="275">
        <f t="shared" si="43"/>
        <v>0</v>
      </c>
      <c r="BS22" s="275">
        <f t="shared" si="44"/>
        <v>0</v>
      </c>
      <c r="BT22" s="275">
        <f t="shared" si="79"/>
        <v>0</v>
      </c>
      <c r="BU22" s="275">
        <f t="shared" si="80"/>
        <v>0</v>
      </c>
      <c r="BV22" s="275">
        <f t="shared" si="81"/>
        <v>0</v>
      </c>
      <c r="BW22" s="275">
        <f t="shared" si="82"/>
        <v>0</v>
      </c>
      <c r="BX22" s="275">
        <f t="shared" si="45"/>
        <v>0</v>
      </c>
      <c r="BY22" s="275">
        <f t="shared" si="46"/>
        <v>0</v>
      </c>
      <c r="BZ22" s="275">
        <f t="shared" si="47"/>
        <v>0</v>
      </c>
      <c r="CA22" s="275">
        <f t="shared" si="48"/>
        <v>0</v>
      </c>
      <c r="CB22" s="275">
        <f t="shared" si="49"/>
        <v>0</v>
      </c>
      <c r="CC22" s="275">
        <f t="shared" si="50"/>
        <v>0</v>
      </c>
      <c r="CD22" s="275">
        <f t="shared" si="83"/>
        <v>0</v>
      </c>
      <c r="CE22" s="275">
        <f t="shared" si="84"/>
        <v>0</v>
      </c>
      <c r="CF22" s="275">
        <f t="shared" si="85"/>
        <v>0</v>
      </c>
      <c r="CG22" s="275">
        <f t="shared" si="86"/>
        <v>0</v>
      </c>
      <c r="CH22" s="275">
        <f t="shared" si="51"/>
        <v>0</v>
      </c>
      <c r="CI22" s="275">
        <f t="shared" si="52"/>
        <v>0</v>
      </c>
      <c r="CJ22" s="275">
        <f t="shared" si="87"/>
        <v>0</v>
      </c>
      <c r="CK22" s="275">
        <f t="shared" si="88"/>
        <v>0</v>
      </c>
      <c r="CL22" s="275">
        <f t="shared" si="53"/>
        <v>0</v>
      </c>
      <c r="CM22" s="275">
        <f t="shared" si="54"/>
        <v>0</v>
      </c>
      <c r="CN22" s="275">
        <f t="shared" si="55"/>
        <v>0</v>
      </c>
      <c r="CO22" s="275">
        <f t="shared" si="56"/>
        <v>0</v>
      </c>
      <c r="CP22" s="275">
        <f t="shared" si="89"/>
        <v>0</v>
      </c>
      <c r="CQ22" s="275">
        <f t="shared" si="90"/>
        <v>0</v>
      </c>
      <c r="CR22" s="275">
        <f t="shared" si="91"/>
        <v>0</v>
      </c>
      <c r="CS22" s="275">
        <f t="shared" si="92"/>
        <v>0</v>
      </c>
      <c r="CT22" s="275">
        <f t="shared" si="57"/>
        <v>0</v>
      </c>
      <c r="CU22" s="275">
        <f t="shared" si="58"/>
        <v>0</v>
      </c>
      <c r="CV22" s="275">
        <f t="shared" si="59"/>
        <v>0</v>
      </c>
      <c r="CW22" s="275">
        <f t="shared" si="60"/>
        <v>0</v>
      </c>
      <c r="CX22" s="275">
        <f t="shared" si="93"/>
        <v>0</v>
      </c>
      <c r="CY22" s="275">
        <f t="shared" si="94"/>
        <v>0</v>
      </c>
      <c r="CZ22" s="275">
        <f t="shared" si="95"/>
        <v>0</v>
      </c>
      <c r="DA22" s="275">
        <f t="shared" si="96"/>
        <v>0</v>
      </c>
    </row>
    <row r="23" spans="1:105" s="272" customFormat="1" ht="16.5" customHeight="1">
      <c r="A23" s="63" t="str">
        <f t="array" ref="A23">IF(C23&lt;&gt;0,SUM(($C$11:C23&lt;&gt;0)*1),"")</f>
        <v/>
      </c>
      <c r="B23" s="273"/>
      <c r="C23" s="273"/>
      <c r="D23" s="273"/>
      <c r="E23" s="363"/>
      <c r="F23" s="324"/>
      <c r="G23" s="326"/>
      <c r="H23" s="326"/>
      <c r="I23" s="63" t="str">
        <f t="shared" si="0"/>
        <v/>
      </c>
      <c r="J23" s="275">
        <f t="shared" si="61"/>
        <v>0</v>
      </c>
      <c r="K23" s="275">
        <f t="shared" si="62"/>
        <v>0</v>
      </c>
      <c r="L23" s="275">
        <f t="shared" si="1"/>
        <v>0</v>
      </c>
      <c r="M23" s="275">
        <f t="shared" si="2"/>
        <v>0</v>
      </c>
      <c r="N23" s="275">
        <f t="shared" si="3"/>
        <v>0</v>
      </c>
      <c r="O23" s="275">
        <f t="shared" si="4"/>
        <v>0</v>
      </c>
      <c r="P23" s="275">
        <f t="shared" si="5"/>
        <v>0</v>
      </c>
      <c r="Q23" s="275">
        <f t="shared" si="6"/>
        <v>0</v>
      </c>
      <c r="R23" s="275">
        <f t="shared" si="7"/>
        <v>0</v>
      </c>
      <c r="S23" s="275">
        <f t="shared" si="8"/>
        <v>0</v>
      </c>
      <c r="T23" s="275">
        <f t="shared" si="9"/>
        <v>0</v>
      </c>
      <c r="U23" s="275">
        <f t="shared" si="10"/>
        <v>0</v>
      </c>
      <c r="V23" s="275">
        <f t="shared" si="11"/>
        <v>0</v>
      </c>
      <c r="W23" s="275">
        <f t="shared" si="12"/>
        <v>0</v>
      </c>
      <c r="X23" s="275">
        <f t="shared" si="13"/>
        <v>0</v>
      </c>
      <c r="Y23" s="275">
        <f t="shared" si="14"/>
        <v>0</v>
      </c>
      <c r="Z23" s="275">
        <f t="shared" si="15"/>
        <v>0</v>
      </c>
      <c r="AA23" s="275">
        <f t="shared" si="16"/>
        <v>0</v>
      </c>
      <c r="AB23" s="275">
        <f t="shared" si="63"/>
        <v>0</v>
      </c>
      <c r="AC23" s="275">
        <f t="shared" si="64"/>
        <v>0</v>
      </c>
      <c r="AD23" s="275">
        <f t="shared" si="17"/>
        <v>0</v>
      </c>
      <c r="AE23" s="275">
        <f t="shared" si="18"/>
        <v>0</v>
      </c>
      <c r="AF23" s="275">
        <f t="shared" si="19"/>
        <v>0</v>
      </c>
      <c r="AG23" s="275">
        <f t="shared" si="20"/>
        <v>0</v>
      </c>
      <c r="AH23" s="275">
        <f t="shared" si="65"/>
        <v>0</v>
      </c>
      <c r="AI23" s="275">
        <f t="shared" si="66"/>
        <v>0</v>
      </c>
      <c r="AJ23" s="275">
        <f t="shared" si="67"/>
        <v>0</v>
      </c>
      <c r="AK23" s="275">
        <f t="shared" si="68"/>
        <v>0</v>
      </c>
      <c r="AL23" s="275">
        <f t="shared" si="69"/>
        <v>0</v>
      </c>
      <c r="AM23" s="275">
        <f t="shared" si="70"/>
        <v>0</v>
      </c>
      <c r="AN23" s="275">
        <f t="shared" si="71"/>
        <v>0</v>
      </c>
      <c r="AO23" s="275">
        <f t="shared" si="72"/>
        <v>0</v>
      </c>
      <c r="AP23" s="275">
        <f t="shared" si="21"/>
        <v>0</v>
      </c>
      <c r="AQ23" s="275">
        <f t="shared" si="22"/>
        <v>0</v>
      </c>
      <c r="AR23" s="275">
        <f t="shared" si="23"/>
        <v>0</v>
      </c>
      <c r="AS23" s="275">
        <f t="shared" si="24"/>
        <v>0</v>
      </c>
      <c r="AT23" s="275">
        <f t="shared" si="73"/>
        <v>0</v>
      </c>
      <c r="AU23" s="275">
        <f t="shared" si="74"/>
        <v>0</v>
      </c>
      <c r="AV23" s="275">
        <f t="shared" si="25"/>
        <v>0</v>
      </c>
      <c r="AW23" s="275">
        <f t="shared" si="26"/>
        <v>0</v>
      </c>
      <c r="AX23" s="275">
        <f t="shared" si="27"/>
        <v>0</v>
      </c>
      <c r="AY23" s="275">
        <f t="shared" si="28"/>
        <v>0</v>
      </c>
      <c r="AZ23" s="275">
        <f t="shared" si="29"/>
        <v>0</v>
      </c>
      <c r="BA23" s="275">
        <f t="shared" si="30"/>
        <v>0</v>
      </c>
      <c r="BB23" s="275">
        <f t="shared" si="31"/>
        <v>0</v>
      </c>
      <c r="BC23" s="275">
        <f t="shared" si="32"/>
        <v>0</v>
      </c>
      <c r="BD23" s="275">
        <f t="shared" si="33"/>
        <v>0</v>
      </c>
      <c r="BE23" s="275">
        <f t="shared" si="34"/>
        <v>0</v>
      </c>
      <c r="BF23" s="275">
        <f t="shared" si="35"/>
        <v>0</v>
      </c>
      <c r="BG23" s="275">
        <f t="shared" si="36"/>
        <v>0</v>
      </c>
      <c r="BH23" s="275">
        <f t="shared" si="75"/>
        <v>0</v>
      </c>
      <c r="BI23" s="275">
        <f t="shared" si="76"/>
        <v>0</v>
      </c>
      <c r="BJ23" s="275">
        <f t="shared" si="37"/>
        <v>0</v>
      </c>
      <c r="BK23" s="275">
        <f t="shared" si="38"/>
        <v>0</v>
      </c>
      <c r="BL23" s="275">
        <f t="shared" si="39"/>
        <v>0</v>
      </c>
      <c r="BM23" s="275">
        <f t="shared" si="40"/>
        <v>0</v>
      </c>
      <c r="BN23" s="275">
        <f t="shared" si="41"/>
        <v>0</v>
      </c>
      <c r="BO23" s="275">
        <f t="shared" si="42"/>
        <v>0</v>
      </c>
      <c r="BP23" s="275">
        <f t="shared" si="77"/>
        <v>0</v>
      </c>
      <c r="BQ23" s="275">
        <f t="shared" si="78"/>
        <v>0</v>
      </c>
      <c r="BR23" s="275">
        <f t="shared" si="43"/>
        <v>0</v>
      </c>
      <c r="BS23" s="275">
        <f t="shared" si="44"/>
        <v>0</v>
      </c>
      <c r="BT23" s="275">
        <f t="shared" si="79"/>
        <v>0</v>
      </c>
      <c r="BU23" s="275">
        <f t="shared" si="80"/>
        <v>0</v>
      </c>
      <c r="BV23" s="275">
        <f t="shared" si="81"/>
        <v>0</v>
      </c>
      <c r="BW23" s="275">
        <f t="shared" si="82"/>
        <v>0</v>
      </c>
      <c r="BX23" s="275">
        <f t="shared" si="45"/>
        <v>0</v>
      </c>
      <c r="BY23" s="275">
        <f t="shared" si="46"/>
        <v>0</v>
      </c>
      <c r="BZ23" s="275">
        <f t="shared" si="47"/>
        <v>0</v>
      </c>
      <c r="CA23" s="275">
        <f t="shared" si="48"/>
        <v>0</v>
      </c>
      <c r="CB23" s="275">
        <f t="shared" si="49"/>
        <v>0</v>
      </c>
      <c r="CC23" s="275">
        <f t="shared" si="50"/>
        <v>0</v>
      </c>
      <c r="CD23" s="275">
        <f t="shared" si="83"/>
        <v>0</v>
      </c>
      <c r="CE23" s="275">
        <f t="shared" si="84"/>
        <v>0</v>
      </c>
      <c r="CF23" s="275">
        <f t="shared" si="85"/>
        <v>0</v>
      </c>
      <c r="CG23" s="275">
        <f t="shared" si="86"/>
        <v>0</v>
      </c>
      <c r="CH23" s="275">
        <f t="shared" si="51"/>
        <v>0</v>
      </c>
      <c r="CI23" s="275">
        <f t="shared" si="52"/>
        <v>0</v>
      </c>
      <c r="CJ23" s="275">
        <f t="shared" si="87"/>
        <v>0</v>
      </c>
      <c r="CK23" s="275">
        <f t="shared" si="88"/>
        <v>0</v>
      </c>
      <c r="CL23" s="275">
        <f t="shared" si="53"/>
        <v>0</v>
      </c>
      <c r="CM23" s="275">
        <f t="shared" si="54"/>
        <v>0</v>
      </c>
      <c r="CN23" s="275">
        <f t="shared" si="55"/>
        <v>0</v>
      </c>
      <c r="CO23" s="275">
        <f t="shared" si="56"/>
        <v>0</v>
      </c>
      <c r="CP23" s="275">
        <f t="shared" si="89"/>
        <v>0</v>
      </c>
      <c r="CQ23" s="275">
        <f t="shared" si="90"/>
        <v>0</v>
      </c>
      <c r="CR23" s="275">
        <f t="shared" si="91"/>
        <v>0</v>
      </c>
      <c r="CS23" s="275">
        <f t="shared" si="92"/>
        <v>0</v>
      </c>
      <c r="CT23" s="275">
        <f t="shared" si="57"/>
        <v>0</v>
      </c>
      <c r="CU23" s="275">
        <f t="shared" si="58"/>
        <v>0</v>
      </c>
      <c r="CV23" s="275">
        <f t="shared" si="59"/>
        <v>0</v>
      </c>
      <c r="CW23" s="275">
        <f t="shared" si="60"/>
        <v>0</v>
      </c>
      <c r="CX23" s="275">
        <f t="shared" si="93"/>
        <v>0</v>
      </c>
      <c r="CY23" s="275">
        <f t="shared" si="94"/>
        <v>0</v>
      </c>
      <c r="CZ23" s="275">
        <f t="shared" si="95"/>
        <v>0</v>
      </c>
      <c r="DA23" s="275">
        <f t="shared" si="96"/>
        <v>0</v>
      </c>
    </row>
    <row r="24" spans="1:105" s="272" customFormat="1" ht="16.5" customHeight="1">
      <c r="A24" s="63" t="str">
        <f t="array" ref="A24">IF(C24&lt;&gt;0,SUM(($C$11:C24&lt;&gt;0)*1),"")</f>
        <v/>
      </c>
      <c r="B24" s="273"/>
      <c r="C24" s="273"/>
      <c r="D24" s="273"/>
      <c r="E24" s="363"/>
      <c r="F24" s="324"/>
      <c r="G24" s="326"/>
      <c r="H24" s="326"/>
      <c r="I24" s="63" t="str">
        <f t="shared" si="0"/>
        <v/>
      </c>
      <c r="J24" s="275">
        <f t="shared" si="61"/>
        <v>0</v>
      </c>
      <c r="K24" s="275">
        <f t="shared" si="62"/>
        <v>0</v>
      </c>
      <c r="L24" s="275">
        <f t="shared" si="1"/>
        <v>0</v>
      </c>
      <c r="M24" s="275">
        <f t="shared" si="2"/>
        <v>0</v>
      </c>
      <c r="N24" s="275">
        <f t="shared" si="3"/>
        <v>0</v>
      </c>
      <c r="O24" s="275">
        <f t="shared" si="4"/>
        <v>0</v>
      </c>
      <c r="P24" s="275">
        <f t="shared" si="5"/>
        <v>0</v>
      </c>
      <c r="Q24" s="275">
        <f t="shared" si="6"/>
        <v>0</v>
      </c>
      <c r="R24" s="275">
        <f t="shared" si="7"/>
        <v>0</v>
      </c>
      <c r="S24" s="275">
        <f t="shared" si="8"/>
        <v>0</v>
      </c>
      <c r="T24" s="275">
        <f t="shared" si="9"/>
        <v>0</v>
      </c>
      <c r="U24" s="275">
        <f t="shared" si="10"/>
        <v>0</v>
      </c>
      <c r="V24" s="275">
        <f t="shared" si="11"/>
        <v>0</v>
      </c>
      <c r="W24" s="275">
        <f t="shared" si="12"/>
        <v>0</v>
      </c>
      <c r="X24" s="275">
        <f t="shared" si="13"/>
        <v>0</v>
      </c>
      <c r="Y24" s="275">
        <f t="shared" si="14"/>
        <v>0</v>
      </c>
      <c r="Z24" s="275">
        <f t="shared" si="15"/>
        <v>0</v>
      </c>
      <c r="AA24" s="275">
        <f t="shared" si="16"/>
        <v>0</v>
      </c>
      <c r="AB24" s="275">
        <f t="shared" si="63"/>
        <v>0</v>
      </c>
      <c r="AC24" s="275">
        <f t="shared" si="64"/>
        <v>0</v>
      </c>
      <c r="AD24" s="275">
        <f t="shared" si="17"/>
        <v>0</v>
      </c>
      <c r="AE24" s="275">
        <f t="shared" si="18"/>
        <v>0</v>
      </c>
      <c r="AF24" s="275">
        <f t="shared" si="19"/>
        <v>0</v>
      </c>
      <c r="AG24" s="275">
        <f t="shared" si="20"/>
        <v>0</v>
      </c>
      <c r="AH24" s="275">
        <f t="shared" si="65"/>
        <v>0</v>
      </c>
      <c r="AI24" s="275">
        <f t="shared" si="66"/>
        <v>0</v>
      </c>
      <c r="AJ24" s="275">
        <f t="shared" si="67"/>
        <v>0</v>
      </c>
      <c r="AK24" s="275">
        <f t="shared" si="68"/>
        <v>0</v>
      </c>
      <c r="AL24" s="275">
        <f t="shared" si="69"/>
        <v>0</v>
      </c>
      <c r="AM24" s="275">
        <f t="shared" si="70"/>
        <v>0</v>
      </c>
      <c r="AN24" s="275">
        <f t="shared" si="71"/>
        <v>0</v>
      </c>
      <c r="AO24" s="275">
        <f t="shared" si="72"/>
        <v>0</v>
      </c>
      <c r="AP24" s="275">
        <f t="shared" si="21"/>
        <v>0</v>
      </c>
      <c r="AQ24" s="275">
        <f t="shared" si="22"/>
        <v>0</v>
      </c>
      <c r="AR24" s="275">
        <f t="shared" si="23"/>
        <v>0</v>
      </c>
      <c r="AS24" s="275">
        <f t="shared" si="24"/>
        <v>0</v>
      </c>
      <c r="AT24" s="275">
        <f t="shared" si="73"/>
        <v>0</v>
      </c>
      <c r="AU24" s="275">
        <f t="shared" si="74"/>
        <v>0</v>
      </c>
      <c r="AV24" s="275">
        <f t="shared" si="25"/>
        <v>0</v>
      </c>
      <c r="AW24" s="275">
        <f t="shared" si="26"/>
        <v>0</v>
      </c>
      <c r="AX24" s="275">
        <f t="shared" si="27"/>
        <v>0</v>
      </c>
      <c r="AY24" s="275">
        <f t="shared" si="28"/>
        <v>0</v>
      </c>
      <c r="AZ24" s="275">
        <f t="shared" si="29"/>
        <v>0</v>
      </c>
      <c r="BA24" s="275">
        <f t="shared" si="30"/>
        <v>0</v>
      </c>
      <c r="BB24" s="275">
        <f t="shared" si="31"/>
        <v>0</v>
      </c>
      <c r="BC24" s="275">
        <f t="shared" si="32"/>
        <v>0</v>
      </c>
      <c r="BD24" s="275">
        <f t="shared" si="33"/>
        <v>0</v>
      </c>
      <c r="BE24" s="275">
        <f t="shared" si="34"/>
        <v>0</v>
      </c>
      <c r="BF24" s="275">
        <f t="shared" si="35"/>
        <v>0</v>
      </c>
      <c r="BG24" s="275">
        <f t="shared" si="36"/>
        <v>0</v>
      </c>
      <c r="BH24" s="275">
        <f t="shared" si="75"/>
        <v>0</v>
      </c>
      <c r="BI24" s="275">
        <f t="shared" si="76"/>
        <v>0</v>
      </c>
      <c r="BJ24" s="275">
        <f t="shared" si="37"/>
        <v>0</v>
      </c>
      <c r="BK24" s="275">
        <f t="shared" si="38"/>
        <v>0</v>
      </c>
      <c r="BL24" s="275">
        <f t="shared" si="39"/>
        <v>0</v>
      </c>
      <c r="BM24" s="275">
        <f t="shared" si="40"/>
        <v>0</v>
      </c>
      <c r="BN24" s="275">
        <f t="shared" si="41"/>
        <v>0</v>
      </c>
      <c r="BO24" s="275">
        <f t="shared" si="42"/>
        <v>0</v>
      </c>
      <c r="BP24" s="275">
        <f t="shared" si="77"/>
        <v>0</v>
      </c>
      <c r="BQ24" s="275">
        <f t="shared" si="78"/>
        <v>0</v>
      </c>
      <c r="BR24" s="275">
        <f t="shared" si="43"/>
        <v>0</v>
      </c>
      <c r="BS24" s="275">
        <f t="shared" si="44"/>
        <v>0</v>
      </c>
      <c r="BT24" s="275">
        <f t="shared" si="79"/>
        <v>0</v>
      </c>
      <c r="BU24" s="275">
        <f t="shared" si="80"/>
        <v>0</v>
      </c>
      <c r="BV24" s="275">
        <f t="shared" si="81"/>
        <v>0</v>
      </c>
      <c r="BW24" s="275">
        <f t="shared" si="82"/>
        <v>0</v>
      </c>
      <c r="BX24" s="275">
        <f t="shared" si="45"/>
        <v>0</v>
      </c>
      <c r="BY24" s="275">
        <f t="shared" si="46"/>
        <v>0</v>
      </c>
      <c r="BZ24" s="275">
        <f t="shared" si="47"/>
        <v>0</v>
      </c>
      <c r="CA24" s="275">
        <f t="shared" si="48"/>
        <v>0</v>
      </c>
      <c r="CB24" s="275">
        <f t="shared" si="49"/>
        <v>0</v>
      </c>
      <c r="CC24" s="275">
        <f t="shared" si="50"/>
        <v>0</v>
      </c>
      <c r="CD24" s="275">
        <f t="shared" si="83"/>
        <v>0</v>
      </c>
      <c r="CE24" s="275">
        <f t="shared" si="84"/>
        <v>0</v>
      </c>
      <c r="CF24" s="275">
        <f t="shared" si="85"/>
        <v>0</v>
      </c>
      <c r="CG24" s="275">
        <f t="shared" si="86"/>
        <v>0</v>
      </c>
      <c r="CH24" s="275">
        <f t="shared" si="51"/>
        <v>0</v>
      </c>
      <c r="CI24" s="275">
        <f t="shared" si="52"/>
        <v>0</v>
      </c>
      <c r="CJ24" s="275">
        <f t="shared" si="87"/>
        <v>0</v>
      </c>
      <c r="CK24" s="275">
        <f t="shared" si="88"/>
        <v>0</v>
      </c>
      <c r="CL24" s="275">
        <f t="shared" si="53"/>
        <v>0</v>
      </c>
      <c r="CM24" s="275">
        <f t="shared" si="54"/>
        <v>0</v>
      </c>
      <c r="CN24" s="275">
        <f t="shared" si="55"/>
        <v>0</v>
      </c>
      <c r="CO24" s="275">
        <f t="shared" si="56"/>
        <v>0</v>
      </c>
      <c r="CP24" s="275">
        <f t="shared" si="89"/>
        <v>0</v>
      </c>
      <c r="CQ24" s="275">
        <f t="shared" si="90"/>
        <v>0</v>
      </c>
      <c r="CR24" s="275">
        <f t="shared" si="91"/>
        <v>0</v>
      </c>
      <c r="CS24" s="275">
        <f t="shared" si="92"/>
        <v>0</v>
      </c>
      <c r="CT24" s="275">
        <f t="shared" si="57"/>
        <v>0</v>
      </c>
      <c r="CU24" s="275">
        <f t="shared" si="58"/>
        <v>0</v>
      </c>
      <c r="CV24" s="275">
        <f t="shared" si="59"/>
        <v>0</v>
      </c>
      <c r="CW24" s="275">
        <f t="shared" si="60"/>
        <v>0</v>
      </c>
      <c r="CX24" s="275">
        <f t="shared" si="93"/>
        <v>0</v>
      </c>
      <c r="CY24" s="275">
        <f t="shared" si="94"/>
        <v>0</v>
      </c>
      <c r="CZ24" s="275">
        <f t="shared" si="95"/>
        <v>0</v>
      </c>
      <c r="DA24" s="275">
        <f t="shared" si="96"/>
        <v>0</v>
      </c>
    </row>
    <row r="25" spans="1:105" s="272" customFormat="1" ht="16.5" customHeight="1">
      <c r="A25" s="63" t="str">
        <f t="array" ref="A25">IF(C25&lt;&gt;0,SUM(($C$11:C25&lt;&gt;0)*1),"")</f>
        <v/>
      </c>
      <c r="B25" s="273"/>
      <c r="C25" s="273"/>
      <c r="D25" s="273"/>
      <c r="E25" s="363"/>
      <c r="F25" s="324"/>
      <c r="G25" s="326"/>
      <c r="H25" s="326"/>
      <c r="I25" s="63" t="str">
        <f t="shared" si="0"/>
        <v/>
      </c>
      <c r="J25" s="275">
        <f t="shared" si="61"/>
        <v>0</v>
      </c>
      <c r="K25" s="275">
        <f t="shared" si="62"/>
        <v>0</v>
      </c>
      <c r="L25" s="275">
        <f t="shared" si="1"/>
        <v>0</v>
      </c>
      <c r="M25" s="275">
        <f t="shared" si="2"/>
        <v>0</v>
      </c>
      <c r="N25" s="275">
        <f t="shared" si="3"/>
        <v>0</v>
      </c>
      <c r="O25" s="275">
        <f t="shared" si="4"/>
        <v>0</v>
      </c>
      <c r="P25" s="275">
        <f t="shared" si="5"/>
        <v>0</v>
      </c>
      <c r="Q25" s="275">
        <f t="shared" si="6"/>
        <v>0</v>
      </c>
      <c r="R25" s="275">
        <f t="shared" si="7"/>
        <v>0</v>
      </c>
      <c r="S25" s="275">
        <f t="shared" si="8"/>
        <v>0</v>
      </c>
      <c r="T25" s="275">
        <f t="shared" si="9"/>
        <v>0</v>
      </c>
      <c r="U25" s="275">
        <f t="shared" si="10"/>
        <v>0</v>
      </c>
      <c r="V25" s="275">
        <f t="shared" si="11"/>
        <v>0</v>
      </c>
      <c r="W25" s="275">
        <f t="shared" si="12"/>
        <v>0</v>
      </c>
      <c r="X25" s="275">
        <f t="shared" si="13"/>
        <v>0</v>
      </c>
      <c r="Y25" s="275">
        <f t="shared" si="14"/>
        <v>0</v>
      </c>
      <c r="Z25" s="275">
        <f t="shared" si="15"/>
        <v>0</v>
      </c>
      <c r="AA25" s="275">
        <f t="shared" si="16"/>
        <v>0</v>
      </c>
      <c r="AB25" s="275">
        <f t="shared" si="63"/>
        <v>0</v>
      </c>
      <c r="AC25" s="275">
        <f t="shared" si="64"/>
        <v>0</v>
      </c>
      <c r="AD25" s="275">
        <f t="shared" si="17"/>
        <v>0</v>
      </c>
      <c r="AE25" s="275">
        <f t="shared" si="18"/>
        <v>0</v>
      </c>
      <c r="AF25" s="275">
        <f t="shared" si="19"/>
        <v>0</v>
      </c>
      <c r="AG25" s="275">
        <f t="shared" si="20"/>
        <v>0</v>
      </c>
      <c r="AH25" s="275">
        <f t="shared" si="65"/>
        <v>0</v>
      </c>
      <c r="AI25" s="275">
        <f t="shared" si="66"/>
        <v>0</v>
      </c>
      <c r="AJ25" s="275">
        <f t="shared" si="67"/>
        <v>0</v>
      </c>
      <c r="AK25" s="275">
        <f t="shared" si="68"/>
        <v>0</v>
      </c>
      <c r="AL25" s="275">
        <f t="shared" si="69"/>
        <v>0</v>
      </c>
      <c r="AM25" s="275">
        <f t="shared" si="70"/>
        <v>0</v>
      </c>
      <c r="AN25" s="275">
        <f t="shared" si="71"/>
        <v>0</v>
      </c>
      <c r="AO25" s="275">
        <f t="shared" si="72"/>
        <v>0</v>
      </c>
      <c r="AP25" s="275">
        <f t="shared" si="21"/>
        <v>0</v>
      </c>
      <c r="AQ25" s="275">
        <f t="shared" si="22"/>
        <v>0</v>
      </c>
      <c r="AR25" s="275">
        <f t="shared" si="23"/>
        <v>0</v>
      </c>
      <c r="AS25" s="275">
        <f t="shared" si="24"/>
        <v>0</v>
      </c>
      <c r="AT25" s="275">
        <f t="shared" si="73"/>
        <v>0</v>
      </c>
      <c r="AU25" s="275">
        <f t="shared" si="74"/>
        <v>0</v>
      </c>
      <c r="AV25" s="275">
        <f t="shared" si="25"/>
        <v>0</v>
      </c>
      <c r="AW25" s="275">
        <f t="shared" si="26"/>
        <v>0</v>
      </c>
      <c r="AX25" s="275">
        <f t="shared" si="27"/>
        <v>0</v>
      </c>
      <c r="AY25" s="275">
        <f t="shared" si="28"/>
        <v>0</v>
      </c>
      <c r="AZ25" s="275">
        <f t="shared" si="29"/>
        <v>0</v>
      </c>
      <c r="BA25" s="275">
        <f t="shared" si="30"/>
        <v>0</v>
      </c>
      <c r="BB25" s="275">
        <f t="shared" si="31"/>
        <v>0</v>
      </c>
      <c r="BC25" s="275">
        <f t="shared" si="32"/>
        <v>0</v>
      </c>
      <c r="BD25" s="275">
        <f t="shared" si="33"/>
        <v>0</v>
      </c>
      <c r="BE25" s="275">
        <f t="shared" si="34"/>
        <v>0</v>
      </c>
      <c r="BF25" s="275">
        <f t="shared" si="35"/>
        <v>0</v>
      </c>
      <c r="BG25" s="275">
        <f t="shared" si="36"/>
        <v>0</v>
      </c>
      <c r="BH25" s="275">
        <f t="shared" si="75"/>
        <v>0</v>
      </c>
      <c r="BI25" s="275">
        <f t="shared" si="76"/>
        <v>0</v>
      </c>
      <c r="BJ25" s="275">
        <f t="shared" si="37"/>
        <v>0</v>
      </c>
      <c r="BK25" s="275">
        <f t="shared" si="38"/>
        <v>0</v>
      </c>
      <c r="BL25" s="275">
        <f t="shared" si="39"/>
        <v>0</v>
      </c>
      <c r="BM25" s="275">
        <f t="shared" si="40"/>
        <v>0</v>
      </c>
      <c r="BN25" s="275">
        <f t="shared" si="41"/>
        <v>0</v>
      </c>
      <c r="BO25" s="275">
        <f t="shared" si="42"/>
        <v>0</v>
      </c>
      <c r="BP25" s="275">
        <f t="shared" si="77"/>
        <v>0</v>
      </c>
      <c r="BQ25" s="275">
        <f t="shared" si="78"/>
        <v>0</v>
      </c>
      <c r="BR25" s="275">
        <f t="shared" si="43"/>
        <v>0</v>
      </c>
      <c r="BS25" s="275">
        <f t="shared" si="44"/>
        <v>0</v>
      </c>
      <c r="BT25" s="275">
        <f t="shared" si="79"/>
        <v>0</v>
      </c>
      <c r="BU25" s="275">
        <f t="shared" si="80"/>
        <v>0</v>
      </c>
      <c r="BV25" s="275">
        <f t="shared" si="81"/>
        <v>0</v>
      </c>
      <c r="BW25" s="275">
        <f t="shared" si="82"/>
        <v>0</v>
      </c>
      <c r="BX25" s="275">
        <f t="shared" si="45"/>
        <v>0</v>
      </c>
      <c r="BY25" s="275">
        <f t="shared" si="46"/>
        <v>0</v>
      </c>
      <c r="BZ25" s="275">
        <f t="shared" si="47"/>
        <v>0</v>
      </c>
      <c r="CA25" s="275">
        <f t="shared" si="48"/>
        <v>0</v>
      </c>
      <c r="CB25" s="275">
        <f t="shared" si="49"/>
        <v>0</v>
      </c>
      <c r="CC25" s="275">
        <f t="shared" si="50"/>
        <v>0</v>
      </c>
      <c r="CD25" s="275">
        <f t="shared" si="83"/>
        <v>0</v>
      </c>
      <c r="CE25" s="275">
        <f t="shared" si="84"/>
        <v>0</v>
      </c>
      <c r="CF25" s="275">
        <f t="shared" si="85"/>
        <v>0</v>
      </c>
      <c r="CG25" s="275">
        <f t="shared" si="86"/>
        <v>0</v>
      </c>
      <c r="CH25" s="275">
        <f t="shared" si="51"/>
        <v>0</v>
      </c>
      <c r="CI25" s="275">
        <f t="shared" si="52"/>
        <v>0</v>
      </c>
      <c r="CJ25" s="275">
        <f t="shared" si="87"/>
        <v>0</v>
      </c>
      <c r="CK25" s="275">
        <f t="shared" si="88"/>
        <v>0</v>
      </c>
      <c r="CL25" s="275">
        <f t="shared" si="53"/>
        <v>0</v>
      </c>
      <c r="CM25" s="275">
        <f t="shared" si="54"/>
        <v>0</v>
      </c>
      <c r="CN25" s="275">
        <f t="shared" si="55"/>
        <v>0</v>
      </c>
      <c r="CO25" s="275">
        <f t="shared" si="56"/>
        <v>0</v>
      </c>
      <c r="CP25" s="275">
        <f t="shared" si="89"/>
        <v>0</v>
      </c>
      <c r="CQ25" s="275">
        <f t="shared" si="90"/>
        <v>0</v>
      </c>
      <c r="CR25" s="275">
        <f t="shared" si="91"/>
        <v>0</v>
      </c>
      <c r="CS25" s="275">
        <f t="shared" si="92"/>
        <v>0</v>
      </c>
      <c r="CT25" s="275">
        <f t="shared" si="57"/>
        <v>0</v>
      </c>
      <c r="CU25" s="275">
        <f t="shared" si="58"/>
        <v>0</v>
      </c>
      <c r="CV25" s="275">
        <f t="shared" si="59"/>
        <v>0</v>
      </c>
      <c r="CW25" s="275">
        <f t="shared" si="60"/>
        <v>0</v>
      </c>
      <c r="CX25" s="275">
        <f t="shared" si="93"/>
        <v>0</v>
      </c>
      <c r="CY25" s="275">
        <f t="shared" si="94"/>
        <v>0</v>
      </c>
      <c r="CZ25" s="275">
        <f t="shared" si="95"/>
        <v>0</v>
      </c>
      <c r="DA25" s="275">
        <f t="shared" si="96"/>
        <v>0</v>
      </c>
    </row>
    <row r="26" spans="1:105" s="272" customFormat="1" ht="16.5" customHeight="1">
      <c r="A26" s="63" t="str">
        <f t="array" ref="A26">IF(C26&lt;&gt;0,SUM(($C$11:C26&lt;&gt;0)*1),"")</f>
        <v/>
      </c>
      <c r="B26" s="273"/>
      <c r="C26" s="273"/>
      <c r="D26" s="273"/>
      <c r="E26" s="363"/>
      <c r="F26" s="324"/>
      <c r="G26" s="326"/>
      <c r="H26" s="326"/>
      <c r="I26" s="63" t="str">
        <f t="shared" si="0"/>
        <v/>
      </c>
      <c r="J26" s="275">
        <f t="shared" si="61"/>
        <v>0</v>
      </c>
      <c r="K26" s="275">
        <f t="shared" si="62"/>
        <v>0</v>
      </c>
      <c r="L26" s="275">
        <f t="shared" si="1"/>
        <v>0</v>
      </c>
      <c r="M26" s="275">
        <f t="shared" si="2"/>
        <v>0</v>
      </c>
      <c r="N26" s="275">
        <f t="shared" si="3"/>
        <v>0</v>
      </c>
      <c r="O26" s="275">
        <f t="shared" si="4"/>
        <v>0</v>
      </c>
      <c r="P26" s="275">
        <f t="shared" si="5"/>
        <v>0</v>
      </c>
      <c r="Q26" s="275">
        <f t="shared" si="6"/>
        <v>0</v>
      </c>
      <c r="R26" s="275">
        <f t="shared" si="7"/>
        <v>0</v>
      </c>
      <c r="S26" s="275">
        <f t="shared" si="8"/>
        <v>0</v>
      </c>
      <c r="T26" s="275">
        <f t="shared" si="9"/>
        <v>0</v>
      </c>
      <c r="U26" s="275">
        <f t="shared" si="10"/>
        <v>0</v>
      </c>
      <c r="V26" s="275">
        <f t="shared" si="11"/>
        <v>0</v>
      </c>
      <c r="W26" s="275">
        <f t="shared" si="12"/>
        <v>0</v>
      </c>
      <c r="X26" s="275">
        <f t="shared" si="13"/>
        <v>0</v>
      </c>
      <c r="Y26" s="275">
        <f t="shared" si="14"/>
        <v>0</v>
      </c>
      <c r="Z26" s="275">
        <f t="shared" si="15"/>
        <v>0</v>
      </c>
      <c r="AA26" s="275">
        <f t="shared" si="16"/>
        <v>0</v>
      </c>
      <c r="AB26" s="275">
        <f t="shared" si="63"/>
        <v>0</v>
      </c>
      <c r="AC26" s="275">
        <f t="shared" si="64"/>
        <v>0</v>
      </c>
      <c r="AD26" s="275">
        <f t="shared" si="17"/>
        <v>0</v>
      </c>
      <c r="AE26" s="275">
        <f t="shared" si="18"/>
        <v>0</v>
      </c>
      <c r="AF26" s="275">
        <f t="shared" si="19"/>
        <v>0</v>
      </c>
      <c r="AG26" s="275">
        <f t="shared" si="20"/>
        <v>0</v>
      </c>
      <c r="AH26" s="275">
        <f t="shared" si="65"/>
        <v>0</v>
      </c>
      <c r="AI26" s="275">
        <f t="shared" si="66"/>
        <v>0</v>
      </c>
      <c r="AJ26" s="275">
        <f t="shared" si="67"/>
        <v>0</v>
      </c>
      <c r="AK26" s="275">
        <f t="shared" si="68"/>
        <v>0</v>
      </c>
      <c r="AL26" s="275">
        <f t="shared" si="69"/>
        <v>0</v>
      </c>
      <c r="AM26" s="275">
        <f t="shared" si="70"/>
        <v>0</v>
      </c>
      <c r="AN26" s="275">
        <f t="shared" si="71"/>
        <v>0</v>
      </c>
      <c r="AO26" s="275">
        <f t="shared" si="72"/>
        <v>0</v>
      </c>
      <c r="AP26" s="275">
        <f t="shared" si="21"/>
        <v>0</v>
      </c>
      <c r="AQ26" s="275">
        <f t="shared" si="22"/>
        <v>0</v>
      </c>
      <c r="AR26" s="275">
        <f t="shared" si="23"/>
        <v>0</v>
      </c>
      <c r="AS26" s="275">
        <f t="shared" si="24"/>
        <v>0</v>
      </c>
      <c r="AT26" s="275">
        <f t="shared" si="73"/>
        <v>0</v>
      </c>
      <c r="AU26" s="275">
        <f t="shared" si="74"/>
        <v>0</v>
      </c>
      <c r="AV26" s="275">
        <f t="shared" si="25"/>
        <v>0</v>
      </c>
      <c r="AW26" s="275">
        <f t="shared" si="26"/>
        <v>0</v>
      </c>
      <c r="AX26" s="275">
        <f t="shared" si="27"/>
        <v>0</v>
      </c>
      <c r="AY26" s="275">
        <f t="shared" si="28"/>
        <v>0</v>
      </c>
      <c r="AZ26" s="275">
        <f t="shared" si="29"/>
        <v>0</v>
      </c>
      <c r="BA26" s="275">
        <f t="shared" si="30"/>
        <v>0</v>
      </c>
      <c r="BB26" s="275">
        <f t="shared" si="31"/>
        <v>0</v>
      </c>
      <c r="BC26" s="275">
        <f t="shared" si="32"/>
        <v>0</v>
      </c>
      <c r="BD26" s="275">
        <f t="shared" si="33"/>
        <v>0</v>
      </c>
      <c r="BE26" s="275">
        <f t="shared" si="34"/>
        <v>0</v>
      </c>
      <c r="BF26" s="275">
        <f t="shared" si="35"/>
        <v>0</v>
      </c>
      <c r="BG26" s="275">
        <f t="shared" si="36"/>
        <v>0</v>
      </c>
      <c r="BH26" s="275">
        <f t="shared" si="75"/>
        <v>0</v>
      </c>
      <c r="BI26" s="275">
        <f t="shared" si="76"/>
        <v>0</v>
      </c>
      <c r="BJ26" s="275">
        <f t="shared" si="37"/>
        <v>0</v>
      </c>
      <c r="BK26" s="275">
        <f t="shared" si="38"/>
        <v>0</v>
      </c>
      <c r="BL26" s="275">
        <f t="shared" si="39"/>
        <v>0</v>
      </c>
      <c r="BM26" s="275">
        <f t="shared" si="40"/>
        <v>0</v>
      </c>
      <c r="BN26" s="275">
        <f t="shared" si="41"/>
        <v>0</v>
      </c>
      <c r="BO26" s="275">
        <f t="shared" si="42"/>
        <v>0</v>
      </c>
      <c r="BP26" s="275">
        <f t="shared" si="77"/>
        <v>0</v>
      </c>
      <c r="BQ26" s="275">
        <f t="shared" si="78"/>
        <v>0</v>
      </c>
      <c r="BR26" s="275">
        <f t="shared" si="43"/>
        <v>0</v>
      </c>
      <c r="BS26" s="275">
        <f t="shared" si="44"/>
        <v>0</v>
      </c>
      <c r="BT26" s="275">
        <f t="shared" si="79"/>
        <v>0</v>
      </c>
      <c r="BU26" s="275">
        <f t="shared" si="80"/>
        <v>0</v>
      </c>
      <c r="BV26" s="275">
        <f t="shared" si="81"/>
        <v>0</v>
      </c>
      <c r="BW26" s="275">
        <f t="shared" si="82"/>
        <v>0</v>
      </c>
      <c r="BX26" s="275">
        <f t="shared" si="45"/>
        <v>0</v>
      </c>
      <c r="BY26" s="275">
        <f t="shared" si="46"/>
        <v>0</v>
      </c>
      <c r="BZ26" s="275">
        <f t="shared" si="47"/>
        <v>0</v>
      </c>
      <c r="CA26" s="275">
        <f t="shared" si="48"/>
        <v>0</v>
      </c>
      <c r="CB26" s="275">
        <f t="shared" si="49"/>
        <v>0</v>
      </c>
      <c r="CC26" s="275">
        <f t="shared" si="50"/>
        <v>0</v>
      </c>
      <c r="CD26" s="275">
        <f t="shared" si="83"/>
        <v>0</v>
      </c>
      <c r="CE26" s="275">
        <f t="shared" si="84"/>
        <v>0</v>
      </c>
      <c r="CF26" s="275">
        <f t="shared" si="85"/>
        <v>0</v>
      </c>
      <c r="CG26" s="275">
        <f t="shared" si="86"/>
        <v>0</v>
      </c>
      <c r="CH26" s="275">
        <f t="shared" si="51"/>
        <v>0</v>
      </c>
      <c r="CI26" s="275">
        <f t="shared" si="52"/>
        <v>0</v>
      </c>
      <c r="CJ26" s="275">
        <f t="shared" si="87"/>
        <v>0</v>
      </c>
      <c r="CK26" s="275">
        <f t="shared" si="88"/>
        <v>0</v>
      </c>
      <c r="CL26" s="275">
        <f t="shared" si="53"/>
        <v>0</v>
      </c>
      <c r="CM26" s="275">
        <f t="shared" si="54"/>
        <v>0</v>
      </c>
      <c r="CN26" s="275">
        <f t="shared" si="55"/>
        <v>0</v>
      </c>
      <c r="CO26" s="275">
        <f t="shared" si="56"/>
        <v>0</v>
      </c>
      <c r="CP26" s="275">
        <f t="shared" si="89"/>
        <v>0</v>
      </c>
      <c r="CQ26" s="275">
        <f t="shared" si="90"/>
        <v>0</v>
      </c>
      <c r="CR26" s="275">
        <f t="shared" si="91"/>
        <v>0</v>
      </c>
      <c r="CS26" s="275">
        <f t="shared" si="92"/>
        <v>0</v>
      </c>
      <c r="CT26" s="275">
        <f t="shared" si="57"/>
        <v>0</v>
      </c>
      <c r="CU26" s="275">
        <f t="shared" si="58"/>
        <v>0</v>
      </c>
      <c r="CV26" s="275">
        <f t="shared" si="59"/>
        <v>0</v>
      </c>
      <c r="CW26" s="275">
        <f t="shared" si="60"/>
        <v>0</v>
      </c>
      <c r="CX26" s="275">
        <f t="shared" si="93"/>
        <v>0</v>
      </c>
      <c r="CY26" s="275">
        <f t="shared" si="94"/>
        <v>0</v>
      </c>
      <c r="CZ26" s="275">
        <f t="shared" si="95"/>
        <v>0</v>
      </c>
      <c r="DA26" s="275">
        <f t="shared" si="96"/>
        <v>0</v>
      </c>
    </row>
    <row r="27" spans="1:105" s="272" customFormat="1" ht="16.5" customHeight="1">
      <c r="A27" s="63" t="str">
        <f t="array" ref="A27">IF(C27&lt;&gt;0,SUM(($C$11:C27&lt;&gt;0)*1),"")</f>
        <v/>
      </c>
      <c r="B27" s="273"/>
      <c r="C27" s="273"/>
      <c r="D27" s="273"/>
      <c r="E27" s="363"/>
      <c r="F27" s="324"/>
      <c r="G27" s="326"/>
      <c r="H27" s="326"/>
      <c r="I27" s="63" t="str">
        <f t="shared" si="0"/>
        <v/>
      </c>
      <c r="J27" s="275">
        <f t="shared" si="61"/>
        <v>0</v>
      </c>
      <c r="K27" s="275">
        <f t="shared" si="62"/>
        <v>0</v>
      </c>
      <c r="L27" s="275">
        <f t="shared" si="1"/>
        <v>0</v>
      </c>
      <c r="M27" s="275">
        <f t="shared" si="2"/>
        <v>0</v>
      </c>
      <c r="N27" s="275">
        <f t="shared" si="3"/>
        <v>0</v>
      </c>
      <c r="O27" s="275">
        <f t="shared" si="4"/>
        <v>0</v>
      </c>
      <c r="P27" s="275">
        <f t="shared" si="5"/>
        <v>0</v>
      </c>
      <c r="Q27" s="275">
        <f t="shared" si="6"/>
        <v>0</v>
      </c>
      <c r="R27" s="275">
        <f t="shared" si="7"/>
        <v>0</v>
      </c>
      <c r="S27" s="275">
        <f t="shared" si="8"/>
        <v>0</v>
      </c>
      <c r="T27" s="275">
        <f t="shared" si="9"/>
        <v>0</v>
      </c>
      <c r="U27" s="275">
        <f t="shared" si="10"/>
        <v>0</v>
      </c>
      <c r="V27" s="275">
        <f t="shared" si="11"/>
        <v>0</v>
      </c>
      <c r="W27" s="275">
        <f t="shared" si="12"/>
        <v>0</v>
      </c>
      <c r="X27" s="275">
        <f t="shared" si="13"/>
        <v>0</v>
      </c>
      <c r="Y27" s="275">
        <f t="shared" si="14"/>
        <v>0</v>
      </c>
      <c r="Z27" s="275">
        <f t="shared" si="15"/>
        <v>0</v>
      </c>
      <c r="AA27" s="275">
        <f t="shared" si="16"/>
        <v>0</v>
      </c>
      <c r="AB27" s="275">
        <f t="shared" si="63"/>
        <v>0</v>
      </c>
      <c r="AC27" s="275">
        <f t="shared" si="64"/>
        <v>0</v>
      </c>
      <c r="AD27" s="275">
        <f t="shared" si="17"/>
        <v>0</v>
      </c>
      <c r="AE27" s="275">
        <f t="shared" si="18"/>
        <v>0</v>
      </c>
      <c r="AF27" s="275">
        <f t="shared" si="19"/>
        <v>0</v>
      </c>
      <c r="AG27" s="275">
        <f t="shared" si="20"/>
        <v>0</v>
      </c>
      <c r="AH27" s="275">
        <f t="shared" si="65"/>
        <v>0</v>
      </c>
      <c r="AI27" s="275">
        <f t="shared" si="66"/>
        <v>0</v>
      </c>
      <c r="AJ27" s="275">
        <f t="shared" si="67"/>
        <v>0</v>
      </c>
      <c r="AK27" s="275">
        <f t="shared" si="68"/>
        <v>0</v>
      </c>
      <c r="AL27" s="275">
        <f t="shared" si="69"/>
        <v>0</v>
      </c>
      <c r="AM27" s="275">
        <f t="shared" si="70"/>
        <v>0</v>
      </c>
      <c r="AN27" s="275">
        <f t="shared" si="71"/>
        <v>0</v>
      </c>
      <c r="AO27" s="275">
        <f t="shared" si="72"/>
        <v>0</v>
      </c>
      <c r="AP27" s="275">
        <f t="shared" si="21"/>
        <v>0</v>
      </c>
      <c r="AQ27" s="275">
        <f t="shared" si="22"/>
        <v>0</v>
      </c>
      <c r="AR27" s="275">
        <f t="shared" si="23"/>
        <v>0</v>
      </c>
      <c r="AS27" s="275">
        <f t="shared" si="24"/>
        <v>0</v>
      </c>
      <c r="AT27" s="275">
        <f t="shared" si="73"/>
        <v>0</v>
      </c>
      <c r="AU27" s="275">
        <f t="shared" si="74"/>
        <v>0</v>
      </c>
      <c r="AV27" s="275">
        <f t="shared" si="25"/>
        <v>0</v>
      </c>
      <c r="AW27" s="275">
        <f t="shared" si="26"/>
        <v>0</v>
      </c>
      <c r="AX27" s="275">
        <f t="shared" si="27"/>
        <v>0</v>
      </c>
      <c r="AY27" s="275">
        <f t="shared" si="28"/>
        <v>0</v>
      </c>
      <c r="AZ27" s="275">
        <f t="shared" si="29"/>
        <v>0</v>
      </c>
      <c r="BA27" s="275">
        <f t="shared" si="30"/>
        <v>0</v>
      </c>
      <c r="BB27" s="275">
        <f t="shared" si="31"/>
        <v>0</v>
      </c>
      <c r="BC27" s="275">
        <f t="shared" si="32"/>
        <v>0</v>
      </c>
      <c r="BD27" s="275">
        <f t="shared" si="33"/>
        <v>0</v>
      </c>
      <c r="BE27" s="275">
        <f t="shared" si="34"/>
        <v>0</v>
      </c>
      <c r="BF27" s="275">
        <f t="shared" si="35"/>
        <v>0</v>
      </c>
      <c r="BG27" s="275">
        <f t="shared" si="36"/>
        <v>0</v>
      </c>
      <c r="BH27" s="275">
        <f t="shared" si="75"/>
        <v>0</v>
      </c>
      <c r="BI27" s="275">
        <f t="shared" si="76"/>
        <v>0</v>
      </c>
      <c r="BJ27" s="275">
        <f t="shared" si="37"/>
        <v>0</v>
      </c>
      <c r="BK27" s="275">
        <f t="shared" si="38"/>
        <v>0</v>
      </c>
      <c r="BL27" s="275">
        <f t="shared" si="39"/>
        <v>0</v>
      </c>
      <c r="BM27" s="275">
        <f t="shared" si="40"/>
        <v>0</v>
      </c>
      <c r="BN27" s="275">
        <f t="shared" si="41"/>
        <v>0</v>
      </c>
      <c r="BO27" s="275">
        <f t="shared" si="42"/>
        <v>0</v>
      </c>
      <c r="BP27" s="275">
        <f t="shared" si="77"/>
        <v>0</v>
      </c>
      <c r="BQ27" s="275">
        <f t="shared" si="78"/>
        <v>0</v>
      </c>
      <c r="BR27" s="275">
        <f t="shared" si="43"/>
        <v>0</v>
      </c>
      <c r="BS27" s="275">
        <f t="shared" si="44"/>
        <v>0</v>
      </c>
      <c r="BT27" s="275">
        <f t="shared" si="79"/>
        <v>0</v>
      </c>
      <c r="BU27" s="275">
        <f t="shared" si="80"/>
        <v>0</v>
      </c>
      <c r="BV27" s="275">
        <f t="shared" si="81"/>
        <v>0</v>
      </c>
      <c r="BW27" s="275">
        <f t="shared" si="82"/>
        <v>0</v>
      </c>
      <c r="BX27" s="275">
        <f t="shared" si="45"/>
        <v>0</v>
      </c>
      <c r="BY27" s="275">
        <f t="shared" si="46"/>
        <v>0</v>
      </c>
      <c r="BZ27" s="275">
        <f t="shared" si="47"/>
        <v>0</v>
      </c>
      <c r="CA27" s="275">
        <f t="shared" si="48"/>
        <v>0</v>
      </c>
      <c r="CB27" s="275">
        <f t="shared" si="49"/>
        <v>0</v>
      </c>
      <c r="CC27" s="275">
        <f t="shared" si="50"/>
        <v>0</v>
      </c>
      <c r="CD27" s="275">
        <f t="shared" si="83"/>
        <v>0</v>
      </c>
      <c r="CE27" s="275">
        <f t="shared" si="84"/>
        <v>0</v>
      </c>
      <c r="CF27" s="275">
        <f t="shared" si="85"/>
        <v>0</v>
      </c>
      <c r="CG27" s="275">
        <f t="shared" si="86"/>
        <v>0</v>
      </c>
      <c r="CH27" s="275">
        <f t="shared" si="51"/>
        <v>0</v>
      </c>
      <c r="CI27" s="275">
        <f t="shared" si="52"/>
        <v>0</v>
      </c>
      <c r="CJ27" s="275">
        <f t="shared" si="87"/>
        <v>0</v>
      </c>
      <c r="CK27" s="275">
        <f t="shared" si="88"/>
        <v>0</v>
      </c>
      <c r="CL27" s="275">
        <f t="shared" si="53"/>
        <v>0</v>
      </c>
      <c r="CM27" s="275">
        <f t="shared" si="54"/>
        <v>0</v>
      </c>
      <c r="CN27" s="275">
        <f t="shared" si="55"/>
        <v>0</v>
      </c>
      <c r="CO27" s="275">
        <f t="shared" si="56"/>
        <v>0</v>
      </c>
      <c r="CP27" s="275">
        <f t="shared" si="89"/>
        <v>0</v>
      </c>
      <c r="CQ27" s="275">
        <f t="shared" si="90"/>
        <v>0</v>
      </c>
      <c r="CR27" s="275">
        <f t="shared" si="91"/>
        <v>0</v>
      </c>
      <c r="CS27" s="275">
        <f t="shared" si="92"/>
        <v>0</v>
      </c>
      <c r="CT27" s="275">
        <f t="shared" si="57"/>
        <v>0</v>
      </c>
      <c r="CU27" s="275">
        <f t="shared" si="58"/>
        <v>0</v>
      </c>
      <c r="CV27" s="275">
        <f t="shared" si="59"/>
        <v>0</v>
      </c>
      <c r="CW27" s="275">
        <f t="shared" si="60"/>
        <v>0</v>
      </c>
      <c r="CX27" s="275">
        <f t="shared" si="93"/>
        <v>0</v>
      </c>
      <c r="CY27" s="275">
        <f t="shared" si="94"/>
        <v>0</v>
      </c>
      <c r="CZ27" s="275">
        <f t="shared" si="95"/>
        <v>0</v>
      </c>
      <c r="DA27" s="275">
        <f t="shared" si="96"/>
        <v>0</v>
      </c>
    </row>
    <row r="28" spans="1:105" s="272" customFormat="1" ht="16.5" customHeight="1">
      <c r="A28" s="63" t="str">
        <f t="array" ref="A28">IF(C28&lt;&gt;0,SUM(($C$11:C28&lt;&gt;0)*1),"")</f>
        <v/>
      </c>
      <c r="B28" s="273"/>
      <c r="C28" s="273"/>
      <c r="D28" s="273"/>
      <c r="E28" s="363"/>
      <c r="F28" s="324"/>
      <c r="G28" s="326"/>
      <c r="H28" s="326"/>
      <c r="I28" s="63" t="str">
        <f t="shared" si="0"/>
        <v/>
      </c>
      <c r="J28" s="275">
        <f t="shared" si="61"/>
        <v>0</v>
      </c>
      <c r="K28" s="275">
        <f t="shared" si="62"/>
        <v>0</v>
      </c>
      <c r="L28" s="275">
        <f t="shared" si="1"/>
        <v>0</v>
      </c>
      <c r="M28" s="275">
        <f t="shared" si="2"/>
        <v>0</v>
      </c>
      <c r="N28" s="275">
        <f t="shared" si="3"/>
        <v>0</v>
      </c>
      <c r="O28" s="275">
        <f t="shared" si="4"/>
        <v>0</v>
      </c>
      <c r="P28" s="275">
        <f t="shared" si="5"/>
        <v>0</v>
      </c>
      <c r="Q28" s="275">
        <f t="shared" si="6"/>
        <v>0</v>
      </c>
      <c r="R28" s="275">
        <f t="shared" si="7"/>
        <v>0</v>
      </c>
      <c r="S28" s="275">
        <f t="shared" si="8"/>
        <v>0</v>
      </c>
      <c r="T28" s="275">
        <f t="shared" si="9"/>
        <v>0</v>
      </c>
      <c r="U28" s="275">
        <f t="shared" si="10"/>
        <v>0</v>
      </c>
      <c r="V28" s="275">
        <f t="shared" si="11"/>
        <v>0</v>
      </c>
      <c r="W28" s="275">
        <f t="shared" si="12"/>
        <v>0</v>
      </c>
      <c r="X28" s="275">
        <f t="shared" si="13"/>
        <v>0</v>
      </c>
      <c r="Y28" s="275">
        <f t="shared" si="14"/>
        <v>0</v>
      </c>
      <c r="Z28" s="275">
        <f t="shared" si="15"/>
        <v>0</v>
      </c>
      <c r="AA28" s="275">
        <f t="shared" si="16"/>
        <v>0</v>
      </c>
      <c r="AB28" s="275">
        <f t="shared" si="63"/>
        <v>0</v>
      </c>
      <c r="AC28" s="275">
        <f t="shared" si="64"/>
        <v>0</v>
      </c>
      <c r="AD28" s="275">
        <f t="shared" si="17"/>
        <v>0</v>
      </c>
      <c r="AE28" s="275">
        <f t="shared" si="18"/>
        <v>0</v>
      </c>
      <c r="AF28" s="275">
        <f t="shared" si="19"/>
        <v>0</v>
      </c>
      <c r="AG28" s="275">
        <f t="shared" si="20"/>
        <v>0</v>
      </c>
      <c r="AH28" s="275">
        <f t="shared" si="65"/>
        <v>0</v>
      </c>
      <c r="AI28" s="275">
        <f t="shared" si="66"/>
        <v>0</v>
      </c>
      <c r="AJ28" s="275">
        <f t="shared" si="67"/>
        <v>0</v>
      </c>
      <c r="AK28" s="275">
        <f t="shared" si="68"/>
        <v>0</v>
      </c>
      <c r="AL28" s="275">
        <f t="shared" si="69"/>
        <v>0</v>
      </c>
      <c r="AM28" s="275">
        <f t="shared" si="70"/>
        <v>0</v>
      </c>
      <c r="AN28" s="275">
        <f t="shared" si="71"/>
        <v>0</v>
      </c>
      <c r="AO28" s="275">
        <f t="shared" si="72"/>
        <v>0</v>
      </c>
      <c r="AP28" s="275">
        <f t="shared" si="21"/>
        <v>0</v>
      </c>
      <c r="AQ28" s="275">
        <f t="shared" si="22"/>
        <v>0</v>
      </c>
      <c r="AR28" s="275">
        <f t="shared" si="23"/>
        <v>0</v>
      </c>
      <c r="AS28" s="275">
        <f t="shared" si="24"/>
        <v>0</v>
      </c>
      <c r="AT28" s="275">
        <f t="shared" si="73"/>
        <v>0</v>
      </c>
      <c r="AU28" s="275">
        <f t="shared" si="74"/>
        <v>0</v>
      </c>
      <c r="AV28" s="275">
        <f t="shared" si="25"/>
        <v>0</v>
      </c>
      <c r="AW28" s="275">
        <f t="shared" si="26"/>
        <v>0</v>
      </c>
      <c r="AX28" s="275">
        <f t="shared" si="27"/>
        <v>0</v>
      </c>
      <c r="AY28" s="275">
        <f t="shared" si="28"/>
        <v>0</v>
      </c>
      <c r="AZ28" s="275">
        <f t="shared" si="29"/>
        <v>0</v>
      </c>
      <c r="BA28" s="275">
        <f t="shared" si="30"/>
        <v>0</v>
      </c>
      <c r="BB28" s="275">
        <f t="shared" si="31"/>
        <v>0</v>
      </c>
      <c r="BC28" s="275">
        <f t="shared" si="32"/>
        <v>0</v>
      </c>
      <c r="BD28" s="275">
        <f t="shared" si="33"/>
        <v>0</v>
      </c>
      <c r="BE28" s="275">
        <f t="shared" si="34"/>
        <v>0</v>
      </c>
      <c r="BF28" s="275">
        <f t="shared" si="35"/>
        <v>0</v>
      </c>
      <c r="BG28" s="275">
        <f t="shared" si="36"/>
        <v>0</v>
      </c>
      <c r="BH28" s="275">
        <f t="shared" si="75"/>
        <v>0</v>
      </c>
      <c r="BI28" s="275">
        <f t="shared" si="76"/>
        <v>0</v>
      </c>
      <c r="BJ28" s="275">
        <f t="shared" si="37"/>
        <v>0</v>
      </c>
      <c r="BK28" s="275">
        <f t="shared" si="38"/>
        <v>0</v>
      </c>
      <c r="BL28" s="275">
        <f t="shared" si="39"/>
        <v>0</v>
      </c>
      <c r="BM28" s="275">
        <f t="shared" si="40"/>
        <v>0</v>
      </c>
      <c r="BN28" s="275">
        <f t="shared" si="41"/>
        <v>0</v>
      </c>
      <c r="BO28" s="275">
        <f t="shared" si="42"/>
        <v>0</v>
      </c>
      <c r="BP28" s="275">
        <f t="shared" si="77"/>
        <v>0</v>
      </c>
      <c r="BQ28" s="275">
        <f t="shared" si="78"/>
        <v>0</v>
      </c>
      <c r="BR28" s="275">
        <f t="shared" si="43"/>
        <v>0</v>
      </c>
      <c r="BS28" s="275">
        <f t="shared" si="44"/>
        <v>0</v>
      </c>
      <c r="BT28" s="275">
        <f t="shared" si="79"/>
        <v>0</v>
      </c>
      <c r="BU28" s="275">
        <f t="shared" si="80"/>
        <v>0</v>
      </c>
      <c r="BV28" s="275">
        <f t="shared" si="81"/>
        <v>0</v>
      </c>
      <c r="BW28" s="275">
        <f t="shared" si="82"/>
        <v>0</v>
      </c>
      <c r="BX28" s="275">
        <f t="shared" si="45"/>
        <v>0</v>
      </c>
      <c r="BY28" s="275">
        <f t="shared" si="46"/>
        <v>0</v>
      </c>
      <c r="BZ28" s="275">
        <f t="shared" si="47"/>
        <v>0</v>
      </c>
      <c r="CA28" s="275">
        <f t="shared" si="48"/>
        <v>0</v>
      </c>
      <c r="CB28" s="275">
        <f t="shared" si="49"/>
        <v>0</v>
      </c>
      <c r="CC28" s="275">
        <f t="shared" si="50"/>
        <v>0</v>
      </c>
      <c r="CD28" s="275">
        <f t="shared" si="83"/>
        <v>0</v>
      </c>
      <c r="CE28" s="275">
        <f t="shared" si="84"/>
        <v>0</v>
      </c>
      <c r="CF28" s="275">
        <f t="shared" si="85"/>
        <v>0</v>
      </c>
      <c r="CG28" s="275">
        <f t="shared" si="86"/>
        <v>0</v>
      </c>
      <c r="CH28" s="275">
        <f t="shared" si="51"/>
        <v>0</v>
      </c>
      <c r="CI28" s="275">
        <f t="shared" si="52"/>
        <v>0</v>
      </c>
      <c r="CJ28" s="275">
        <f t="shared" si="87"/>
        <v>0</v>
      </c>
      <c r="CK28" s="275">
        <f t="shared" si="88"/>
        <v>0</v>
      </c>
      <c r="CL28" s="275">
        <f t="shared" si="53"/>
        <v>0</v>
      </c>
      <c r="CM28" s="275">
        <f t="shared" si="54"/>
        <v>0</v>
      </c>
      <c r="CN28" s="275">
        <f t="shared" si="55"/>
        <v>0</v>
      </c>
      <c r="CO28" s="275">
        <f t="shared" si="56"/>
        <v>0</v>
      </c>
      <c r="CP28" s="275">
        <f t="shared" si="89"/>
        <v>0</v>
      </c>
      <c r="CQ28" s="275">
        <f t="shared" si="90"/>
        <v>0</v>
      </c>
      <c r="CR28" s="275">
        <f t="shared" si="91"/>
        <v>0</v>
      </c>
      <c r="CS28" s="275">
        <f t="shared" si="92"/>
        <v>0</v>
      </c>
      <c r="CT28" s="275">
        <f t="shared" si="57"/>
        <v>0</v>
      </c>
      <c r="CU28" s="275">
        <f t="shared" si="58"/>
        <v>0</v>
      </c>
      <c r="CV28" s="275">
        <f t="shared" si="59"/>
        <v>0</v>
      </c>
      <c r="CW28" s="275">
        <f t="shared" si="60"/>
        <v>0</v>
      </c>
      <c r="CX28" s="275">
        <f t="shared" si="93"/>
        <v>0</v>
      </c>
      <c r="CY28" s="275">
        <f t="shared" si="94"/>
        <v>0</v>
      </c>
      <c r="CZ28" s="275">
        <f t="shared" si="95"/>
        <v>0</v>
      </c>
      <c r="DA28" s="275">
        <f t="shared" si="96"/>
        <v>0</v>
      </c>
    </row>
    <row r="29" spans="1:105" s="272" customFormat="1" ht="16.5" customHeight="1">
      <c r="A29" s="63" t="str">
        <f t="array" ref="A29">IF(C29&lt;&gt;0,SUM(($C$11:C29&lt;&gt;0)*1),"")</f>
        <v/>
      </c>
      <c r="B29" s="273"/>
      <c r="C29" s="273"/>
      <c r="D29" s="273"/>
      <c r="E29" s="363"/>
      <c r="F29" s="324"/>
      <c r="G29" s="326"/>
      <c r="H29" s="326"/>
      <c r="I29" s="63" t="str">
        <f t="shared" si="0"/>
        <v/>
      </c>
      <c r="J29" s="275">
        <f t="shared" si="61"/>
        <v>0</v>
      </c>
      <c r="K29" s="275">
        <f t="shared" si="62"/>
        <v>0</v>
      </c>
      <c r="L29" s="275">
        <f t="shared" si="1"/>
        <v>0</v>
      </c>
      <c r="M29" s="275">
        <f t="shared" si="2"/>
        <v>0</v>
      </c>
      <c r="N29" s="275">
        <f t="shared" si="3"/>
        <v>0</v>
      </c>
      <c r="O29" s="275">
        <f t="shared" si="4"/>
        <v>0</v>
      </c>
      <c r="P29" s="275">
        <f t="shared" si="5"/>
        <v>0</v>
      </c>
      <c r="Q29" s="275">
        <f t="shared" si="6"/>
        <v>0</v>
      </c>
      <c r="R29" s="275">
        <f t="shared" si="7"/>
        <v>0</v>
      </c>
      <c r="S29" s="275">
        <f t="shared" si="8"/>
        <v>0</v>
      </c>
      <c r="T29" s="275">
        <f t="shared" si="9"/>
        <v>0</v>
      </c>
      <c r="U29" s="275">
        <f t="shared" si="10"/>
        <v>0</v>
      </c>
      <c r="V29" s="275">
        <f t="shared" si="11"/>
        <v>0</v>
      </c>
      <c r="W29" s="275">
        <f t="shared" si="12"/>
        <v>0</v>
      </c>
      <c r="X29" s="275">
        <f t="shared" si="13"/>
        <v>0</v>
      </c>
      <c r="Y29" s="275">
        <f t="shared" si="14"/>
        <v>0</v>
      </c>
      <c r="Z29" s="275">
        <f t="shared" si="15"/>
        <v>0</v>
      </c>
      <c r="AA29" s="275">
        <f t="shared" si="16"/>
        <v>0</v>
      </c>
      <c r="AB29" s="275">
        <f t="shared" si="63"/>
        <v>0</v>
      </c>
      <c r="AC29" s="275">
        <f t="shared" si="64"/>
        <v>0</v>
      </c>
      <c r="AD29" s="275">
        <f t="shared" si="17"/>
        <v>0</v>
      </c>
      <c r="AE29" s="275">
        <f t="shared" si="18"/>
        <v>0</v>
      </c>
      <c r="AF29" s="275">
        <f t="shared" si="19"/>
        <v>0</v>
      </c>
      <c r="AG29" s="275">
        <f t="shared" si="20"/>
        <v>0</v>
      </c>
      <c r="AH29" s="275">
        <f t="shared" si="65"/>
        <v>0</v>
      </c>
      <c r="AI29" s="275">
        <f t="shared" si="66"/>
        <v>0</v>
      </c>
      <c r="AJ29" s="275">
        <f t="shared" si="67"/>
        <v>0</v>
      </c>
      <c r="AK29" s="275">
        <f t="shared" si="68"/>
        <v>0</v>
      </c>
      <c r="AL29" s="275">
        <f t="shared" si="69"/>
        <v>0</v>
      </c>
      <c r="AM29" s="275">
        <f t="shared" si="70"/>
        <v>0</v>
      </c>
      <c r="AN29" s="275">
        <f t="shared" si="71"/>
        <v>0</v>
      </c>
      <c r="AO29" s="275">
        <f t="shared" si="72"/>
        <v>0</v>
      </c>
      <c r="AP29" s="275">
        <f t="shared" si="21"/>
        <v>0</v>
      </c>
      <c r="AQ29" s="275">
        <f t="shared" si="22"/>
        <v>0</v>
      </c>
      <c r="AR29" s="275">
        <f t="shared" si="23"/>
        <v>0</v>
      </c>
      <c r="AS29" s="275">
        <f t="shared" si="24"/>
        <v>0</v>
      </c>
      <c r="AT29" s="275">
        <f t="shared" si="73"/>
        <v>0</v>
      </c>
      <c r="AU29" s="275">
        <f t="shared" si="74"/>
        <v>0</v>
      </c>
      <c r="AV29" s="275">
        <f t="shared" si="25"/>
        <v>0</v>
      </c>
      <c r="AW29" s="275">
        <f t="shared" si="26"/>
        <v>0</v>
      </c>
      <c r="AX29" s="275">
        <f t="shared" si="27"/>
        <v>0</v>
      </c>
      <c r="AY29" s="275">
        <f t="shared" si="28"/>
        <v>0</v>
      </c>
      <c r="AZ29" s="275">
        <f t="shared" si="29"/>
        <v>0</v>
      </c>
      <c r="BA29" s="275">
        <f t="shared" si="30"/>
        <v>0</v>
      </c>
      <c r="BB29" s="275">
        <f t="shared" si="31"/>
        <v>0</v>
      </c>
      <c r="BC29" s="275">
        <f t="shared" si="32"/>
        <v>0</v>
      </c>
      <c r="BD29" s="275">
        <f t="shared" si="33"/>
        <v>0</v>
      </c>
      <c r="BE29" s="275">
        <f t="shared" si="34"/>
        <v>0</v>
      </c>
      <c r="BF29" s="275">
        <f t="shared" si="35"/>
        <v>0</v>
      </c>
      <c r="BG29" s="275">
        <f t="shared" si="36"/>
        <v>0</v>
      </c>
      <c r="BH29" s="275">
        <f t="shared" si="75"/>
        <v>0</v>
      </c>
      <c r="BI29" s="275">
        <f t="shared" si="76"/>
        <v>0</v>
      </c>
      <c r="BJ29" s="275">
        <f t="shared" si="37"/>
        <v>0</v>
      </c>
      <c r="BK29" s="275">
        <f t="shared" si="38"/>
        <v>0</v>
      </c>
      <c r="BL29" s="275">
        <f t="shared" si="39"/>
        <v>0</v>
      </c>
      <c r="BM29" s="275">
        <f t="shared" si="40"/>
        <v>0</v>
      </c>
      <c r="BN29" s="275">
        <f t="shared" si="41"/>
        <v>0</v>
      </c>
      <c r="BO29" s="275">
        <f t="shared" si="42"/>
        <v>0</v>
      </c>
      <c r="BP29" s="275">
        <f t="shared" si="77"/>
        <v>0</v>
      </c>
      <c r="BQ29" s="275">
        <f t="shared" si="78"/>
        <v>0</v>
      </c>
      <c r="BR29" s="275">
        <f t="shared" si="43"/>
        <v>0</v>
      </c>
      <c r="BS29" s="275">
        <f t="shared" si="44"/>
        <v>0</v>
      </c>
      <c r="BT29" s="275">
        <f t="shared" si="79"/>
        <v>0</v>
      </c>
      <c r="BU29" s="275">
        <f t="shared" si="80"/>
        <v>0</v>
      </c>
      <c r="BV29" s="275">
        <f t="shared" si="81"/>
        <v>0</v>
      </c>
      <c r="BW29" s="275">
        <f t="shared" si="82"/>
        <v>0</v>
      </c>
      <c r="BX29" s="275">
        <f t="shared" si="45"/>
        <v>0</v>
      </c>
      <c r="BY29" s="275">
        <f t="shared" si="46"/>
        <v>0</v>
      </c>
      <c r="BZ29" s="275">
        <f t="shared" si="47"/>
        <v>0</v>
      </c>
      <c r="CA29" s="275">
        <f t="shared" si="48"/>
        <v>0</v>
      </c>
      <c r="CB29" s="275">
        <f t="shared" si="49"/>
        <v>0</v>
      </c>
      <c r="CC29" s="275">
        <f t="shared" si="50"/>
        <v>0</v>
      </c>
      <c r="CD29" s="275">
        <f t="shared" si="83"/>
        <v>0</v>
      </c>
      <c r="CE29" s="275">
        <f t="shared" si="84"/>
        <v>0</v>
      </c>
      <c r="CF29" s="275">
        <f t="shared" si="85"/>
        <v>0</v>
      </c>
      <c r="CG29" s="275">
        <f t="shared" si="86"/>
        <v>0</v>
      </c>
      <c r="CH29" s="275">
        <f t="shared" si="51"/>
        <v>0</v>
      </c>
      <c r="CI29" s="275">
        <f t="shared" si="52"/>
        <v>0</v>
      </c>
      <c r="CJ29" s="275">
        <f t="shared" si="87"/>
        <v>0</v>
      </c>
      <c r="CK29" s="275">
        <f t="shared" si="88"/>
        <v>0</v>
      </c>
      <c r="CL29" s="275">
        <f t="shared" si="53"/>
        <v>0</v>
      </c>
      <c r="CM29" s="275">
        <f t="shared" si="54"/>
        <v>0</v>
      </c>
      <c r="CN29" s="275">
        <f t="shared" si="55"/>
        <v>0</v>
      </c>
      <c r="CO29" s="275">
        <f t="shared" si="56"/>
        <v>0</v>
      </c>
      <c r="CP29" s="275">
        <f t="shared" si="89"/>
        <v>0</v>
      </c>
      <c r="CQ29" s="275">
        <f t="shared" si="90"/>
        <v>0</v>
      </c>
      <c r="CR29" s="275">
        <f t="shared" si="91"/>
        <v>0</v>
      </c>
      <c r="CS29" s="275">
        <f t="shared" si="92"/>
        <v>0</v>
      </c>
      <c r="CT29" s="275">
        <f t="shared" si="57"/>
        <v>0</v>
      </c>
      <c r="CU29" s="275">
        <f t="shared" si="58"/>
        <v>0</v>
      </c>
      <c r="CV29" s="275">
        <f t="shared" si="59"/>
        <v>0</v>
      </c>
      <c r="CW29" s="275">
        <f t="shared" si="60"/>
        <v>0</v>
      </c>
      <c r="CX29" s="275">
        <f t="shared" si="93"/>
        <v>0</v>
      </c>
      <c r="CY29" s="275">
        <f t="shared" si="94"/>
        <v>0</v>
      </c>
      <c r="CZ29" s="275">
        <f t="shared" si="95"/>
        <v>0</v>
      </c>
      <c r="DA29" s="275">
        <f t="shared" si="96"/>
        <v>0</v>
      </c>
    </row>
    <row r="30" spans="1:105" s="272" customFormat="1" ht="16.5" customHeight="1">
      <c r="A30" s="63" t="str">
        <f t="array" ref="A30">IF(C30&lt;&gt;0,SUM(($C$11:C30&lt;&gt;0)*1),"")</f>
        <v/>
      </c>
      <c r="B30" s="273"/>
      <c r="C30" s="273"/>
      <c r="D30" s="273"/>
      <c r="E30" s="363"/>
      <c r="F30" s="324"/>
      <c r="G30" s="326"/>
      <c r="H30" s="326"/>
      <c r="I30" s="63" t="str">
        <f t="shared" si="0"/>
        <v/>
      </c>
      <c r="J30" s="275">
        <f t="shared" si="61"/>
        <v>0</v>
      </c>
      <c r="K30" s="275">
        <f t="shared" si="62"/>
        <v>0</v>
      </c>
      <c r="L30" s="275">
        <f t="shared" si="1"/>
        <v>0</v>
      </c>
      <c r="M30" s="275">
        <f t="shared" si="2"/>
        <v>0</v>
      </c>
      <c r="N30" s="275">
        <f t="shared" si="3"/>
        <v>0</v>
      </c>
      <c r="O30" s="275">
        <f t="shared" si="4"/>
        <v>0</v>
      </c>
      <c r="P30" s="275">
        <f t="shared" si="5"/>
        <v>0</v>
      </c>
      <c r="Q30" s="275">
        <f t="shared" si="6"/>
        <v>0</v>
      </c>
      <c r="R30" s="275">
        <f t="shared" si="7"/>
        <v>0</v>
      </c>
      <c r="S30" s="275">
        <f t="shared" si="8"/>
        <v>0</v>
      </c>
      <c r="T30" s="275">
        <f t="shared" si="9"/>
        <v>0</v>
      </c>
      <c r="U30" s="275">
        <f t="shared" si="10"/>
        <v>0</v>
      </c>
      <c r="V30" s="275">
        <f t="shared" si="11"/>
        <v>0</v>
      </c>
      <c r="W30" s="275">
        <f t="shared" si="12"/>
        <v>0</v>
      </c>
      <c r="X30" s="275">
        <f t="shared" si="13"/>
        <v>0</v>
      </c>
      <c r="Y30" s="275">
        <f t="shared" si="14"/>
        <v>0</v>
      </c>
      <c r="Z30" s="275">
        <f t="shared" si="15"/>
        <v>0</v>
      </c>
      <c r="AA30" s="275">
        <f t="shared" si="16"/>
        <v>0</v>
      </c>
      <c r="AB30" s="275">
        <f t="shared" si="63"/>
        <v>0</v>
      </c>
      <c r="AC30" s="275">
        <f t="shared" si="64"/>
        <v>0</v>
      </c>
      <c r="AD30" s="275">
        <f t="shared" si="17"/>
        <v>0</v>
      </c>
      <c r="AE30" s="275">
        <f t="shared" si="18"/>
        <v>0</v>
      </c>
      <c r="AF30" s="275">
        <f t="shared" si="19"/>
        <v>0</v>
      </c>
      <c r="AG30" s="275">
        <f t="shared" si="20"/>
        <v>0</v>
      </c>
      <c r="AH30" s="275">
        <f t="shared" si="65"/>
        <v>0</v>
      </c>
      <c r="AI30" s="275">
        <f t="shared" si="66"/>
        <v>0</v>
      </c>
      <c r="AJ30" s="275">
        <f t="shared" si="67"/>
        <v>0</v>
      </c>
      <c r="AK30" s="275">
        <f t="shared" si="68"/>
        <v>0</v>
      </c>
      <c r="AL30" s="275">
        <f t="shared" si="69"/>
        <v>0</v>
      </c>
      <c r="AM30" s="275">
        <f t="shared" si="70"/>
        <v>0</v>
      </c>
      <c r="AN30" s="275">
        <f t="shared" si="71"/>
        <v>0</v>
      </c>
      <c r="AO30" s="275">
        <f t="shared" si="72"/>
        <v>0</v>
      </c>
      <c r="AP30" s="275">
        <f t="shared" si="21"/>
        <v>0</v>
      </c>
      <c r="AQ30" s="275">
        <f t="shared" si="22"/>
        <v>0</v>
      </c>
      <c r="AR30" s="275">
        <f t="shared" si="23"/>
        <v>0</v>
      </c>
      <c r="AS30" s="275">
        <f t="shared" si="24"/>
        <v>0</v>
      </c>
      <c r="AT30" s="275">
        <f t="shared" si="73"/>
        <v>0</v>
      </c>
      <c r="AU30" s="275">
        <f t="shared" si="74"/>
        <v>0</v>
      </c>
      <c r="AV30" s="275">
        <f t="shared" si="25"/>
        <v>0</v>
      </c>
      <c r="AW30" s="275">
        <f t="shared" si="26"/>
        <v>0</v>
      </c>
      <c r="AX30" s="275">
        <f t="shared" si="27"/>
        <v>0</v>
      </c>
      <c r="AY30" s="275">
        <f t="shared" si="28"/>
        <v>0</v>
      </c>
      <c r="AZ30" s="275">
        <f t="shared" si="29"/>
        <v>0</v>
      </c>
      <c r="BA30" s="275">
        <f t="shared" si="30"/>
        <v>0</v>
      </c>
      <c r="BB30" s="275">
        <f t="shared" si="31"/>
        <v>0</v>
      </c>
      <c r="BC30" s="275">
        <f t="shared" si="32"/>
        <v>0</v>
      </c>
      <c r="BD30" s="275">
        <f t="shared" si="33"/>
        <v>0</v>
      </c>
      <c r="BE30" s="275">
        <f t="shared" si="34"/>
        <v>0</v>
      </c>
      <c r="BF30" s="275">
        <f t="shared" si="35"/>
        <v>0</v>
      </c>
      <c r="BG30" s="275">
        <f t="shared" si="36"/>
        <v>0</v>
      </c>
      <c r="BH30" s="275">
        <f t="shared" si="75"/>
        <v>0</v>
      </c>
      <c r="BI30" s="275">
        <f t="shared" si="76"/>
        <v>0</v>
      </c>
      <c r="BJ30" s="275">
        <f t="shared" si="37"/>
        <v>0</v>
      </c>
      <c r="BK30" s="275">
        <f t="shared" si="38"/>
        <v>0</v>
      </c>
      <c r="BL30" s="275">
        <f t="shared" si="39"/>
        <v>0</v>
      </c>
      <c r="BM30" s="275">
        <f t="shared" si="40"/>
        <v>0</v>
      </c>
      <c r="BN30" s="275">
        <f t="shared" si="41"/>
        <v>0</v>
      </c>
      <c r="BO30" s="275">
        <f t="shared" si="42"/>
        <v>0</v>
      </c>
      <c r="BP30" s="275">
        <f t="shared" si="77"/>
        <v>0</v>
      </c>
      <c r="BQ30" s="275">
        <f t="shared" si="78"/>
        <v>0</v>
      </c>
      <c r="BR30" s="275">
        <f t="shared" si="43"/>
        <v>0</v>
      </c>
      <c r="BS30" s="275">
        <f t="shared" si="44"/>
        <v>0</v>
      </c>
      <c r="BT30" s="275">
        <f t="shared" si="79"/>
        <v>0</v>
      </c>
      <c r="BU30" s="275">
        <f t="shared" si="80"/>
        <v>0</v>
      </c>
      <c r="BV30" s="275">
        <f t="shared" si="81"/>
        <v>0</v>
      </c>
      <c r="BW30" s="275">
        <f t="shared" si="82"/>
        <v>0</v>
      </c>
      <c r="BX30" s="275">
        <f t="shared" si="45"/>
        <v>0</v>
      </c>
      <c r="BY30" s="275">
        <f t="shared" si="46"/>
        <v>0</v>
      </c>
      <c r="BZ30" s="275">
        <f t="shared" si="47"/>
        <v>0</v>
      </c>
      <c r="CA30" s="275">
        <f t="shared" si="48"/>
        <v>0</v>
      </c>
      <c r="CB30" s="275">
        <f t="shared" si="49"/>
        <v>0</v>
      </c>
      <c r="CC30" s="275">
        <f t="shared" si="50"/>
        <v>0</v>
      </c>
      <c r="CD30" s="275">
        <f t="shared" si="83"/>
        <v>0</v>
      </c>
      <c r="CE30" s="275">
        <f t="shared" si="84"/>
        <v>0</v>
      </c>
      <c r="CF30" s="275">
        <f t="shared" si="85"/>
        <v>0</v>
      </c>
      <c r="CG30" s="275">
        <f t="shared" si="86"/>
        <v>0</v>
      </c>
      <c r="CH30" s="275">
        <f t="shared" si="51"/>
        <v>0</v>
      </c>
      <c r="CI30" s="275">
        <f t="shared" si="52"/>
        <v>0</v>
      </c>
      <c r="CJ30" s="275">
        <f t="shared" si="87"/>
        <v>0</v>
      </c>
      <c r="CK30" s="275">
        <f t="shared" si="88"/>
        <v>0</v>
      </c>
      <c r="CL30" s="275">
        <f t="shared" si="53"/>
        <v>0</v>
      </c>
      <c r="CM30" s="275">
        <f t="shared" si="54"/>
        <v>0</v>
      </c>
      <c r="CN30" s="275">
        <f t="shared" si="55"/>
        <v>0</v>
      </c>
      <c r="CO30" s="275">
        <f t="shared" si="56"/>
        <v>0</v>
      </c>
      <c r="CP30" s="275">
        <f t="shared" si="89"/>
        <v>0</v>
      </c>
      <c r="CQ30" s="275">
        <f t="shared" si="90"/>
        <v>0</v>
      </c>
      <c r="CR30" s="275">
        <f t="shared" si="91"/>
        <v>0</v>
      </c>
      <c r="CS30" s="275">
        <f t="shared" si="92"/>
        <v>0</v>
      </c>
      <c r="CT30" s="275">
        <f t="shared" si="57"/>
        <v>0</v>
      </c>
      <c r="CU30" s="275">
        <f t="shared" si="58"/>
        <v>0</v>
      </c>
      <c r="CV30" s="275">
        <f t="shared" si="59"/>
        <v>0</v>
      </c>
      <c r="CW30" s="275">
        <f t="shared" si="60"/>
        <v>0</v>
      </c>
      <c r="CX30" s="275">
        <f t="shared" si="93"/>
        <v>0</v>
      </c>
      <c r="CY30" s="275">
        <f t="shared" si="94"/>
        <v>0</v>
      </c>
      <c r="CZ30" s="275">
        <f t="shared" si="95"/>
        <v>0</v>
      </c>
      <c r="DA30" s="275">
        <f t="shared" si="96"/>
        <v>0</v>
      </c>
    </row>
    <row r="31" spans="1:105" s="272" customFormat="1" ht="16.5" customHeight="1">
      <c r="A31" s="63" t="str">
        <f t="array" ref="A31">IF(C31&lt;&gt;0,SUM(($C$11:C31&lt;&gt;0)*1),"")</f>
        <v/>
      </c>
      <c r="B31" s="273"/>
      <c r="C31" s="273"/>
      <c r="D31" s="273"/>
      <c r="E31" s="363"/>
      <c r="F31" s="324"/>
      <c r="G31" s="326"/>
      <c r="H31" s="326"/>
      <c r="I31" s="63" t="str">
        <f t="shared" si="0"/>
        <v/>
      </c>
      <c r="J31" s="275">
        <f t="shared" si="61"/>
        <v>0</v>
      </c>
      <c r="K31" s="275">
        <f t="shared" si="62"/>
        <v>0</v>
      </c>
      <c r="L31" s="275">
        <f t="shared" si="1"/>
        <v>0</v>
      </c>
      <c r="M31" s="275">
        <f t="shared" si="2"/>
        <v>0</v>
      </c>
      <c r="N31" s="275">
        <f t="shared" si="3"/>
        <v>0</v>
      </c>
      <c r="O31" s="275">
        <f t="shared" si="4"/>
        <v>0</v>
      </c>
      <c r="P31" s="275">
        <f t="shared" si="5"/>
        <v>0</v>
      </c>
      <c r="Q31" s="275">
        <f t="shared" si="6"/>
        <v>0</v>
      </c>
      <c r="R31" s="275">
        <f t="shared" si="7"/>
        <v>0</v>
      </c>
      <c r="S31" s="275">
        <f t="shared" si="8"/>
        <v>0</v>
      </c>
      <c r="T31" s="275">
        <f t="shared" si="9"/>
        <v>0</v>
      </c>
      <c r="U31" s="275">
        <f t="shared" si="10"/>
        <v>0</v>
      </c>
      <c r="V31" s="275">
        <f t="shared" si="11"/>
        <v>0</v>
      </c>
      <c r="W31" s="275">
        <f t="shared" si="12"/>
        <v>0</v>
      </c>
      <c r="X31" s="275">
        <f t="shared" si="13"/>
        <v>0</v>
      </c>
      <c r="Y31" s="275">
        <f t="shared" si="14"/>
        <v>0</v>
      </c>
      <c r="Z31" s="275">
        <f t="shared" si="15"/>
        <v>0</v>
      </c>
      <c r="AA31" s="275">
        <f t="shared" si="16"/>
        <v>0</v>
      </c>
      <c r="AB31" s="275">
        <f t="shared" si="63"/>
        <v>0</v>
      </c>
      <c r="AC31" s="275">
        <f t="shared" si="64"/>
        <v>0</v>
      </c>
      <c r="AD31" s="275">
        <f t="shared" si="17"/>
        <v>0</v>
      </c>
      <c r="AE31" s="275">
        <f t="shared" si="18"/>
        <v>0</v>
      </c>
      <c r="AF31" s="275">
        <f t="shared" si="19"/>
        <v>0</v>
      </c>
      <c r="AG31" s="275">
        <f t="shared" si="20"/>
        <v>0</v>
      </c>
      <c r="AH31" s="275">
        <f t="shared" si="65"/>
        <v>0</v>
      </c>
      <c r="AI31" s="275">
        <f t="shared" si="66"/>
        <v>0</v>
      </c>
      <c r="AJ31" s="275">
        <f t="shared" si="67"/>
        <v>0</v>
      </c>
      <c r="AK31" s="275">
        <f t="shared" si="68"/>
        <v>0</v>
      </c>
      <c r="AL31" s="275">
        <f t="shared" si="69"/>
        <v>0</v>
      </c>
      <c r="AM31" s="275">
        <f t="shared" si="70"/>
        <v>0</v>
      </c>
      <c r="AN31" s="275">
        <f t="shared" si="71"/>
        <v>0</v>
      </c>
      <c r="AO31" s="275">
        <f t="shared" si="72"/>
        <v>0</v>
      </c>
      <c r="AP31" s="275">
        <f t="shared" si="21"/>
        <v>0</v>
      </c>
      <c r="AQ31" s="275">
        <f t="shared" si="22"/>
        <v>0</v>
      </c>
      <c r="AR31" s="275">
        <f t="shared" si="23"/>
        <v>0</v>
      </c>
      <c r="AS31" s="275">
        <f t="shared" si="24"/>
        <v>0</v>
      </c>
      <c r="AT31" s="275">
        <f t="shared" si="73"/>
        <v>0</v>
      </c>
      <c r="AU31" s="275">
        <f t="shared" si="74"/>
        <v>0</v>
      </c>
      <c r="AV31" s="275">
        <f t="shared" si="25"/>
        <v>0</v>
      </c>
      <c r="AW31" s="275">
        <f t="shared" si="26"/>
        <v>0</v>
      </c>
      <c r="AX31" s="275">
        <f t="shared" si="27"/>
        <v>0</v>
      </c>
      <c r="AY31" s="275">
        <f t="shared" si="28"/>
        <v>0</v>
      </c>
      <c r="AZ31" s="275">
        <f t="shared" si="29"/>
        <v>0</v>
      </c>
      <c r="BA31" s="275">
        <f t="shared" si="30"/>
        <v>0</v>
      </c>
      <c r="BB31" s="275">
        <f t="shared" si="31"/>
        <v>0</v>
      </c>
      <c r="BC31" s="275">
        <f t="shared" si="32"/>
        <v>0</v>
      </c>
      <c r="BD31" s="275">
        <f t="shared" si="33"/>
        <v>0</v>
      </c>
      <c r="BE31" s="275">
        <f t="shared" si="34"/>
        <v>0</v>
      </c>
      <c r="BF31" s="275">
        <f t="shared" si="35"/>
        <v>0</v>
      </c>
      <c r="BG31" s="275">
        <f t="shared" si="36"/>
        <v>0</v>
      </c>
      <c r="BH31" s="275">
        <f t="shared" si="75"/>
        <v>0</v>
      </c>
      <c r="BI31" s="275">
        <f t="shared" si="76"/>
        <v>0</v>
      </c>
      <c r="BJ31" s="275">
        <f t="shared" si="37"/>
        <v>0</v>
      </c>
      <c r="BK31" s="275">
        <f t="shared" si="38"/>
        <v>0</v>
      </c>
      <c r="BL31" s="275">
        <f t="shared" si="39"/>
        <v>0</v>
      </c>
      <c r="BM31" s="275">
        <f t="shared" si="40"/>
        <v>0</v>
      </c>
      <c r="BN31" s="275">
        <f t="shared" si="41"/>
        <v>0</v>
      </c>
      <c r="BO31" s="275">
        <f t="shared" si="42"/>
        <v>0</v>
      </c>
      <c r="BP31" s="275">
        <f t="shared" si="77"/>
        <v>0</v>
      </c>
      <c r="BQ31" s="275">
        <f t="shared" si="78"/>
        <v>0</v>
      </c>
      <c r="BR31" s="275">
        <f t="shared" si="43"/>
        <v>0</v>
      </c>
      <c r="BS31" s="275">
        <f t="shared" si="44"/>
        <v>0</v>
      </c>
      <c r="BT31" s="275">
        <f t="shared" si="79"/>
        <v>0</v>
      </c>
      <c r="BU31" s="275">
        <f t="shared" si="80"/>
        <v>0</v>
      </c>
      <c r="BV31" s="275">
        <f t="shared" si="81"/>
        <v>0</v>
      </c>
      <c r="BW31" s="275">
        <f t="shared" si="82"/>
        <v>0</v>
      </c>
      <c r="BX31" s="275">
        <f t="shared" si="45"/>
        <v>0</v>
      </c>
      <c r="BY31" s="275">
        <f t="shared" si="46"/>
        <v>0</v>
      </c>
      <c r="BZ31" s="275">
        <f t="shared" si="47"/>
        <v>0</v>
      </c>
      <c r="CA31" s="275">
        <f t="shared" si="48"/>
        <v>0</v>
      </c>
      <c r="CB31" s="275">
        <f t="shared" si="49"/>
        <v>0</v>
      </c>
      <c r="CC31" s="275">
        <f t="shared" si="50"/>
        <v>0</v>
      </c>
      <c r="CD31" s="275">
        <f t="shared" si="83"/>
        <v>0</v>
      </c>
      <c r="CE31" s="275">
        <f t="shared" si="84"/>
        <v>0</v>
      </c>
      <c r="CF31" s="275">
        <f t="shared" si="85"/>
        <v>0</v>
      </c>
      <c r="CG31" s="275">
        <f t="shared" si="86"/>
        <v>0</v>
      </c>
      <c r="CH31" s="275">
        <f t="shared" si="51"/>
        <v>0</v>
      </c>
      <c r="CI31" s="275">
        <f t="shared" si="52"/>
        <v>0</v>
      </c>
      <c r="CJ31" s="275">
        <f t="shared" si="87"/>
        <v>0</v>
      </c>
      <c r="CK31" s="275">
        <f t="shared" si="88"/>
        <v>0</v>
      </c>
      <c r="CL31" s="275">
        <f t="shared" si="53"/>
        <v>0</v>
      </c>
      <c r="CM31" s="275">
        <f t="shared" si="54"/>
        <v>0</v>
      </c>
      <c r="CN31" s="275">
        <f t="shared" si="55"/>
        <v>0</v>
      </c>
      <c r="CO31" s="275">
        <f t="shared" si="56"/>
        <v>0</v>
      </c>
      <c r="CP31" s="275">
        <f t="shared" si="89"/>
        <v>0</v>
      </c>
      <c r="CQ31" s="275">
        <f t="shared" si="90"/>
        <v>0</v>
      </c>
      <c r="CR31" s="275">
        <f t="shared" si="91"/>
        <v>0</v>
      </c>
      <c r="CS31" s="275">
        <f t="shared" si="92"/>
        <v>0</v>
      </c>
      <c r="CT31" s="275">
        <f t="shared" si="57"/>
        <v>0</v>
      </c>
      <c r="CU31" s="275">
        <f t="shared" si="58"/>
        <v>0</v>
      </c>
      <c r="CV31" s="275">
        <f t="shared" si="59"/>
        <v>0</v>
      </c>
      <c r="CW31" s="275">
        <f t="shared" si="60"/>
        <v>0</v>
      </c>
      <c r="CX31" s="275">
        <f t="shared" si="93"/>
        <v>0</v>
      </c>
      <c r="CY31" s="275">
        <f t="shared" si="94"/>
        <v>0</v>
      </c>
      <c r="CZ31" s="275">
        <f t="shared" si="95"/>
        <v>0</v>
      </c>
      <c r="DA31" s="275">
        <f t="shared" si="96"/>
        <v>0</v>
      </c>
    </row>
    <row r="32" spans="1:105" s="272" customFormat="1" ht="16.5" customHeight="1">
      <c r="A32" s="63" t="str">
        <f t="array" ref="A32">IF(C32&lt;&gt;0,SUM(($C$11:C32&lt;&gt;0)*1),"")</f>
        <v/>
      </c>
      <c r="B32" s="273"/>
      <c r="C32" s="273"/>
      <c r="D32" s="273"/>
      <c r="E32" s="363"/>
      <c r="F32" s="324"/>
      <c r="G32" s="326"/>
      <c r="H32" s="326"/>
      <c r="I32" s="63" t="str">
        <f t="shared" si="0"/>
        <v/>
      </c>
      <c r="J32" s="275">
        <f t="shared" si="61"/>
        <v>0</v>
      </c>
      <c r="K32" s="275">
        <f t="shared" si="62"/>
        <v>0</v>
      </c>
      <c r="L32" s="275">
        <f t="shared" si="1"/>
        <v>0</v>
      </c>
      <c r="M32" s="275">
        <f t="shared" si="2"/>
        <v>0</v>
      </c>
      <c r="N32" s="275">
        <f t="shared" si="3"/>
        <v>0</v>
      </c>
      <c r="O32" s="275">
        <f t="shared" si="4"/>
        <v>0</v>
      </c>
      <c r="P32" s="275">
        <f t="shared" si="5"/>
        <v>0</v>
      </c>
      <c r="Q32" s="275">
        <f t="shared" si="6"/>
        <v>0</v>
      </c>
      <c r="R32" s="275">
        <f t="shared" si="7"/>
        <v>0</v>
      </c>
      <c r="S32" s="275">
        <f t="shared" si="8"/>
        <v>0</v>
      </c>
      <c r="T32" s="275">
        <f t="shared" si="9"/>
        <v>0</v>
      </c>
      <c r="U32" s="275">
        <f t="shared" si="10"/>
        <v>0</v>
      </c>
      <c r="V32" s="275">
        <f t="shared" si="11"/>
        <v>0</v>
      </c>
      <c r="W32" s="275">
        <f t="shared" si="12"/>
        <v>0</v>
      </c>
      <c r="X32" s="275">
        <f t="shared" si="13"/>
        <v>0</v>
      </c>
      <c r="Y32" s="275">
        <f t="shared" si="14"/>
        <v>0</v>
      </c>
      <c r="Z32" s="275">
        <f t="shared" si="15"/>
        <v>0</v>
      </c>
      <c r="AA32" s="275">
        <f t="shared" si="16"/>
        <v>0</v>
      </c>
      <c r="AB32" s="275">
        <f t="shared" si="63"/>
        <v>0</v>
      </c>
      <c r="AC32" s="275">
        <f t="shared" si="64"/>
        <v>0</v>
      </c>
      <c r="AD32" s="275">
        <f t="shared" si="17"/>
        <v>0</v>
      </c>
      <c r="AE32" s="275">
        <f t="shared" si="18"/>
        <v>0</v>
      </c>
      <c r="AF32" s="275">
        <f t="shared" si="19"/>
        <v>0</v>
      </c>
      <c r="AG32" s="275">
        <f t="shared" si="20"/>
        <v>0</v>
      </c>
      <c r="AH32" s="275">
        <f t="shared" si="65"/>
        <v>0</v>
      </c>
      <c r="AI32" s="275">
        <f t="shared" si="66"/>
        <v>0</v>
      </c>
      <c r="AJ32" s="275">
        <f t="shared" si="67"/>
        <v>0</v>
      </c>
      <c r="AK32" s="275">
        <f t="shared" si="68"/>
        <v>0</v>
      </c>
      <c r="AL32" s="275">
        <f t="shared" si="69"/>
        <v>0</v>
      </c>
      <c r="AM32" s="275">
        <f t="shared" si="70"/>
        <v>0</v>
      </c>
      <c r="AN32" s="275">
        <f t="shared" si="71"/>
        <v>0</v>
      </c>
      <c r="AO32" s="275">
        <f t="shared" si="72"/>
        <v>0</v>
      </c>
      <c r="AP32" s="275">
        <f t="shared" si="21"/>
        <v>0</v>
      </c>
      <c r="AQ32" s="275">
        <f t="shared" si="22"/>
        <v>0</v>
      </c>
      <c r="AR32" s="275">
        <f t="shared" si="23"/>
        <v>0</v>
      </c>
      <c r="AS32" s="275">
        <f t="shared" si="24"/>
        <v>0</v>
      </c>
      <c r="AT32" s="275">
        <f t="shared" si="73"/>
        <v>0</v>
      </c>
      <c r="AU32" s="275">
        <f t="shared" si="74"/>
        <v>0</v>
      </c>
      <c r="AV32" s="275">
        <f t="shared" si="25"/>
        <v>0</v>
      </c>
      <c r="AW32" s="275">
        <f t="shared" si="26"/>
        <v>0</v>
      </c>
      <c r="AX32" s="275">
        <f t="shared" si="27"/>
        <v>0</v>
      </c>
      <c r="AY32" s="275">
        <f t="shared" si="28"/>
        <v>0</v>
      </c>
      <c r="AZ32" s="275">
        <f t="shared" si="29"/>
        <v>0</v>
      </c>
      <c r="BA32" s="275">
        <f t="shared" si="30"/>
        <v>0</v>
      </c>
      <c r="BB32" s="275">
        <f t="shared" si="31"/>
        <v>0</v>
      </c>
      <c r="BC32" s="275">
        <f t="shared" si="32"/>
        <v>0</v>
      </c>
      <c r="BD32" s="275">
        <f t="shared" si="33"/>
        <v>0</v>
      </c>
      <c r="BE32" s="275">
        <f t="shared" si="34"/>
        <v>0</v>
      </c>
      <c r="BF32" s="275">
        <f t="shared" si="35"/>
        <v>0</v>
      </c>
      <c r="BG32" s="275">
        <f t="shared" si="36"/>
        <v>0</v>
      </c>
      <c r="BH32" s="275">
        <f t="shared" si="75"/>
        <v>0</v>
      </c>
      <c r="BI32" s="275">
        <f t="shared" si="76"/>
        <v>0</v>
      </c>
      <c r="BJ32" s="275">
        <f t="shared" si="37"/>
        <v>0</v>
      </c>
      <c r="BK32" s="275">
        <f t="shared" si="38"/>
        <v>0</v>
      </c>
      <c r="BL32" s="275">
        <f t="shared" si="39"/>
        <v>0</v>
      </c>
      <c r="BM32" s="275">
        <f t="shared" si="40"/>
        <v>0</v>
      </c>
      <c r="BN32" s="275">
        <f t="shared" si="41"/>
        <v>0</v>
      </c>
      <c r="BO32" s="275">
        <f t="shared" si="42"/>
        <v>0</v>
      </c>
      <c r="BP32" s="275">
        <f t="shared" si="77"/>
        <v>0</v>
      </c>
      <c r="BQ32" s="275">
        <f t="shared" si="78"/>
        <v>0</v>
      </c>
      <c r="BR32" s="275">
        <f t="shared" si="43"/>
        <v>0</v>
      </c>
      <c r="BS32" s="275">
        <f t="shared" si="44"/>
        <v>0</v>
      </c>
      <c r="BT32" s="275">
        <f t="shared" si="79"/>
        <v>0</v>
      </c>
      <c r="BU32" s="275">
        <f t="shared" si="80"/>
        <v>0</v>
      </c>
      <c r="BV32" s="275">
        <f t="shared" si="81"/>
        <v>0</v>
      </c>
      <c r="BW32" s="275">
        <f t="shared" si="82"/>
        <v>0</v>
      </c>
      <c r="BX32" s="275">
        <f t="shared" si="45"/>
        <v>0</v>
      </c>
      <c r="BY32" s="275">
        <f t="shared" si="46"/>
        <v>0</v>
      </c>
      <c r="BZ32" s="275">
        <f t="shared" si="47"/>
        <v>0</v>
      </c>
      <c r="CA32" s="275">
        <f t="shared" si="48"/>
        <v>0</v>
      </c>
      <c r="CB32" s="275">
        <f t="shared" si="49"/>
        <v>0</v>
      </c>
      <c r="CC32" s="275">
        <f t="shared" si="50"/>
        <v>0</v>
      </c>
      <c r="CD32" s="275">
        <f t="shared" si="83"/>
        <v>0</v>
      </c>
      <c r="CE32" s="275">
        <f t="shared" si="84"/>
        <v>0</v>
      </c>
      <c r="CF32" s="275">
        <f t="shared" si="85"/>
        <v>0</v>
      </c>
      <c r="CG32" s="275">
        <f t="shared" si="86"/>
        <v>0</v>
      </c>
      <c r="CH32" s="275">
        <f t="shared" si="51"/>
        <v>0</v>
      </c>
      <c r="CI32" s="275">
        <f t="shared" si="52"/>
        <v>0</v>
      </c>
      <c r="CJ32" s="275">
        <f t="shared" si="87"/>
        <v>0</v>
      </c>
      <c r="CK32" s="275">
        <f t="shared" si="88"/>
        <v>0</v>
      </c>
      <c r="CL32" s="275">
        <f t="shared" si="53"/>
        <v>0</v>
      </c>
      <c r="CM32" s="275">
        <f t="shared" si="54"/>
        <v>0</v>
      </c>
      <c r="CN32" s="275">
        <f t="shared" si="55"/>
        <v>0</v>
      </c>
      <c r="CO32" s="275">
        <f t="shared" si="56"/>
        <v>0</v>
      </c>
      <c r="CP32" s="275">
        <f t="shared" si="89"/>
        <v>0</v>
      </c>
      <c r="CQ32" s="275">
        <f t="shared" si="90"/>
        <v>0</v>
      </c>
      <c r="CR32" s="275">
        <f t="shared" si="91"/>
        <v>0</v>
      </c>
      <c r="CS32" s="275">
        <f t="shared" si="92"/>
        <v>0</v>
      </c>
      <c r="CT32" s="275">
        <f t="shared" si="57"/>
        <v>0</v>
      </c>
      <c r="CU32" s="275">
        <f t="shared" si="58"/>
        <v>0</v>
      </c>
      <c r="CV32" s="275">
        <f t="shared" si="59"/>
        <v>0</v>
      </c>
      <c r="CW32" s="275">
        <f t="shared" si="60"/>
        <v>0</v>
      </c>
      <c r="CX32" s="275">
        <f t="shared" si="93"/>
        <v>0</v>
      </c>
      <c r="CY32" s="275">
        <f t="shared" si="94"/>
        <v>0</v>
      </c>
      <c r="CZ32" s="275">
        <f t="shared" si="95"/>
        <v>0</v>
      </c>
      <c r="DA32" s="275">
        <f t="shared" si="96"/>
        <v>0</v>
      </c>
    </row>
    <row r="33" spans="1:105" s="272" customFormat="1" ht="16.5" customHeight="1">
      <c r="A33" s="63" t="str">
        <f t="array" ref="A33">IF(C33&lt;&gt;0,SUM(($C$11:C33&lt;&gt;0)*1),"")</f>
        <v/>
      </c>
      <c r="B33" s="273"/>
      <c r="C33" s="273"/>
      <c r="D33" s="273"/>
      <c r="E33" s="363"/>
      <c r="F33" s="324"/>
      <c r="G33" s="326"/>
      <c r="H33" s="326"/>
      <c r="I33" s="63" t="str">
        <f t="shared" si="0"/>
        <v/>
      </c>
      <c r="J33" s="275">
        <f t="shared" si="61"/>
        <v>0</v>
      </c>
      <c r="K33" s="275">
        <f t="shared" si="62"/>
        <v>0</v>
      </c>
      <c r="L33" s="275">
        <f t="shared" si="1"/>
        <v>0</v>
      </c>
      <c r="M33" s="275">
        <f t="shared" si="2"/>
        <v>0</v>
      </c>
      <c r="N33" s="275">
        <f t="shared" si="3"/>
        <v>0</v>
      </c>
      <c r="O33" s="275">
        <f t="shared" si="4"/>
        <v>0</v>
      </c>
      <c r="P33" s="275">
        <f t="shared" si="5"/>
        <v>0</v>
      </c>
      <c r="Q33" s="275">
        <f t="shared" si="6"/>
        <v>0</v>
      </c>
      <c r="R33" s="275">
        <f t="shared" si="7"/>
        <v>0</v>
      </c>
      <c r="S33" s="275">
        <f t="shared" si="8"/>
        <v>0</v>
      </c>
      <c r="T33" s="275">
        <f t="shared" si="9"/>
        <v>0</v>
      </c>
      <c r="U33" s="275">
        <f t="shared" si="10"/>
        <v>0</v>
      </c>
      <c r="V33" s="275">
        <f t="shared" si="11"/>
        <v>0</v>
      </c>
      <c r="W33" s="275">
        <f t="shared" si="12"/>
        <v>0</v>
      </c>
      <c r="X33" s="275">
        <f t="shared" si="13"/>
        <v>0</v>
      </c>
      <c r="Y33" s="275">
        <f t="shared" si="14"/>
        <v>0</v>
      </c>
      <c r="Z33" s="275">
        <f t="shared" si="15"/>
        <v>0</v>
      </c>
      <c r="AA33" s="275">
        <f t="shared" si="16"/>
        <v>0</v>
      </c>
      <c r="AB33" s="275">
        <f t="shared" si="63"/>
        <v>0</v>
      </c>
      <c r="AC33" s="275">
        <f t="shared" si="64"/>
        <v>0</v>
      </c>
      <c r="AD33" s="275">
        <f t="shared" si="17"/>
        <v>0</v>
      </c>
      <c r="AE33" s="275">
        <f t="shared" si="18"/>
        <v>0</v>
      </c>
      <c r="AF33" s="275">
        <f t="shared" si="19"/>
        <v>0</v>
      </c>
      <c r="AG33" s="275">
        <f t="shared" si="20"/>
        <v>0</v>
      </c>
      <c r="AH33" s="275">
        <f t="shared" si="65"/>
        <v>0</v>
      </c>
      <c r="AI33" s="275">
        <f t="shared" si="66"/>
        <v>0</v>
      </c>
      <c r="AJ33" s="275">
        <f t="shared" si="67"/>
        <v>0</v>
      </c>
      <c r="AK33" s="275">
        <f t="shared" si="68"/>
        <v>0</v>
      </c>
      <c r="AL33" s="275">
        <f t="shared" si="69"/>
        <v>0</v>
      </c>
      <c r="AM33" s="275">
        <f t="shared" si="70"/>
        <v>0</v>
      </c>
      <c r="AN33" s="275">
        <f t="shared" si="71"/>
        <v>0</v>
      </c>
      <c r="AO33" s="275">
        <f t="shared" si="72"/>
        <v>0</v>
      </c>
      <c r="AP33" s="275">
        <f t="shared" si="21"/>
        <v>0</v>
      </c>
      <c r="AQ33" s="275">
        <f t="shared" si="22"/>
        <v>0</v>
      </c>
      <c r="AR33" s="275">
        <f t="shared" si="23"/>
        <v>0</v>
      </c>
      <c r="AS33" s="275">
        <f t="shared" si="24"/>
        <v>0</v>
      </c>
      <c r="AT33" s="275">
        <f t="shared" si="73"/>
        <v>0</v>
      </c>
      <c r="AU33" s="275">
        <f t="shared" si="74"/>
        <v>0</v>
      </c>
      <c r="AV33" s="275">
        <f t="shared" si="25"/>
        <v>0</v>
      </c>
      <c r="AW33" s="275">
        <f t="shared" si="26"/>
        <v>0</v>
      </c>
      <c r="AX33" s="275">
        <f t="shared" si="27"/>
        <v>0</v>
      </c>
      <c r="AY33" s="275">
        <f t="shared" si="28"/>
        <v>0</v>
      </c>
      <c r="AZ33" s="275">
        <f t="shared" si="29"/>
        <v>0</v>
      </c>
      <c r="BA33" s="275">
        <f t="shared" si="30"/>
        <v>0</v>
      </c>
      <c r="BB33" s="275">
        <f t="shared" si="31"/>
        <v>0</v>
      </c>
      <c r="BC33" s="275">
        <f t="shared" si="32"/>
        <v>0</v>
      </c>
      <c r="BD33" s="275">
        <f t="shared" si="33"/>
        <v>0</v>
      </c>
      <c r="BE33" s="275">
        <f t="shared" si="34"/>
        <v>0</v>
      </c>
      <c r="BF33" s="275">
        <f t="shared" si="35"/>
        <v>0</v>
      </c>
      <c r="BG33" s="275">
        <f t="shared" si="36"/>
        <v>0</v>
      </c>
      <c r="BH33" s="275">
        <f t="shared" si="75"/>
        <v>0</v>
      </c>
      <c r="BI33" s="275">
        <f t="shared" si="76"/>
        <v>0</v>
      </c>
      <c r="BJ33" s="275">
        <f t="shared" si="37"/>
        <v>0</v>
      </c>
      <c r="BK33" s="275">
        <f t="shared" si="38"/>
        <v>0</v>
      </c>
      <c r="BL33" s="275">
        <f t="shared" si="39"/>
        <v>0</v>
      </c>
      <c r="BM33" s="275">
        <f t="shared" si="40"/>
        <v>0</v>
      </c>
      <c r="BN33" s="275">
        <f t="shared" si="41"/>
        <v>0</v>
      </c>
      <c r="BO33" s="275">
        <f t="shared" si="42"/>
        <v>0</v>
      </c>
      <c r="BP33" s="275">
        <f t="shared" si="77"/>
        <v>0</v>
      </c>
      <c r="BQ33" s="275">
        <f t="shared" si="78"/>
        <v>0</v>
      </c>
      <c r="BR33" s="275">
        <f t="shared" si="43"/>
        <v>0</v>
      </c>
      <c r="BS33" s="275">
        <f t="shared" si="44"/>
        <v>0</v>
      </c>
      <c r="BT33" s="275">
        <f t="shared" si="79"/>
        <v>0</v>
      </c>
      <c r="BU33" s="275">
        <f t="shared" si="80"/>
        <v>0</v>
      </c>
      <c r="BV33" s="275">
        <f t="shared" si="81"/>
        <v>0</v>
      </c>
      <c r="BW33" s="275">
        <f t="shared" si="82"/>
        <v>0</v>
      </c>
      <c r="BX33" s="275">
        <f t="shared" si="45"/>
        <v>0</v>
      </c>
      <c r="BY33" s="275">
        <f t="shared" si="46"/>
        <v>0</v>
      </c>
      <c r="BZ33" s="275">
        <f t="shared" si="47"/>
        <v>0</v>
      </c>
      <c r="CA33" s="275">
        <f t="shared" si="48"/>
        <v>0</v>
      </c>
      <c r="CB33" s="275">
        <f t="shared" si="49"/>
        <v>0</v>
      </c>
      <c r="CC33" s="275">
        <f t="shared" si="50"/>
        <v>0</v>
      </c>
      <c r="CD33" s="275">
        <f t="shared" si="83"/>
        <v>0</v>
      </c>
      <c r="CE33" s="275">
        <f t="shared" si="84"/>
        <v>0</v>
      </c>
      <c r="CF33" s="275">
        <f t="shared" si="85"/>
        <v>0</v>
      </c>
      <c r="CG33" s="275">
        <f t="shared" si="86"/>
        <v>0</v>
      </c>
      <c r="CH33" s="275">
        <f t="shared" si="51"/>
        <v>0</v>
      </c>
      <c r="CI33" s="275">
        <f t="shared" si="52"/>
        <v>0</v>
      </c>
      <c r="CJ33" s="275">
        <f t="shared" si="87"/>
        <v>0</v>
      </c>
      <c r="CK33" s="275">
        <f t="shared" si="88"/>
        <v>0</v>
      </c>
      <c r="CL33" s="275">
        <f t="shared" si="53"/>
        <v>0</v>
      </c>
      <c r="CM33" s="275">
        <f t="shared" si="54"/>
        <v>0</v>
      </c>
      <c r="CN33" s="275">
        <f t="shared" si="55"/>
        <v>0</v>
      </c>
      <c r="CO33" s="275">
        <f t="shared" si="56"/>
        <v>0</v>
      </c>
      <c r="CP33" s="275">
        <f t="shared" si="89"/>
        <v>0</v>
      </c>
      <c r="CQ33" s="275">
        <f t="shared" si="90"/>
        <v>0</v>
      </c>
      <c r="CR33" s="275">
        <f t="shared" si="91"/>
        <v>0</v>
      </c>
      <c r="CS33" s="275">
        <f t="shared" si="92"/>
        <v>0</v>
      </c>
      <c r="CT33" s="275">
        <f t="shared" si="57"/>
        <v>0</v>
      </c>
      <c r="CU33" s="275">
        <f t="shared" si="58"/>
        <v>0</v>
      </c>
      <c r="CV33" s="275">
        <f t="shared" si="59"/>
        <v>0</v>
      </c>
      <c r="CW33" s="275">
        <f t="shared" si="60"/>
        <v>0</v>
      </c>
      <c r="CX33" s="275">
        <f t="shared" si="93"/>
        <v>0</v>
      </c>
      <c r="CY33" s="275">
        <f t="shared" si="94"/>
        <v>0</v>
      </c>
      <c r="CZ33" s="275">
        <f t="shared" si="95"/>
        <v>0</v>
      </c>
      <c r="DA33" s="275">
        <f t="shared" si="96"/>
        <v>0</v>
      </c>
    </row>
    <row r="34" spans="1:105" s="272" customFormat="1" ht="16.5" customHeight="1">
      <c r="A34" s="63" t="str">
        <f t="array" ref="A34">IF(C34&lt;&gt;0,SUM(($C$11:C34&lt;&gt;0)*1),"")</f>
        <v/>
      </c>
      <c r="B34" s="273"/>
      <c r="C34" s="273"/>
      <c r="D34" s="273"/>
      <c r="E34" s="363"/>
      <c r="F34" s="324"/>
      <c r="G34" s="326"/>
      <c r="H34" s="326"/>
      <c r="I34" s="63" t="str">
        <f t="shared" si="0"/>
        <v/>
      </c>
      <c r="J34" s="275">
        <f t="shared" si="61"/>
        <v>0</v>
      </c>
      <c r="K34" s="275">
        <f t="shared" si="62"/>
        <v>0</v>
      </c>
      <c r="L34" s="275">
        <f t="shared" si="1"/>
        <v>0</v>
      </c>
      <c r="M34" s="275">
        <f t="shared" si="2"/>
        <v>0</v>
      </c>
      <c r="N34" s="275">
        <f t="shared" si="3"/>
        <v>0</v>
      </c>
      <c r="O34" s="275">
        <f t="shared" si="4"/>
        <v>0</v>
      </c>
      <c r="P34" s="275">
        <f t="shared" si="5"/>
        <v>0</v>
      </c>
      <c r="Q34" s="275">
        <f t="shared" si="6"/>
        <v>0</v>
      </c>
      <c r="R34" s="275">
        <f t="shared" si="7"/>
        <v>0</v>
      </c>
      <c r="S34" s="275">
        <f t="shared" si="8"/>
        <v>0</v>
      </c>
      <c r="T34" s="275">
        <f t="shared" si="9"/>
        <v>0</v>
      </c>
      <c r="U34" s="275">
        <f t="shared" si="10"/>
        <v>0</v>
      </c>
      <c r="V34" s="275">
        <f t="shared" si="11"/>
        <v>0</v>
      </c>
      <c r="W34" s="275">
        <f t="shared" si="12"/>
        <v>0</v>
      </c>
      <c r="X34" s="275">
        <f t="shared" si="13"/>
        <v>0</v>
      </c>
      <c r="Y34" s="275">
        <f t="shared" si="14"/>
        <v>0</v>
      </c>
      <c r="Z34" s="275">
        <f t="shared" si="15"/>
        <v>0</v>
      </c>
      <c r="AA34" s="275">
        <f t="shared" si="16"/>
        <v>0</v>
      </c>
      <c r="AB34" s="275">
        <f t="shared" si="63"/>
        <v>0</v>
      </c>
      <c r="AC34" s="275">
        <f t="shared" si="64"/>
        <v>0</v>
      </c>
      <c r="AD34" s="275">
        <f t="shared" si="17"/>
        <v>0</v>
      </c>
      <c r="AE34" s="275">
        <f t="shared" si="18"/>
        <v>0</v>
      </c>
      <c r="AF34" s="275">
        <f t="shared" si="19"/>
        <v>0</v>
      </c>
      <c r="AG34" s="275">
        <f t="shared" si="20"/>
        <v>0</v>
      </c>
      <c r="AH34" s="275">
        <f t="shared" si="65"/>
        <v>0</v>
      </c>
      <c r="AI34" s="275">
        <f t="shared" si="66"/>
        <v>0</v>
      </c>
      <c r="AJ34" s="275">
        <f t="shared" si="67"/>
        <v>0</v>
      </c>
      <c r="AK34" s="275">
        <f t="shared" si="68"/>
        <v>0</v>
      </c>
      <c r="AL34" s="275">
        <f t="shared" si="69"/>
        <v>0</v>
      </c>
      <c r="AM34" s="275">
        <f t="shared" si="70"/>
        <v>0</v>
      </c>
      <c r="AN34" s="275">
        <f t="shared" si="71"/>
        <v>0</v>
      </c>
      <c r="AO34" s="275">
        <f t="shared" si="72"/>
        <v>0</v>
      </c>
      <c r="AP34" s="275">
        <f t="shared" si="21"/>
        <v>0</v>
      </c>
      <c r="AQ34" s="275">
        <f t="shared" si="22"/>
        <v>0</v>
      </c>
      <c r="AR34" s="275">
        <f t="shared" si="23"/>
        <v>0</v>
      </c>
      <c r="AS34" s="275">
        <f t="shared" si="24"/>
        <v>0</v>
      </c>
      <c r="AT34" s="275">
        <f t="shared" si="73"/>
        <v>0</v>
      </c>
      <c r="AU34" s="275">
        <f t="shared" si="74"/>
        <v>0</v>
      </c>
      <c r="AV34" s="275">
        <f t="shared" si="25"/>
        <v>0</v>
      </c>
      <c r="AW34" s="275">
        <f t="shared" si="26"/>
        <v>0</v>
      </c>
      <c r="AX34" s="275">
        <f t="shared" si="27"/>
        <v>0</v>
      </c>
      <c r="AY34" s="275">
        <f t="shared" si="28"/>
        <v>0</v>
      </c>
      <c r="AZ34" s="275">
        <f t="shared" si="29"/>
        <v>0</v>
      </c>
      <c r="BA34" s="275">
        <f t="shared" si="30"/>
        <v>0</v>
      </c>
      <c r="BB34" s="275">
        <f t="shared" si="31"/>
        <v>0</v>
      </c>
      <c r="BC34" s="275">
        <f t="shared" si="32"/>
        <v>0</v>
      </c>
      <c r="BD34" s="275">
        <f t="shared" si="33"/>
        <v>0</v>
      </c>
      <c r="BE34" s="275">
        <f t="shared" si="34"/>
        <v>0</v>
      </c>
      <c r="BF34" s="275">
        <f t="shared" si="35"/>
        <v>0</v>
      </c>
      <c r="BG34" s="275">
        <f t="shared" si="36"/>
        <v>0</v>
      </c>
      <c r="BH34" s="275">
        <f t="shared" si="75"/>
        <v>0</v>
      </c>
      <c r="BI34" s="275">
        <f t="shared" si="76"/>
        <v>0</v>
      </c>
      <c r="BJ34" s="275">
        <f t="shared" si="37"/>
        <v>0</v>
      </c>
      <c r="BK34" s="275">
        <f t="shared" si="38"/>
        <v>0</v>
      </c>
      <c r="BL34" s="275">
        <f t="shared" si="39"/>
        <v>0</v>
      </c>
      <c r="BM34" s="275">
        <f t="shared" si="40"/>
        <v>0</v>
      </c>
      <c r="BN34" s="275">
        <f t="shared" si="41"/>
        <v>0</v>
      </c>
      <c r="BO34" s="275">
        <f t="shared" si="42"/>
        <v>0</v>
      </c>
      <c r="BP34" s="275">
        <f t="shared" si="77"/>
        <v>0</v>
      </c>
      <c r="BQ34" s="275">
        <f t="shared" si="78"/>
        <v>0</v>
      </c>
      <c r="BR34" s="275">
        <f t="shared" si="43"/>
        <v>0</v>
      </c>
      <c r="BS34" s="275">
        <f t="shared" si="44"/>
        <v>0</v>
      </c>
      <c r="BT34" s="275">
        <f t="shared" si="79"/>
        <v>0</v>
      </c>
      <c r="BU34" s="275">
        <f t="shared" si="80"/>
        <v>0</v>
      </c>
      <c r="BV34" s="275">
        <f t="shared" si="81"/>
        <v>0</v>
      </c>
      <c r="BW34" s="275">
        <f t="shared" si="82"/>
        <v>0</v>
      </c>
      <c r="BX34" s="275">
        <f t="shared" si="45"/>
        <v>0</v>
      </c>
      <c r="BY34" s="275">
        <f t="shared" si="46"/>
        <v>0</v>
      </c>
      <c r="BZ34" s="275">
        <f t="shared" si="47"/>
        <v>0</v>
      </c>
      <c r="CA34" s="275">
        <f t="shared" si="48"/>
        <v>0</v>
      </c>
      <c r="CB34" s="275">
        <f t="shared" si="49"/>
        <v>0</v>
      </c>
      <c r="CC34" s="275">
        <f t="shared" si="50"/>
        <v>0</v>
      </c>
      <c r="CD34" s="275">
        <f t="shared" si="83"/>
        <v>0</v>
      </c>
      <c r="CE34" s="275">
        <f t="shared" si="84"/>
        <v>0</v>
      </c>
      <c r="CF34" s="275">
        <f t="shared" si="85"/>
        <v>0</v>
      </c>
      <c r="CG34" s="275">
        <f t="shared" si="86"/>
        <v>0</v>
      </c>
      <c r="CH34" s="275">
        <f t="shared" si="51"/>
        <v>0</v>
      </c>
      <c r="CI34" s="275">
        <f t="shared" si="52"/>
        <v>0</v>
      </c>
      <c r="CJ34" s="275">
        <f t="shared" si="87"/>
        <v>0</v>
      </c>
      <c r="CK34" s="275">
        <f t="shared" si="88"/>
        <v>0</v>
      </c>
      <c r="CL34" s="275">
        <f t="shared" si="53"/>
        <v>0</v>
      </c>
      <c r="CM34" s="275">
        <f t="shared" si="54"/>
        <v>0</v>
      </c>
      <c r="CN34" s="275">
        <f t="shared" si="55"/>
        <v>0</v>
      </c>
      <c r="CO34" s="275">
        <f t="shared" si="56"/>
        <v>0</v>
      </c>
      <c r="CP34" s="275">
        <f t="shared" si="89"/>
        <v>0</v>
      </c>
      <c r="CQ34" s="275">
        <f t="shared" si="90"/>
        <v>0</v>
      </c>
      <c r="CR34" s="275">
        <f t="shared" si="91"/>
        <v>0</v>
      </c>
      <c r="CS34" s="275">
        <f t="shared" si="92"/>
        <v>0</v>
      </c>
      <c r="CT34" s="275">
        <f t="shared" si="57"/>
        <v>0</v>
      </c>
      <c r="CU34" s="275">
        <f t="shared" si="58"/>
        <v>0</v>
      </c>
      <c r="CV34" s="275">
        <f t="shared" si="59"/>
        <v>0</v>
      </c>
      <c r="CW34" s="275">
        <f t="shared" si="60"/>
        <v>0</v>
      </c>
      <c r="CX34" s="275">
        <f t="shared" si="93"/>
        <v>0</v>
      </c>
      <c r="CY34" s="275">
        <f t="shared" si="94"/>
        <v>0</v>
      </c>
      <c r="CZ34" s="275">
        <f t="shared" si="95"/>
        <v>0</v>
      </c>
      <c r="DA34" s="275">
        <f t="shared" si="96"/>
        <v>0</v>
      </c>
    </row>
    <row r="35" spans="1:105" s="272" customFormat="1" ht="16.5" customHeight="1">
      <c r="A35" s="63" t="str">
        <f t="array" ref="A35">IF(C35&lt;&gt;0,SUM(($C$11:C35&lt;&gt;0)*1),"")</f>
        <v/>
      </c>
      <c r="B35" s="273"/>
      <c r="C35" s="273"/>
      <c r="D35" s="273"/>
      <c r="E35" s="363"/>
      <c r="F35" s="324"/>
      <c r="G35" s="326"/>
      <c r="H35" s="326"/>
      <c r="I35" s="63" t="str">
        <f t="shared" si="0"/>
        <v/>
      </c>
      <c r="J35" s="275">
        <f t="shared" si="61"/>
        <v>0</v>
      </c>
      <c r="K35" s="275">
        <f t="shared" si="62"/>
        <v>0</v>
      </c>
      <c r="L35" s="275">
        <f t="shared" si="1"/>
        <v>0</v>
      </c>
      <c r="M35" s="275">
        <f t="shared" si="2"/>
        <v>0</v>
      </c>
      <c r="N35" s="275">
        <f t="shared" si="3"/>
        <v>0</v>
      </c>
      <c r="O35" s="275">
        <f t="shared" si="4"/>
        <v>0</v>
      </c>
      <c r="P35" s="275">
        <f t="shared" si="5"/>
        <v>0</v>
      </c>
      <c r="Q35" s="275">
        <f t="shared" si="6"/>
        <v>0</v>
      </c>
      <c r="R35" s="275">
        <f t="shared" si="7"/>
        <v>0</v>
      </c>
      <c r="S35" s="275">
        <f t="shared" si="8"/>
        <v>0</v>
      </c>
      <c r="T35" s="275">
        <f t="shared" si="9"/>
        <v>0</v>
      </c>
      <c r="U35" s="275">
        <f t="shared" si="10"/>
        <v>0</v>
      </c>
      <c r="V35" s="275">
        <f t="shared" si="11"/>
        <v>0</v>
      </c>
      <c r="W35" s="275">
        <f t="shared" si="12"/>
        <v>0</v>
      </c>
      <c r="X35" s="275">
        <f t="shared" si="13"/>
        <v>0</v>
      </c>
      <c r="Y35" s="275">
        <f t="shared" si="14"/>
        <v>0</v>
      </c>
      <c r="Z35" s="275">
        <f t="shared" si="15"/>
        <v>0</v>
      </c>
      <c r="AA35" s="275">
        <f t="shared" si="16"/>
        <v>0</v>
      </c>
      <c r="AB35" s="275">
        <f t="shared" si="63"/>
        <v>0</v>
      </c>
      <c r="AC35" s="275">
        <f t="shared" si="64"/>
        <v>0</v>
      </c>
      <c r="AD35" s="275">
        <f t="shared" si="17"/>
        <v>0</v>
      </c>
      <c r="AE35" s="275">
        <f t="shared" si="18"/>
        <v>0</v>
      </c>
      <c r="AF35" s="275">
        <f t="shared" si="19"/>
        <v>0</v>
      </c>
      <c r="AG35" s="275">
        <f t="shared" si="20"/>
        <v>0</v>
      </c>
      <c r="AH35" s="275">
        <f t="shared" si="65"/>
        <v>0</v>
      </c>
      <c r="AI35" s="275">
        <f t="shared" si="66"/>
        <v>0</v>
      </c>
      <c r="AJ35" s="275">
        <f t="shared" si="67"/>
        <v>0</v>
      </c>
      <c r="AK35" s="275">
        <f t="shared" si="68"/>
        <v>0</v>
      </c>
      <c r="AL35" s="275">
        <f t="shared" si="69"/>
        <v>0</v>
      </c>
      <c r="AM35" s="275">
        <f t="shared" si="70"/>
        <v>0</v>
      </c>
      <c r="AN35" s="275">
        <f t="shared" si="71"/>
        <v>0</v>
      </c>
      <c r="AO35" s="275">
        <f t="shared" si="72"/>
        <v>0</v>
      </c>
      <c r="AP35" s="275">
        <f t="shared" si="21"/>
        <v>0</v>
      </c>
      <c r="AQ35" s="275">
        <f t="shared" si="22"/>
        <v>0</v>
      </c>
      <c r="AR35" s="275">
        <f t="shared" si="23"/>
        <v>0</v>
      </c>
      <c r="AS35" s="275">
        <f t="shared" si="24"/>
        <v>0</v>
      </c>
      <c r="AT35" s="275">
        <f t="shared" si="73"/>
        <v>0</v>
      </c>
      <c r="AU35" s="275">
        <f t="shared" si="74"/>
        <v>0</v>
      </c>
      <c r="AV35" s="275">
        <f t="shared" si="25"/>
        <v>0</v>
      </c>
      <c r="AW35" s="275">
        <f t="shared" si="26"/>
        <v>0</v>
      </c>
      <c r="AX35" s="275">
        <f t="shared" si="27"/>
        <v>0</v>
      </c>
      <c r="AY35" s="275">
        <f t="shared" si="28"/>
        <v>0</v>
      </c>
      <c r="AZ35" s="275">
        <f t="shared" si="29"/>
        <v>0</v>
      </c>
      <c r="BA35" s="275">
        <f t="shared" si="30"/>
        <v>0</v>
      </c>
      <c r="BB35" s="275">
        <f t="shared" si="31"/>
        <v>0</v>
      </c>
      <c r="BC35" s="275">
        <f t="shared" si="32"/>
        <v>0</v>
      </c>
      <c r="BD35" s="275">
        <f t="shared" si="33"/>
        <v>0</v>
      </c>
      <c r="BE35" s="275">
        <f t="shared" si="34"/>
        <v>0</v>
      </c>
      <c r="BF35" s="275">
        <f t="shared" si="35"/>
        <v>0</v>
      </c>
      <c r="BG35" s="275">
        <f t="shared" si="36"/>
        <v>0</v>
      </c>
      <c r="BH35" s="275">
        <f t="shared" si="75"/>
        <v>0</v>
      </c>
      <c r="BI35" s="275">
        <f t="shared" si="76"/>
        <v>0</v>
      </c>
      <c r="BJ35" s="275">
        <f t="shared" si="37"/>
        <v>0</v>
      </c>
      <c r="BK35" s="275">
        <f t="shared" si="38"/>
        <v>0</v>
      </c>
      <c r="BL35" s="275">
        <f t="shared" si="39"/>
        <v>0</v>
      </c>
      <c r="BM35" s="275">
        <f t="shared" si="40"/>
        <v>0</v>
      </c>
      <c r="BN35" s="275">
        <f t="shared" si="41"/>
        <v>0</v>
      </c>
      <c r="BO35" s="275">
        <f t="shared" si="42"/>
        <v>0</v>
      </c>
      <c r="BP35" s="275">
        <f t="shared" si="77"/>
        <v>0</v>
      </c>
      <c r="BQ35" s="275">
        <f t="shared" si="78"/>
        <v>0</v>
      </c>
      <c r="BR35" s="275">
        <f t="shared" si="43"/>
        <v>0</v>
      </c>
      <c r="BS35" s="275">
        <f t="shared" si="44"/>
        <v>0</v>
      </c>
      <c r="BT35" s="275">
        <f t="shared" si="79"/>
        <v>0</v>
      </c>
      <c r="BU35" s="275">
        <f t="shared" si="80"/>
        <v>0</v>
      </c>
      <c r="BV35" s="275">
        <f t="shared" si="81"/>
        <v>0</v>
      </c>
      <c r="BW35" s="275">
        <f t="shared" si="82"/>
        <v>0</v>
      </c>
      <c r="BX35" s="275">
        <f t="shared" si="45"/>
        <v>0</v>
      </c>
      <c r="BY35" s="275">
        <f t="shared" si="46"/>
        <v>0</v>
      </c>
      <c r="BZ35" s="275">
        <f t="shared" si="47"/>
        <v>0</v>
      </c>
      <c r="CA35" s="275">
        <f t="shared" si="48"/>
        <v>0</v>
      </c>
      <c r="CB35" s="275">
        <f t="shared" si="49"/>
        <v>0</v>
      </c>
      <c r="CC35" s="275">
        <f t="shared" si="50"/>
        <v>0</v>
      </c>
      <c r="CD35" s="275">
        <f t="shared" si="83"/>
        <v>0</v>
      </c>
      <c r="CE35" s="275">
        <f t="shared" si="84"/>
        <v>0</v>
      </c>
      <c r="CF35" s="275">
        <f t="shared" si="85"/>
        <v>0</v>
      </c>
      <c r="CG35" s="275">
        <f t="shared" si="86"/>
        <v>0</v>
      </c>
      <c r="CH35" s="275">
        <f t="shared" si="51"/>
        <v>0</v>
      </c>
      <c r="CI35" s="275">
        <f t="shared" si="52"/>
        <v>0</v>
      </c>
      <c r="CJ35" s="275">
        <f t="shared" si="87"/>
        <v>0</v>
      </c>
      <c r="CK35" s="275">
        <f t="shared" si="88"/>
        <v>0</v>
      </c>
      <c r="CL35" s="275">
        <f t="shared" si="53"/>
        <v>0</v>
      </c>
      <c r="CM35" s="275">
        <f t="shared" si="54"/>
        <v>0</v>
      </c>
      <c r="CN35" s="275">
        <f t="shared" si="55"/>
        <v>0</v>
      </c>
      <c r="CO35" s="275">
        <f t="shared" si="56"/>
        <v>0</v>
      </c>
      <c r="CP35" s="275">
        <f t="shared" si="89"/>
        <v>0</v>
      </c>
      <c r="CQ35" s="275">
        <f t="shared" si="90"/>
        <v>0</v>
      </c>
      <c r="CR35" s="275">
        <f t="shared" si="91"/>
        <v>0</v>
      </c>
      <c r="CS35" s="275">
        <f t="shared" si="92"/>
        <v>0</v>
      </c>
      <c r="CT35" s="275">
        <f t="shared" si="57"/>
        <v>0</v>
      </c>
      <c r="CU35" s="275">
        <f t="shared" si="58"/>
        <v>0</v>
      </c>
      <c r="CV35" s="275">
        <f t="shared" si="59"/>
        <v>0</v>
      </c>
      <c r="CW35" s="275">
        <f t="shared" si="60"/>
        <v>0</v>
      </c>
      <c r="CX35" s="275">
        <f t="shared" si="93"/>
        <v>0</v>
      </c>
      <c r="CY35" s="275">
        <f t="shared" si="94"/>
        <v>0</v>
      </c>
      <c r="CZ35" s="275">
        <f t="shared" si="95"/>
        <v>0</v>
      </c>
      <c r="DA35" s="275">
        <f t="shared" si="96"/>
        <v>0</v>
      </c>
    </row>
    <row r="36" spans="1:105" s="272" customFormat="1" ht="16.5" customHeight="1">
      <c r="A36" s="63" t="str">
        <f t="array" ref="A36">IF(C36&lt;&gt;0,SUM(($C$11:C36&lt;&gt;0)*1),"")</f>
        <v/>
      </c>
      <c r="B36" s="273"/>
      <c r="C36" s="273"/>
      <c r="D36" s="273"/>
      <c r="E36" s="363"/>
      <c r="F36" s="324"/>
      <c r="G36" s="326"/>
      <c r="H36" s="326"/>
      <c r="I36" s="63" t="str">
        <f t="shared" si="0"/>
        <v/>
      </c>
      <c r="J36" s="275">
        <f t="shared" si="61"/>
        <v>0</v>
      </c>
      <c r="K36" s="275">
        <f t="shared" si="62"/>
        <v>0</v>
      </c>
      <c r="L36" s="275">
        <f t="shared" si="1"/>
        <v>0</v>
      </c>
      <c r="M36" s="275">
        <f t="shared" si="2"/>
        <v>0</v>
      </c>
      <c r="N36" s="275">
        <f t="shared" si="3"/>
        <v>0</v>
      </c>
      <c r="O36" s="275">
        <f t="shared" si="4"/>
        <v>0</v>
      </c>
      <c r="P36" s="275">
        <f t="shared" si="5"/>
        <v>0</v>
      </c>
      <c r="Q36" s="275">
        <f t="shared" si="6"/>
        <v>0</v>
      </c>
      <c r="R36" s="275">
        <f t="shared" si="7"/>
        <v>0</v>
      </c>
      <c r="S36" s="275">
        <f t="shared" si="8"/>
        <v>0</v>
      </c>
      <c r="T36" s="275">
        <f t="shared" si="9"/>
        <v>0</v>
      </c>
      <c r="U36" s="275">
        <f t="shared" si="10"/>
        <v>0</v>
      </c>
      <c r="V36" s="275">
        <f t="shared" si="11"/>
        <v>0</v>
      </c>
      <c r="W36" s="275">
        <f t="shared" si="12"/>
        <v>0</v>
      </c>
      <c r="X36" s="275">
        <f t="shared" si="13"/>
        <v>0</v>
      </c>
      <c r="Y36" s="275">
        <f t="shared" si="14"/>
        <v>0</v>
      </c>
      <c r="Z36" s="275">
        <f t="shared" si="15"/>
        <v>0</v>
      </c>
      <c r="AA36" s="275">
        <f t="shared" si="16"/>
        <v>0</v>
      </c>
      <c r="AB36" s="275">
        <f t="shared" si="63"/>
        <v>0</v>
      </c>
      <c r="AC36" s="275">
        <f t="shared" si="64"/>
        <v>0</v>
      </c>
      <c r="AD36" s="275">
        <f t="shared" si="17"/>
        <v>0</v>
      </c>
      <c r="AE36" s="275">
        <f t="shared" si="18"/>
        <v>0</v>
      </c>
      <c r="AF36" s="275">
        <f t="shared" si="19"/>
        <v>0</v>
      </c>
      <c r="AG36" s="275">
        <f t="shared" si="20"/>
        <v>0</v>
      </c>
      <c r="AH36" s="275">
        <f t="shared" si="65"/>
        <v>0</v>
      </c>
      <c r="AI36" s="275">
        <f t="shared" si="66"/>
        <v>0</v>
      </c>
      <c r="AJ36" s="275">
        <f t="shared" si="67"/>
        <v>0</v>
      </c>
      <c r="AK36" s="275">
        <f t="shared" si="68"/>
        <v>0</v>
      </c>
      <c r="AL36" s="275">
        <f t="shared" si="69"/>
        <v>0</v>
      </c>
      <c r="AM36" s="275">
        <f t="shared" si="70"/>
        <v>0</v>
      </c>
      <c r="AN36" s="275">
        <f t="shared" si="71"/>
        <v>0</v>
      </c>
      <c r="AO36" s="275">
        <f t="shared" si="72"/>
        <v>0</v>
      </c>
      <c r="AP36" s="275">
        <f t="shared" si="21"/>
        <v>0</v>
      </c>
      <c r="AQ36" s="275">
        <f t="shared" si="22"/>
        <v>0</v>
      </c>
      <c r="AR36" s="275">
        <f t="shared" si="23"/>
        <v>0</v>
      </c>
      <c r="AS36" s="275">
        <f t="shared" si="24"/>
        <v>0</v>
      </c>
      <c r="AT36" s="275">
        <f t="shared" si="73"/>
        <v>0</v>
      </c>
      <c r="AU36" s="275">
        <f t="shared" si="74"/>
        <v>0</v>
      </c>
      <c r="AV36" s="275">
        <f t="shared" si="25"/>
        <v>0</v>
      </c>
      <c r="AW36" s="275">
        <f t="shared" si="26"/>
        <v>0</v>
      </c>
      <c r="AX36" s="275">
        <f t="shared" si="27"/>
        <v>0</v>
      </c>
      <c r="AY36" s="275">
        <f t="shared" si="28"/>
        <v>0</v>
      </c>
      <c r="AZ36" s="275">
        <f t="shared" si="29"/>
        <v>0</v>
      </c>
      <c r="BA36" s="275">
        <f t="shared" si="30"/>
        <v>0</v>
      </c>
      <c r="BB36" s="275">
        <f t="shared" si="31"/>
        <v>0</v>
      </c>
      <c r="BC36" s="275">
        <f t="shared" si="32"/>
        <v>0</v>
      </c>
      <c r="BD36" s="275">
        <f t="shared" si="33"/>
        <v>0</v>
      </c>
      <c r="BE36" s="275">
        <f t="shared" si="34"/>
        <v>0</v>
      </c>
      <c r="BF36" s="275">
        <f t="shared" si="35"/>
        <v>0</v>
      </c>
      <c r="BG36" s="275">
        <f t="shared" si="36"/>
        <v>0</v>
      </c>
      <c r="BH36" s="275">
        <f t="shared" si="75"/>
        <v>0</v>
      </c>
      <c r="BI36" s="275">
        <f t="shared" si="76"/>
        <v>0</v>
      </c>
      <c r="BJ36" s="275">
        <f t="shared" si="37"/>
        <v>0</v>
      </c>
      <c r="BK36" s="275">
        <f t="shared" si="38"/>
        <v>0</v>
      </c>
      <c r="BL36" s="275">
        <f t="shared" si="39"/>
        <v>0</v>
      </c>
      <c r="BM36" s="275">
        <f t="shared" si="40"/>
        <v>0</v>
      </c>
      <c r="BN36" s="275">
        <f t="shared" si="41"/>
        <v>0</v>
      </c>
      <c r="BO36" s="275">
        <f t="shared" si="42"/>
        <v>0</v>
      </c>
      <c r="BP36" s="275">
        <f t="shared" si="77"/>
        <v>0</v>
      </c>
      <c r="BQ36" s="275">
        <f t="shared" si="78"/>
        <v>0</v>
      </c>
      <c r="BR36" s="275">
        <f t="shared" si="43"/>
        <v>0</v>
      </c>
      <c r="BS36" s="275">
        <f t="shared" si="44"/>
        <v>0</v>
      </c>
      <c r="BT36" s="275">
        <f t="shared" si="79"/>
        <v>0</v>
      </c>
      <c r="BU36" s="275">
        <f t="shared" si="80"/>
        <v>0</v>
      </c>
      <c r="BV36" s="275">
        <f t="shared" si="81"/>
        <v>0</v>
      </c>
      <c r="BW36" s="275">
        <f t="shared" si="82"/>
        <v>0</v>
      </c>
      <c r="BX36" s="275">
        <f t="shared" si="45"/>
        <v>0</v>
      </c>
      <c r="BY36" s="275">
        <f t="shared" si="46"/>
        <v>0</v>
      </c>
      <c r="BZ36" s="275">
        <f t="shared" si="47"/>
        <v>0</v>
      </c>
      <c r="CA36" s="275">
        <f t="shared" si="48"/>
        <v>0</v>
      </c>
      <c r="CB36" s="275">
        <f t="shared" si="49"/>
        <v>0</v>
      </c>
      <c r="CC36" s="275">
        <f t="shared" si="50"/>
        <v>0</v>
      </c>
      <c r="CD36" s="275">
        <f t="shared" si="83"/>
        <v>0</v>
      </c>
      <c r="CE36" s="275">
        <f t="shared" si="84"/>
        <v>0</v>
      </c>
      <c r="CF36" s="275">
        <f t="shared" si="85"/>
        <v>0</v>
      </c>
      <c r="CG36" s="275">
        <f t="shared" si="86"/>
        <v>0</v>
      </c>
      <c r="CH36" s="275">
        <f t="shared" si="51"/>
        <v>0</v>
      </c>
      <c r="CI36" s="275">
        <f t="shared" si="52"/>
        <v>0</v>
      </c>
      <c r="CJ36" s="275">
        <f t="shared" si="87"/>
        <v>0</v>
      </c>
      <c r="CK36" s="275">
        <f t="shared" si="88"/>
        <v>0</v>
      </c>
      <c r="CL36" s="275">
        <f t="shared" si="53"/>
        <v>0</v>
      </c>
      <c r="CM36" s="275">
        <f t="shared" si="54"/>
        <v>0</v>
      </c>
      <c r="CN36" s="275">
        <f t="shared" si="55"/>
        <v>0</v>
      </c>
      <c r="CO36" s="275">
        <f t="shared" si="56"/>
        <v>0</v>
      </c>
      <c r="CP36" s="275">
        <f t="shared" si="89"/>
        <v>0</v>
      </c>
      <c r="CQ36" s="275">
        <f t="shared" si="90"/>
        <v>0</v>
      </c>
      <c r="CR36" s="275">
        <f t="shared" si="91"/>
        <v>0</v>
      </c>
      <c r="CS36" s="275">
        <f t="shared" si="92"/>
        <v>0</v>
      </c>
      <c r="CT36" s="275">
        <f t="shared" si="57"/>
        <v>0</v>
      </c>
      <c r="CU36" s="275">
        <f t="shared" si="58"/>
        <v>0</v>
      </c>
      <c r="CV36" s="275">
        <f t="shared" si="59"/>
        <v>0</v>
      </c>
      <c r="CW36" s="275">
        <f t="shared" si="60"/>
        <v>0</v>
      </c>
      <c r="CX36" s="275">
        <f t="shared" si="93"/>
        <v>0</v>
      </c>
      <c r="CY36" s="275">
        <f t="shared" si="94"/>
        <v>0</v>
      </c>
      <c r="CZ36" s="275">
        <f t="shared" si="95"/>
        <v>0</v>
      </c>
      <c r="DA36" s="275">
        <f t="shared" si="96"/>
        <v>0</v>
      </c>
    </row>
    <row r="37" spans="1:105" s="272" customFormat="1" ht="16.5" customHeight="1">
      <c r="A37" s="63" t="str">
        <f t="array" ref="A37">IF(C37&lt;&gt;0,SUM(($C$11:C37&lt;&gt;0)*1),"")</f>
        <v/>
      </c>
      <c r="B37" s="273"/>
      <c r="C37" s="273"/>
      <c r="D37" s="273"/>
      <c r="E37" s="363"/>
      <c r="F37" s="324"/>
      <c r="G37" s="326"/>
      <c r="H37" s="326"/>
      <c r="I37" s="63" t="str">
        <f t="shared" si="0"/>
        <v/>
      </c>
      <c r="J37" s="275">
        <f t="shared" si="61"/>
        <v>0</v>
      </c>
      <c r="K37" s="275">
        <f t="shared" si="62"/>
        <v>0</v>
      </c>
      <c r="L37" s="275">
        <f t="shared" si="1"/>
        <v>0</v>
      </c>
      <c r="M37" s="275">
        <f t="shared" si="2"/>
        <v>0</v>
      </c>
      <c r="N37" s="275">
        <f t="shared" si="3"/>
        <v>0</v>
      </c>
      <c r="O37" s="275">
        <f t="shared" si="4"/>
        <v>0</v>
      </c>
      <c r="P37" s="275">
        <f t="shared" si="5"/>
        <v>0</v>
      </c>
      <c r="Q37" s="275">
        <f t="shared" si="6"/>
        <v>0</v>
      </c>
      <c r="R37" s="275">
        <f t="shared" si="7"/>
        <v>0</v>
      </c>
      <c r="S37" s="275">
        <f t="shared" si="8"/>
        <v>0</v>
      </c>
      <c r="T37" s="275">
        <f t="shared" si="9"/>
        <v>0</v>
      </c>
      <c r="U37" s="275">
        <f t="shared" si="10"/>
        <v>0</v>
      </c>
      <c r="V37" s="275">
        <f t="shared" si="11"/>
        <v>0</v>
      </c>
      <c r="W37" s="275">
        <f t="shared" si="12"/>
        <v>0</v>
      </c>
      <c r="X37" s="275">
        <f t="shared" si="13"/>
        <v>0</v>
      </c>
      <c r="Y37" s="275">
        <f t="shared" si="14"/>
        <v>0</v>
      </c>
      <c r="Z37" s="275">
        <f t="shared" si="15"/>
        <v>0</v>
      </c>
      <c r="AA37" s="275">
        <f t="shared" si="16"/>
        <v>0</v>
      </c>
      <c r="AB37" s="275">
        <f t="shared" si="63"/>
        <v>0</v>
      </c>
      <c r="AC37" s="275">
        <f t="shared" si="64"/>
        <v>0</v>
      </c>
      <c r="AD37" s="275">
        <f t="shared" si="17"/>
        <v>0</v>
      </c>
      <c r="AE37" s="275">
        <f t="shared" si="18"/>
        <v>0</v>
      </c>
      <c r="AF37" s="275">
        <f t="shared" si="19"/>
        <v>0</v>
      </c>
      <c r="AG37" s="275">
        <f t="shared" si="20"/>
        <v>0</v>
      </c>
      <c r="AH37" s="275">
        <f t="shared" si="65"/>
        <v>0</v>
      </c>
      <c r="AI37" s="275">
        <f t="shared" si="66"/>
        <v>0</v>
      </c>
      <c r="AJ37" s="275">
        <f t="shared" si="67"/>
        <v>0</v>
      </c>
      <c r="AK37" s="275">
        <f t="shared" si="68"/>
        <v>0</v>
      </c>
      <c r="AL37" s="275">
        <f t="shared" si="69"/>
        <v>0</v>
      </c>
      <c r="AM37" s="275">
        <f t="shared" si="70"/>
        <v>0</v>
      </c>
      <c r="AN37" s="275">
        <f t="shared" si="71"/>
        <v>0</v>
      </c>
      <c r="AO37" s="275">
        <f t="shared" si="72"/>
        <v>0</v>
      </c>
      <c r="AP37" s="275">
        <f t="shared" si="21"/>
        <v>0</v>
      </c>
      <c r="AQ37" s="275">
        <f t="shared" si="22"/>
        <v>0</v>
      </c>
      <c r="AR37" s="275">
        <f t="shared" si="23"/>
        <v>0</v>
      </c>
      <c r="AS37" s="275">
        <f t="shared" si="24"/>
        <v>0</v>
      </c>
      <c r="AT37" s="275">
        <f t="shared" si="73"/>
        <v>0</v>
      </c>
      <c r="AU37" s="275">
        <f t="shared" si="74"/>
        <v>0</v>
      </c>
      <c r="AV37" s="275">
        <f t="shared" si="25"/>
        <v>0</v>
      </c>
      <c r="AW37" s="275">
        <f t="shared" si="26"/>
        <v>0</v>
      </c>
      <c r="AX37" s="275">
        <f t="shared" si="27"/>
        <v>0</v>
      </c>
      <c r="AY37" s="275">
        <f t="shared" si="28"/>
        <v>0</v>
      </c>
      <c r="AZ37" s="275">
        <f t="shared" si="29"/>
        <v>0</v>
      </c>
      <c r="BA37" s="275">
        <f t="shared" si="30"/>
        <v>0</v>
      </c>
      <c r="BB37" s="275">
        <f t="shared" si="31"/>
        <v>0</v>
      </c>
      <c r="BC37" s="275">
        <f t="shared" si="32"/>
        <v>0</v>
      </c>
      <c r="BD37" s="275">
        <f t="shared" si="33"/>
        <v>0</v>
      </c>
      <c r="BE37" s="275">
        <f t="shared" si="34"/>
        <v>0</v>
      </c>
      <c r="BF37" s="275">
        <f t="shared" si="35"/>
        <v>0</v>
      </c>
      <c r="BG37" s="275">
        <f t="shared" si="36"/>
        <v>0</v>
      </c>
      <c r="BH37" s="275">
        <f t="shared" si="75"/>
        <v>0</v>
      </c>
      <c r="BI37" s="275">
        <f t="shared" si="76"/>
        <v>0</v>
      </c>
      <c r="BJ37" s="275">
        <f t="shared" si="37"/>
        <v>0</v>
      </c>
      <c r="BK37" s="275">
        <f t="shared" si="38"/>
        <v>0</v>
      </c>
      <c r="BL37" s="275">
        <f t="shared" si="39"/>
        <v>0</v>
      </c>
      <c r="BM37" s="275">
        <f t="shared" si="40"/>
        <v>0</v>
      </c>
      <c r="BN37" s="275">
        <f t="shared" si="41"/>
        <v>0</v>
      </c>
      <c r="BO37" s="275">
        <f t="shared" si="42"/>
        <v>0</v>
      </c>
      <c r="BP37" s="275">
        <f t="shared" si="77"/>
        <v>0</v>
      </c>
      <c r="BQ37" s="275">
        <f t="shared" si="78"/>
        <v>0</v>
      </c>
      <c r="BR37" s="275">
        <f t="shared" si="43"/>
        <v>0</v>
      </c>
      <c r="BS37" s="275">
        <f t="shared" si="44"/>
        <v>0</v>
      </c>
      <c r="BT37" s="275">
        <f t="shared" si="79"/>
        <v>0</v>
      </c>
      <c r="BU37" s="275">
        <f t="shared" si="80"/>
        <v>0</v>
      </c>
      <c r="BV37" s="275">
        <f t="shared" si="81"/>
        <v>0</v>
      </c>
      <c r="BW37" s="275">
        <f t="shared" si="82"/>
        <v>0</v>
      </c>
      <c r="BX37" s="275">
        <f t="shared" si="45"/>
        <v>0</v>
      </c>
      <c r="BY37" s="275">
        <f t="shared" si="46"/>
        <v>0</v>
      </c>
      <c r="BZ37" s="275">
        <f t="shared" si="47"/>
        <v>0</v>
      </c>
      <c r="CA37" s="275">
        <f t="shared" si="48"/>
        <v>0</v>
      </c>
      <c r="CB37" s="275">
        <f t="shared" si="49"/>
        <v>0</v>
      </c>
      <c r="CC37" s="275">
        <f t="shared" si="50"/>
        <v>0</v>
      </c>
      <c r="CD37" s="275">
        <f t="shared" si="83"/>
        <v>0</v>
      </c>
      <c r="CE37" s="275">
        <f t="shared" si="84"/>
        <v>0</v>
      </c>
      <c r="CF37" s="275">
        <f t="shared" si="85"/>
        <v>0</v>
      </c>
      <c r="CG37" s="275">
        <f t="shared" si="86"/>
        <v>0</v>
      </c>
      <c r="CH37" s="275">
        <f t="shared" si="51"/>
        <v>0</v>
      </c>
      <c r="CI37" s="275">
        <f t="shared" si="52"/>
        <v>0</v>
      </c>
      <c r="CJ37" s="275">
        <f t="shared" si="87"/>
        <v>0</v>
      </c>
      <c r="CK37" s="275">
        <f t="shared" si="88"/>
        <v>0</v>
      </c>
      <c r="CL37" s="275">
        <f t="shared" si="53"/>
        <v>0</v>
      </c>
      <c r="CM37" s="275">
        <f t="shared" si="54"/>
        <v>0</v>
      </c>
      <c r="CN37" s="275">
        <f t="shared" si="55"/>
        <v>0</v>
      </c>
      <c r="CO37" s="275">
        <f t="shared" si="56"/>
        <v>0</v>
      </c>
      <c r="CP37" s="275">
        <f t="shared" si="89"/>
        <v>0</v>
      </c>
      <c r="CQ37" s="275">
        <f t="shared" si="90"/>
        <v>0</v>
      </c>
      <c r="CR37" s="275">
        <f t="shared" si="91"/>
        <v>0</v>
      </c>
      <c r="CS37" s="275">
        <f t="shared" si="92"/>
        <v>0</v>
      </c>
      <c r="CT37" s="275">
        <f t="shared" si="57"/>
        <v>0</v>
      </c>
      <c r="CU37" s="275">
        <f t="shared" si="58"/>
        <v>0</v>
      </c>
      <c r="CV37" s="275">
        <f t="shared" si="59"/>
        <v>0</v>
      </c>
      <c r="CW37" s="275">
        <f t="shared" si="60"/>
        <v>0</v>
      </c>
      <c r="CX37" s="275">
        <f t="shared" si="93"/>
        <v>0</v>
      </c>
      <c r="CY37" s="275">
        <f t="shared" si="94"/>
        <v>0</v>
      </c>
      <c r="CZ37" s="275">
        <f t="shared" si="95"/>
        <v>0</v>
      </c>
      <c r="DA37" s="275">
        <f t="shared" si="96"/>
        <v>0</v>
      </c>
    </row>
    <row r="38" spans="1:105" s="272" customFormat="1" ht="16.5" customHeight="1">
      <c r="A38" s="63" t="str">
        <f t="array" ref="A38">IF(C38&lt;&gt;0,SUM(($C$11:C38&lt;&gt;0)*1),"")</f>
        <v/>
      </c>
      <c r="B38" s="273"/>
      <c r="C38" s="273"/>
      <c r="D38" s="273"/>
      <c r="E38" s="363"/>
      <c r="F38" s="324"/>
      <c r="G38" s="326"/>
      <c r="H38" s="326"/>
      <c r="I38" s="63" t="str">
        <f t="shared" si="0"/>
        <v/>
      </c>
      <c r="J38" s="275">
        <f t="shared" si="61"/>
        <v>0</v>
      </c>
      <c r="K38" s="275">
        <f t="shared" si="62"/>
        <v>0</v>
      </c>
      <c r="L38" s="275">
        <f t="shared" si="1"/>
        <v>0</v>
      </c>
      <c r="M38" s="275">
        <f t="shared" si="2"/>
        <v>0</v>
      </c>
      <c r="N38" s="275">
        <f t="shared" si="3"/>
        <v>0</v>
      </c>
      <c r="O38" s="275">
        <f t="shared" si="4"/>
        <v>0</v>
      </c>
      <c r="P38" s="275">
        <f t="shared" si="5"/>
        <v>0</v>
      </c>
      <c r="Q38" s="275">
        <f t="shared" si="6"/>
        <v>0</v>
      </c>
      <c r="R38" s="275">
        <f t="shared" si="7"/>
        <v>0</v>
      </c>
      <c r="S38" s="275">
        <f t="shared" si="8"/>
        <v>0</v>
      </c>
      <c r="T38" s="275">
        <f t="shared" si="9"/>
        <v>0</v>
      </c>
      <c r="U38" s="275">
        <f t="shared" si="10"/>
        <v>0</v>
      </c>
      <c r="V38" s="275">
        <f t="shared" si="11"/>
        <v>0</v>
      </c>
      <c r="W38" s="275">
        <f t="shared" si="12"/>
        <v>0</v>
      </c>
      <c r="X38" s="275">
        <f t="shared" si="13"/>
        <v>0</v>
      </c>
      <c r="Y38" s="275">
        <f t="shared" si="14"/>
        <v>0</v>
      </c>
      <c r="Z38" s="275">
        <f t="shared" si="15"/>
        <v>0</v>
      </c>
      <c r="AA38" s="275">
        <f t="shared" si="16"/>
        <v>0</v>
      </c>
      <c r="AB38" s="275">
        <f t="shared" si="63"/>
        <v>0</v>
      </c>
      <c r="AC38" s="275">
        <f t="shared" si="64"/>
        <v>0</v>
      </c>
      <c r="AD38" s="275">
        <f t="shared" si="17"/>
        <v>0</v>
      </c>
      <c r="AE38" s="275">
        <f t="shared" si="18"/>
        <v>0</v>
      </c>
      <c r="AF38" s="275">
        <f t="shared" si="19"/>
        <v>0</v>
      </c>
      <c r="AG38" s="275">
        <f t="shared" si="20"/>
        <v>0</v>
      </c>
      <c r="AH38" s="275">
        <f t="shared" si="65"/>
        <v>0</v>
      </c>
      <c r="AI38" s="275">
        <f t="shared" si="66"/>
        <v>0</v>
      </c>
      <c r="AJ38" s="275">
        <f t="shared" si="67"/>
        <v>0</v>
      </c>
      <c r="AK38" s="275">
        <f t="shared" si="68"/>
        <v>0</v>
      </c>
      <c r="AL38" s="275">
        <f t="shared" si="69"/>
        <v>0</v>
      </c>
      <c r="AM38" s="275">
        <f t="shared" si="70"/>
        <v>0</v>
      </c>
      <c r="AN38" s="275">
        <f t="shared" si="71"/>
        <v>0</v>
      </c>
      <c r="AO38" s="275">
        <f t="shared" si="72"/>
        <v>0</v>
      </c>
      <c r="AP38" s="275">
        <f t="shared" si="21"/>
        <v>0</v>
      </c>
      <c r="AQ38" s="275">
        <f t="shared" si="22"/>
        <v>0</v>
      </c>
      <c r="AR38" s="275">
        <f t="shared" si="23"/>
        <v>0</v>
      </c>
      <c r="AS38" s="275">
        <f t="shared" si="24"/>
        <v>0</v>
      </c>
      <c r="AT38" s="275">
        <f t="shared" si="73"/>
        <v>0</v>
      </c>
      <c r="AU38" s="275">
        <f t="shared" si="74"/>
        <v>0</v>
      </c>
      <c r="AV38" s="275">
        <f t="shared" si="25"/>
        <v>0</v>
      </c>
      <c r="AW38" s="275">
        <f t="shared" si="26"/>
        <v>0</v>
      </c>
      <c r="AX38" s="275">
        <f t="shared" si="27"/>
        <v>0</v>
      </c>
      <c r="AY38" s="275">
        <f t="shared" si="28"/>
        <v>0</v>
      </c>
      <c r="AZ38" s="275">
        <f t="shared" si="29"/>
        <v>0</v>
      </c>
      <c r="BA38" s="275">
        <f t="shared" si="30"/>
        <v>0</v>
      </c>
      <c r="BB38" s="275">
        <f t="shared" si="31"/>
        <v>0</v>
      </c>
      <c r="BC38" s="275">
        <f t="shared" si="32"/>
        <v>0</v>
      </c>
      <c r="BD38" s="275">
        <f t="shared" si="33"/>
        <v>0</v>
      </c>
      <c r="BE38" s="275">
        <f t="shared" si="34"/>
        <v>0</v>
      </c>
      <c r="BF38" s="275">
        <f t="shared" si="35"/>
        <v>0</v>
      </c>
      <c r="BG38" s="275">
        <f t="shared" si="36"/>
        <v>0</v>
      </c>
      <c r="BH38" s="275">
        <f t="shared" si="75"/>
        <v>0</v>
      </c>
      <c r="BI38" s="275">
        <f t="shared" si="76"/>
        <v>0</v>
      </c>
      <c r="BJ38" s="275">
        <f t="shared" si="37"/>
        <v>0</v>
      </c>
      <c r="BK38" s="275">
        <f t="shared" si="38"/>
        <v>0</v>
      </c>
      <c r="BL38" s="275">
        <f t="shared" si="39"/>
        <v>0</v>
      </c>
      <c r="BM38" s="275">
        <f t="shared" si="40"/>
        <v>0</v>
      </c>
      <c r="BN38" s="275">
        <f t="shared" si="41"/>
        <v>0</v>
      </c>
      <c r="BO38" s="275">
        <f t="shared" si="42"/>
        <v>0</v>
      </c>
      <c r="BP38" s="275">
        <f t="shared" si="77"/>
        <v>0</v>
      </c>
      <c r="BQ38" s="275">
        <f t="shared" si="78"/>
        <v>0</v>
      </c>
      <c r="BR38" s="275">
        <f t="shared" si="43"/>
        <v>0</v>
      </c>
      <c r="BS38" s="275">
        <f t="shared" si="44"/>
        <v>0</v>
      </c>
      <c r="BT38" s="275">
        <f t="shared" si="79"/>
        <v>0</v>
      </c>
      <c r="BU38" s="275">
        <f t="shared" si="80"/>
        <v>0</v>
      </c>
      <c r="BV38" s="275">
        <f t="shared" si="81"/>
        <v>0</v>
      </c>
      <c r="BW38" s="275">
        <f t="shared" si="82"/>
        <v>0</v>
      </c>
      <c r="BX38" s="275">
        <f t="shared" si="45"/>
        <v>0</v>
      </c>
      <c r="BY38" s="275">
        <f t="shared" si="46"/>
        <v>0</v>
      </c>
      <c r="BZ38" s="275">
        <f t="shared" si="47"/>
        <v>0</v>
      </c>
      <c r="CA38" s="275">
        <f t="shared" si="48"/>
        <v>0</v>
      </c>
      <c r="CB38" s="275">
        <f t="shared" si="49"/>
        <v>0</v>
      </c>
      <c r="CC38" s="275">
        <f t="shared" si="50"/>
        <v>0</v>
      </c>
      <c r="CD38" s="275">
        <f t="shared" si="83"/>
        <v>0</v>
      </c>
      <c r="CE38" s="275">
        <f t="shared" si="84"/>
        <v>0</v>
      </c>
      <c r="CF38" s="275">
        <f t="shared" si="85"/>
        <v>0</v>
      </c>
      <c r="CG38" s="275">
        <f t="shared" si="86"/>
        <v>0</v>
      </c>
      <c r="CH38" s="275">
        <f t="shared" si="51"/>
        <v>0</v>
      </c>
      <c r="CI38" s="275">
        <f t="shared" si="52"/>
        <v>0</v>
      </c>
      <c r="CJ38" s="275">
        <f t="shared" si="87"/>
        <v>0</v>
      </c>
      <c r="CK38" s="275">
        <f t="shared" si="88"/>
        <v>0</v>
      </c>
      <c r="CL38" s="275">
        <f t="shared" si="53"/>
        <v>0</v>
      </c>
      <c r="CM38" s="275">
        <f t="shared" si="54"/>
        <v>0</v>
      </c>
      <c r="CN38" s="275">
        <f t="shared" si="55"/>
        <v>0</v>
      </c>
      <c r="CO38" s="275">
        <f t="shared" si="56"/>
        <v>0</v>
      </c>
      <c r="CP38" s="275">
        <f t="shared" si="89"/>
        <v>0</v>
      </c>
      <c r="CQ38" s="275">
        <f t="shared" si="90"/>
        <v>0</v>
      </c>
      <c r="CR38" s="275">
        <f t="shared" si="91"/>
        <v>0</v>
      </c>
      <c r="CS38" s="275">
        <f t="shared" si="92"/>
        <v>0</v>
      </c>
      <c r="CT38" s="275">
        <f t="shared" si="57"/>
        <v>0</v>
      </c>
      <c r="CU38" s="275">
        <f t="shared" si="58"/>
        <v>0</v>
      </c>
      <c r="CV38" s="275">
        <f t="shared" si="59"/>
        <v>0</v>
      </c>
      <c r="CW38" s="275">
        <f t="shared" si="60"/>
        <v>0</v>
      </c>
      <c r="CX38" s="275">
        <f t="shared" si="93"/>
        <v>0</v>
      </c>
      <c r="CY38" s="275">
        <f t="shared" si="94"/>
        <v>0</v>
      </c>
      <c r="CZ38" s="275">
        <f t="shared" si="95"/>
        <v>0</v>
      </c>
      <c r="DA38" s="275">
        <f t="shared" si="96"/>
        <v>0</v>
      </c>
    </row>
    <row r="39" spans="1:105" s="272" customFormat="1" ht="16.5" customHeight="1">
      <c r="A39" s="63" t="str">
        <f t="array" ref="A39">IF(C39&lt;&gt;0,SUM(($C$11:C39&lt;&gt;0)*1),"")</f>
        <v/>
      </c>
      <c r="B39" s="273"/>
      <c r="C39" s="273"/>
      <c r="D39" s="273"/>
      <c r="E39" s="363"/>
      <c r="F39" s="324"/>
      <c r="G39" s="326"/>
      <c r="H39" s="326"/>
      <c r="I39" s="63" t="str">
        <f t="shared" si="0"/>
        <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si="73"/>
        <v>0</v>
      </c>
      <c r="AU39" s="275">
        <f t="shared" si="74"/>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si="81"/>
        <v>0</v>
      </c>
      <c r="BW39" s="275">
        <f t="shared" si="82"/>
        <v>0</v>
      </c>
      <c r="BX39" s="275">
        <f t="shared" si="45"/>
        <v>0</v>
      </c>
      <c r="BY39" s="275">
        <f t="shared" si="46"/>
        <v>0</v>
      </c>
      <c r="BZ39" s="275">
        <f t="shared" si="47"/>
        <v>0</v>
      </c>
      <c r="CA39" s="275">
        <f t="shared" si="48"/>
        <v>0</v>
      </c>
      <c r="CB39" s="275">
        <f t="shared" si="49"/>
        <v>0</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6.5" customHeight="1">
      <c r="A40" s="63">
        <f t="array" aca="1" ref="A40" ca="1">IF(C40&lt;&gt;0,SUM(($C$11:C40&lt;&gt;0)*1),"")</f>
        <v>2</v>
      </c>
      <c r="B40" s="273">
        <v>42735</v>
      </c>
      <c r="C40" s="276" t="s">
        <v>115</v>
      </c>
      <c r="D40" s="276">
        <f t="shared" ref="D40:D50" si="97">B40</f>
        <v>42735</v>
      </c>
      <c r="E40" s="960" t="s">
        <v>923</v>
      </c>
      <c r="F40" s="961">
        <f ca="1">AY52</f>
        <v>0</v>
      </c>
      <c r="G40" s="962" t="s">
        <v>928</v>
      </c>
      <c r="H40" s="962" t="s">
        <v>9</v>
      </c>
      <c r="I40" s="63">
        <f t="shared" ca="1" si="0"/>
        <v>2</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73"/>
        <v>0</v>
      </c>
      <c r="AU40" s="275">
        <f t="shared" si="74"/>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81"/>
        <v>0</v>
      </c>
      <c r="BW40" s="275">
        <f t="shared" si="8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6.5" customHeight="1">
      <c r="A41" s="63">
        <f t="array" aca="1" ref="A41" ca="1">IF(C41&lt;&gt;0,SUM(($C$11:C41&lt;&gt;0)*1),"")</f>
        <v>3</v>
      </c>
      <c r="B41" s="273">
        <v>42735</v>
      </c>
      <c r="C41" s="276" t="s">
        <v>115</v>
      </c>
      <c r="D41" s="276">
        <f t="shared" si="97"/>
        <v>42735</v>
      </c>
      <c r="E41" s="960" t="s">
        <v>924</v>
      </c>
      <c r="F41" s="961">
        <f ca="1">CL52</f>
        <v>0</v>
      </c>
      <c r="G41" s="962" t="s">
        <v>109</v>
      </c>
      <c r="H41" s="962" t="s">
        <v>294</v>
      </c>
      <c r="I41" s="63">
        <f t="shared" ca="1" si="0"/>
        <v>3</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73"/>
        <v>0</v>
      </c>
      <c r="AU41" s="275">
        <f t="shared" si="74"/>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81"/>
        <v>0</v>
      </c>
      <c r="BW41" s="275">
        <f t="shared" si="8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6.5" customHeight="1">
      <c r="A42" s="63">
        <f t="array" aca="1" ref="A42" ca="1">IF(C42&lt;&gt;0,SUM(($C$11:C42&lt;&gt;0)*1),"")</f>
        <v>4</v>
      </c>
      <c r="B42" s="273">
        <v>42735</v>
      </c>
      <c r="C42" s="276" t="s">
        <v>115</v>
      </c>
      <c r="D42" s="276">
        <f t="shared" si="97"/>
        <v>42735</v>
      </c>
      <c r="E42" s="960" t="s">
        <v>116</v>
      </c>
      <c r="F42" s="961">
        <f ca="1">CN52</f>
        <v>0</v>
      </c>
      <c r="G42" s="962" t="s">
        <v>109</v>
      </c>
      <c r="H42" s="962" t="s">
        <v>99</v>
      </c>
      <c r="I42" s="63">
        <f t="shared" ca="1" si="0"/>
        <v>4</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73"/>
        <v>0</v>
      </c>
      <c r="AU42" s="275">
        <f t="shared" si="74"/>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81"/>
        <v>0</v>
      </c>
      <c r="BW42" s="275">
        <f t="shared" si="8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6.5" customHeight="1">
      <c r="A43" s="63">
        <f t="array" aca="1" ref="A43" ca="1">IF(C43&lt;&gt;0,SUM(($C$11:C43&lt;&gt;0)*1),"")</f>
        <v>5</v>
      </c>
      <c r="B43" s="273">
        <v>42735</v>
      </c>
      <c r="C43" s="276" t="s">
        <v>115</v>
      </c>
      <c r="D43" s="276">
        <f t="shared" si="97"/>
        <v>42735</v>
      </c>
      <c r="E43" s="960" t="s">
        <v>925</v>
      </c>
      <c r="F43" s="961">
        <f ca="1">CP52</f>
        <v>0</v>
      </c>
      <c r="G43" s="962" t="s">
        <v>109</v>
      </c>
      <c r="H43" s="962" t="s">
        <v>588</v>
      </c>
      <c r="I43" s="63">
        <f t="shared" ca="1" si="0"/>
        <v>5</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73"/>
        <v>0</v>
      </c>
      <c r="AU43" s="275">
        <f t="shared" si="74"/>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81"/>
        <v>0</v>
      </c>
      <c r="BW43" s="275">
        <f t="shared" si="8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6.5" customHeight="1">
      <c r="A44" s="63">
        <f t="array" aca="1" ref="A44" ca="1">IF(C44&lt;&gt;0,SUM(($C$11:C44&lt;&gt;0)*1),"")</f>
        <v>6</v>
      </c>
      <c r="B44" s="273">
        <v>42735</v>
      </c>
      <c r="C44" s="276" t="s">
        <v>115</v>
      </c>
      <c r="D44" s="276">
        <f t="shared" si="97"/>
        <v>42735</v>
      </c>
      <c r="E44" s="960" t="s">
        <v>117</v>
      </c>
      <c r="F44" s="961">
        <f ca="1">CR52</f>
        <v>0</v>
      </c>
      <c r="G44" s="962" t="s">
        <v>109</v>
      </c>
      <c r="H44" s="962" t="s">
        <v>101</v>
      </c>
      <c r="I44" s="63">
        <f t="shared" ca="1" si="0"/>
        <v>6</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73"/>
        <v>0</v>
      </c>
      <c r="AU44" s="275">
        <f t="shared" si="74"/>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81"/>
        <v>0</v>
      </c>
      <c r="BW44" s="275">
        <f t="shared" si="8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6.5" customHeight="1">
      <c r="A45" s="63">
        <f t="array" aca="1" ref="A45" ca="1">IF(C45&lt;&gt;0,SUM(($C$11:C45&lt;&gt;0)*1),"")</f>
        <v>7</v>
      </c>
      <c r="B45" s="273">
        <v>42735</v>
      </c>
      <c r="C45" s="276" t="s">
        <v>115</v>
      </c>
      <c r="D45" s="276">
        <f t="shared" si="97"/>
        <v>42735</v>
      </c>
      <c r="E45" s="960" t="s">
        <v>214</v>
      </c>
      <c r="F45" s="961"/>
      <c r="G45" s="962" t="s">
        <v>109</v>
      </c>
      <c r="H45" s="962" t="s">
        <v>94</v>
      </c>
      <c r="I45" s="63">
        <f t="shared" ca="1" si="0"/>
        <v>7</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73"/>
        <v>0</v>
      </c>
      <c r="AU45" s="275">
        <f t="shared" si="74"/>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81"/>
        <v>0</v>
      </c>
      <c r="BW45" s="275">
        <f t="shared" si="8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6.5" customHeight="1">
      <c r="A46" s="63">
        <f t="array" aca="1" ref="A46" ca="1">IF(C46&lt;&gt;0,SUM(($C$11:C46&lt;&gt;0)*1),"")</f>
        <v>8</v>
      </c>
      <c r="B46" s="273">
        <v>42735</v>
      </c>
      <c r="C46" s="276" t="s">
        <v>115</v>
      </c>
      <c r="D46" s="276">
        <f t="shared" si="97"/>
        <v>42735</v>
      </c>
      <c r="E46" s="960" t="s">
        <v>118</v>
      </c>
      <c r="F46" s="961">
        <f ca="1">CI52</f>
        <v>0</v>
      </c>
      <c r="G46" s="962" t="s">
        <v>43</v>
      </c>
      <c r="H46" s="962" t="s">
        <v>109</v>
      </c>
      <c r="I46" s="63">
        <f t="shared" ca="1" si="0"/>
        <v>8</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73"/>
        <v>0</v>
      </c>
      <c r="AU46" s="275">
        <f t="shared" si="74"/>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81"/>
        <v>0</v>
      </c>
      <c r="BW46" s="275">
        <f t="shared" si="8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6.5" customHeight="1">
      <c r="A47" s="63">
        <f t="array" aca="1" ref="A47" ca="1">IF(C47&lt;&gt;0,SUM(($C$11:C47&lt;&gt;0)*1),"")</f>
        <v>9</v>
      </c>
      <c r="B47" s="273">
        <v>42735</v>
      </c>
      <c r="C47" s="276" t="s">
        <v>115</v>
      </c>
      <c r="D47" s="276">
        <f t="shared" si="97"/>
        <v>42735</v>
      </c>
      <c r="E47" s="960" t="s">
        <v>926</v>
      </c>
      <c r="F47" s="961">
        <f ca="1">CE52</f>
        <v>0</v>
      </c>
      <c r="G47" s="962" t="s">
        <v>296</v>
      </c>
      <c r="H47" s="962" t="s">
        <v>109</v>
      </c>
      <c r="I47" s="63">
        <f t="shared" ca="1" si="0"/>
        <v>9</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73"/>
        <v>0</v>
      </c>
      <c r="AU47" s="275">
        <f t="shared" si="74"/>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81"/>
        <v>0</v>
      </c>
      <c r="BW47" s="275">
        <f t="shared" si="8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6.5" customHeight="1">
      <c r="A48" s="63">
        <f t="array" aca="1" ref="A48" ca="1">IF(C48&lt;&gt;0,SUM(($C$11:C48&lt;&gt;0)*1),"")</f>
        <v>10</v>
      </c>
      <c r="B48" s="273">
        <v>42735</v>
      </c>
      <c r="C48" s="276" t="s">
        <v>115</v>
      </c>
      <c r="D48" s="276">
        <f t="shared" si="97"/>
        <v>42735</v>
      </c>
      <c r="E48" s="960" t="s">
        <v>927</v>
      </c>
      <c r="F48" s="961">
        <f ca="1">CG52</f>
        <v>0</v>
      </c>
      <c r="G48" s="962" t="s">
        <v>298</v>
      </c>
      <c r="H48" s="962" t="s">
        <v>109</v>
      </c>
      <c r="I48" s="63">
        <f t="shared" ca="1" si="0"/>
        <v>10</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73"/>
        <v>0</v>
      </c>
      <c r="AU48" s="275">
        <f t="shared" si="74"/>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81"/>
        <v>0</v>
      </c>
      <c r="BW48" s="275">
        <f t="shared" si="8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6.5" customHeight="1">
      <c r="A49" s="63">
        <f t="array" aca="1" ref="A49" ca="1">IF(C49&lt;&gt;0,SUM(($C$11:C49&lt;&gt;0)*1),"")</f>
        <v>11</v>
      </c>
      <c r="B49" s="273">
        <v>42735</v>
      </c>
      <c r="C49" s="276" t="s">
        <v>115</v>
      </c>
      <c r="D49" s="276">
        <f t="shared" si="97"/>
        <v>42735</v>
      </c>
      <c r="E49" s="960" t="s">
        <v>119</v>
      </c>
      <c r="F49" s="961">
        <f ca="1">CU52</f>
        <v>0</v>
      </c>
      <c r="G49" s="962" t="s">
        <v>103</v>
      </c>
      <c r="H49" s="962" t="s">
        <v>109</v>
      </c>
      <c r="I49" s="63">
        <f t="shared" ca="1" si="0"/>
        <v>11</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73"/>
        <v>0</v>
      </c>
      <c r="AU49" s="275">
        <f t="shared" si="74"/>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81"/>
        <v>0</v>
      </c>
      <c r="BW49" s="275">
        <f t="shared" si="8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6.5" customHeight="1">
      <c r="A50" s="63">
        <f t="array" aca="1" ref="A50" ca="1">IF(C50&lt;&gt;0,SUM(($C$11:C50&lt;&gt;0)*1),"")</f>
        <v>12</v>
      </c>
      <c r="B50" s="273">
        <v>42735</v>
      </c>
      <c r="C50" s="276" t="s">
        <v>115</v>
      </c>
      <c r="D50" s="276">
        <f t="shared" si="97"/>
        <v>42735</v>
      </c>
      <c r="E50" s="960" t="s">
        <v>120</v>
      </c>
      <c r="F50" s="961">
        <f ca="1">CV52</f>
        <v>0</v>
      </c>
      <c r="G50" s="962" t="s">
        <v>109</v>
      </c>
      <c r="H50" s="962" t="s">
        <v>105</v>
      </c>
      <c r="I50" s="63">
        <f t="shared" ca="1" si="0"/>
        <v>12</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73"/>
        <v>0</v>
      </c>
      <c r="AU50" s="275">
        <f t="shared" si="74"/>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81"/>
        <v>0</v>
      </c>
      <c r="BW50" s="275">
        <f t="shared" si="8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6.5" customHeight="1">
      <c r="A51" s="63" t="str">
        <f t="array" ref="A51">IF(C51&lt;&gt;0,SUM(($C$11:C51&lt;&gt;0)*1),"")</f>
        <v/>
      </c>
      <c r="B51" s="239"/>
      <c r="C51" s="239"/>
      <c r="D51" s="239"/>
      <c r="E51" s="274"/>
      <c r="F51" s="65"/>
      <c r="G51" s="278"/>
      <c r="H51" s="278"/>
      <c r="I51" s="63" t="str">
        <f>A51</f>
        <v/>
      </c>
      <c r="J51" s="275">
        <f>IF($G51="1111",$F51,0)</f>
        <v>0</v>
      </c>
      <c r="K51" s="275">
        <f>IF($H51="1111",$F51,0)</f>
        <v>0</v>
      </c>
      <c r="L51" s="275">
        <f>IF($G51="1121",$F51,0)</f>
        <v>0</v>
      </c>
      <c r="M51" s="275">
        <f>IF($H51="1121",$F51,0)</f>
        <v>0</v>
      </c>
      <c r="N51" s="275">
        <f>IF($G51="1122",$F51,0)</f>
        <v>0</v>
      </c>
      <c r="O51" s="275">
        <f>IF($H51="1122",$F51,0)</f>
        <v>0</v>
      </c>
      <c r="P51" s="275">
        <f>IF($G51="131",$F51,0)</f>
        <v>0</v>
      </c>
      <c r="Q51" s="275">
        <f>IF($H51="131",$F51,0)</f>
        <v>0</v>
      </c>
      <c r="R51" s="275">
        <f>IF($G51="1331",$F51,0)</f>
        <v>0</v>
      </c>
      <c r="S51" s="275">
        <f>IF($H51="1331",$F51,0)</f>
        <v>0</v>
      </c>
      <c r="T51" s="275">
        <f>IF($G51="1388",$F51,0)</f>
        <v>0</v>
      </c>
      <c r="U51" s="275">
        <f>IF($H51="1388",$F51,0)</f>
        <v>0</v>
      </c>
      <c r="V51" s="275">
        <f>IF($G51="141",$F51,0)</f>
        <v>0</v>
      </c>
      <c r="W51" s="275">
        <f>IF($H51="141",$F51,0)</f>
        <v>0</v>
      </c>
      <c r="X51" s="275">
        <f>IF($G51="1521",$F51,0)</f>
        <v>0</v>
      </c>
      <c r="Y51" s="275">
        <f>IF($H51="1521",$F51,0)</f>
        <v>0</v>
      </c>
      <c r="Z51" s="275">
        <f>IF($G51="1522",$F51,0)</f>
        <v>0</v>
      </c>
      <c r="AA51" s="275">
        <f>IF($H51="1522",$F51,0)</f>
        <v>0</v>
      </c>
      <c r="AB51" s="275">
        <f>IF($G51="153",$F51,0)</f>
        <v>0</v>
      </c>
      <c r="AC51" s="275">
        <f>IF($H51="153",$F51,0)</f>
        <v>0</v>
      </c>
      <c r="AD51" s="275">
        <f>IF($G51="154",$F51,0)</f>
        <v>0</v>
      </c>
      <c r="AE51" s="275">
        <f>IF($H51="154",$F51,0)</f>
        <v>0</v>
      </c>
      <c r="AF51" s="275">
        <f>IF($G51="155",$F51,0)</f>
        <v>0</v>
      </c>
      <c r="AG51" s="275">
        <f>IF($H51="155",$F51,0)</f>
        <v>0</v>
      </c>
      <c r="AH51" s="275">
        <f>IF($G51="2111",$F51,0)</f>
        <v>0</v>
      </c>
      <c r="AI51" s="275">
        <f>IF($H51="2111",$F51,0)</f>
        <v>0</v>
      </c>
      <c r="AJ51" s="275">
        <f>IF($G51="2112",$F51,0)</f>
        <v>0</v>
      </c>
      <c r="AK51" s="275">
        <f>IF($H51="2112",$F51,0)</f>
        <v>0</v>
      </c>
      <c r="AL51" s="275">
        <f>IF($G51="2113",$F51,0)</f>
        <v>0</v>
      </c>
      <c r="AM51" s="275">
        <f>IF($H51="2113",$F51,0)</f>
        <v>0</v>
      </c>
      <c r="AN51" s="275">
        <f>IF($G51="2131",$F51,0)</f>
        <v>0</v>
      </c>
      <c r="AO51" s="275">
        <f>IF($H51="2131",$F51,0)</f>
        <v>0</v>
      </c>
      <c r="AP51" s="275">
        <f>IF($G51="2141",$F51,0)</f>
        <v>0</v>
      </c>
      <c r="AQ51" s="275">
        <f>IF($H51="2141",$F51,0)</f>
        <v>0</v>
      </c>
      <c r="AR51" s="275">
        <f>IF($G51="2143",$F51,0)</f>
        <v>0</v>
      </c>
      <c r="AS51" s="275">
        <f>IF($H51="2143",$F51,0)</f>
        <v>0</v>
      </c>
      <c r="AT51" s="275">
        <f>IF($G51="2412",$F51,0)</f>
        <v>0</v>
      </c>
      <c r="AU51" s="275">
        <f>IF($H51="2412",$F51,0)</f>
        <v>0</v>
      </c>
      <c r="AV51" s="275">
        <f>IF($G51="331",$F51,0)</f>
        <v>0</v>
      </c>
      <c r="AW51" s="275">
        <f>IF($H51="331",$F51,0)</f>
        <v>0</v>
      </c>
      <c r="AX51" s="275">
        <f>IF($G51="33311",$F51,0)</f>
        <v>0</v>
      </c>
      <c r="AY51" s="275">
        <f>IF($H51="33311",$F51,0)</f>
        <v>0</v>
      </c>
      <c r="AZ51" s="275">
        <f>IF($G51="33312",$F51,0)</f>
        <v>0</v>
      </c>
      <c r="BA51" s="275">
        <f>IF($H51="33312",$F51,0)</f>
        <v>0</v>
      </c>
      <c r="BB51" s="275">
        <f>IF($G51="3333",$F51,0)</f>
        <v>0</v>
      </c>
      <c r="BC51" s="275">
        <f>IF($H51="3333",$F51,0)</f>
        <v>0</v>
      </c>
      <c r="BD51" s="275">
        <f>IF($G51="3334",$F51,0)</f>
        <v>0</v>
      </c>
      <c r="BE51" s="275">
        <f>IF($H51="3334",$F51,0)</f>
        <v>0</v>
      </c>
      <c r="BF51" s="275">
        <f>IF($G51="3335",$F51,0)</f>
        <v>0</v>
      </c>
      <c r="BG51" s="275">
        <f>IF($H51="3335",$F51,0)</f>
        <v>0</v>
      </c>
      <c r="BH51" s="275">
        <f>IF($G51="33382",$F51,0)</f>
        <v>0</v>
      </c>
      <c r="BI51" s="275">
        <f>IF($H51="33382",$F51,0)</f>
        <v>0</v>
      </c>
      <c r="BJ51" s="275">
        <f>IF($G51="3341",$F51,0)</f>
        <v>0</v>
      </c>
      <c r="BK51" s="275">
        <f>IF($H51="3341",$F51,0)</f>
        <v>0</v>
      </c>
      <c r="BL51" s="275">
        <f>IF($G51="3383",$F51,0)</f>
        <v>0</v>
      </c>
      <c r="BM51" s="275">
        <f>IF($H51="3383",$F51,0)</f>
        <v>0</v>
      </c>
      <c r="BN51" s="275">
        <f>IF($G51="3384",$F51,0)</f>
        <v>0</v>
      </c>
      <c r="BO51" s="275">
        <f>IF($H51="3384",$F51,0)</f>
        <v>0</v>
      </c>
      <c r="BP51" s="275">
        <f>IF($G51="3386",$F51,0)</f>
        <v>0</v>
      </c>
      <c r="BQ51" s="275">
        <f>IF($H51="3386",$F51,0)</f>
        <v>0</v>
      </c>
      <c r="BR51" s="275">
        <f>IF($G51="3388",$F51,0)</f>
        <v>0</v>
      </c>
      <c r="BS51" s="275">
        <f>IF($H51="3388",$F51,0)</f>
        <v>0</v>
      </c>
      <c r="BT51" s="275">
        <f>IF($G51="3411",$F51,0)</f>
        <v>0</v>
      </c>
      <c r="BU51" s="275">
        <f>IF($H51="3411",$F51,0)</f>
        <v>0</v>
      </c>
      <c r="BV51" s="275">
        <f>IF($G51="3412",$F51,0)</f>
        <v>0</v>
      </c>
      <c r="BW51" s="275">
        <f>IF($H51="3412",$F51,0)</f>
        <v>0</v>
      </c>
      <c r="BX51" s="275">
        <f>IF($G51="4111",$F51,0)</f>
        <v>0</v>
      </c>
      <c r="BY51" s="275">
        <f>IF($H51="4111",$F51,0)</f>
        <v>0</v>
      </c>
      <c r="BZ51" s="275">
        <f>IF($G51="4211",$F51,0)</f>
        <v>0</v>
      </c>
      <c r="CA51" s="275">
        <f>IF($H51="4211",$F51,0)</f>
        <v>0</v>
      </c>
      <c r="CB51" s="275">
        <f>IF($G51="4212",$F51,0)</f>
        <v>0</v>
      </c>
      <c r="CC51" s="275">
        <f>IF($H51="4212",$F51,0)</f>
        <v>0</v>
      </c>
      <c r="CD51" s="275">
        <f>IF($G51="5112N",$F51,0)</f>
        <v>0</v>
      </c>
      <c r="CE51" s="275">
        <f>IF($H51="5112N",$F51,0)</f>
        <v>0</v>
      </c>
      <c r="CF51" s="275">
        <f>IF($G51="5112X",$F51,0)</f>
        <v>0</v>
      </c>
      <c r="CG51" s="275">
        <f>IF($H51="5112X",$F51,0)</f>
        <v>0</v>
      </c>
      <c r="CH51" s="275">
        <f>IF($G51="515",$F51,0)</f>
        <v>0</v>
      </c>
      <c r="CI51" s="275">
        <f>IF($H51="515",$F51,0)</f>
        <v>0</v>
      </c>
      <c r="CJ51" s="275">
        <f>IF($G51="5213",$F51,0)</f>
        <v>0</v>
      </c>
      <c r="CK51" s="275">
        <f>IF($H51="5213",$F51,0)</f>
        <v>0</v>
      </c>
      <c r="CL51" s="275">
        <f>IF($G51="632",$F51,0)</f>
        <v>0</v>
      </c>
      <c r="CM51" s="275">
        <f>IF($H51="632",$F51,0)</f>
        <v>0</v>
      </c>
      <c r="CN51" s="275">
        <f>IF($G51="635",$F51,0)</f>
        <v>0</v>
      </c>
      <c r="CO51" s="275">
        <f>IF($H51="635",$F51,0)</f>
        <v>0</v>
      </c>
      <c r="CP51" s="275">
        <f>IF($G51="641",$F51,0)</f>
        <v>0</v>
      </c>
      <c r="CQ51" s="275">
        <f>IF($H51="641",$F51,0)</f>
        <v>0</v>
      </c>
      <c r="CR51" s="275">
        <f>IF($G51="642",$F51,0)</f>
        <v>0</v>
      </c>
      <c r="CS51" s="275">
        <f>IF($H51="642",$F51,0)</f>
        <v>0</v>
      </c>
      <c r="CT51" s="275">
        <f>IF($G51="711",$F51,0)</f>
        <v>0</v>
      </c>
      <c r="CU51" s="275">
        <f>IF($H51="711",$F51,0)</f>
        <v>0</v>
      </c>
      <c r="CV51" s="275">
        <f>IF($G51="811",$F51,0)</f>
        <v>0</v>
      </c>
      <c r="CW51" s="275">
        <f>IF($H51="811",$F51,0)</f>
        <v>0</v>
      </c>
      <c r="CX51" s="275">
        <f>IF($G51="821",$F51,0)</f>
        <v>0</v>
      </c>
      <c r="CY51" s="275">
        <f>IF($H51="821",$F51,0)</f>
        <v>0</v>
      </c>
      <c r="CZ51" s="275">
        <f>IF($G51="911",$F51,0)</f>
        <v>0</v>
      </c>
      <c r="DA51" s="275">
        <f>IF($H51="911",$F51,0)</f>
        <v>0</v>
      </c>
    </row>
    <row r="52" spans="1:105" s="272" customFormat="1" ht="16.5" customHeight="1">
      <c r="A52" s="279"/>
      <c r="B52" s="239"/>
      <c r="C52" s="308"/>
      <c r="D52" s="239"/>
      <c r="E52" s="274" t="s">
        <v>174</v>
      </c>
      <c r="F52" s="279"/>
      <c r="G52" s="278"/>
      <c r="H52" s="278"/>
      <c r="I52" s="279"/>
      <c r="J52" s="279">
        <f t="shared" ref="J52:AO52" ca="1" si="98">SUM(J11:J51)</f>
        <v>0</v>
      </c>
      <c r="K52" s="279">
        <f t="shared" ca="1" si="98"/>
        <v>0</v>
      </c>
      <c r="L52" s="279">
        <f t="shared" ca="1" si="98"/>
        <v>0</v>
      </c>
      <c r="M52" s="279">
        <f t="shared" ca="1" si="98"/>
        <v>0</v>
      </c>
      <c r="N52" s="279">
        <f t="shared" ca="1" si="98"/>
        <v>0</v>
      </c>
      <c r="O52" s="279">
        <f t="shared" ca="1" si="98"/>
        <v>0</v>
      </c>
      <c r="P52" s="279">
        <f t="shared" ca="1" si="98"/>
        <v>0</v>
      </c>
      <c r="Q52" s="279">
        <f t="shared" ca="1" si="98"/>
        <v>0</v>
      </c>
      <c r="R52" s="279">
        <f t="shared" ca="1" si="98"/>
        <v>0</v>
      </c>
      <c r="S52" s="279">
        <f t="shared" ca="1" si="98"/>
        <v>0</v>
      </c>
      <c r="T52" s="279">
        <f t="shared" ca="1" si="98"/>
        <v>0</v>
      </c>
      <c r="U52" s="279">
        <f t="shared" ca="1" si="98"/>
        <v>0</v>
      </c>
      <c r="V52" s="279">
        <f t="shared" ca="1" si="98"/>
        <v>0</v>
      </c>
      <c r="W52" s="279">
        <f t="shared" ca="1" si="98"/>
        <v>0</v>
      </c>
      <c r="X52" s="279">
        <f t="shared" ca="1" si="98"/>
        <v>0</v>
      </c>
      <c r="Y52" s="279">
        <f t="shared" ca="1" si="98"/>
        <v>0</v>
      </c>
      <c r="Z52" s="279">
        <f t="shared" ca="1" si="98"/>
        <v>0</v>
      </c>
      <c r="AA52" s="279">
        <f t="shared" ca="1" si="98"/>
        <v>0</v>
      </c>
      <c r="AB52" s="279">
        <f t="shared" ca="1" si="98"/>
        <v>0</v>
      </c>
      <c r="AC52" s="279">
        <f t="shared" ca="1" si="98"/>
        <v>0</v>
      </c>
      <c r="AD52" s="279">
        <f t="shared" ca="1" si="98"/>
        <v>0</v>
      </c>
      <c r="AE52" s="279">
        <f t="shared" ca="1" si="98"/>
        <v>0</v>
      </c>
      <c r="AF52" s="279">
        <f t="shared" ca="1" si="98"/>
        <v>0</v>
      </c>
      <c r="AG52" s="279">
        <f t="shared" ca="1" si="98"/>
        <v>0</v>
      </c>
      <c r="AH52" s="279">
        <f t="shared" ca="1" si="98"/>
        <v>0</v>
      </c>
      <c r="AI52" s="279">
        <f t="shared" ca="1" si="98"/>
        <v>0</v>
      </c>
      <c r="AJ52" s="279">
        <f t="shared" ca="1" si="98"/>
        <v>0</v>
      </c>
      <c r="AK52" s="279">
        <f t="shared" ca="1" si="98"/>
        <v>0</v>
      </c>
      <c r="AL52" s="279">
        <f t="shared" ca="1" si="98"/>
        <v>0</v>
      </c>
      <c r="AM52" s="279">
        <f t="shared" ca="1" si="98"/>
        <v>0</v>
      </c>
      <c r="AN52" s="279">
        <f t="shared" ca="1" si="98"/>
        <v>0</v>
      </c>
      <c r="AO52" s="279">
        <f t="shared" ca="1" si="98"/>
        <v>0</v>
      </c>
      <c r="AP52" s="279">
        <f t="shared" ref="AP52:BU52" ca="1" si="99">SUM(AP11:AP51)</f>
        <v>0</v>
      </c>
      <c r="AQ52" s="279">
        <f t="shared" ca="1" si="99"/>
        <v>0</v>
      </c>
      <c r="AR52" s="279">
        <f t="shared" ca="1" si="99"/>
        <v>0</v>
      </c>
      <c r="AS52" s="279">
        <f t="shared" ca="1" si="99"/>
        <v>0</v>
      </c>
      <c r="AT52" s="279">
        <f t="shared" ca="1" si="99"/>
        <v>0</v>
      </c>
      <c r="AU52" s="279">
        <f t="shared" ca="1" si="99"/>
        <v>0</v>
      </c>
      <c r="AV52" s="279">
        <f t="shared" ca="1" si="99"/>
        <v>0</v>
      </c>
      <c r="AW52" s="279">
        <f t="shared" ca="1" si="99"/>
        <v>0</v>
      </c>
      <c r="AX52" s="279">
        <f t="shared" ca="1" si="99"/>
        <v>0</v>
      </c>
      <c r="AY52" s="279">
        <f t="shared" ca="1" si="99"/>
        <v>0</v>
      </c>
      <c r="AZ52" s="279">
        <f t="shared" ca="1" si="99"/>
        <v>0</v>
      </c>
      <c r="BA52" s="279">
        <f t="shared" ca="1" si="99"/>
        <v>0</v>
      </c>
      <c r="BB52" s="279">
        <f t="shared" ca="1" si="99"/>
        <v>0</v>
      </c>
      <c r="BC52" s="279">
        <f t="shared" ca="1" si="99"/>
        <v>0</v>
      </c>
      <c r="BD52" s="279">
        <f t="shared" ca="1" si="99"/>
        <v>0</v>
      </c>
      <c r="BE52" s="279">
        <f t="shared" ca="1" si="99"/>
        <v>0</v>
      </c>
      <c r="BF52" s="279">
        <f t="shared" ca="1" si="99"/>
        <v>0</v>
      </c>
      <c r="BG52" s="279">
        <f t="shared" ca="1" si="99"/>
        <v>0</v>
      </c>
      <c r="BH52" s="279">
        <f t="shared" ca="1" si="99"/>
        <v>0</v>
      </c>
      <c r="BI52" s="279">
        <f t="shared" ca="1" si="99"/>
        <v>0</v>
      </c>
      <c r="BJ52" s="279">
        <f t="shared" ca="1" si="99"/>
        <v>0</v>
      </c>
      <c r="BK52" s="279">
        <f t="shared" ca="1" si="99"/>
        <v>0</v>
      </c>
      <c r="BL52" s="279">
        <f t="shared" ca="1" si="99"/>
        <v>0</v>
      </c>
      <c r="BM52" s="279">
        <f t="shared" ca="1" si="99"/>
        <v>0</v>
      </c>
      <c r="BN52" s="279">
        <f t="shared" ca="1" si="99"/>
        <v>0</v>
      </c>
      <c r="BO52" s="279">
        <f t="shared" ca="1" si="99"/>
        <v>0</v>
      </c>
      <c r="BP52" s="279">
        <f t="shared" ca="1" si="99"/>
        <v>0</v>
      </c>
      <c r="BQ52" s="279">
        <f t="shared" ca="1" si="99"/>
        <v>0</v>
      </c>
      <c r="BR52" s="279">
        <f t="shared" ca="1" si="99"/>
        <v>0</v>
      </c>
      <c r="BS52" s="279">
        <f t="shared" ca="1" si="99"/>
        <v>0</v>
      </c>
      <c r="BT52" s="279">
        <f t="shared" ca="1" si="99"/>
        <v>0</v>
      </c>
      <c r="BU52" s="279">
        <f t="shared" ca="1" si="99"/>
        <v>0</v>
      </c>
      <c r="BV52" s="279">
        <f t="shared" ref="BV52:DA52" ca="1" si="100">SUM(BV11:BV51)</f>
        <v>0</v>
      </c>
      <c r="BW52" s="279">
        <f t="shared" ca="1" si="100"/>
        <v>0</v>
      </c>
      <c r="BX52" s="279">
        <f t="shared" ca="1" si="100"/>
        <v>0</v>
      </c>
      <c r="BY52" s="279">
        <f t="shared" ca="1" si="100"/>
        <v>0</v>
      </c>
      <c r="BZ52" s="279">
        <f t="shared" ca="1" si="100"/>
        <v>0</v>
      </c>
      <c r="CA52" s="279">
        <f t="shared" ca="1" si="100"/>
        <v>0</v>
      </c>
      <c r="CB52" s="279">
        <f t="shared" ca="1" si="100"/>
        <v>0</v>
      </c>
      <c r="CC52" s="279">
        <f t="shared" ca="1" si="100"/>
        <v>0</v>
      </c>
      <c r="CD52" s="279">
        <f t="shared" ca="1" si="100"/>
        <v>0</v>
      </c>
      <c r="CE52" s="279">
        <f t="shared" ca="1" si="100"/>
        <v>0</v>
      </c>
      <c r="CF52" s="279">
        <f t="shared" ca="1" si="100"/>
        <v>0</v>
      </c>
      <c r="CG52" s="279">
        <f t="shared" ca="1" si="100"/>
        <v>0</v>
      </c>
      <c r="CH52" s="279">
        <f t="shared" ca="1" si="100"/>
        <v>0</v>
      </c>
      <c r="CI52" s="279">
        <f t="shared" ca="1" si="100"/>
        <v>0</v>
      </c>
      <c r="CJ52" s="279">
        <f t="shared" ca="1" si="100"/>
        <v>0</v>
      </c>
      <c r="CK52" s="279">
        <f t="shared" ca="1" si="100"/>
        <v>0</v>
      </c>
      <c r="CL52" s="279">
        <f t="shared" ca="1" si="100"/>
        <v>0</v>
      </c>
      <c r="CM52" s="279">
        <f t="shared" ca="1" si="100"/>
        <v>0</v>
      </c>
      <c r="CN52" s="279">
        <f t="shared" ca="1" si="100"/>
        <v>0</v>
      </c>
      <c r="CO52" s="279">
        <f t="shared" ca="1" si="100"/>
        <v>0</v>
      </c>
      <c r="CP52" s="279">
        <f t="shared" ca="1" si="100"/>
        <v>0</v>
      </c>
      <c r="CQ52" s="279">
        <f t="shared" ca="1" si="100"/>
        <v>0</v>
      </c>
      <c r="CR52" s="279">
        <f t="shared" ca="1" si="100"/>
        <v>0</v>
      </c>
      <c r="CS52" s="279">
        <f t="shared" ca="1" si="100"/>
        <v>0</v>
      </c>
      <c r="CT52" s="279">
        <f t="shared" ca="1" si="100"/>
        <v>0</v>
      </c>
      <c r="CU52" s="279">
        <f t="shared" ca="1" si="100"/>
        <v>0</v>
      </c>
      <c r="CV52" s="279">
        <f t="shared" ca="1" si="100"/>
        <v>0</v>
      </c>
      <c r="CW52" s="279">
        <f t="shared" ca="1" si="100"/>
        <v>0</v>
      </c>
      <c r="CX52" s="279">
        <f t="shared" ca="1" si="100"/>
        <v>0</v>
      </c>
      <c r="CY52" s="279">
        <f t="shared" ca="1" si="100"/>
        <v>0</v>
      </c>
      <c r="CZ52" s="279">
        <f t="shared" ca="1" si="100"/>
        <v>0</v>
      </c>
      <c r="DA52" s="279">
        <f t="shared" ca="1" si="100"/>
        <v>0</v>
      </c>
    </row>
    <row r="53" spans="1:105" s="272" customFormat="1" ht="16.5" customHeight="1">
      <c r="A53" s="280"/>
      <c r="B53" s="280"/>
      <c r="C53" s="280"/>
      <c r="D53" s="280"/>
      <c r="E53" s="281" t="s">
        <v>215</v>
      </c>
      <c r="F53" s="280"/>
      <c r="G53" s="282"/>
      <c r="H53" s="282"/>
      <c r="I53" s="280"/>
      <c r="J53" s="302">
        <f ca="1">MAX(J10+J52-K10-K52,0)</f>
        <v>3705039095</v>
      </c>
      <c r="K53" s="302">
        <f ca="1">MAX(K10+K52-J10-J52,0)</f>
        <v>0</v>
      </c>
      <c r="L53" s="302">
        <f ca="1">MAX(L10+L52-M10-M52,0)</f>
        <v>19829295</v>
      </c>
      <c r="M53" s="302">
        <f ca="1">MAX(M10+M52-L10-L52,0)</f>
        <v>0</v>
      </c>
      <c r="N53" s="302">
        <f ca="1">MAX(N10+N52-O10-O52,0)</f>
        <v>2236796790</v>
      </c>
      <c r="O53" s="302">
        <f ca="1">MAX(O10+O52-N10-N52,0)</f>
        <v>0</v>
      </c>
      <c r="P53" s="302">
        <f ca="1">MAX(P10+P52-Q10-Q52,0)</f>
        <v>3343381600</v>
      </c>
      <c r="Q53" s="302">
        <f ca="1">MAX(Q10+Q52-P10-P52,0)</f>
        <v>0</v>
      </c>
      <c r="R53" s="302">
        <f ca="1">MAX(R10+R52-S10-S52,0)</f>
        <v>162420936</v>
      </c>
      <c r="S53" s="302">
        <f ca="1">MAX(S10+S52-R10-R52,0)</f>
        <v>0</v>
      </c>
      <c r="T53" s="302">
        <f ca="1">MAX(T10+T52-U10-U52,0)</f>
        <v>1500000000</v>
      </c>
      <c r="U53" s="302">
        <f ca="1">MAX(U10+U52-T10-T52,0)</f>
        <v>0</v>
      </c>
      <c r="V53" s="302">
        <f ca="1">MAX(V10+V52-W10-W52,0)</f>
        <v>0</v>
      </c>
      <c r="W53" s="302">
        <f ca="1">MAX(W10+W52-V10-V52,0)</f>
        <v>0</v>
      </c>
      <c r="X53" s="302">
        <f ca="1">MAX(X10+X52-Y10-Y52,0)</f>
        <v>2772400000</v>
      </c>
      <c r="Y53" s="302">
        <f ca="1">MAX(Y10+Y52-X10-X52,0)</f>
        <v>0</v>
      </c>
      <c r="Z53" s="302">
        <f ca="1">MAX(Z10+Z52-AA10-AA52,0)</f>
        <v>526519887</v>
      </c>
      <c r="AA53" s="302">
        <f ca="1">MAX(AA10+AA52-Z10-Z52,0)</f>
        <v>0</v>
      </c>
      <c r="AB53" s="302">
        <f ca="1">MAX(AB10+AB52-AC10-AC52,0)</f>
        <v>0</v>
      </c>
      <c r="AC53" s="302">
        <f ca="1">MAX(AC10+AC52-AB10-AB52,0)</f>
        <v>0</v>
      </c>
      <c r="AD53" s="302">
        <f ca="1">MAX(AD10+AD52-AE10-AE52,0)</f>
        <v>0</v>
      </c>
      <c r="AE53" s="302">
        <f ca="1">MAX(AE10+AE52-AD10-AD52,0)</f>
        <v>0</v>
      </c>
      <c r="AF53" s="302">
        <f ca="1">MAX(AF10+AF52-AG10-AG52,0)</f>
        <v>9386323824</v>
      </c>
      <c r="AG53" s="302">
        <f ca="1">MAX(AG10+AG52-AF10-AF52,0)</f>
        <v>0</v>
      </c>
      <c r="AH53" s="302">
        <f ca="1">MAX(AH10+AH52-AI10-AI52,0)</f>
        <v>7490743648</v>
      </c>
      <c r="AI53" s="302">
        <f ca="1">MAX(AI10+AI52-AH10-AH52,0)</f>
        <v>0</v>
      </c>
      <c r="AJ53" s="302">
        <f ca="1">MAX(AJ10+AJ52-AK10-AK52,0)</f>
        <v>3807898863</v>
      </c>
      <c r="AK53" s="302">
        <f ca="1">MAX(AK10+AK52-AJ10-AJ52,0)</f>
        <v>0</v>
      </c>
      <c r="AL53" s="302">
        <f ca="1">MAX(AL10+AL52-AM10-AM52,0)</f>
        <v>3790918485</v>
      </c>
      <c r="AM53" s="302">
        <f ca="1">MAX(AM10+AM52-AL10-AL52,0)</f>
        <v>0</v>
      </c>
      <c r="AN53" s="302">
        <f ca="1">MAX(AN10+AN52-AO10-AO52,0)</f>
        <v>5405781300</v>
      </c>
      <c r="AO53" s="302">
        <f ca="1">MAX(AO10+AO52-AN10-AN52,0)</f>
        <v>0</v>
      </c>
      <c r="AP53" s="302">
        <f ca="1">MAX(AP10+AP52-AQ10-AQ52,0)</f>
        <v>0</v>
      </c>
      <c r="AQ53" s="302">
        <f ca="1">MAX(AQ10+AQ52-AP10-AP52,0)</f>
        <v>9132359256</v>
      </c>
      <c r="AR53" s="302">
        <f ca="1">MAX(AR10+AR52-AS10-AS52,0)</f>
        <v>0</v>
      </c>
      <c r="AS53" s="302">
        <f ca="1">MAX(AS10+AS52-AR10-AR52,0)</f>
        <v>600642360</v>
      </c>
      <c r="AT53" s="302">
        <f ca="1">MAX(AT10+AT52-AU10-AU52,0)</f>
        <v>0</v>
      </c>
      <c r="AU53" s="302">
        <f ca="1">MAX(AU10+AU52-AT10-AT52,0)</f>
        <v>0</v>
      </c>
      <c r="AV53" s="302">
        <f ca="1">MAX(AV10+AV52-AW10-AW52,0)</f>
        <v>0</v>
      </c>
      <c r="AW53" s="302">
        <f ca="1">MAX(AW10+AW52-AV10-AV52,0)</f>
        <v>476953252</v>
      </c>
      <c r="AX53" s="302">
        <f ca="1">MAX(AX10+AX52-AY10-AY52,0)</f>
        <v>0</v>
      </c>
      <c r="AY53" s="302">
        <f ca="1">MAX(AY10+AY52-AX10-AX52,0)</f>
        <v>0</v>
      </c>
      <c r="AZ53" s="302">
        <f ca="1">MAX(AZ10+AZ52-BA10-BA52,0)</f>
        <v>0</v>
      </c>
      <c r="BA53" s="302">
        <f ca="1">MAX(BA10+BA52-AZ10-AZ52,0)</f>
        <v>0</v>
      </c>
      <c r="BB53" s="302">
        <f ca="1">MAX(BB10+BB52-BC10-BC52,0)</f>
        <v>0</v>
      </c>
      <c r="BC53" s="302">
        <f ca="1">MAX(BC10+BC52-BB10-BB52,0)</f>
        <v>0</v>
      </c>
      <c r="BD53" s="302">
        <f ca="1">MAX(BD10+BD52-BE10-BE52,0)</f>
        <v>0</v>
      </c>
      <c r="BE53" s="302">
        <f ca="1">MAX(BE10+BE52-BD10-BD52,0)</f>
        <v>3313435</v>
      </c>
      <c r="BF53" s="302">
        <f ca="1">MAX(BF10+BF52-BG10-BG52,0)</f>
        <v>3389804</v>
      </c>
      <c r="BG53" s="302">
        <f ca="1">MAX(BG10+BG52-BF10-BF52,0)</f>
        <v>0</v>
      </c>
      <c r="BH53" s="302">
        <f ca="1">MAX(BH10+BH52-BI10-BI52,0)</f>
        <v>0</v>
      </c>
      <c r="BI53" s="302">
        <f ca="1">MAX(BI10+BI52-BH10-BH52,0)</f>
        <v>0</v>
      </c>
      <c r="BJ53" s="302">
        <f ca="1">MAX(BJ10+BJ52-BK10-BK52,0)</f>
        <v>0</v>
      </c>
      <c r="BK53" s="302">
        <f ca="1">MAX(BK10+BK52-BJ10-BJ52,0)</f>
        <v>0</v>
      </c>
      <c r="BL53" s="302">
        <f ca="1">MAX(BL10+BL52-BM10-BM52,0)</f>
        <v>0</v>
      </c>
      <c r="BM53" s="302">
        <f ca="1">MAX(BM10+BM52-BL10-BL52,0)</f>
        <v>40272309</v>
      </c>
      <c r="BN53" s="302">
        <f ca="1">MAX(BN10+BN52-BO10-BO52,0)</f>
        <v>0</v>
      </c>
      <c r="BO53" s="302">
        <f ca="1">MAX(BO10+BO52-BN10-BN52,0)</f>
        <v>6403142</v>
      </c>
      <c r="BP53" s="302">
        <f ca="1">MAX(BP10+BP52-BQ10-BQ52,0)</f>
        <v>0</v>
      </c>
      <c r="BQ53" s="302">
        <f ca="1">MAX(BQ10+BQ52-BP10-BP52,0)</f>
        <v>2761373</v>
      </c>
      <c r="BR53" s="302">
        <f ca="1">MAX(BR10+BR52-BS10-BS52,0)</f>
        <v>0</v>
      </c>
      <c r="BS53" s="302">
        <f ca="1">MAX(BS10+BS52-BR10-BR52,0)</f>
        <v>0</v>
      </c>
      <c r="BT53" s="302">
        <f ca="1">MAX(BT10+BT52-BU10-BU52,0)</f>
        <v>0</v>
      </c>
      <c r="BU53" s="302">
        <f ca="1">MAX(BU10+BU52-BT10-BT52,0)</f>
        <v>2169121879</v>
      </c>
      <c r="BV53" s="302">
        <f ca="1">MAX(BV10+BV52-BW10-BW52,0)</f>
        <v>0</v>
      </c>
      <c r="BW53" s="302">
        <f ca="1">MAX(BW10+BW52-BV10-BV52,0)</f>
        <v>21202920500</v>
      </c>
      <c r="BX53" s="302">
        <f ca="1">MAX(BX10+BX52-BY10-BY52,0)</f>
        <v>0</v>
      </c>
      <c r="BY53" s="302">
        <f ca="1">MAX(BY10+BY52-BX10-BX52,0)</f>
        <v>10000000000</v>
      </c>
      <c r="BZ53" s="302">
        <f ca="1">MAX(BZ10+BZ52-CA10-CA52,0)</f>
        <v>0</v>
      </c>
      <c r="CA53" s="302">
        <f ca="1">MAX(CA10+CA52-BZ10-BZ52,0)</f>
        <v>594397022.00000048</v>
      </c>
      <c r="CB53" s="302">
        <f ca="1">MAX(CB10+CB52-CC10-CC52,0)</f>
        <v>77701001</v>
      </c>
      <c r="CC53" s="302">
        <f ca="1">MAX(CC10+CC52-CB10-CB52,0)</f>
        <v>0</v>
      </c>
      <c r="CD53" s="302">
        <f ca="1">MAX(CD10+CD52-CE10-CE52,0)</f>
        <v>0</v>
      </c>
      <c r="CE53" s="302">
        <f ca="1">MAX(CE10+CE52-CD10-CD52,0)</f>
        <v>0</v>
      </c>
      <c r="CF53" s="302">
        <f ca="1">MAX(CF10+CF52-CG10-CG52,0)</f>
        <v>0</v>
      </c>
      <c r="CG53" s="302">
        <f ca="1">MAX(CG10+CG52-CF10-CF52,0)</f>
        <v>0</v>
      </c>
      <c r="CH53" s="302">
        <f ca="1">MAX(CH10+CH52-CI10-CI52,0)</f>
        <v>0</v>
      </c>
      <c r="CI53" s="302">
        <f ca="1">MAX(CI10+CI52-CH10-CH52,0)</f>
        <v>0</v>
      </c>
      <c r="CJ53" s="302">
        <f ca="1">MAX(CJ10+CJ52-CK10-CK52,0)</f>
        <v>0</v>
      </c>
      <c r="CK53" s="302">
        <f ca="1">MAX(CK10+CK52-CJ10-CJ52,0)</f>
        <v>0</v>
      </c>
      <c r="CL53" s="302">
        <f ca="1">MAX(CL10+CL52-CM10-CM52,0)</f>
        <v>0</v>
      </c>
      <c r="CM53" s="302">
        <f ca="1">MAX(CM10+CM52-CL10-CL52,0)</f>
        <v>0</v>
      </c>
      <c r="CN53" s="302">
        <f ca="1">MAX(CN10+CN52-CO10-CO52,0)</f>
        <v>0</v>
      </c>
      <c r="CO53" s="302">
        <f ca="1">MAX(CO10+CO52-CN10-CN52,0)</f>
        <v>0</v>
      </c>
      <c r="CP53" s="302">
        <f ca="1">MAX(CP10+CP52-CQ10-CQ52,0)</f>
        <v>0</v>
      </c>
      <c r="CQ53" s="302">
        <f ca="1">MAX(CQ10+CQ52-CP10-CP52,0)</f>
        <v>0</v>
      </c>
      <c r="CR53" s="302">
        <f ca="1">MAX(CR10+CR52-CS10-CS52,0)</f>
        <v>0</v>
      </c>
      <c r="CS53" s="302">
        <f ca="1">MAX(CS10+CS52-CR10-CR52,0)</f>
        <v>0</v>
      </c>
      <c r="CT53" s="302">
        <f ca="1">MAX(CT10+CT52-CU10-CU52,0)</f>
        <v>0</v>
      </c>
      <c r="CU53" s="302">
        <f ca="1">MAX(CU10+CU52-CT10-CT52,0)</f>
        <v>0</v>
      </c>
      <c r="CV53" s="302">
        <f ca="1">MAX(CV10+CV52-CW10-CW52,0)</f>
        <v>0</v>
      </c>
      <c r="CW53" s="302">
        <f ca="1">MAX(CW10+CW52-CV10-CV52,0)</f>
        <v>0</v>
      </c>
      <c r="CX53" s="302">
        <f ca="1">MAX(CX10+CX52-CY10-CY52,0)</f>
        <v>0</v>
      </c>
      <c r="CY53" s="302">
        <f ca="1">MAX(CY10+CY52-CX10-CX52,0)</f>
        <v>0</v>
      </c>
      <c r="CZ53" s="302">
        <f ca="1">MAX(CZ10+CZ52-DA10-DA52,0)</f>
        <v>0</v>
      </c>
      <c r="DA53" s="302">
        <f ca="1">MAX(DA10+DA52-CZ10-CZ52,0)</f>
        <v>0</v>
      </c>
    </row>
    <row r="54" spans="1:105" s="272" customFormat="1" ht="16.5" customHeight="1">
      <c r="A54" s="284"/>
      <c r="B54" s="284"/>
      <c r="C54" s="285"/>
      <c r="D54" s="284"/>
      <c r="E54" s="286" t="s">
        <v>216</v>
      </c>
      <c r="F54" s="284"/>
      <c r="G54" s="287"/>
      <c r="H54" s="287"/>
      <c r="I54" s="284"/>
      <c r="J54" s="284">
        <f ca="1">J52+'SC-III'!J54</f>
        <v>0</v>
      </c>
      <c r="K54" s="284">
        <f ca="1">K52+'SC-III'!K54</f>
        <v>0</v>
      </c>
      <c r="L54" s="284">
        <f ca="1">L52+'SC-III'!L54</f>
        <v>0</v>
      </c>
      <c r="M54" s="284">
        <f ca="1">M52+'SC-III'!M54</f>
        <v>0</v>
      </c>
      <c r="N54" s="284">
        <f ca="1">N52+'SC-III'!N54</f>
        <v>0</v>
      </c>
      <c r="O54" s="284">
        <f ca="1">O52+'SC-III'!O54</f>
        <v>0</v>
      </c>
      <c r="P54" s="284">
        <f ca="1">P52+'SC-III'!P54</f>
        <v>0</v>
      </c>
      <c r="Q54" s="284">
        <f ca="1">Q52+'SC-III'!Q54</f>
        <v>0</v>
      </c>
      <c r="R54" s="284">
        <f ca="1">R52+'SC-III'!R54</f>
        <v>0</v>
      </c>
      <c r="S54" s="284">
        <f ca="1">S52+'SC-III'!S54</f>
        <v>0</v>
      </c>
      <c r="T54" s="284">
        <f ca="1">T52+'SC-III'!T54</f>
        <v>0</v>
      </c>
      <c r="U54" s="284">
        <f ca="1">U52+'SC-III'!U54</f>
        <v>0</v>
      </c>
      <c r="V54" s="284">
        <f ca="1">V52+'SC-III'!V54</f>
        <v>0</v>
      </c>
      <c r="W54" s="284">
        <f ca="1">W52+'SC-III'!W54</f>
        <v>0</v>
      </c>
      <c r="X54" s="284">
        <f ca="1">X52+'SC-III'!X54</f>
        <v>0</v>
      </c>
      <c r="Y54" s="284">
        <f ca="1">Y52+'SC-III'!Y54</f>
        <v>0</v>
      </c>
      <c r="Z54" s="284">
        <f ca="1">Z52+'SC-III'!Z54</f>
        <v>0</v>
      </c>
      <c r="AA54" s="284">
        <f ca="1">AA52+'SC-III'!AA54</f>
        <v>0</v>
      </c>
      <c r="AB54" s="284">
        <f ca="1">AB52+'SC-III'!AB54</f>
        <v>0</v>
      </c>
      <c r="AC54" s="284">
        <f ca="1">AC52+'SC-III'!AC54</f>
        <v>0</v>
      </c>
      <c r="AD54" s="284">
        <f ca="1">AD52+'SC-III'!AD54</f>
        <v>0</v>
      </c>
      <c r="AE54" s="284">
        <f ca="1">AE52+'SC-III'!AE54</f>
        <v>0</v>
      </c>
      <c r="AF54" s="284">
        <f ca="1">AF52+'SC-III'!AF54</f>
        <v>0</v>
      </c>
      <c r="AG54" s="284">
        <f ca="1">AG52+'SC-III'!AG54</f>
        <v>0</v>
      </c>
      <c r="AH54" s="284">
        <f ca="1">AH52+'SC-III'!AH54</f>
        <v>0</v>
      </c>
      <c r="AI54" s="284">
        <f ca="1">AI52+'SC-III'!AI54</f>
        <v>0</v>
      </c>
      <c r="AJ54" s="284">
        <f ca="1">AJ52+'SC-III'!AJ54</f>
        <v>0</v>
      </c>
      <c r="AK54" s="284">
        <f ca="1">AK52+'SC-III'!AK54</f>
        <v>0</v>
      </c>
      <c r="AL54" s="284">
        <f ca="1">AL52+'SC-III'!AL54</f>
        <v>0</v>
      </c>
      <c r="AM54" s="284">
        <f ca="1">AM52+'SC-III'!AM54</f>
        <v>0</v>
      </c>
      <c r="AN54" s="284">
        <f ca="1">AN52+'SC-III'!AN54</f>
        <v>0</v>
      </c>
      <c r="AO54" s="284">
        <f ca="1">AO52+'SC-III'!AO54</f>
        <v>0</v>
      </c>
      <c r="AP54" s="284">
        <f ca="1">AP52+'SC-III'!AP54</f>
        <v>0</v>
      </c>
      <c r="AQ54" s="284">
        <f ca="1">AQ52+'SC-III'!AQ54</f>
        <v>0</v>
      </c>
      <c r="AR54" s="284">
        <f ca="1">AR52+'SC-III'!AR54</f>
        <v>0</v>
      </c>
      <c r="AS54" s="284">
        <f ca="1">AS52+'SC-III'!AS54</f>
        <v>0</v>
      </c>
      <c r="AT54" s="284">
        <f ca="1">AT52+'SC-III'!AT54</f>
        <v>0</v>
      </c>
      <c r="AU54" s="284">
        <f ca="1">AU52+'SC-III'!AU54</f>
        <v>0</v>
      </c>
      <c r="AV54" s="284">
        <f ca="1">AV52+'SC-III'!AV54</f>
        <v>0</v>
      </c>
      <c r="AW54" s="284">
        <f ca="1">AW52+'SC-III'!AW54</f>
        <v>0</v>
      </c>
      <c r="AX54" s="284">
        <f ca="1">AX52+'SC-III'!AX54</f>
        <v>0</v>
      </c>
      <c r="AY54" s="284">
        <f ca="1">AY52+'SC-III'!AY54</f>
        <v>0</v>
      </c>
      <c r="AZ54" s="284">
        <f ca="1">AZ52+'SC-III'!AZ54</f>
        <v>0</v>
      </c>
      <c r="BA54" s="284">
        <f ca="1">BA52+'SC-III'!BA54</f>
        <v>0</v>
      </c>
      <c r="BB54" s="284">
        <f ca="1">BB52+'SC-III'!BB54</f>
        <v>0</v>
      </c>
      <c r="BC54" s="284">
        <f ca="1">BC52+'SC-III'!BC54</f>
        <v>0</v>
      </c>
      <c r="BD54" s="284">
        <f ca="1">BD52+'SC-III'!BD54</f>
        <v>0</v>
      </c>
      <c r="BE54" s="284">
        <f ca="1">BE52+'SC-III'!BE54</f>
        <v>0</v>
      </c>
      <c r="BF54" s="284">
        <f ca="1">BF52+'SC-III'!BF54</f>
        <v>0</v>
      </c>
      <c r="BG54" s="284">
        <f ca="1">BG52+'SC-III'!BG54</f>
        <v>0</v>
      </c>
      <c r="BH54" s="284">
        <f ca="1">BH52+'SC-III'!BH54</f>
        <v>0</v>
      </c>
      <c r="BI54" s="284">
        <f ca="1">BI52+'SC-III'!BI54</f>
        <v>0</v>
      </c>
      <c r="BJ54" s="284">
        <f ca="1">BJ52+'SC-III'!BJ54</f>
        <v>0</v>
      </c>
      <c r="BK54" s="284">
        <f ca="1">BK52+'SC-III'!BK54</f>
        <v>0</v>
      </c>
      <c r="BL54" s="284">
        <f ca="1">BL52+'SC-III'!BL54</f>
        <v>0</v>
      </c>
      <c r="BM54" s="284">
        <f ca="1">BM52+'SC-III'!BM54</f>
        <v>0</v>
      </c>
      <c r="BN54" s="284">
        <f ca="1">BN52+'SC-III'!BN54</f>
        <v>0</v>
      </c>
      <c r="BO54" s="284">
        <f ca="1">BO52+'SC-III'!BO54</f>
        <v>0</v>
      </c>
      <c r="BP54" s="284">
        <f ca="1">BP52+'SC-III'!BP54</f>
        <v>0</v>
      </c>
      <c r="BQ54" s="284">
        <f ca="1">BQ52+'SC-III'!BQ54</f>
        <v>0</v>
      </c>
      <c r="BR54" s="284">
        <f ca="1">BR52+'SC-III'!BR54</f>
        <v>0</v>
      </c>
      <c r="BS54" s="284">
        <f ca="1">BS52+'SC-III'!BS54</f>
        <v>0</v>
      </c>
      <c r="BT54" s="284">
        <f ca="1">BT52+'SC-III'!BT54</f>
        <v>0</v>
      </c>
      <c r="BU54" s="284">
        <f ca="1">BU52+'SC-III'!BU54</f>
        <v>0</v>
      </c>
      <c r="BV54" s="284">
        <f ca="1">BV52+'SC-III'!BV54</f>
        <v>0</v>
      </c>
      <c r="BW54" s="284">
        <f ca="1">BW52+'SC-III'!BW54</f>
        <v>0</v>
      </c>
      <c r="BX54" s="284">
        <f ca="1">BX52+'SC-III'!BX54</f>
        <v>0</v>
      </c>
      <c r="BY54" s="284">
        <f ca="1">BY52+'SC-III'!BY54</f>
        <v>0</v>
      </c>
      <c r="BZ54" s="284">
        <f ca="1">BZ52+'SC-III'!BZ54</f>
        <v>0</v>
      </c>
      <c r="CA54" s="284">
        <f ca="1">CA52+'SC-III'!CA54</f>
        <v>107861885.00000048</v>
      </c>
      <c r="CB54" s="284">
        <f ca="1">CB52+'SC-III'!CB54</f>
        <v>107861885.00000048</v>
      </c>
      <c r="CC54" s="284">
        <f ca="1">CC52+'SC-III'!CC54</f>
        <v>0</v>
      </c>
      <c r="CD54" s="284">
        <f ca="1">CD52+'SC-III'!CD54</f>
        <v>0</v>
      </c>
      <c r="CE54" s="284">
        <f ca="1">CE52+'SC-III'!CE54</f>
        <v>0</v>
      </c>
      <c r="CF54" s="284">
        <f ca="1">CF52+'SC-III'!CF54</f>
        <v>0</v>
      </c>
      <c r="CG54" s="284">
        <f ca="1">CG52+'SC-III'!CG54</f>
        <v>0</v>
      </c>
      <c r="CH54" s="284">
        <f ca="1">CH52+'SC-III'!CH54</f>
        <v>0</v>
      </c>
      <c r="CI54" s="284">
        <f ca="1">CI52+'SC-III'!CI54</f>
        <v>0</v>
      </c>
      <c r="CJ54" s="284">
        <f ca="1">CJ52+'SC-III'!CJ54</f>
        <v>0</v>
      </c>
      <c r="CK54" s="284">
        <f ca="1">CK52+'SC-III'!CK54</f>
        <v>0</v>
      </c>
      <c r="CL54" s="284">
        <f ca="1">CL52+'SC-III'!CL54</f>
        <v>0</v>
      </c>
      <c r="CM54" s="284">
        <f ca="1">CM52+'SC-III'!CM54</f>
        <v>0</v>
      </c>
      <c r="CN54" s="284">
        <f ca="1">CN52+'SC-III'!CN54</f>
        <v>0</v>
      </c>
      <c r="CO54" s="284">
        <f ca="1">CO52+'SC-III'!CO54</f>
        <v>0</v>
      </c>
      <c r="CP54" s="284">
        <f ca="1">CP52+'SC-III'!CP54</f>
        <v>0</v>
      </c>
      <c r="CQ54" s="284">
        <f ca="1">CQ52+'SC-III'!CQ54</f>
        <v>0</v>
      </c>
      <c r="CR54" s="284">
        <f ca="1">CR52+'SC-III'!CR54</f>
        <v>0</v>
      </c>
      <c r="CS54" s="284">
        <f ca="1">CS52+'SC-III'!CS54</f>
        <v>0</v>
      </c>
      <c r="CT54" s="284">
        <f ca="1">CT52+'SC-III'!CT54</f>
        <v>0</v>
      </c>
      <c r="CU54" s="284">
        <f ca="1">CU52+'SC-III'!CU54</f>
        <v>0</v>
      </c>
      <c r="CV54" s="284">
        <f ca="1">CV52+'SC-III'!CV54</f>
        <v>0</v>
      </c>
      <c r="CW54" s="284">
        <f ca="1">CW52+'SC-III'!CW54</f>
        <v>0</v>
      </c>
      <c r="CX54" s="284">
        <f ca="1">CX52+'SC-III'!CX54</f>
        <v>0</v>
      </c>
      <c r="CY54" s="284">
        <f ca="1">CY52+'SC-III'!CY54</f>
        <v>0</v>
      </c>
      <c r="CZ54" s="284">
        <f ca="1">CZ52+'SC-III'!CZ54</f>
        <v>0</v>
      </c>
      <c r="DA54" s="284">
        <f ca="1">DA52+'SC-III'!DA54</f>
        <v>0</v>
      </c>
    </row>
    <row r="55" spans="1:105" ht="12" customHeight="1">
      <c r="B55" s="289"/>
      <c r="C55" s="290"/>
      <c r="D55" s="290"/>
      <c r="E55" s="290"/>
      <c r="F55" s="290"/>
      <c r="G55" s="291"/>
      <c r="H55" s="291"/>
      <c r="I55" s="290"/>
      <c r="J55" s="290"/>
      <c r="K55" s="290"/>
      <c r="AB55" s="290"/>
      <c r="AC55" s="290"/>
      <c r="AD55" s="290"/>
      <c r="AE55" s="291"/>
      <c r="AF55" s="290"/>
      <c r="AG55" s="291"/>
      <c r="AH55" s="291"/>
      <c r="AI55" s="291"/>
      <c r="AJ55" s="291"/>
      <c r="AK55" s="307"/>
      <c r="AL55" s="290"/>
      <c r="AM55" s="290"/>
      <c r="AN55" s="290"/>
      <c r="AO55" s="290"/>
      <c r="AR55" s="290"/>
      <c r="AS55" s="290"/>
      <c r="AT55" s="290"/>
      <c r="AU55" s="290"/>
      <c r="AV55" s="290"/>
      <c r="AW55" s="290"/>
      <c r="AZ55" s="290"/>
      <c r="BA55" s="290"/>
    </row>
    <row r="56" spans="1:105" ht="12" customHeight="1">
      <c r="B56" s="289"/>
      <c r="C56" s="290"/>
      <c r="D56" s="290"/>
      <c r="E56" s="290"/>
      <c r="F56" s="290"/>
      <c r="G56" s="291"/>
      <c r="H56" s="291"/>
      <c r="I56" s="290"/>
      <c r="J56" s="290"/>
      <c r="K56" s="290"/>
      <c r="AB56" s="290"/>
      <c r="AC56" s="290"/>
      <c r="AD56" s="290"/>
      <c r="AE56" s="291"/>
      <c r="AF56" s="290"/>
      <c r="AG56" s="291"/>
      <c r="AH56" s="291"/>
      <c r="AI56" s="291"/>
      <c r="AJ56" s="291"/>
      <c r="AK56" s="307"/>
      <c r="AL56" s="293" t="s">
        <v>251</v>
      </c>
      <c r="AM56" s="294"/>
      <c r="AN56" s="294"/>
      <c r="AO56" s="294"/>
      <c r="AP56" s="294"/>
      <c r="AQ56" s="294"/>
      <c r="AR56" s="295"/>
      <c r="AS56" s="295"/>
      <c r="AT56" s="294"/>
    </row>
    <row r="57" spans="1:105" ht="12" customHeight="1">
      <c r="J57" s="292"/>
      <c r="K57" s="292"/>
      <c r="L57" s="292"/>
      <c r="M57" s="309"/>
      <c r="N57" s="292"/>
      <c r="O57" s="309"/>
      <c r="P57" s="309"/>
      <c r="Q57" s="309"/>
      <c r="R57" s="292"/>
      <c r="AE57" s="254"/>
      <c r="AG57" s="254"/>
      <c r="AH57" s="254"/>
      <c r="AI57" s="254"/>
      <c r="AJ57" s="254"/>
      <c r="AK57" s="310"/>
      <c r="AL57" s="296" t="s">
        <v>232</v>
      </c>
      <c r="AM57" s="294"/>
      <c r="AN57" s="294"/>
      <c r="AO57" s="294"/>
      <c r="AP57" s="294"/>
      <c r="AQ57" s="294"/>
      <c r="AR57" s="295"/>
      <c r="AS57" s="295"/>
      <c r="AT57" s="294"/>
    </row>
    <row r="58" spans="1:105" s="260" customFormat="1" ht="12" customHeight="1">
      <c r="F58" s="311"/>
      <c r="G58" s="312"/>
      <c r="H58" s="312"/>
      <c r="R58" s="313"/>
      <c r="Z58" s="253"/>
      <c r="AA58" s="253"/>
      <c r="AE58" s="312"/>
      <c r="AG58" s="312"/>
      <c r="AH58" s="312"/>
      <c r="AI58" s="312"/>
      <c r="AJ58" s="312"/>
      <c r="AK58" s="314"/>
      <c r="AL58" s="294"/>
      <c r="AM58" s="294"/>
      <c r="AN58" s="294"/>
      <c r="AO58" s="294"/>
      <c r="AP58" s="294"/>
      <c r="AQ58" s="294"/>
      <c r="AR58" s="294"/>
      <c r="AS58" s="294"/>
      <c r="AT58" s="295"/>
      <c r="AU58" s="253"/>
      <c r="AV58" s="253"/>
      <c r="AW58" s="253"/>
      <c r="AX58" s="253"/>
      <c r="AY58" s="253"/>
      <c r="AZ58" s="253"/>
      <c r="BA58" s="253"/>
    </row>
    <row r="59" spans="1:105" ht="12" customHeight="1">
      <c r="L59" s="272"/>
      <c r="N59" s="272"/>
      <c r="AE59" s="254"/>
      <c r="AG59" s="254"/>
      <c r="AH59" s="254"/>
      <c r="AI59" s="254"/>
      <c r="AJ59" s="254"/>
      <c r="AK59" s="310"/>
      <c r="AL59" s="294"/>
      <c r="AM59" s="294"/>
      <c r="AN59" s="294"/>
      <c r="AO59" s="294"/>
      <c r="AP59" s="294"/>
      <c r="AQ59" s="294"/>
      <c r="AR59" s="294"/>
      <c r="AS59" s="294"/>
      <c r="AT59" s="295"/>
      <c r="AZ59" s="297" t="str">
        <f>"Ngày 31 tháng 12 năm 2015 "</f>
        <v xml:space="preserve">Ngày 31 tháng 12 năm 2015 </v>
      </c>
    </row>
    <row r="60" spans="1:105">
      <c r="J60" s="272"/>
      <c r="K60" s="272"/>
      <c r="AL60" s="294"/>
      <c r="AM60" s="298" t="s">
        <v>11</v>
      </c>
      <c r="AN60" s="294"/>
      <c r="AO60" s="294"/>
      <c r="AP60" s="294"/>
      <c r="AQ60" s="294"/>
      <c r="AR60" s="294"/>
      <c r="AS60" s="299" t="s">
        <v>12</v>
      </c>
      <c r="AT60" s="295"/>
      <c r="AZ60" s="298" t="s">
        <v>131</v>
      </c>
    </row>
    <row r="61" spans="1:105">
      <c r="T61" s="272"/>
      <c r="AL61" s="294"/>
      <c r="AM61" s="300" t="s">
        <v>13</v>
      </c>
      <c r="AN61" s="294"/>
      <c r="AO61" s="294"/>
      <c r="AP61" s="294"/>
      <c r="AQ61" s="294"/>
      <c r="AR61" s="294"/>
      <c r="AS61" s="301" t="s">
        <v>13</v>
      </c>
      <c r="AT61" s="295"/>
      <c r="AZ61" s="300" t="s">
        <v>161</v>
      </c>
    </row>
    <row r="62" spans="1:105">
      <c r="F62" s="272"/>
      <c r="T62" s="272"/>
      <c r="AL62" s="294"/>
      <c r="AM62" s="294"/>
      <c r="AN62" s="294"/>
      <c r="AO62" s="294"/>
      <c r="AP62" s="294"/>
      <c r="AQ62" s="294"/>
      <c r="AR62" s="294"/>
      <c r="AS62" s="294"/>
      <c r="AT62" s="295"/>
      <c r="AZ62" s="294"/>
    </row>
    <row r="63" spans="1:105">
      <c r="F63" s="272"/>
      <c r="T63" s="272"/>
      <c r="AZ63" s="294"/>
    </row>
    <row r="64" spans="1:105">
      <c r="F64" s="272"/>
      <c r="G64" s="272"/>
      <c r="T64" s="272"/>
    </row>
    <row r="65" spans="5:20">
      <c r="F65" s="272"/>
      <c r="T65" s="272"/>
    </row>
    <row r="66" spans="5:20">
      <c r="F66" s="272"/>
      <c r="T66" s="272"/>
    </row>
    <row r="67" spans="5:20">
      <c r="F67" s="272"/>
      <c r="M67" s="292"/>
      <c r="O67" s="292"/>
      <c r="P67" s="292"/>
      <c r="Q67" s="292"/>
      <c r="R67" s="292"/>
      <c r="T67" s="272"/>
    </row>
    <row r="68" spans="5:20">
      <c r="E68" s="303"/>
      <c r="F68" s="272"/>
      <c r="M68" s="292"/>
      <c r="O68" s="292"/>
      <c r="P68" s="292"/>
      <c r="Q68" s="292"/>
      <c r="R68" s="292"/>
    </row>
    <row r="69" spans="5:20">
      <c r="F69" s="292"/>
      <c r="M69" s="292"/>
      <c r="O69" s="292"/>
      <c r="P69" s="292"/>
      <c r="Q69" s="292"/>
      <c r="R69" s="292"/>
    </row>
    <row r="70" spans="5:20">
      <c r="F70" s="292"/>
      <c r="M70" s="292"/>
      <c r="O70" s="292"/>
      <c r="P70" s="292"/>
      <c r="Q70" s="292"/>
      <c r="R70" s="292"/>
    </row>
    <row r="71" spans="5:20">
      <c r="E71" s="292"/>
      <c r="F71" s="292"/>
      <c r="M71" s="292"/>
      <c r="O71" s="292"/>
      <c r="P71" s="292"/>
      <c r="Q71" s="292"/>
      <c r="R71" s="292"/>
    </row>
    <row r="72" spans="5:20">
      <c r="E72" s="292"/>
      <c r="F72" s="292"/>
      <c r="M72" s="292"/>
      <c r="O72" s="292"/>
      <c r="P72" s="292"/>
      <c r="Q72" s="292"/>
      <c r="R72" s="292"/>
    </row>
    <row r="73" spans="5:20">
      <c r="E73" s="292"/>
      <c r="F73" s="292"/>
      <c r="M73" s="292"/>
      <c r="O73" s="292"/>
      <c r="P73" s="292"/>
      <c r="Q73" s="292"/>
      <c r="R73" s="292"/>
    </row>
    <row r="74" spans="5:20">
      <c r="E74" s="292"/>
      <c r="F74" s="292"/>
      <c r="M74" s="292"/>
      <c r="O74" s="292"/>
      <c r="P74" s="292"/>
      <c r="Q74" s="292"/>
      <c r="R74" s="292"/>
    </row>
    <row r="75" spans="5:20">
      <c r="E75" s="292"/>
      <c r="F75" s="292"/>
      <c r="M75" s="292"/>
      <c r="O75" s="292"/>
      <c r="P75" s="292"/>
      <c r="Q75" s="292"/>
      <c r="R75" s="292"/>
    </row>
    <row r="76" spans="5:20">
      <c r="E76" s="292"/>
      <c r="F76" s="292"/>
      <c r="M76" s="292"/>
      <c r="O76" s="292"/>
      <c r="P76" s="292"/>
      <c r="Q76" s="292"/>
      <c r="R76" s="292"/>
    </row>
    <row r="77" spans="5:20">
      <c r="F77" s="292"/>
      <c r="M77" s="292"/>
      <c r="O77" s="292"/>
      <c r="P77" s="292"/>
      <c r="Q77" s="292"/>
      <c r="R77" s="292"/>
    </row>
    <row r="78" spans="5:20">
      <c r="F78" s="292"/>
      <c r="M78" s="292"/>
      <c r="O78" s="292"/>
      <c r="P78" s="292"/>
      <c r="Q78" s="292"/>
      <c r="R78" s="292"/>
    </row>
    <row r="79" spans="5:20">
      <c r="F79" s="292"/>
      <c r="M79" s="292"/>
      <c r="O79" s="292"/>
      <c r="P79" s="292"/>
      <c r="Q79" s="292"/>
      <c r="R79" s="292"/>
    </row>
    <row r="80" spans="5:20">
      <c r="F80" s="292"/>
      <c r="M80" s="292"/>
      <c r="O80" s="292"/>
      <c r="P80" s="292"/>
      <c r="Q80" s="292"/>
      <c r="R80" s="292"/>
    </row>
    <row r="81" spans="6:18">
      <c r="F81" s="292"/>
      <c r="M81" s="292"/>
      <c r="O81" s="292"/>
      <c r="P81" s="292"/>
      <c r="Q81" s="292"/>
      <c r="R81" s="292"/>
    </row>
    <row r="82" spans="6:18">
      <c r="F82" s="292"/>
      <c r="M82" s="292"/>
      <c r="O82" s="292"/>
      <c r="P82" s="292"/>
      <c r="Q82" s="292"/>
      <c r="R82" s="292"/>
    </row>
    <row r="83" spans="6:18">
      <c r="M83" s="292"/>
      <c r="O83" s="292"/>
      <c r="P83" s="292"/>
      <c r="Q83" s="292"/>
      <c r="R83" s="292"/>
    </row>
    <row r="85" spans="6:18">
      <c r="M85" s="292"/>
      <c r="O85" s="292"/>
      <c r="P85" s="292"/>
      <c r="Q85" s="292"/>
      <c r="R85" s="292"/>
    </row>
    <row r="86" spans="6:18">
      <c r="M86" s="292"/>
      <c r="O86" s="292"/>
      <c r="P86" s="292"/>
      <c r="Q86" s="292"/>
      <c r="R86" s="292"/>
    </row>
    <row r="87" spans="6:18">
      <c r="M87" s="292"/>
      <c r="O87" s="292"/>
      <c r="P87" s="292"/>
      <c r="Q87" s="292"/>
      <c r="R87" s="292"/>
    </row>
    <row r="88" spans="6:18">
      <c r="M88" s="292"/>
      <c r="O88" s="292"/>
      <c r="P88" s="292"/>
      <c r="Q88" s="292"/>
      <c r="R88" s="292"/>
    </row>
    <row r="89" spans="6:18">
      <c r="M89" s="292"/>
      <c r="O89" s="292"/>
      <c r="P89" s="292"/>
      <c r="Q89" s="292"/>
      <c r="R89" s="292"/>
    </row>
    <row r="90" spans="6:18">
      <c r="M90" s="292"/>
      <c r="O90" s="292"/>
      <c r="P90" s="292"/>
      <c r="Q90" s="292"/>
      <c r="R90" s="292"/>
    </row>
    <row r="103" spans="13:17">
      <c r="M103" s="292"/>
      <c r="O103" s="292"/>
      <c r="P103" s="292"/>
      <c r="Q103" s="292"/>
    </row>
    <row r="120" spans="13:18">
      <c r="R120" s="292"/>
    </row>
    <row r="121" spans="13:18">
      <c r="R121" s="292"/>
    </row>
    <row r="122" spans="13:18">
      <c r="M122" s="292"/>
      <c r="O122" s="292"/>
      <c r="P122" s="292"/>
      <c r="Q122" s="292"/>
      <c r="R122" s="292"/>
    </row>
    <row r="123" spans="13:18">
      <c r="M123" s="292"/>
      <c r="O123" s="292"/>
      <c r="P123" s="292"/>
      <c r="Q123" s="292"/>
      <c r="R123" s="292"/>
    </row>
    <row r="124" spans="13:18">
      <c r="M124" s="292"/>
      <c r="O124" s="292"/>
      <c r="P124" s="292"/>
      <c r="Q124" s="292"/>
    </row>
    <row r="125" spans="13:18">
      <c r="M125" s="292"/>
      <c r="O125" s="292"/>
      <c r="P125" s="292"/>
      <c r="Q125" s="292"/>
    </row>
    <row r="127" spans="13:18">
      <c r="M127" s="292"/>
      <c r="O127" s="292"/>
      <c r="P127" s="292"/>
      <c r="Q127" s="292"/>
      <c r="R127" s="292"/>
    </row>
    <row r="128" spans="13:18">
      <c r="M128" s="292"/>
      <c r="O128" s="292"/>
      <c r="P128" s="292"/>
      <c r="Q128" s="292"/>
      <c r="R128" s="292"/>
    </row>
    <row r="135" spans="13:18">
      <c r="M135" s="292"/>
      <c r="O135" s="292"/>
      <c r="P135" s="292"/>
      <c r="Q135" s="292"/>
      <c r="R135" s="292"/>
    </row>
    <row r="136" spans="13:18">
      <c r="M136" s="292"/>
      <c r="O136" s="292"/>
      <c r="P136" s="292"/>
      <c r="Q136" s="292"/>
      <c r="R136" s="292"/>
    </row>
    <row r="137" spans="13:18">
      <c r="M137" s="292"/>
      <c r="O137" s="292"/>
      <c r="P137" s="292"/>
      <c r="Q137" s="292"/>
      <c r="R137" s="292"/>
    </row>
    <row r="141" spans="13:18">
      <c r="M141" s="292"/>
      <c r="O141" s="292"/>
      <c r="P141" s="292"/>
      <c r="Q141" s="292"/>
      <c r="R141" s="292"/>
    </row>
    <row r="142" spans="13:18">
      <c r="M142" s="292"/>
      <c r="O142" s="292"/>
      <c r="P142" s="292"/>
      <c r="Q142" s="292"/>
      <c r="R142" s="292"/>
    </row>
    <row r="143" spans="13:18">
      <c r="M143" s="292"/>
      <c r="O143" s="292"/>
      <c r="P143" s="292"/>
      <c r="Q143" s="292"/>
      <c r="R143" s="292"/>
    </row>
    <row r="144" spans="13:18">
      <c r="M144" s="292"/>
      <c r="O144" s="292"/>
      <c r="P144" s="292"/>
      <c r="Q144" s="292"/>
      <c r="R144" s="292"/>
    </row>
    <row r="145" spans="13:18">
      <c r="M145" s="292"/>
      <c r="O145" s="292"/>
      <c r="P145" s="292"/>
      <c r="Q145" s="292"/>
      <c r="R145" s="292"/>
    </row>
    <row r="146" spans="13:18">
      <c r="M146" s="292"/>
      <c r="O146" s="292"/>
      <c r="P146" s="292"/>
      <c r="Q146" s="292"/>
      <c r="R146" s="292"/>
    </row>
    <row r="147" spans="13:18">
      <c r="M147" s="292"/>
      <c r="O147" s="292"/>
      <c r="P147" s="292"/>
      <c r="Q147" s="292"/>
      <c r="R147" s="292"/>
    </row>
    <row r="148" spans="13:18">
      <c r="M148" s="292"/>
      <c r="O148" s="292"/>
      <c r="P148" s="292"/>
      <c r="Q148" s="292"/>
      <c r="R148" s="292"/>
    </row>
    <row r="149" spans="13:18">
      <c r="M149" s="292"/>
      <c r="O149" s="292"/>
      <c r="P149" s="292"/>
      <c r="Q149" s="292"/>
      <c r="R149" s="292"/>
    </row>
    <row r="150" spans="13:18">
      <c r="M150" s="292"/>
      <c r="O150" s="292"/>
      <c r="P150" s="292"/>
      <c r="Q150" s="292"/>
      <c r="R150" s="292"/>
    </row>
    <row r="151" spans="13:18">
      <c r="M151" s="292"/>
      <c r="O151" s="292"/>
      <c r="P151" s="292"/>
      <c r="Q151" s="292"/>
      <c r="R151" s="292"/>
    </row>
    <row r="152" spans="13:18">
      <c r="M152" s="292"/>
      <c r="O152" s="292"/>
      <c r="P152" s="292"/>
      <c r="Q152" s="292"/>
      <c r="R152" s="292"/>
    </row>
    <row r="153" spans="13:18">
      <c r="M153" s="292"/>
      <c r="O153" s="292"/>
      <c r="P153" s="292"/>
      <c r="Q153" s="292"/>
      <c r="R153" s="292"/>
    </row>
    <row r="154" spans="13:18">
      <c r="M154" s="292"/>
      <c r="O154" s="292"/>
      <c r="P154" s="292"/>
      <c r="Q154" s="292"/>
      <c r="R154" s="292"/>
    </row>
    <row r="155" spans="13:18">
      <c r="M155" s="292"/>
      <c r="O155" s="292"/>
      <c r="P155" s="292"/>
      <c r="Q155" s="292"/>
      <c r="R155" s="292"/>
    </row>
    <row r="156" spans="13:18">
      <c r="M156" s="292"/>
      <c r="O156" s="292"/>
      <c r="P156" s="292"/>
      <c r="Q156" s="292"/>
      <c r="R156" s="292"/>
    </row>
    <row r="157" spans="13:18">
      <c r="M157" s="292"/>
      <c r="O157" s="292"/>
      <c r="P157" s="292"/>
      <c r="Q157" s="292"/>
      <c r="R157" s="292"/>
    </row>
    <row r="158" spans="13:18">
      <c r="M158" s="292"/>
      <c r="O158" s="292"/>
      <c r="P158" s="292"/>
      <c r="Q158" s="292"/>
      <c r="R158" s="292"/>
    </row>
    <row r="159" spans="13:18">
      <c r="M159" s="292"/>
      <c r="O159" s="292"/>
      <c r="P159" s="292"/>
      <c r="Q159" s="292"/>
      <c r="R159" s="292"/>
    </row>
    <row r="160" spans="13:18">
      <c r="M160" s="292"/>
      <c r="O160" s="292"/>
      <c r="P160" s="292"/>
      <c r="Q160" s="292"/>
      <c r="R160" s="292"/>
    </row>
    <row r="161" spans="13:18">
      <c r="M161" s="292"/>
      <c r="O161" s="292"/>
      <c r="P161" s="292"/>
      <c r="Q161" s="292"/>
      <c r="R161" s="292"/>
    </row>
    <row r="162" spans="13:18">
      <c r="M162" s="292"/>
      <c r="O162" s="292"/>
      <c r="P162" s="292"/>
      <c r="Q162" s="292"/>
      <c r="R162" s="292"/>
    </row>
    <row r="163" spans="13:18">
      <c r="M163" s="292"/>
      <c r="O163" s="292"/>
      <c r="P163" s="292"/>
      <c r="Q163" s="292"/>
      <c r="R163" s="292"/>
    </row>
    <row r="164" spans="13:18">
      <c r="M164" s="292"/>
      <c r="O164" s="292"/>
      <c r="P164" s="292"/>
      <c r="Q164" s="292"/>
      <c r="R164" s="292"/>
    </row>
    <row r="165" spans="13:18">
      <c r="M165" s="292"/>
      <c r="O165" s="292"/>
      <c r="P165" s="292"/>
      <c r="Q165" s="292"/>
      <c r="R165" s="292"/>
    </row>
    <row r="166" spans="13:18">
      <c r="M166" s="292"/>
      <c r="O166" s="292"/>
      <c r="P166" s="292"/>
      <c r="Q166" s="292"/>
      <c r="R166" s="292"/>
    </row>
    <row r="167" spans="13:18">
      <c r="M167" s="292"/>
      <c r="O167" s="292"/>
      <c r="P167" s="292"/>
      <c r="Q167" s="292"/>
      <c r="R167" s="292"/>
    </row>
    <row r="168" spans="13:18">
      <c r="M168" s="292"/>
      <c r="O168" s="292"/>
      <c r="P168" s="292"/>
      <c r="Q168" s="292"/>
      <c r="R168" s="292"/>
    </row>
    <row r="169" spans="13:18">
      <c r="M169" s="292"/>
      <c r="O169" s="292"/>
      <c r="P169" s="292"/>
      <c r="Q169" s="292"/>
      <c r="R169" s="292"/>
    </row>
    <row r="170" spans="13:18">
      <c r="M170" s="292"/>
      <c r="O170" s="292"/>
      <c r="P170" s="292"/>
      <c r="Q170" s="292"/>
      <c r="R170" s="292"/>
    </row>
    <row r="171" spans="13:18">
      <c r="M171" s="292"/>
      <c r="O171" s="292"/>
      <c r="P171" s="292"/>
      <c r="Q171" s="292"/>
      <c r="R171" s="292"/>
    </row>
    <row r="172" spans="13:18">
      <c r="M172" s="292"/>
      <c r="O172" s="292"/>
      <c r="P172" s="292"/>
      <c r="Q172" s="292"/>
      <c r="R172" s="292"/>
    </row>
    <row r="173" spans="13:18">
      <c r="M173" s="292"/>
      <c r="O173" s="292"/>
      <c r="P173" s="292"/>
      <c r="Q173" s="292"/>
      <c r="R173" s="292"/>
    </row>
    <row r="174" spans="13:18">
      <c r="M174" s="292"/>
      <c r="O174" s="292"/>
      <c r="P174" s="292"/>
      <c r="Q174" s="292"/>
      <c r="R174" s="292"/>
    </row>
    <row r="175" spans="13:18">
      <c r="M175" s="292"/>
      <c r="O175" s="292"/>
      <c r="P175" s="292"/>
      <c r="Q175" s="292"/>
      <c r="R175" s="292"/>
    </row>
    <row r="176" spans="13:18">
      <c r="M176" s="292"/>
      <c r="O176" s="292"/>
      <c r="P176" s="292"/>
      <c r="Q176" s="292"/>
      <c r="R176" s="292"/>
    </row>
    <row r="177" spans="13:18">
      <c r="M177" s="292"/>
      <c r="O177" s="292"/>
      <c r="P177" s="292"/>
      <c r="Q177" s="292"/>
      <c r="R177" s="292"/>
    </row>
    <row r="178" spans="13:18">
      <c r="M178" s="292"/>
      <c r="O178" s="292"/>
      <c r="P178" s="292"/>
      <c r="Q178" s="292"/>
      <c r="R178" s="292"/>
    </row>
    <row r="179" spans="13:18">
      <c r="M179" s="292"/>
      <c r="O179" s="292"/>
      <c r="P179" s="292"/>
      <c r="Q179" s="292"/>
      <c r="R179" s="292"/>
    </row>
    <row r="180" spans="13:18">
      <c r="M180" s="292"/>
      <c r="O180" s="292"/>
      <c r="P180" s="292"/>
      <c r="Q180" s="292"/>
      <c r="R180" s="292"/>
    </row>
    <row r="181" spans="13:18">
      <c r="M181" s="292"/>
      <c r="O181" s="292"/>
      <c r="P181" s="292"/>
      <c r="Q181" s="292"/>
      <c r="R181" s="292"/>
    </row>
    <row r="182" spans="13:18">
      <c r="M182" s="292"/>
      <c r="O182" s="292"/>
      <c r="P182" s="292"/>
      <c r="Q182" s="292"/>
      <c r="R182" s="292"/>
    </row>
    <row r="183" spans="13:18">
      <c r="M183" s="292"/>
      <c r="O183" s="292"/>
      <c r="P183" s="292"/>
      <c r="Q183" s="292"/>
      <c r="R183" s="292"/>
    </row>
    <row r="184" spans="13:18">
      <c r="M184" s="292"/>
      <c r="O184" s="292"/>
      <c r="P184" s="292"/>
      <c r="Q184" s="292"/>
      <c r="R184" s="292"/>
    </row>
    <row r="185" spans="13:18">
      <c r="M185" s="292"/>
      <c r="O185" s="292"/>
      <c r="P185" s="292"/>
      <c r="Q185" s="292"/>
      <c r="R185" s="292"/>
    </row>
    <row r="186" spans="13:18">
      <c r="M186" s="292"/>
      <c r="O186" s="292"/>
      <c r="P186" s="292"/>
      <c r="Q186" s="292"/>
      <c r="R186" s="292"/>
    </row>
    <row r="187" spans="13:18">
      <c r="M187" s="292"/>
      <c r="O187" s="292"/>
      <c r="P187" s="292"/>
      <c r="Q187" s="292"/>
      <c r="R187" s="292"/>
    </row>
    <row r="188" spans="13:18">
      <c r="M188" s="292"/>
      <c r="O188" s="292"/>
      <c r="P188" s="292"/>
      <c r="Q188" s="292"/>
      <c r="R188" s="292"/>
    </row>
    <row r="189" spans="13:18">
      <c r="M189" s="292"/>
      <c r="O189" s="292"/>
      <c r="P189" s="292"/>
      <c r="Q189" s="292"/>
      <c r="R189" s="292"/>
    </row>
    <row r="190" spans="13:18">
      <c r="M190" s="292"/>
      <c r="O190" s="292"/>
      <c r="P190" s="292"/>
      <c r="Q190" s="292"/>
      <c r="R190" s="292"/>
    </row>
    <row r="191" spans="13:18">
      <c r="M191" s="292"/>
      <c r="O191" s="292"/>
      <c r="P191" s="292"/>
      <c r="Q191" s="292"/>
      <c r="R191" s="292"/>
    </row>
    <row r="192" spans="13:18">
      <c r="M192" s="292"/>
      <c r="O192" s="292"/>
      <c r="P192" s="292"/>
      <c r="Q192" s="292"/>
      <c r="R192" s="292"/>
    </row>
    <row r="193" spans="13:18">
      <c r="M193" s="292"/>
      <c r="O193" s="292"/>
      <c r="P193" s="292"/>
      <c r="Q193" s="292"/>
      <c r="R193" s="292"/>
    </row>
    <row r="194" spans="13:18">
      <c r="M194" s="292"/>
      <c r="O194" s="292"/>
      <c r="P194" s="292"/>
      <c r="Q194" s="292"/>
      <c r="R194" s="292"/>
    </row>
    <row r="195" spans="13:18">
      <c r="M195" s="292"/>
      <c r="O195" s="292"/>
      <c r="P195" s="292"/>
      <c r="Q195" s="292"/>
      <c r="R195" s="292"/>
    </row>
    <row r="196" spans="13:18">
      <c r="M196" s="292"/>
      <c r="O196" s="292"/>
      <c r="P196" s="292"/>
      <c r="Q196" s="292"/>
      <c r="R196" s="292"/>
    </row>
    <row r="197" spans="13:18">
      <c r="M197" s="292"/>
      <c r="O197" s="292"/>
      <c r="P197" s="292"/>
      <c r="Q197" s="292"/>
      <c r="R197" s="292"/>
    </row>
    <row r="198" spans="13:18">
      <c r="M198" s="292"/>
      <c r="O198" s="292"/>
      <c r="P198" s="292"/>
      <c r="Q198" s="292"/>
      <c r="R198" s="292"/>
    </row>
    <row r="199" spans="13:18">
      <c r="M199" s="292"/>
      <c r="O199" s="292"/>
      <c r="P199" s="292"/>
      <c r="Q199" s="292"/>
      <c r="R199" s="292"/>
    </row>
    <row r="200" spans="13:18">
      <c r="M200" s="292"/>
      <c r="O200" s="292"/>
      <c r="P200" s="292"/>
      <c r="Q200" s="292"/>
      <c r="R200" s="292"/>
    </row>
    <row r="201" spans="13:18">
      <c r="M201" s="292"/>
      <c r="O201" s="292"/>
      <c r="P201" s="292"/>
      <c r="Q201" s="292"/>
      <c r="R201" s="292"/>
    </row>
    <row r="202" spans="13:18">
      <c r="M202" s="292"/>
      <c r="O202" s="292"/>
      <c r="P202" s="292"/>
      <c r="Q202" s="292"/>
      <c r="R202" s="292"/>
    </row>
    <row r="203" spans="13:18">
      <c r="M203" s="292"/>
      <c r="O203" s="292"/>
      <c r="P203" s="292"/>
      <c r="Q203" s="292"/>
      <c r="R203" s="292"/>
    </row>
    <row r="204" spans="13:18">
      <c r="M204" s="292"/>
      <c r="O204" s="292"/>
      <c r="P204" s="292"/>
      <c r="Q204" s="292"/>
      <c r="R204" s="292"/>
    </row>
    <row r="205" spans="13:18">
      <c r="M205" s="292"/>
      <c r="O205" s="292"/>
      <c r="P205" s="292"/>
      <c r="Q205" s="292"/>
      <c r="R205" s="292"/>
    </row>
    <row r="206" spans="13:18">
      <c r="M206" s="292"/>
      <c r="O206" s="292"/>
      <c r="P206" s="292"/>
      <c r="Q206" s="292"/>
      <c r="R206" s="292"/>
    </row>
    <row r="207" spans="13:18">
      <c r="M207" s="292"/>
      <c r="O207" s="292"/>
      <c r="P207" s="292"/>
      <c r="Q207" s="292"/>
      <c r="R207" s="292"/>
    </row>
    <row r="208" spans="13:18">
      <c r="M208" s="292"/>
      <c r="O208" s="292"/>
      <c r="P208" s="292"/>
      <c r="Q208" s="292"/>
      <c r="R208" s="292"/>
    </row>
    <row r="209" spans="13:18">
      <c r="M209" s="292"/>
      <c r="O209" s="292"/>
      <c r="P209" s="292"/>
      <c r="Q209" s="292"/>
      <c r="R209" s="292"/>
    </row>
    <row r="210" spans="13:18">
      <c r="M210" s="292"/>
      <c r="O210" s="292"/>
      <c r="P210" s="292"/>
      <c r="Q210" s="292"/>
      <c r="R210" s="292"/>
    </row>
    <row r="211" spans="13:18">
      <c r="M211" s="292"/>
      <c r="O211" s="292"/>
      <c r="P211" s="292"/>
      <c r="Q211" s="292"/>
      <c r="R211" s="292"/>
    </row>
    <row r="212" spans="13:18">
      <c r="M212" s="292"/>
      <c r="O212" s="292"/>
      <c r="P212" s="292"/>
      <c r="Q212" s="292"/>
      <c r="R212" s="292"/>
    </row>
    <row r="213" spans="13:18">
      <c r="M213" s="292"/>
      <c r="O213" s="292"/>
      <c r="P213" s="292"/>
      <c r="Q213" s="292"/>
      <c r="R213" s="292"/>
    </row>
    <row r="214" spans="13:18">
      <c r="M214" s="292"/>
      <c r="O214" s="292"/>
      <c r="P214" s="292"/>
      <c r="Q214" s="292"/>
      <c r="R214" s="292"/>
    </row>
    <row r="215" spans="13:18">
      <c r="M215" s="292"/>
      <c r="O215" s="292"/>
      <c r="P215" s="292"/>
      <c r="Q215" s="292"/>
      <c r="R215" s="292"/>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8.xml><?xml version="1.0" encoding="utf-8"?>
<worksheet xmlns="http://schemas.openxmlformats.org/spreadsheetml/2006/main" xmlns:r="http://schemas.openxmlformats.org/officeDocument/2006/relationships">
  <sheetPr>
    <tabColor rgb="FFFFFF00"/>
  </sheetPr>
  <dimension ref="A2:J223"/>
  <sheetViews>
    <sheetView topLeftCell="A7" workbookViewId="0">
      <pane ySplit="8" topLeftCell="A15" activePane="bottomLeft" state="frozen"/>
      <selection activeCell="A7" sqref="A7"/>
      <selection pane="bottomLeft" activeCell="E7" sqref="E7"/>
    </sheetView>
  </sheetViews>
  <sheetFormatPr defaultRowHeight="15"/>
  <cols>
    <col min="1" max="1" width="7.7109375" style="222" customWidth="1"/>
    <col min="2" max="2" width="6.28515625" style="222" customWidth="1"/>
    <col min="3" max="3" width="7.42578125" style="222" customWidth="1"/>
    <col min="4" max="4" width="34.5703125" style="5" customWidth="1"/>
    <col min="5" max="5" width="6.28515625" style="222" customWidth="1"/>
    <col min="6" max="6" width="14.140625" style="5" customWidth="1"/>
    <col min="7" max="7" width="13.7109375" style="5" customWidth="1"/>
    <col min="8" max="8" width="14" style="5" customWidth="1"/>
    <col min="9" max="9" width="13.7109375" style="5" customWidth="1"/>
    <col min="10" max="16384" width="9.140625" style="5"/>
  </cols>
  <sheetData>
    <row r="2" spans="1:10" ht="15.75" customHeight="1">
      <c r="A2" s="1" t="s">
        <v>181</v>
      </c>
      <c r="G2" s="1322" t="s">
        <v>182</v>
      </c>
      <c r="H2" s="1322"/>
      <c r="I2" s="1322"/>
    </row>
    <row r="3" spans="1:10" ht="15.75" customHeight="1">
      <c r="A3" s="1" t="s">
        <v>183</v>
      </c>
      <c r="G3" s="1323" t="s">
        <v>144</v>
      </c>
      <c r="H3" s="1323"/>
      <c r="I3" s="1323"/>
    </row>
    <row r="4" spans="1:10">
      <c r="F4" s="17"/>
      <c r="G4" s="1323"/>
      <c r="H4" s="1323"/>
      <c r="I4" s="1323"/>
    </row>
    <row r="5" spans="1:10" ht="17.25" customHeight="1">
      <c r="A5" s="1324" t="s">
        <v>184</v>
      </c>
      <c r="B5" s="1324"/>
      <c r="C5" s="1324"/>
      <c r="D5" s="1324"/>
      <c r="E5" s="1324"/>
      <c r="F5" s="1324"/>
      <c r="G5" s="1324"/>
      <c r="H5" s="1324"/>
      <c r="I5" s="1324"/>
    </row>
    <row r="6" spans="1:10">
      <c r="A6" s="1325" t="s">
        <v>185</v>
      </c>
      <c r="B6" s="1326"/>
      <c r="C6" s="1326"/>
      <c r="D6" s="1326"/>
      <c r="E6" s="1326"/>
      <c r="F6" s="1326"/>
      <c r="G6" s="1326"/>
      <c r="H6" s="1326"/>
      <c r="I6" s="1326"/>
    </row>
    <row r="7" spans="1:10">
      <c r="B7" s="5"/>
      <c r="C7" s="5"/>
      <c r="D7" s="245" t="s">
        <v>186</v>
      </c>
      <c r="E7" s="246" t="s">
        <v>9</v>
      </c>
    </row>
    <row r="8" spans="1:10">
      <c r="B8" s="5"/>
      <c r="C8" s="5"/>
      <c r="D8" s="245" t="s">
        <v>187</v>
      </c>
      <c r="E8" s="5" t="str">
        <f>VLOOKUP($E$7,DSTK,2,0)</f>
        <v xml:space="preserve"> Thuế GTGT được khấu trừ của HH, DV </v>
      </c>
    </row>
    <row r="9" spans="1:10">
      <c r="A9" s="1326" t="s">
        <v>31</v>
      </c>
      <c r="B9" s="1327"/>
      <c r="C9" s="1327"/>
      <c r="D9" s="1327"/>
      <c r="E9" s="1327"/>
      <c r="F9" s="1327"/>
      <c r="G9" s="1327"/>
      <c r="H9" s="1327"/>
      <c r="I9" s="1327"/>
    </row>
    <row r="10" spans="1:10" ht="9.75" customHeight="1">
      <c r="C10" s="1328"/>
      <c r="D10" s="1329"/>
      <c r="E10" s="1329"/>
      <c r="F10" s="1329"/>
      <c r="G10" s="1329"/>
      <c r="H10" s="1329"/>
      <c r="I10" s="1329"/>
    </row>
    <row r="11" spans="1:10" s="18" customFormat="1" ht="19.5" customHeight="1">
      <c r="A11" s="1330" t="s">
        <v>22</v>
      </c>
      <c r="B11" s="1320" t="s">
        <v>1</v>
      </c>
      <c r="C11" s="1331"/>
      <c r="D11" s="1330" t="s">
        <v>0</v>
      </c>
      <c r="E11" s="1330" t="s">
        <v>16</v>
      </c>
      <c r="F11" s="1320" t="s">
        <v>23</v>
      </c>
      <c r="G11" s="1331"/>
      <c r="H11" s="1320" t="s">
        <v>33</v>
      </c>
      <c r="I11" s="1321"/>
    </row>
    <row r="12" spans="1:10" s="18" customFormat="1" ht="32.25" customHeight="1">
      <c r="A12" s="1330"/>
      <c r="B12" s="408" t="s">
        <v>17</v>
      </c>
      <c r="C12" s="408" t="s">
        <v>34</v>
      </c>
      <c r="D12" s="1330"/>
      <c r="E12" s="1330"/>
      <c r="F12" s="408" t="s">
        <v>24</v>
      </c>
      <c r="G12" s="408" t="s">
        <v>25</v>
      </c>
      <c r="H12" s="408" t="s">
        <v>24</v>
      </c>
      <c r="I12" s="408" t="s">
        <v>25</v>
      </c>
    </row>
    <row r="13" spans="1:10" s="354" customFormat="1" ht="11.25" customHeight="1">
      <c r="A13" s="358" t="s">
        <v>2</v>
      </c>
      <c r="B13" s="359" t="s">
        <v>3</v>
      </c>
      <c r="C13" s="358" t="s">
        <v>4</v>
      </c>
      <c r="D13" s="358" t="s">
        <v>5</v>
      </c>
      <c r="E13" s="358" t="s">
        <v>6</v>
      </c>
      <c r="F13" s="358">
        <v>1</v>
      </c>
      <c r="G13" s="358">
        <v>2</v>
      </c>
      <c r="H13" s="358">
        <v>3</v>
      </c>
      <c r="I13" s="358">
        <v>4</v>
      </c>
    </row>
    <row r="14" spans="1:10" s="18" customFormat="1" ht="18" customHeight="1">
      <c r="A14" s="409"/>
      <c r="B14" s="385"/>
      <c r="C14" s="409"/>
      <c r="D14" s="384" t="s">
        <v>7</v>
      </c>
      <c r="E14" s="385"/>
      <c r="F14" s="410"/>
      <c r="G14" s="410"/>
      <c r="H14" s="410">
        <f>VLOOKUP($E$7,DSTK,3,0)</f>
        <v>162420936</v>
      </c>
      <c r="I14" s="410">
        <f>VLOOKUP($E$7,DSTK,4,0)</f>
        <v>0</v>
      </c>
    </row>
    <row r="15" spans="1:10" s="18" customFormat="1" ht="18" customHeight="1">
      <c r="A15" s="329">
        <f ca="1">IF(ROWS($1:1)&gt;COUNT(Dong5),"",OFFSET(TH!C$1,SMALL(Dong5,ROWS($1:1)),))</f>
        <v>42582</v>
      </c>
      <c r="B15" s="329" t="str">
        <f ca="1">IF(ROWS($1:1)&gt;COUNT(Dong5),"",OFFSET(TH!D$1,SMALL(Dong5,ROWS($1:1)),))</f>
        <v>BTKC</v>
      </c>
      <c r="C15" s="329">
        <f ca="1">IF(ROWS($1:1)&gt;COUNT(Dong5),"",OFFSET(TH!E$1,SMALL(Dong5,ROWS($1:1)),))</f>
        <v>42400</v>
      </c>
      <c r="D15" s="411" t="str">
        <f ca="1">IF(ROWS($1:1)&gt;COUNT(Dong5),"",OFFSET(TH!F$1,SMALL(Dong5,ROWS($1:1)),))</f>
        <v>K/C Thuế GTGT đầu ra</v>
      </c>
      <c r="E15" s="329" t="str">
        <f ca="1">IF(ROWS($1:1)&gt;COUNT(Dong5),"",IF(OFFSET(TH!N$1,SMALL(Dong5,ROWS($1:1)),)=$E$7,OFFSET(TH!O$1,SMALL(Dong5,ROWS($1:1)),),OFFSET(TH!N$1,SMALL(Dong5,ROWS($1:1)),)))</f>
        <v>33311</v>
      </c>
      <c r="F15" s="412">
        <f ca="1">IF(ROWS($1:1)&gt;COUNT(Dong5),0,IF(OFFSET(TH!N$1,SMALL(Dong5,ROWS($1:1)),)=$E$7,OFFSET(TH!M$1,SMALL(Dong5,ROWS($1:1)),),0))</f>
        <v>0</v>
      </c>
      <c r="G15" s="410">
        <f ca="1">IF(ROWS($1:1)&gt;COUNT(Dong5),0,IF(OFFSET(TH!O$1,SMALL(Dong5,ROWS($1:1)),)=$E$7,OFFSET(TH!M$1,SMALL(Dong5,ROWS($1:1)),),0))</f>
        <v>49965435</v>
      </c>
      <c r="H15" s="413">
        <f t="shared" ref="H15:H46" ca="1" si="0">IF(D15&lt;&gt;"",MAX(H14+F15-G15-I14,0),0)</f>
        <v>112455501</v>
      </c>
      <c r="I15" s="413">
        <f t="shared" ref="I15:I46" ca="1" si="1">IF(D15&lt;&gt;"",MAX(I14+G15-H14-F15,0),0)</f>
        <v>0</v>
      </c>
      <c r="J15" s="18">
        <f ca="1">MONTH(A15)</f>
        <v>7</v>
      </c>
    </row>
    <row r="16" spans="1:10" s="18" customFormat="1" ht="18" customHeight="1">
      <c r="A16" s="329">
        <f ca="1">IF(ROWS($1:2)&gt;COUNT(Dong5),"",OFFSET(TH!C$1,SMALL(Dong5,ROWS($1:2)),))</f>
        <v>42374</v>
      </c>
      <c r="B16" s="329" t="str">
        <f ca="1">IF(ROWS($1:2)&gt;COUNT(Dong5),"",OFFSET(TH!D$1,SMALL(Dong5,ROWS($1:2)),))</f>
        <v>VL/N01</v>
      </c>
      <c r="C16" s="329">
        <f ca="1">IF(ROWS($1:2)&gt;COUNT(Dong5),"",OFFSET(TH!E$1,SMALL(Dong5,ROWS($1:2)),))</f>
        <v>42374</v>
      </c>
      <c r="D16" s="411" t="str">
        <f ca="1">IF(ROWS($1:2)&gt;COUNT(Dong5),"",OFFSET(TH!F$1,SMALL(Dong5,ROWS($1:2)),))</f>
        <v>VAT Đường</v>
      </c>
      <c r="E16" s="329" t="str">
        <f ca="1">IF(ROWS($1:2)&gt;COUNT(Dong5),"",IF(OFFSET(TH!N$1,SMALL(Dong5,ROWS($1:2)),)=$E$7,OFFSET(TH!O$1,SMALL(Dong5,ROWS($1:2)),),OFFSET(TH!N$1,SMALL(Dong5,ROWS($1:2)),)))</f>
        <v>331</v>
      </c>
      <c r="F16" s="412">
        <f ca="1">IF(ROWS($1:2)&gt;COUNT(Dong5),0,IF(OFFSET(TH!N$1,SMALL(Dong5,ROWS($1:2)),)=$E$7,OFFSET(TH!M$1,SMALL(Dong5,ROWS($1:2)),),0))</f>
        <v>678571</v>
      </c>
      <c r="G16" s="410">
        <f ca="1">IF(ROWS($1:2)&gt;COUNT(Dong5),0,IF(OFFSET(TH!O$1,SMALL(Dong5,ROWS($1:2)),)=$E$7,OFFSET(TH!M$1,SMALL(Dong5,ROWS($1:2)),),0))</f>
        <v>0</v>
      </c>
      <c r="H16" s="413">
        <f t="shared" ca="1" si="0"/>
        <v>113134072</v>
      </c>
      <c r="I16" s="413">
        <f t="shared" ca="1" si="1"/>
        <v>0</v>
      </c>
      <c r="J16" s="18">
        <f t="shared" ref="J16:J79" ca="1" si="2">MONTH(A16)</f>
        <v>1</v>
      </c>
    </row>
    <row r="17" spans="1:10" s="18" customFormat="1" ht="18" customHeight="1">
      <c r="A17" s="329">
        <f ca="1">IF(ROWS($1:3)&gt;COUNT(Dong5),"",OFFSET(TH!C$1,SMALL(Dong5,ROWS($1:3)),))</f>
        <v>42374</v>
      </c>
      <c r="B17" s="329" t="str">
        <f ca="1">IF(ROWS($1:3)&gt;COUNT(Dong5),"",OFFSET(TH!D$1,SMALL(Dong5,ROWS($1:3)),))</f>
        <v>VL/N02</v>
      </c>
      <c r="C17" s="329">
        <f ca="1">IF(ROWS($1:3)&gt;COUNT(Dong5),"",OFFSET(TH!E$1,SMALL(Dong5,ROWS($1:3)),))</f>
        <v>42374</v>
      </c>
      <c r="D17" s="411" t="str">
        <f ca="1">IF(ROWS($1:3)&gt;COUNT(Dong5),"",OFFSET(TH!F$1,SMALL(Dong5,ROWS($1:3)),))</f>
        <v>VAT Túi PE</v>
      </c>
      <c r="E17" s="329" t="str">
        <f ca="1">IF(ROWS($1:3)&gt;COUNT(Dong5),"",IF(OFFSET(TH!N$1,SMALL(Dong5,ROWS($1:3)),)=$E$7,OFFSET(TH!O$1,SMALL(Dong5,ROWS($1:3)),),OFFSET(TH!N$1,SMALL(Dong5,ROWS($1:3)),)))</f>
        <v>331</v>
      </c>
      <c r="F17" s="412">
        <f ca="1">IF(ROWS($1:3)&gt;COUNT(Dong5),0,IF(OFFSET(TH!N$1,SMALL(Dong5,ROWS($1:3)),)=$E$7,OFFSET(TH!M$1,SMALL(Dong5,ROWS($1:3)),),0))</f>
        <v>3300000</v>
      </c>
      <c r="G17" s="410">
        <f ca="1">IF(ROWS($1:3)&gt;COUNT(Dong5),0,IF(OFFSET(TH!O$1,SMALL(Dong5,ROWS($1:3)),)=$E$7,OFFSET(TH!M$1,SMALL(Dong5,ROWS($1:3)),),0))</f>
        <v>0</v>
      </c>
      <c r="H17" s="413">
        <f t="shared" ca="1" si="0"/>
        <v>116434072</v>
      </c>
      <c r="I17" s="413">
        <f t="shared" ca="1" si="1"/>
        <v>0</v>
      </c>
      <c r="J17" s="18">
        <f t="shared" ca="1" si="2"/>
        <v>1</v>
      </c>
    </row>
    <row r="18" spans="1:10" s="18" customFormat="1" ht="18" customHeight="1">
      <c r="A18" s="329">
        <f ca="1">IF(ROWS($1:4)&gt;COUNT(Dong5),"",OFFSET(TH!C$1,SMALL(Dong5,ROWS($1:4)),))</f>
        <v>42375</v>
      </c>
      <c r="B18" s="329" t="str">
        <f ca="1">IF(ROWS($1:4)&gt;COUNT(Dong5),"",OFFSET(TH!D$1,SMALL(Dong5,ROWS($1:4)),))</f>
        <v>VL/N03</v>
      </c>
      <c r="C18" s="329">
        <f ca="1">IF(ROWS($1:4)&gt;COUNT(Dong5),"",OFFSET(TH!E$1,SMALL(Dong5,ROWS($1:4)),))</f>
        <v>42375</v>
      </c>
      <c r="D18" s="411" t="str">
        <f ca="1">IF(ROWS($1:4)&gt;COUNT(Dong5),"",OFFSET(TH!F$1,SMALL(Dong5,ROWS($1:4)),))</f>
        <v>VAT Sorbitol</v>
      </c>
      <c r="E18" s="329" t="str">
        <f ca="1">IF(ROWS($1:4)&gt;COUNT(Dong5),"",IF(OFFSET(TH!N$1,SMALL(Dong5,ROWS($1:4)),)=$E$7,OFFSET(TH!O$1,SMALL(Dong5,ROWS($1:4)),),OFFSET(TH!N$1,SMALL(Dong5,ROWS($1:4)),)))</f>
        <v>331</v>
      </c>
      <c r="F18" s="412">
        <f ca="1">IF(ROWS($1:4)&gt;COUNT(Dong5),0,IF(OFFSET(TH!N$1,SMALL(Dong5,ROWS($1:4)),)=$E$7,OFFSET(TH!M$1,SMALL(Dong5,ROWS($1:4)),),0))</f>
        <v>7776000</v>
      </c>
      <c r="G18" s="410">
        <f ca="1">IF(ROWS($1:4)&gt;COUNT(Dong5),0,IF(OFFSET(TH!O$1,SMALL(Dong5,ROWS($1:4)),)=$E$7,OFFSET(TH!M$1,SMALL(Dong5,ROWS($1:4)),),0))</f>
        <v>0</v>
      </c>
      <c r="H18" s="413">
        <f t="shared" ca="1" si="0"/>
        <v>124210072</v>
      </c>
      <c r="I18" s="413">
        <f t="shared" ca="1" si="1"/>
        <v>0</v>
      </c>
      <c r="J18" s="18">
        <f t="shared" ca="1" si="2"/>
        <v>1</v>
      </c>
    </row>
    <row r="19" spans="1:10" s="18" customFormat="1" ht="18" customHeight="1">
      <c r="A19" s="329">
        <f ca="1">IF(ROWS($1:5)&gt;COUNT(Dong5),"",OFFSET(TH!C$1,SMALL(Dong5,ROWS($1:5)),))</f>
        <v>42383</v>
      </c>
      <c r="B19" s="329" t="str">
        <f ca="1">IF(ROWS($1:5)&gt;COUNT(Dong5),"",OFFSET(TH!D$1,SMALL(Dong5,ROWS($1:5)),))</f>
        <v>VL/N04</v>
      </c>
      <c r="C19" s="329">
        <f ca="1">IF(ROWS($1:5)&gt;COUNT(Dong5),"",OFFSET(TH!E$1,SMALL(Dong5,ROWS($1:5)),))</f>
        <v>42383</v>
      </c>
      <c r="D19" s="411" t="str">
        <f ca="1">IF(ROWS($1:5)&gt;COUNT(Dong5),"",OFFSET(TH!F$1,SMALL(Dong5,ROWS($1:5)),))</f>
        <v>VAT Thùng carton</v>
      </c>
      <c r="E19" s="329" t="str">
        <f ca="1">IF(ROWS($1:5)&gt;COUNT(Dong5),"",IF(OFFSET(TH!N$1,SMALL(Dong5,ROWS($1:5)),)=$E$7,OFFSET(TH!O$1,SMALL(Dong5,ROWS($1:5)),),OFFSET(TH!N$1,SMALL(Dong5,ROWS($1:5)),)))</f>
        <v>331</v>
      </c>
      <c r="F19" s="412">
        <f ca="1">IF(ROWS($1:5)&gt;COUNT(Dong5),0,IF(OFFSET(TH!N$1,SMALL(Dong5,ROWS($1:5)),)=$E$7,OFFSET(TH!M$1,SMALL(Dong5,ROWS($1:5)),),0))</f>
        <v>3437100</v>
      </c>
      <c r="G19" s="410">
        <f ca="1">IF(ROWS($1:5)&gt;COUNT(Dong5),0,IF(OFFSET(TH!O$1,SMALL(Dong5,ROWS($1:5)),)=$E$7,OFFSET(TH!M$1,SMALL(Dong5,ROWS($1:5)),),0))</f>
        <v>0</v>
      </c>
      <c r="H19" s="413">
        <f t="shared" ca="1" si="0"/>
        <v>127647172</v>
      </c>
      <c r="I19" s="413">
        <f t="shared" ca="1" si="1"/>
        <v>0</v>
      </c>
      <c r="J19" s="18">
        <f t="shared" ca="1" si="2"/>
        <v>1</v>
      </c>
    </row>
    <row r="20" spans="1:10" s="18" customFormat="1" ht="18" customHeight="1">
      <c r="A20" s="329">
        <f ca="1">IF(ROWS($1:6)&gt;COUNT(Dong5),"",OFFSET(TH!C$1,SMALL(Dong5,ROWS($1:6)),))</f>
        <v>42387</v>
      </c>
      <c r="B20" s="329" t="str">
        <f ca="1">IF(ROWS($1:6)&gt;COUNT(Dong5),"",OFFSET(TH!D$1,SMALL(Dong5,ROWS($1:6)),))</f>
        <v>VL/N05</v>
      </c>
      <c r="C20" s="329">
        <f ca="1">IF(ROWS($1:6)&gt;COUNT(Dong5),"",OFFSET(TH!E$1,SMALL(Dong5,ROWS($1:6)),))</f>
        <v>42387</v>
      </c>
      <c r="D20" s="411" t="str">
        <f ca="1">IF(ROWS($1:6)&gt;COUNT(Dong5),"",OFFSET(TH!F$1,SMALL(Dong5,ROWS($1:6)),))</f>
        <v>VAT Đường</v>
      </c>
      <c r="E20" s="329" t="str">
        <f ca="1">IF(ROWS($1:6)&gt;COUNT(Dong5),"",IF(OFFSET(TH!N$1,SMALL(Dong5,ROWS($1:6)),)=$E$7,OFFSET(TH!O$1,SMALL(Dong5,ROWS($1:6)),),OFFSET(TH!N$1,SMALL(Dong5,ROWS($1:6)),)))</f>
        <v>331</v>
      </c>
      <c r="F20" s="412">
        <f ca="1">IF(ROWS($1:6)&gt;COUNT(Dong5),0,IF(OFFSET(TH!N$1,SMALL(Dong5,ROWS($1:6)),)=$E$7,OFFSET(TH!M$1,SMALL(Dong5,ROWS($1:6)),),0))</f>
        <v>726190</v>
      </c>
      <c r="G20" s="410">
        <f ca="1">IF(ROWS($1:6)&gt;COUNT(Dong5),0,IF(OFFSET(TH!O$1,SMALL(Dong5,ROWS($1:6)),)=$E$7,OFFSET(TH!M$1,SMALL(Dong5,ROWS($1:6)),),0))</f>
        <v>0</v>
      </c>
      <c r="H20" s="413">
        <f t="shared" ca="1" si="0"/>
        <v>128373362</v>
      </c>
      <c r="I20" s="413">
        <f t="shared" ca="1" si="1"/>
        <v>0</v>
      </c>
      <c r="J20" s="18">
        <f t="shared" ca="1" si="2"/>
        <v>1</v>
      </c>
    </row>
    <row r="21" spans="1:10" s="18" customFormat="1" ht="18" customHeight="1">
      <c r="A21" s="329">
        <f ca="1">IF(ROWS($1:7)&gt;COUNT(Dong5),"",OFFSET(TH!C$1,SMALL(Dong5,ROWS($1:7)),))</f>
        <v>42391</v>
      </c>
      <c r="B21" s="329" t="str">
        <f ca="1">IF(ROWS($1:7)&gt;COUNT(Dong5),"",OFFSET(TH!D$1,SMALL(Dong5,ROWS($1:7)),))</f>
        <v>VL/N06</v>
      </c>
      <c r="C21" s="329">
        <f ca="1">IF(ROWS($1:7)&gt;COUNT(Dong5),"",OFFSET(TH!E$1,SMALL(Dong5,ROWS($1:7)),))</f>
        <v>42391</v>
      </c>
      <c r="D21" s="411" t="str">
        <f ca="1">IF(ROWS($1:7)&gt;COUNT(Dong5),"",OFFSET(TH!F$1,SMALL(Dong5,ROWS($1:7)),))</f>
        <v>VAT Hộp ghẹ</v>
      </c>
      <c r="E21" s="329" t="str">
        <f ca="1">IF(ROWS($1:7)&gt;COUNT(Dong5),"",IF(OFFSET(TH!N$1,SMALL(Dong5,ROWS($1:7)),)=$E$7,OFFSET(TH!O$1,SMALL(Dong5,ROWS($1:7)),),OFFSET(TH!N$1,SMALL(Dong5,ROWS($1:7)),)))</f>
        <v>331</v>
      </c>
      <c r="F21" s="412">
        <f ca="1">IF(ROWS($1:7)&gt;COUNT(Dong5),0,IF(OFFSET(TH!N$1,SMALL(Dong5,ROWS($1:7)),)=$E$7,OFFSET(TH!M$1,SMALL(Dong5,ROWS($1:7)),),0))</f>
        <v>3500000</v>
      </c>
      <c r="G21" s="410">
        <f ca="1">IF(ROWS($1:7)&gt;COUNT(Dong5),0,IF(OFFSET(TH!O$1,SMALL(Dong5,ROWS($1:7)),)=$E$7,OFFSET(TH!M$1,SMALL(Dong5,ROWS($1:7)),),0))</f>
        <v>0</v>
      </c>
      <c r="H21" s="413">
        <f t="shared" ca="1" si="0"/>
        <v>131873362</v>
      </c>
      <c r="I21" s="413">
        <f t="shared" ca="1" si="1"/>
        <v>0</v>
      </c>
      <c r="J21" s="18">
        <f t="shared" ca="1" si="2"/>
        <v>1</v>
      </c>
    </row>
    <row r="22" spans="1:10" s="18" customFormat="1" ht="18" customHeight="1">
      <c r="A22" s="329">
        <f ca="1">IF(ROWS($1:8)&gt;COUNT(Dong5),"",OFFSET(TH!C$1,SMALL(Dong5,ROWS($1:8)),))</f>
        <v>42431</v>
      </c>
      <c r="B22" s="329" t="str">
        <f ca="1">IF(ROWS($1:8)&gt;COUNT(Dong5),"",OFFSET(TH!D$1,SMALL(Dong5,ROWS($1:8)),))</f>
        <v>VL/N01</v>
      </c>
      <c r="C22" s="329">
        <f ca="1">IF(ROWS($1:8)&gt;COUNT(Dong5),"",OFFSET(TH!E$1,SMALL(Dong5,ROWS($1:8)),))</f>
        <v>42431</v>
      </c>
      <c r="D22" s="411" t="str">
        <f ca="1">IF(ROWS($1:8)&gt;COUNT(Dong5),"",OFFSET(TH!F$1,SMALL(Dong5,ROWS($1:8)),))</f>
        <v>VAT Thùng carton</v>
      </c>
      <c r="E22" s="329" t="str">
        <f ca="1">IF(ROWS($1:8)&gt;COUNT(Dong5),"",IF(OFFSET(TH!N$1,SMALL(Dong5,ROWS($1:8)),)=$E$7,OFFSET(TH!O$1,SMALL(Dong5,ROWS($1:8)),),OFFSET(TH!N$1,SMALL(Dong5,ROWS($1:8)),)))</f>
        <v>331</v>
      </c>
      <c r="F22" s="412">
        <f ca="1">IF(ROWS($1:8)&gt;COUNT(Dong5),0,IF(OFFSET(TH!N$1,SMALL(Dong5,ROWS($1:8)),)=$E$7,OFFSET(TH!M$1,SMALL(Dong5,ROWS($1:8)),),0))</f>
        <v>1574250</v>
      </c>
      <c r="G22" s="410">
        <f ca="1">IF(ROWS($1:8)&gt;COUNT(Dong5),0,IF(OFFSET(TH!O$1,SMALL(Dong5,ROWS($1:8)),)=$E$7,OFFSET(TH!M$1,SMALL(Dong5,ROWS($1:8)),),0))</f>
        <v>0</v>
      </c>
      <c r="H22" s="413">
        <f t="shared" ca="1" si="0"/>
        <v>133447612</v>
      </c>
      <c r="I22" s="413">
        <f t="shared" ca="1" si="1"/>
        <v>0</v>
      </c>
      <c r="J22" s="18">
        <f t="shared" ca="1" si="2"/>
        <v>3</v>
      </c>
    </row>
    <row r="23" spans="1:10" s="18" customFormat="1" ht="18" customHeight="1">
      <c r="A23" s="329">
        <f ca="1">IF(ROWS($1:9)&gt;COUNT(Dong5),"",OFFSET(TH!C$1,SMALL(Dong5,ROWS($1:9)),))</f>
        <v>42437</v>
      </c>
      <c r="B23" s="329" t="str">
        <f ca="1">IF(ROWS($1:9)&gt;COUNT(Dong5),"",OFFSET(TH!D$1,SMALL(Dong5,ROWS($1:9)),))</f>
        <v>VL/N02</v>
      </c>
      <c r="C23" s="329">
        <f ca="1">IF(ROWS($1:9)&gt;COUNT(Dong5),"",OFFSET(TH!E$1,SMALL(Dong5,ROWS($1:9)),))</f>
        <v>42437</v>
      </c>
      <c r="D23" s="411" t="str">
        <f ca="1">IF(ROWS($1:9)&gt;COUNT(Dong5),"",OFFSET(TH!F$1,SMALL(Dong5,ROWS($1:9)),))</f>
        <v>VAT Đường</v>
      </c>
      <c r="E23" s="329" t="str">
        <f ca="1">IF(ROWS($1:9)&gt;COUNT(Dong5),"",IF(OFFSET(TH!N$1,SMALL(Dong5,ROWS($1:9)),)=$E$7,OFFSET(TH!O$1,SMALL(Dong5,ROWS($1:9)),),OFFSET(TH!N$1,SMALL(Dong5,ROWS($1:9)),)))</f>
        <v>331</v>
      </c>
      <c r="F23" s="412">
        <f ca="1">IF(ROWS($1:9)&gt;COUNT(Dong5),0,IF(OFFSET(TH!N$1,SMALL(Dong5,ROWS($1:9)),)=$E$7,OFFSET(TH!M$1,SMALL(Dong5,ROWS($1:9)),),0))</f>
        <v>704762</v>
      </c>
      <c r="G23" s="410">
        <f ca="1">IF(ROWS($1:9)&gt;COUNT(Dong5),0,IF(OFFSET(TH!O$1,SMALL(Dong5,ROWS($1:9)),)=$E$7,OFFSET(TH!M$1,SMALL(Dong5,ROWS($1:9)),),0))</f>
        <v>0</v>
      </c>
      <c r="H23" s="413">
        <f t="shared" ca="1" si="0"/>
        <v>134152374</v>
      </c>
      <c r="I23" s="413">
        <f t="shared" ca="1" si="1"/>
        <v>0</v>
      </c>
      <c r="J23" s="18">
        <f t="shared" ca="1" si="2"/>
        <v>3</v>
      </c>
    </row>
    <row r="24" spans="1:10" s="18" customFormat="1" ht="18" customHeight="1">
      <c r="A24" s="329">
        <f ca="1">IF(ROWS($1:10)&gt;COUNT(Dong5),"",OFFSET(TH!C$1,SMALL(Dong5,ROWS($1:10)),))</f>
        <v>42446</v>
      </c>
      <c r="B24" s="329" t="str">
        <f ca="1">IF(ROWS($1:10)&gt;COUNT(Dong5),"",OFFSET(TH!D$1,SMALL(Dong5,ROWS($1:10)),))</f>
        <v>VL/N03</v>
      </c>
      <c r="C24" s="329">
        <f ca="1">IF(ROWS($1:10)&gt;COUNT(Dong5),"",OFFSET(TH!E$1,SMALL(Dong5,ROWS($1:10)),))</f>
        <v>42446</v>
      </c>
      <c r="D24" s="411" t="str">
        <f ca="1">IF(ROWS($1:10)&gt;COUNT(Dong5),"",OFFSET(TH!F$1,SMALL(Dong5,ROWS($1:10)),))</f>
        <v>VAT Băng keo</v>
      </c>
      <c r="E24" s="329" t="str">
        <f ca="1">IF(ROWS($1:10)&gt;COUNT(Dong5),"",IF(OFFSET(TH!N$1,SMALL(Dong5,ROWS($1:10)),)=$E$7,OFFSET(TH!O$1,SMALL(Dong5,ROWS($1:10)),),OFFSET(TH!N$1,SMALL(Dong5,ROWS($1:10)),)))</f>
        <v>331</v>
      </c>
      <c r="F24" s="412">
        <f ca="1">IF(ROWS($1:10)&gt;COUNT(Dong5),0,IF(OFFSET(TH!N$1,SMALL(Dong5,ROWS($1:10)),)=$E$7,OFFSET(TH!M$1,SMALL(Dong5,ROWS($1:10)),),0))</f>
        <v>510000</v>
      </c>
      <c r="G24" s="410">
        <f ca="1">IF(ROWS($1:10)&gt;COUNT(Dong5),0,IF(OFFSET(TH!O$1,SMALL(Dong5,ROWS($1:10)),)=$E$7,OFFSET(TH!M$1,SMALL(Dong5,ROWS($1:10)),),0))</f>
        <v>0</v>
      </c>
      <c r="H24" s="413">
        <f t="shared" ca="1" si="0"/>
        <v>134662374</v>
      </c>
      <c r="I24" s="413">
        <f t="shared" ca="1" si="1"/>
        <v>0</v>
      </c>
      <c r="J24" s="18">
        <f t="shared" ca="1" si="2"/>
        <v>3</v>
      </c>
    </row>
    <row r="25" spans="1:10" s="18" customFormat="1" ht="18" customHeight="1">
      <c r="A25" s="329">
        <f ca="1">IF(ROWS($1:11)&gt;COUNT(Dong5),"",OFFSET(TH!C$1,SMALL(Dong5,ROWS($1:11)),))</f>
        <v>42457</v>
      </c>
      <c r="B25" s="329" t="str">
        <f ca="1">IF(ROWS($1:11)&gt;COUNT(Dong5),"",OFFSET(TH!D$1,SMALL(Dong5,ROWS($1:11)),))</f>
        <v>VL/N04</v>
      </c>
      <c r="C25" s="329">
        <f ca="1">IF(ROWS($1:11)&gt;COUNT(Dong5),"",OFFSET(TH!E$1,SMALL(Dong5,ROWS($1:11)),))</f>
        <v>42457</v>
      </c>
      <c r="D25" s="411" t="str">
        <f ca="1">IF(ROWS($1:11)&gt;COUNT(Dong5),"",OFFSET(TH!F$1,SMALL(Dong5,ROWS($1:11)),))</f>
        <v>VAT Đường</v>
      </c>
      <c r="E25" s="329" t="str">
        <f ca="1">IF(ROWS($1:11)&gt;COUNT(Dong5),"",IF(OFFSET(TH!N$1,SMALL(Dong5,ROWS($1:11)),)=$E$7,OFFSET(TH!O$1,SMALL(Dong5,ROWS($1:11)),),OFFSET(TH!N$1,SMALL(Dong5,ROWS($1:11)),)))</f>
        <v>331</v>
      </c>
      <c r="F25" s="412">
        <f ca="1">IF(ROWS($1:11)&gt;COUNT(Dong5),0,IF(OFFSET(TH!N$1,SMALL(Dong5,ROWS($1:11)),)=$E$7,OFFSET(TH!M$1,SMALL(Dong5,ROWS($1:11)),),0))</f>
        <v>704762</v>
      </c>
      <c r="G25" s="410">
        <f ca="1">IF(ROWS($1:11)&gt;COUNT(Dong5),0,IF(OFFSET(TH!O$1,SMALL(Dong5,ROWS($1:11)),)=$E$7,OFFSET(TH!M$1,SMALL(Dong5,ROWS($1:11)),),0))</f>
        <v>0</v>
      </c>
      <c r="H25" s="413">
        <f t="shared" ca="1" si="0"/>
        <v>135367136</v>
      </c>
      <c r="I25" s="413">
        <f t="shared" ca="1" si="1"/>
        <v>0</v>
      </c>
      <c r="J25" s="18">
        <f t="shared" ca="1" si="2"/>
        <v>3</v>
      </c>
    </row>
    <row r="26" spans="1:10" s="18" customFormat="1" ht="18" customHeight="1">
      <c r="A26" s="329">
        <f ca="1">IF(ROWS($1:12)&gt;COUNT(Dong5),"",OFFSET(TH!C$1,SMALL(Dong5,ROWS($1:12)),))</f>
        <v>42459</v>
      </c>
      <c r="B26" s="329" t="str">
        <f ca="1">IF(ROWS($1:12)&gt;COUNT(Dong5),"",OFFSET(TH!D$1,SMALL(Dong5,ROWS($1:12)),))</f>
        <v>VL/N05</v>
      </c>
      <c r="C26" s="329">
        <f ca="1">IF(ROWS($1:12)&gt;COUNT(Dong5),"",OFFSET(TH!E$1,SMALL(Dong5,ROWS($1:12)),))</f>
        <v>42459</v>
      </c>
      <c r="D26" s="411" t="str">
        <f ca="1">IF(ROWS($1:12)&gt;COUNT(Dong5),"",OFFSET(TH!F$1,SMALL(Dong5,ROWS($1:12)),))</f>
        <v>VAT Gas</v>
      </c>
      <c r="E26" s="329" t="str">
        <f ca="1">IF(ROWS($1:12)&gt;COUNT(Dong5),"",IF(OFFSET(TH!N$1,SMALL(Dong5,ROWS($1:12)),)=$E$7,OFFSET(TH!O$1,SMALL(Dong5,ROWS($1:12)),),OFFSET(TH!N$1,SMALL(Dong5,ROWS($1:12)),)))</f>
        <v>331</v>
      </c>
      <c r="F26" s="412">
        <f ca="1">IF(ROWS($1:12)&gt;COUNT(Dong5),0,IF(OFFSET(TH!N$1,SMALL(Dong5,ROWS($1:12)),)=$E$7,OFFSET(TH!M$1,SMALL(Dong5,ROWS($1:12)),),0))</f>
        <v>828636</v>
      </c>
      <c r="G26" s="410">
        <f ca="1">IF(ROWS($1:12)&gt;COUNT(Dong5),0,IF(OFFSET(TH!O$1,SMALL(Dong5,ROWS($1:12)),)=$E$7,OFFSET(TH!M$1,SMALL(Dong5,ROWS($1:12)),),0))</f>
        <v>0</v>
      </c>
      <c r="H26" s="413">
        <f t="shared" ca="1" si="0"/>
        <v>136195772</v>
      </c>
      <c r="I26" s="413">
        <f t="shared" ca="1" si="1"/>
        <v>0</v>
      </c>
      <c r="J26" s="18">
        <f t="shared" ca="1" si="2"/>
        <v>3</v>
      </c>
    </row>
    <row r="27" spans="1:10" s="18" customFormat="1" ht="18" customHeight="1">
      <c r="A27" s="329">
        <f ca="1">IF(ROWS($1:13)&gt;COUNT(Dong5),"",OFFSET(TH!C$1,SMALL(Dong5,ROWS($1:13)),))</f>
        <v>42467</v>
      </c>
      <c r="B27" s="329" t="str">
        <f ca="1">IF(ROWS($1:13)&gt;COUNT(Dong5),"",OFFSET(TH!D$1,SMALL(Dong5,ROWS($1:13)),))</f>
        <v>VL/N02</v>
      </c>
      <c r="C27" s="329">
        <f ca="1">IF(ROWS($1:13)&gt;COUNT(Dong5),"",OFFSET(TH!E$1,SMALL(Dong5,ROWS($1:13)),))</f>
        <v>42467</v>
      </c>
      <c r="D27" s="411" t="str">
        <f ca="1">IF(ROWS($1:13)&gt;COUNT(Dong5),"",OFFSET(TH!F$1,SMALL(Dong5,ROWS($1:13)),))</f>
        <v>VAT Hộp ghẹ</v>
      </c>
      <c r="E27" s="329" t="str">
        <f ca="1">IF(ROWS($1:13)&gt;COUNT(Dong5),"",IF(OFFSET(TH!N$1,SMALL(Dong5,ROWS($1:13)),)=$E$7,OFFSET(TH!O$1,SMALL(Dong5,ROWS($1:13)),),OFFSET(TH!N$1,SMALL(Dong5,ROWS($1:13)),)))</f>
        <v>331</v>
      </c>
      <c r="F27" s="412">
        <f ca="1">IF(ROWS($1:13)&gt;COUNT(Dong5),0,IF(OFFSET(TH!N$1,SMALL(Dong5,ROWS($1:13)),)=$E$7,OFFSET(TH!M$1,SMALL(Dong5,ROWS($1:13)),),0))</f>
        <v>6300000</v>
      </c>
      <c r="G27" s="410">
        <f ca="1">IF(ROWS($1:13)&gt;COUNT(Dong5),0,IF(OFFSET(TH!O$1,SMALL(Dong5,ROWS($1:13)),)=$E$7,OFFSET(TH!M$1,SMALL(Dong5,ROWS($1:13)),),0))</f>
        <v>0</v>
      </c>
      <c r="H27" s="413">
        <f t="shared" ca="1" si="0"/>
        <v>142495772</v>
      </c>
      <c r="I27" s="413">
        <f t="shared" ca="1" si="1"/>
        <v>0</v>
      </c>
      <c r="J27" s="18">
        <f t="shared" ca="1" si="2"/>
        <v>4</v>
      </c>
    </row>
    <row r="28" spans="1:10" s="18" customFormat="1" ht="18" customHeight="1">
      <c r="A28" s="329">
        <f ca="1">IF(ROWS($1:14)&gt;COUNT(Dong5),"",OFFSET(TH!C$1,SMALL(Dong5,ROWS($1:14)),))</f>
        <v>42468</v>
      </c>
      <c r="B28" s="329" t="str">
        <f ca="1">IF(ROWS($1:14)&gt;COUNT(Dong5),"",OFFSET(TH!D$1,SMALL(Dong5,ROWS($1:14)),))</f>
        <v>VL/N03</v>
      </c>
      <c r="C28" s="329">
        <f ca="1">IF(ROWS($1:14)&gt;COUNT(Dong5),"",OFFSET(TH!E$1,SMALL(Dong5,ROWS($1:14)),))</f>
        <v>42468</v>
      </c>
      <c r="D28" s="411" t="str">
        <f ca="1">IF(ROWS($1:14)&gt;COUNT(Dong5),"",OFFSET(TH!F$1,SMALL(Dong5,ROWS($1:14)),))</f>
        <v>VAT Thùng carton 46.5x34.5x26.5</v>
      </c>
      <c r="E28" s="329" t="str">
        <f ca="1">IF(ROWS($1:14)&gt;COUNT(Dong5),"",IF(OFFSET(TH!N$1,SMALL(Dong5,ROWS($1:14)),)=$E$7,OFFSET(TH!O$1,SMALL(Dong5,ROWS($1:14)),),OFFSET(TH!N$1,SMALL(Dong5,ROWS($1:14)),)))</f>
        <v>331</v>
      </c>
      <c r="F28" s="412">
        <f ca="1">IF(ROWS($1:14)&gt;COUNT(Dong5),0,IF(OFFSET(TH!N$1,SMALL(Dong5,ROWS($1:14)),)=$E$7,OFFSET(TH!M$1,SMALL(Dong5,ROWS($1:14)),),0))</f>
        <v>2250000</v>
      </c>
      <c r="G28" s="410">
        <f ca="1">IF(ROWS($1:14)&gt;COUNT(Dong5),0,IF(OFFSET(TH!O$1,SMALL(Dong5,ROWS($1:14)),)=$E$7,OFFSET(TH!M$1,SMALL(Dong5,ROWS($1:14)),),0))</f>
        <v>0</v>
      </c>
      <c r="H28" s="413">
        <f t="shared" ca="1" si="0"/>
        <v>144745772</v>
      </c>
      <c r="I28" s="413">
        <f t="shared" ca="1" si="1"/>
        <v>0</v>
      </c>
      <c r="J28" s="18">
        <f t="shared" ca="1" si="2"/>
        <v>4</v>
      </c>
    </row>
    <row r="29" spans="1:10" s="18" customFormat="1" ht="18" customHeight="1">
      <c r="A29" s="329">
        <f ca="1">IF(ROWS($1:15)&gt;COUNT(Dong5),"",OFFSET(TH!C$1,SMALL(Dong5,ROWS($1:15)),))</f>
        <v>42471</v>
      </c>
      <c r="B29" s="329" t="str">
        <f ca="1">IF(ROWS($1:15)&gt;COUNT(Dong5),"",OFFSET(TH!D$1,SMALL(Dong5,ROWS($1:15)),))</f>
        <v>VL/N04</v>
      </c>
      <c r="C29" s="329">
        <f ca="1">IF(ROWS($1:15)&gt;COUNT(Dong5),"",OFFSET(TH!E$1,SMALL(Dong5,ROWS($1:15)),))</f>
        <v>42471</v>
      </c>
      <c r="D29" s="411" t="str">
        <f ca="1">IF(ROWS($1:15)&gt;COUNT(Dong5),"",OFFSET(TH!F$1,SMALL(Dong5,ROWS($1:15)),))</f>
        <v>VAT Tinh bột bắp</v>
      </c>
      <c r="E29" s="329" t="str">
        <f ca="1">IF(ROWS($1:15)&gt;COUNT(Dong5),"",IF(OFFSET(TH!N$1,SMALL(Dong5,ROWS($1:15)),)=$E$7,OFFSET(TH!O$1,SMALL(Dong5,ROWS($1:15)),),OFFSET(TH!N$1,SMALL(Dong5,ROWS($1:15)),)))</f>
        <v>331</v>
      </c>
      <c r="F29" s="412">
        <f ca="1">IF(ROWS($1:15)&gt;COUNT(Dong5),0,IF(OFFSET(TH!N$1,SMALL(Dong5,ROWS($1:15)),)=$E$7,OFFSET(TH!M$1,SMALL(Dong5,ROWS($1:15)),),0))</f>
        <v>127280</v>
      </c>
      <c r="G29" s="410">
        <f ca="1">IF(ROWS($1:15)&gt;COUNT(Dong5),0,IF(OFFSET(TH!O$1,SMALL(Dong5,ROWS($1:15)),)=$E$7,OFFSET(TH!M$1,SMALL(Dong5,ROWS($1:15)),),0))</f>
        <v>0</v>
      </c>
      <c r="H29" s="413">
        <f t="shared" ca="1" si="0"/>
        <v>144873052</v>
      </c>
      <c r="I29" s="413">
        <f t="shared" ca="1" si="1"/>
        <v>0</v>
      </c>
      <c r="J29" s="18">
        <f t="shared" ca="1" si="2"/>
        <v>4</v>
      </c>
    </row>
    <row r="30" spans="1:10" s="18" customFormat="1" ht="18" customHeight="1">
      <c r="A30" s="329">
        <f ca="1">IF(ROWS($1:16)&gt;COUNT(Dong5),"",OFFSET(TH!C$1,SMALL(Dong5,ROWS($1:16)),))</f>
        <v>42471</v>
      </c>
      <c r="B30" s="329" t="str">
        <f ca="1">IF(ROWS($1:16)&gt;COUNT(Dong5),"",OFFSET(TH!D$1,SMALL(Dong5,ROWS($1:16)),))</f>
        <v>VL/N05</v>
      </c>
      <c r="C30" s="329">
        <f ca="1">IF(ROWS($1:16)&gt;COUNT(Dong5),"",OFFSET(TH!E$1,SMALL(Dong5,ROWS($1:16)),))</f>
        <v>42471</v>
      </c>
      <c r="D30" s="411" t="str">
        <f ca="1">IF(ROWS($1:16)&gt;COUNT(Dong5),"",OFFSET(TH!F$1,SMALL(Dong5,ROWS($1:16)),))</f>
        <v xml:space="preserve">VAT Sorbitol </v>
      </c>
      <c r="E30" s="329" t="str">
        <f ca="1">IF(ROWS($1:16)&gt;COUNT(Dong5),"",IF(OFFSET(TH!N$1,SMALL(Dong5,ROWS($1:16)),)=$E$7,OFFSET(TH!O$1,SMALL(Dong5,ROWS($1:16)),),OFFSET(TH!N$1,SMALL(Dong5,ROWS($1:16)),)))</f>
        <v>331</v>
      </c>
      <c r="F30" s="412">
        <f ca="1">IF(ROWS($1:16)&gt;COUNT(Dong5),0,IF(OFFSET(TH!N$1,SMALL(Dong5,ROWS($1:16)),)=$E$7,OFFSET(TH!M$1,SMALL(Dong5,ROWS($1:16)),),0))</f>
        <v>9941400</v>
      </c>
      <c r="G30" s="410">
        <f ca="1">IF(ROWS($1:16)&gt;COUNT(Dong5),0,IF(OFFSET(TH!O$1,SMALL(Dong5,ROWS($1:16)),)=$E$7,OFFSET(TH!M$1,SMALL(Dong5,ROWS($1:16)),),0))</f>
        <v>0</v>
      </c>
      <c r="H30" s="413">
        <f t="shared" ca="1" si="0"/>
        <v>154814452</v>
      </c>
      <c r="I30" s="413">
        <f t="shared" ca="1" si="1"/>
        <v>0</v>
      </c>
      <c r="J30" s="18">
        <f t="shared" ca="1" si="2"/>
        <v>4</v>
      </c>
    </row>
    <row r="31" spans="1:10" s="18" customFormat="1" ht="18" customHeight="1">
      <c r="A31" s="329">
        <f ca="1">IF(ROWS($1:17)&gt;COUNT(Dong5),"",OFFSET(TH!C$1,SMALL(Dong5,ROWS($1:17)),))</f>
        <v>42486</v>
      </c>
      <c r="B31" s="329" t="str">
        <f ca="1">IF(ROWS($1:17)&gt;COUNT(Dong5),"",OFFSET(TH!D$1,SMALL(Dong5,ROWS($1:17)),))</f>
        <v>VL/N06</v>
      </c>
      <c r="C31" s="329">
        <f ca="1">IF(ROWS($1:17)&gt;COUNT(Dong5),"",OFFSET(TH!E$1,SMALL(Dong5,ROWS($1:17)),))</f>
        <v>42486</v>
      </c>
      <c r="D31" s="411" t="str">
        <f ca="1">IF(ROWS($1:17)&gt;COUNT(Dong5),"",OFFSET(TH!F$1,SMALL(Dong5,ROWS($1:17)),))</f>
        <v>VAT Hộp ghẹ</v>
      </c>
      <c r="E31" s="329" t="str">
        <f ca="1">IF(ROWS($1:17)&gt;COUNT(Dong5),"",IF(OFFSET(TH!N$1,SMALL(Dong5,ROWS($1:17)),)=$E$7,OFFSET(TH!O$1,SMALL(Dong5,ROWS($1:17)),),OFFSET(TH!N$1,SMALL(Dong5,ROWS($1:17)),)))</f>
        <v>331</v>
      </c>
      <c r="F31" s="412">
        <f ca="1">IF(ROWS($1:17)&gt;COUNT(Dong5),0,IF(OFFSET(TH!N$1,SMALL(Dong5,ROWS($1:17)),)=$E$7,OFFSET(TH!M$1,SMALL(Dong5,ROWS($1:17)),),0))</f>
        <v>2800000</v>
      </c>
      <c r="G31" s="410">
        <f ca="1">IF(ROWS($1:17)&gt;COUNT(Dong5),0,IF(OFFSET(TH!O$1,SMALL(Dong5,ROWS($1:17)),)=$E$7,OFFSET(TH!M$1,SMALL(Dong5,ROWS($1:17)),),0))</f>
        <v>0</v>
      </c>
      <c r="H31" s="413">
        <f t="shared" ca="1" si="0"/>
        <v>157614452</v>
      </c>
      <c r="I31" s="413">
        <f t="shared" ca="1" si="1"/>
        <v>0</v>
      </c>
      <c r="J31" s="18">
        <f t="shared" ca="1" si="2"/>
        <v>4</v>
      </c>
    </row>
    <row r="32" spans="1:10" s="18" customFormat="1" ht="18" customHeight="1">
      <c r="A32" s="329">
        <f ca="1">IF(ROWS($1:18)&gt;COUNT(Dong5),"",OFFSET(TH!C$1,SMALL(Dong5,ROWS($1:18)),))</f>
        <v>42488</v>
      </c>
      <c r="B32" s="329" t="str">
        <f ca="1">IF(ROWS($1:18)&gt;COUNT(Dong5),"",OFFSET(TH!D$1,SMALL(Dong5,ROWS($1:18)),))</f>
        <v>VL/N07</v>
      </c>
      <c r="C32" s="329">
        <f ca="1">IF(ROWS($1:18)&gt;COUNT(Dong5),"",OFFSET(TH!E$1,SMALL(Dong5,ROWS($1:18)),))</f>
        <v>42488</v>
      </c>
      <c r="D32" s="411" t="str">
        <f ca="1">IF(ROWS($1:18)&gt;COUNT(Dong5),"",OFFSET(TH!F$1,SMALL(Dong5,ROWS($1:18)),))</f>
        <v>VAT Thùng carton 46.5x34.5x26.5</v>
      </c>
      <c r="E32" s="329" t="str">
        <f ca="1">IF(ROWS($1:18)&gt;COUNT(Dong5),"",IF(OFFSET(TH!N$1,SMALL(Dong5,ROWS($1:18)),)=$E$7,OFFSET(TH!O$1,SMALL(Dong5,ROWS($1:18)),),OFFSET(TH!N$1,SMALL(Dong5,ROWS($1:18)),)))</f>
        <v>331</v>
      </c>
      <c r="F32" s="412">
        <f ca="1">IF(ROWS($1:18)&gt;COUNT(Dong5),0,IF(OFFSET(TH!N$1,SMALL(Dong5,ROWS($1:18)),)=$E$7,OFFSET(TH!M$1,SMALL(Dong5,ROWS($1:18)),),0))</f>
        <v>1040400</v>
      </c>
      <c r="G32" s="410">
        <f ca="1">IF(ROWS($1:18)&gt;COUNT(Dong5),0,IF(OFFSET(TH!O$1,SMALL(Dong5,ROWS($1:18)),)=$E$7,OFFSET(TH!M$1,SMALL(Dong5,ROWS($1:18)),),0))</f>
        <v>0</v>
      </c>
      <c r="H32" s="413">
        <f t="shared" ca="1" si="0"/>
        <v>158654852</v>
      </c>
      <c r="I32" s="413">
        <f t="shared" ca="1" si="1"/>
        <v>0</v>
      </c>
      <c r="J32" s="18">
        <f t="shared" ca="1" si="2"/>
        <v>4</v>
      </c>
    </row>
    <row r="33" spans="1:10" s="18" customFormat="1" ht="18" customHeight="1">
      <c r="A33" s="329">
        <f ca="1">IF(ROWS($1:19)&gt;COUNT(Dong5),"",OFFSET(TH!C$1,SMALL(Dong5,ROWS($1:19)),))</f>
        <v>42499</v>
      </c>
      <c r="B33" s="329" t="str">
        <f ca="1">IF(ROWS($1:19)&gt;COUNT(Dong5),"",OFFSET(TH!D$1,SMALL(Dong5,ROWS($1:19)),))</f>
        <v>VL/N01</v>
      </c>
      <c r="C33" s="329">
        <f ca="1">IF(ROWS($1:19)&gt;COUNT(Dong5),"",OFFSET(TH!E$1,SMALL(Dong5,ROWS($1:19)),))</f>
        <v>42499</v>
      </c>
      <c r="D33" s="411" t="str">
        <f ca="1">IF(ROWS($1:19)&gt;COUNT(Dong5),"",OFFSET(TH!F$1,SMALL(Dong5,ROWS($1:19)),))</f>
        <v>VAT Thùng carton</v>
      </c>
      <c r="E33" s="329" t="str">
        <f ca="1">IF(ROWS($1:19)&gt;COUNT(Dong5),"",IF(OFFSET(TH!N$1,SMALL(Dong5,ROWS($1:19)),)=$E$7,OFFSET(TH!O$1,SMALL(Dong5,ROWS($1:19)),),OFFSET(TH!N$1,SMALL(Dong5,ROWS($1:19)),)))</f>
        <v>331</v>
      </c>
      <c r="F33" s="412">
        <f ca="1">IF(ROWS($1:19)&gt;COUNT(Dong5),0,IF(OFFSET(TH!N$1,SMALL(Dong5,ROWS($1:19)),)=$E$7,OFFSET(TH!M$1,SMALL(Dong5,ROWS($1:19)),),0))</f>
        <v>3039098</v>
      </c>
      <c r="G33" s="410">
        <f ca="1">IF(ROWS($1:19)&gt;COUNT(Dong5),0,IF(OFFSET(TH!O$1,SMALL(Dong5,ROWS($1:19)),)=$E$7,OFFSET(TH!M$1,SMALL(Dong5,ROWS($1:19)),),0))</f>
        <v>0</v>
      </c>
      <c r="H33" s="413">
        <f t="shared" ca="1" si="0"/>
        <v>161693950</v>
      </c>
      <c r="I33" s="413">
        <f t="shared" ca="1" si="1"/>
        <v>0</v>
      </c>
      <c r="J33" s="18">
        <f t="shared" ca="1" si="2"/>
        <v>5</v>
      </c>
    </row>
    <row r="34" spans="1:10" s="18" customFormat="1" ht="18" customHeight="1">
      <c r="A34" s="329">
        <f ca="1">IF(ROWS($1:20)&gt;COUNT(Dong5),"",OFFSET(TH!C$1,SMALL(Dong5,ROWS($1:20)),))</f>
        <v>42530</v>
      </c>
      <c r="B34" s="329" t="str">
        <f ca="1">IF(ROWS($1:20)&gt;COUNT(Dong5),"",OFFSET(TH!D$1,SMALL(Dong5,ROWS($1:20)),))</f>
        <v>VL/N01</v>
      </c>
      <c r="C34" s="329">
        <f ca="1">IF(ROWS($1:20)&gt;COUNT(Dong5),"",OFFSET(TH!E$1,SMALL(Dong5,ROWS($1:20)),))</f>
        <v>42530</v>
      </c>
      <c r="D34" s="411" t="str">
        <f ca="1">IF(ROWS($1:20)&gt;COUNT(Dong5),"",OFFSET(TH!F$1,SMALL(Dong5,ROWS($1:20)),))</f>
        <v>VAT Thùng carton</v>
      </c>
      <c r="E34" s="329" t="str">
        <f ca="1">IF(ROWS($1:20)&gt;COUNT(Dong5),"",IF(OFFSET(TH!N$1,SMALL(Dong5,ROWS($1:20)),)=$E$7,OFFSET(TH!O$1,SMALL(Dong5,ROWS($1:20)),),OFFSET(TH!N$1,SMALL(Dong5,ROWS($1:20)),)))</f>
        <v>331</v>
      </c>
      <c r="F34" s="412">
        <f ca="1">IF(ROWS($1:20)&gt;COUNT(Dong5),0,IF(OFFSET(TH!N$1,SMALL(Dong5,ROWS($1:20)),)=$E$7,OFFSET(TH!M$1,SMALL(Dong5,ROWS($1:20)),),0))</f>
        <v>1645200</v>
      </c>
      <c r="G34" s="410">
        <f ca="1">IF(ROWS($1:20)&gt;COUNT(Dong5),0,IF(OFFSET(TH!O$1,SMALL(Dong5,ROWS($1:20)),)=$E$7,OFFSET(TH!M$1,SMALL(Dong5,ROWS($1:20)),),0))</f>
        <v>0</v>
      </c>
      <c r="H34" s="413">
        <f t="shared" ca="1" si="0"/>
        <v>163339150</v>
      </c>
      <c r="I34" s="413">
        <f t="shared" ca="1" si="1"/>
        <v>0</v>
      </c>
      <c r="J34" s="18">
        <f t="shared" ca="1" si="2"/>
        <v>6</v>
      </c>
    </row>
    <row r="35" spans="1:10" s="18" customFormat="1" ht="18" customHeight="1">
      <c r="A35" s="329">
        <f ca="1">IF(ROWS($1:21)&gt;COUNT(Dong5),"",OFFSET(TH!C$1,SMALL(Dong5,ROWS($1:21)),))</f>
        <v>42548</v>
      </c>
      <c r="B35" s="329" t="str">
        <f ca="1">IF(ROWS($1:21)&gt;COUNT(Dong5),"",OFFSET(TH!D$1,SMALL(Dong5,ROWS($1:21)),))</f>
        <v>VL/N04</v>
      </c>
      <c r="C35" s="329">
        <f ca="1">IF(ROWS($1:21)&gt;COUNT(Dong5),"",OFFSET(TH!E$1,SMALL(Dong5,ROWS($1:21)),))</f>
        <v>42548</v>
      </c>
      <c r="D35" s="411" t="str">
        <f ca="1">IF(ROWS($1:21)&gt;COUNT(Dong5),"",OFFSET(TH!F$1,SMALL(Dong5,ROWS($1:21)),))</f>
        <v>VAT Hộp ghẹ</v>
      </c>
      <c r="E35" s="329" t="str">
        <f ca="1">IF(ROWS($1:21)&gt;COUNT(Dong5),"",IF(OFFSET(TH!N$1,SMALL(Dong5,ROWS($1:21)),)=$E$7,OFFSET(TH!O$1,SMALL(Dong5,ROWS($1:21)),),OFFSET(TH!N$1,SMALL(Dong5,ROWS($1:21)),)))</f>
        <v>331</v>
      </c>
      <c r="F35" s="412">
        <f ca="1">IF(ROWS($1:21)&gt;COUNT(Dong5),0,IF(OFFSET(TH!N$1,SMALL(Dong5,ROWS($1:21)),)=$E$7,OFFSET(TH!M$1,SMALL(Dong5,ROWS($1:21)),),0))</f>
        <v>2608200</v>
      </c>
      <c r="G35" s="410">
        <f ca="1">IF(ROWS($1:21)&gt;COUNT(Dong5),0,IF(OFFSET(TH!O$1,SMALL(Dong5,ROWS($1:21)),)=$E$7,OFFSET(TH!M$1,SMALL(Dong5,ROWS($1:21)),),0))</f>
        <v>0</v>
      </c>
      <c r="H35" s="413">
        <f t="shared" ca="1" si="0"/>
        <v>165947350</v>
      </c>
      <c r="I35" s="413">
        <f t="shared" ca="1" si="1"/>
        <v>0</v>
      </c>
      <c r="J35" s="18">
        <f t="shared" ca="1" si="2"/>
        <v>6</v>
      </c>
    </row>
    <row r="36" spans="1:10" s="18" customFormat="1" ht="18" customHeight="1">
      <c r="A36" s="329">
        <f ca="1">IF(ROWS($1:22)&gt;COUNT(Dong5),"",OFFSET(TH!C$1,SMALL(Dong5,ROWS($1:22)),))</f>
        <v>42551</v>
      </c>
      <c r="B36" s="329" t="str">
        <f ca="1">IF(ROWS($1:22)&gt;COUNT(Dong5),"",OFFSET(TH!D$1,SMALL(Dong5,ROWS($1:22)),))</f>
        <v>VL/N05</v>
      </c>
      <c r="C36" s="329">
        <f ca="1">IF(ROWS($1:22)&gt;COUNT(Dong5),"",OFFSET(TH!E$1,SMALL(Dong5,ROWS($1:22)),))</f>
        <v>42551</v>
      </c>
      <c r="D36" s="411" t="str">
        <f ca="1">IF(ROWS($1:22)&gt;COUNT(Dong5),"",OFFSET(TH!F$1,SMALL(Dong5,ROWS($1:22)),))</f>
        <v>VAT Thùng carton</v>
      </c>
      <c r="E36" s="329" t="str">
        <f ca="1">IF(ROWS($1:22)&gt;COUNT(Dong5),"",IF(OFFSET(TH!N$1,SMALL(Dong5,ROWS($1:22)),)=$E$7,OFFSET(TH!O$1,SMALL(Dong5,ROWS($1:22)),),OFFSET(TH!N$1,SMALL(Dong5,ROWS($1:22)),)))</f>
        <v>331</v>
      </c>
      <c r="F36" s="412">
        <f ca="1">IF(ROWS($1:22)&gt;COUNT(Dong5),0,IF(OFFSET(TH!N$1,SMALL(Dong5,ROWS($1:22)),)=$E$7,OFFSET(TH!M$1,SMALL(Dong5,ROWS($1:22)),),0))</f>
        <v>1092000</v>
      </c>
      <c r="G36" s="410">
        <f ca="1">IF(ROWS($1:22)&gt;COUNT(Dong5),0,IF(OFFSET(TH!O$1,SMALL(Dong5,ROWS($1:22)),)=$E$7,OFFSET(TH!M$1,SMALL(Dong5,ROWS($1:22)),),0))</f>
        <v>0</v>
      </c>
      <c r="H36" s="413">
        <f t="shared" ca="1" si="0"/>
        <v>167039350</v>
      </c>
      <c r="I36" s="413">
        <f t="shared" ca="1" si="1"/>
        <v>0</v>
      </c>
      <c r="J36" s="18">
        <f t="shared" ca="1" si="2"/>
        <v>6</v>
      </c>
    </row>
    <row r="37" spans="1:10" s="18" customFormat="1" ht="18" customHeight="1">
      <c r="A37" s="329">
        <f ca="1">IF(ROWS($1:23)&gt;COUNT(Dong5),"",OFFSET(TH!C$1,SMALL(Dong5,ROWS($1:23)),))</f>
        <v>42567</v>
      </c>
      <c r="B37" s="329" t="str">
        <f ca="1">IF(ROWS($1:23)&gt;COUNT(Dong5),"",OFFSET(TH!D$1,SMALL(Dong5,ROWS($1:23)),))</f>
        <v>VL/N01</v>
      </c>
      <c r="C37" s="329">
        <f ca="1">IF(ROWS($1:23)&gt;COUNT(Dong5),"",OFFSET(TH!E$1,SMALL(Dong5,ROWS($1:23)),))</f>
        <v>42567</v>
      </c>
      <c r="D37" s="411" t="str">
        <f ca="1">IF(ROWS($1:23)&gt;COUNT(Dong5),"",OFFSET(TH!F$1,SMALL(Dong5,ROWS($1:23)),))</f>
        <v>VAT Tinh bột bắp</v>
      </c>
      <c r="E37" s="329" t="str">
        <f ca="1">IF(ROWS($1:23)&gt;COUNT(Dong5),"",IF(OFFSET(TH!N$1,SMALL(Dong5,ROWS($1:23)),)=$E$7,OFFSET(TH!O$1,SMALL(Dong5,ROWS($1:23)),),OFFSET(TH!N$1,SMALL(Dong5,ROWS($1:23)),)))</f>
        <v>331</v>
      </c>
      <c r="F37" s="412">
        <f ca="1">IF(ROWS($1:23)&gt;COUNT(Dong5),0,IF(OFFSET(TH!N$1,SMALL(Dong5,ROWS($1:23)),)=$E$7,OFFSET(TH!M$1,SMALL(Dong5,ROWS($1:23)),),0))</f>
        <v>636400</v>
      </c>
      <c r="G37" s="410">
        <f ca="1">IF(ROWS($1:23)&gt;COUNT(Dong5),0,IF(OFFSET(TH!O$1,SMALL(Dong5,ROWS($1:23)),)=$E$7,OFFSET(TH!M$1,SMALL(Dong5,ROWS($1:23)),),0))</f>
        <v>0</v>
      </c>
      <c r="H37" s="413">
        <f t="shared" ca="1" si="0"/>
        <v>167675750</v>
      </c>
      <c r="I37" s="413">
        <f t="shared" ca="1" si="1"/>
        <v>0</v>
      </c>
      <c r="J37" s="18">
        <f t="shared" ca="1" si="2"/>
        <v>7</v>
      </c>
    </row>
    <row r="38" spans="1:10" s="18" customFormat="1" ht="18" customHeight="1">
      <c r="A38" s="329">
        <f ca="1">IF(ROWS($1:24)&gt;COUNT(Dong5),"",OFFSET(TH!C$1,SMALL(Dong5,ROWS($1:24)),))</f>
        <v>42583</v>
      </c>
      <c r="B38" s="329" t="str">
        <f ca="1">IF(ROWS($1:24)&gt;COUNT(Dong5),"",OFFSET(TH!D$1,SMALL(Dong5,ROWS($1:24)),))</f>
        <v>VL/N01</v>
      </c>
      <c r="C38" s="329">
        <f ca="1">IF(ROWS($1:24)&gt;COUNT(Dong5),"",OFFSET(TH!E$1,SMALL(Dong5,ROWS($1:24)),))</f>
        <v>42583</v>
      </c>
      <c r="D38" s="411" t="str">
        <f ca="1">IF(ROWS($1:24)&gt;COUNT(Dong5),"",OFFSET(TH!F$1,SMALL(Dong5,ROWS($1:24)),))</f>
        <v>VAT Thùng carton</v>
      </c>
      <c r="E38" s="329" t="str">
        <f ca="1">IF(ROWS($1:24)&gt;COUNT(Dong5),"",IF(OFFSET(TH!N$1,SMALL(Dong5,ROWS($1:24)),)=$E$7,OFFSET(TH!O$1,SMALL(Dong5,ROWS($1:24)),),OFFSET(TH!N$1,SMALL(Dong5,ROWS($1:24)),)))</f>
        <v>331</v>
      </c>
      <c r="F38" s="412">
        <f ca="1">IF(ROWS($1:24)&gt;COUNT(Dong5),0,IF(OFFSET(TH!N$1,SMALL(Dong5,ROWS($1:24)),)=$E$7,OFFSET(TH!M$1,SMALL(Dong5,ROWS($1:24)),),0))</f>
        <v>4283500</v>
      </c>
      <c r="G38" s="410">
        <f ca="1">IF(ROWS($1:24)&gt;COUNT(Dong5),0,IF(OFFSET(TH!O$1,SMALL(Dong5,ROWS($1:24)),)=$E$7,OFFSET(TH!M$1,SMALL(Dong5,ROWS($1:24)),),0))</f>
        <v>0</v>
      </c>
      <c r="H38" s="413">
        <f t="shared" ca="1" si="0"/>
        <v>171959250</v>
      </c>
      <c r="I38" s="413">
        <f t="shared" ca="1" si="1"/>
        <v>0</v>
      </c>
      <c r="J38" s="18">
        <f t="shared" ca="1" si="2"/>
        <v>8</v>
      </c>
    </row>
    <row r="39" spans="1:10" s="18" customFormat="1" ht="18" customHeight="1">
      <c r="A39" s="329">
        <f ca="1">IF(ROWS($1:25)&gt;COUNT(Dong5),"",OFFSET(TH!C$1,SMALL(Dong5,ROWS($1:25)),))</f>
        <v>42606</v>
      </c>
      <c r="B39" s="329" t="str">
        <f ca="1">IF(ROWS($1:25)&gt;COUNT(Dong5),"",OFFSET(TH!D$1,SMALL(Dong5,ROWS($1:25)),))</f>
        <v>VL/N03</v>
      </c>
      <c r="C39" s="329">
        <f ca="1">IF(ROWS($1:25)&gt;COUNT(Dong5),"",OFFSET(TH!E$1,SMALL(Dong5,ROWS($1:25)),))</f>
        <v>42606</v>
      </c>
      <c r="D39" s="411" t="str">
        <f ca="1">IF(ROWS($1:25)&gt;COUNT(Dong5),"",OFFSET(TH!F$1,SMALL(Dong5,ROWS($1:25)),))</f>
        <v>VAT Thùng carton</v>
      </c>
      <c r="E39" s="329" t="str">
        <f ca="1">IF(ROWS($1:25)&gt;COUNT(Dong5),"",IF(OFFSET(TH!N$1,SMALL(Dong5,ROWS($1:25)),)=$E$7,OFFSET(TH!O$1,SMALL(Dong5,ROWS($1:25)),),OFFSET(TH!N$1,SMALL(Dong5,ROWS($1:25)),)))</f>
        <v>331</v>
      </c>
      <c r="F39" s="412">
        <f ca="1">IF(ROWS($1:25)&gt;COUNT(Dong5),0,IF(OFFSET(TH!N$1,SMALL(Dong5,ROWS($1:25)),)=$E$7,OFFSET(TH!M$1,SMALL(Dong5,ROWS($1:25)),),0))</f>
        <v>2420000</v>
      </c>
      <c r="G39" s="410">
        <f ca="1">IF(ROWS($1:25)&gt;COUNT(Dong5),0,IF(OFFSET(TH!O$1,SMALL(Dong5,ROWS($1:25)),)=$E$7,OFFSET(TH!M$1,SMALL(Dong5,ROWS($1:25)),),0))</f>
        <v>0</v>
      </c>
      <c r="H39" s="413">
        <f t="shared" ca="1" si="0"/>
        <v>174379250</v>
      </c>
      <c r="I39" s="413">
        <f t="shared" ca="1" si="1"/>
        <v>0</v>
      </c>
      <c r="J39" s="18">
        <f t="shared" ca="1" si="2"/>
        <v>8</v>
      </c>
    </row>
    <row r="40" spans="1:10" s="18" customFormat="1" ht="18" customHeight="1">
      <c r="A40" s="329">
        <f ca="1">IF(ROWS($1:26)&gt;COUNT(Dong5),"",OFFSET(TH!C$1,SMALL(Dong5,ROWS($1:26)),))</f>
        <v>42608</v>
      </c>
      <c r="B40" s="329" t="str">
        <f ca="1">IF(ROWS($1:26)&gt;COUNT(Dong5),"",OFFSET(TH!D$1,SMALL(Dong5,ROWS($1:26)),))</f>
        <v>VL/N04</v>
      </c>
      <c r="C40" s="329">
        <f ca="1">IF(ROWS($1:26)&gt;COUNT(Dong5),"",OFFSET(TH!E$1,SMALL(Dong5,ROWS($1:26)),))</f>
        <v>42608</v>
      </c>
      <c r="D40" s="411" t="str">
        <f ca="1">IF(ROWS($1:26)&gt;COUNT(Dong5),"",OFFSET(TH!F$1,SMALL(Dong5,ROWS($1:26)),))</f>
        <v>VAT Băng keo</v>
      </c>
      <c r="E40" s="329" t="str">
        <f ca="1">IF(ROWS($1:26)&gt;COUNT(Dong5),"",IF(OFFSET(TH!N$1,SMALL(Dong5,ROWS($1:26)),)=$E$7,OFFSET(TH!O$1,SMALL(Dong5,ROWS($1:26)),),OFFSET(TH!N$1,SMALL(Dong5,ROWS($1:26)),)))</f>
        <v>331</v>
      </c>
      <c r="F40" s="412">
        <f ca="1">IF(ROWS($1:26)&gt;COUNT(Dong5),0,IF(OFFSET(TH!N$1,SMALL(Dong5,ROWS($1:26)),)=$E$7,OFFSET(TH!M$1,SMALL(Dong5,ROWS($1:26)),),0))</f>
        <v>480000</v>
      </c>
      <c r="G40" s="410">
        <f ca="1">IF(ROWS($1:26)&gt;COUNT(Dong5),0,IF(OFFSET(TH!O$1,SMALL(Dong5,ROWS($1:26)),)=$E$7,OFFSET(TH!M$1,SMALL(Dong5,ROWS($1:26)),),0))</f>
        <v>0</v>
      </c>
      <c r="H40" s="413">
        <f t="shared" ca="1" si="0"/>
        <v>174859250</v>
      </c>
      <c r="I40" s="413">
        <f t="shared" ca="1" si="1"/>
        <v>0</v>
      </c>
      <c r="J40" s="18">
        <f t="shared" ca="1" si="2"/>
        <v>8</v>
      </c>
    </row>
    <row r="41" spans="1:10" s="18" customFormat="1" ht="18" customHeight="1">
      <c r="A41" s="329">
        <f ca="1">IF(ROWS($1:27)&gt;COUNT(Dong5),"",OFFSET(TH!C$1,SMALL(Dong5,ROWS($1:27)),))</f>
        <v>42613</v>
      </c>
      <c r="B41" s="329" t="str">
        <f ca="1">IF(ROWS($1:27)&gt;COUNT(Dong5),"",OFFSET(TH!D$1,SMALL(Dong5,ROWS($1:27)),))</f>
        <v>VL/N05</v>
      </c>
      <c r="C41" s="329">
        <f ca="1">IF(ROWS($1:27)&gt;COUNT(Dong5),"",OFFSET(TH!E$1,SMALL(Dong5,ROWS($1:27)),))</f>
        <v>42613</v>
      </c>
      <c r="D41" s="411" t="str">
        <f ca="1">IF(ROWS($1:27)&gt;COUNT(Dong5),"",OFFSET(TH!F$1,SMALL(Dong5,ROWS($1:27)),))</f>
        <v>VAT Túi PA, PP</v>
      </c>
      <c r="E41" s="329" t="str">
        <f ca="1">IF(ROWS($1:27)&gt;COUNT(Dong5),"",IF(OFFSET(TH!N$1,SMALL(Dong5,ROWS($1:27)),)=$E$7,OFFSET(TH!O$1,SMALL(Dong5,ROWS($1:27)),),OFFSET(TH!N$1,SMALL(Dong5,ROWS($1:27)),)))</f>
        <v>331</v>
      </c>
      <c r="F41" s="412">
        <f ca="1">IF(ROWS($1:27)&gt;COUNT(Dong5),0,IF(OFFSET(TH!N$1,SMALL(Dong5,ROWS($1:27)),)=$E$7,OFFSET(TH!M$1,SMALL(Dong5,ROWS($1:27)),),0))</f>
        <v>7687900</v>
      </c>
      <c r="G41" s="410">
        <f ca="1">IF(ROWS($1:27)&gt;COUNT(Dong5),0,IF(OFFSET(TH!O$1,SMALL(Dong5,ROWS($1:27)),)=$E$7,OFFSET(TH!M$1,SMALL(Dong5,ROWS($1:27)),),0))</f>
        <v>0</v>
      </c>
      <c r="H41" s="413">
        <f t="shared" ca="1" si="0"/>
        <v>182547150</v>
      </c>
      <c r="I41" s="413">
        <f t="shared" ca="1" si="1"/>
        <v>0</v>
      </c>
      <c r="J41" s="18">
        <f t="shared" ca="1" si="2"/>
        <v>8</v>
      </c>
    </row>
    <row r="42" spans="1:10" s="18" customFormat="1" ht="18" customHeight="1">
      <c r="A42" s="329">
        <f ca="1">IF(ROWS($1:28)&gt;COUNT(Dong5),"",OFFSET(TH!C$1,SMALL(Dong5,ROWS($1:28)),))</f>
        <v>42371</v>
      </c>
      <c r="B42" s="329" t="str">
        <f ca="1">IF(ROWS($1:28)&gt;COUNT(Dong5),"",OFFSET(TH!D$1,SMALL(Dong5,ROWS($1:28)),))</f>
        <v>C01</v>
      </c>
      <c r="C42" s="329">
        <f ca="1">IF(ROWS($1:28)&gt;COUNT(Dong5),"",OFFSET(TH!E$1,SMALL(Dong5,ROWS($1:28)),))</f>
        <v>42368</v>
      </c>
      <c r="D42" s="411" t="str">
        <f ca="1">IF(ROWS($1:28)&gt;COUNT(Dong5),"",OFFSET(TH!F$1,SMALL(Dong5,ROWS($1:28)),))</f>
        <v>VAT Phí cấp cont, hạ bãi</v>
      </c>
      <c r="E42" s="329" t="str">
        <f ca="1">IF(ROWS($1:28)&gt;COUNT(Dong5),"",IF(OFFSET(TH!N$1,SMALL(Dong5,ROWS($1:28)),)=$E$7,OFFSET(TH!O$1,SMALL(Dong5,ROWS($1:28)),),OFFSET(TH!N$1,SMALL(Dong5,ROWS($1:28)),)))</f>
        <v>1111</v>
      </c>
      <c r="F42" s="412">
        <f ca="1">IF(ROWS($1:28)&gt;COUNT(Dong5),0,IF(OFFSET(TH!N$1,SMALL(Dong5,ROWS($1:28)),)=$E$7,OFFSET(TH!M$1,SMALL(Dong5,ROWS($1:28)),),0))</f>
        <v>440003</v>
      </c>
      <c r="G42" s="410">
        <f ca="1">IF(ROWS($1:28)&gt;COUNT(Dong5),0,IF(OFFSET(TH!O$1,SMALL(Dong5,ROWS($1:28)),)=$E$7,OFFSET(TH!M$1,SMALL(Dong5,ROWS($1:28)),),0))</f>
        <v>0</v>
      </c>
      <c r="H42" s="413">
        <f t="shared" ca="1" si="0"/>
        <v>182987153</v>
      </c>
      <c r="I42" s="413">
        <f t="shared" ca="1" si="1"/>
        <v>0</v>
      </c>
      <c r="J42" s="18">
        <f t="shared" ca="1" si="2"/>
        <v>1</v>
      </c>
    </row>
    <row r="43" spans="1:10" s="18" customFormat="1" ht="18" customHeight="1">
      <c r="A43" s="329">
        <f ca="1">IF(ROWS($1:29)&gt;COUNT(Dong5),"",OFFSET(TH!C$1,SMALL(Dong5,ROWS($1:29)),))</f>
        <v>42371</v>
      </c>
      <c r="B43" s="329" t="str">
        <f ca="1">IF(ROWS($1:29)&gt;COUNT(Dong5),"",OFFSET(TH!D$1,SMALL(Dong5,ROWS($1:29)),))</f>
        <v>C02</v>
      </c>
      <c r="C43" s="329">
        <f ca="1">IF(ROWS($1:29)&gt;COUNT(Dong5),"",OFFSET(TH!E$1,SMALL(Dong5,ROWS($1:29)),))</f>
        <v>42369</v>
      </c>
      <c r="D43" s="411" t="str">
        <f ca="1">IF(ROWS($1:29)&gt;COUNT(Dong5),"",OFFSET(TH!F$1,SMALL(Dong5,ROWS($1:29)),))</f>
        <v xml:space="preserve">VAT Cước CPN </v>
      </c>
      <c r="E43" s="329" t="str">
        <f ca="1">IF(ROWS($1:29)&gt;COUNT(Dong5),"",IF(OFFSET(TH!N$1,SMALL(Dong5,ROWS($1:29)),)=$E$7,OFFSET(TH!O$1,SMALL(Dong5,ROWS($1:29)),),OFFSET(TH!N$1,SMALL(Dong5,ROWS($1:29)),)))</f>
        <v>1111</v>
      </c>
      <c r="F43" s="412">
        <f ca="1">IF(ROWS($1:29)&gt;COUNT(Dong5),0,IF(OFFSET(TH!N$1,SMALL(Dong5,ROWS($1:29)),)=$E$7,OFFSET(TH!M$1,SMALL(Dong5,ROWS($1:29)),),0))</f>
        <v>4715</v>
      </c>
      <c r="G43" s="410">
        <f ca="1">IF(ROWS($1:29)&gt;COUNT(Dong5),0,IF(OFFSET(TH!O$1,SMALL(Dong5,ROWS($1:29)),)=$E$7,OFFSET(TH!M$1,SMALL(Dong5,ROWS($1:29)),),0))</f>
        <v>0</v>
      </c>
      <c r="H43" s="413">
        <f t="shared" ca="1" si="0"/>
        <v>182991868</v>
      </c>
      <c r="I43" s="413">
        <f t="shared" ca="1" si="1"/>
        <v>0</v>
      </c>
      <c r="J43" s="18">
        <f t="shared" ca="1" si="2"/>
        <v>1</v>
      </c>
    </row>
    <row r="44" spans="1:10" s="18" customFormat="1" ht="18" customHeight="1">
      <c r="A44" s="329">
        <f ca="1">IF(ROWS($1:30)&gt;COUNT(Dong5),"",OFFSET(TH!C$1,SMALL(Dong5,ROWS($1:30)),))</f>
        <v>42371</v>
      </c>
      <c r="B44" s="329" t="str">
        <f ca="1">IF(ROWS($1:30)&gt;COUNT(Dong5),"",OFFSET(TH!D$1,SMALL(Dong5,ROWS($1:30)),))</f>
        <v>C03</v>
      </c>
      <c r="C44" s="329">
        <f ca="1">IF(ROWS($1:30)&gt;COUNT(Dong5),"",OFFSET(TH!E$1,SMALL(Dong5,ROWS($1:30)),))</f>
        <v>42367</v>
      </c>
      <c r="D44" s="411" t="str">
        <f ca="1">IF(ROWS($1:30)&gt;COUNT(Dong5),"",OFFSET(TH!F$1,SMALL(Dong5,ROWS($1:30)),)&amp;" - "&amp;OFFSET(TH!H$1,SMALL(Dong5,ROWS($1:30)),))</f>
        <v>VAT Phí cấp cont, hạ bãi - Cty CP Cảng Miền Nam</v>
      </c>
      <c r="E44" s="329" t="str">
        <f ca="1">IF(ROWS($1:30)&gt;COUNT(Dong5),"",IF(OFFSET(TH!N$1,SMALL(Dong5,ROWS($1:30)),)=$E$7,OFFSET(TH!O$1,SMALL(Dong5,ROWS($1:30)),),OFFSET(TH!N$1,SMALL(Dong5,ROWS($1:30)),)))</f>
        <v>1111</v>
      </c>
      <c r="F44" s="412">
        <f ca="1">IF(ROWS($1:30)&gt;COUNT(Dong5),0,IF(OFFSET(TH!N$1,SMALL(Dong5,ROWS($1:30)),)=$E$7,OFFSET(TH!M$1,SMALL(Dong5,ROWS($1:30)),),0))</f>
        <v>209090</v>
      </c>
      <c r="G44" s="410">
        <f ca="1">IF(ROWS($1:30)&gt;COUNT(Dong5),0,IF(OFFSET(TH!O$1,SMALL(Dong5,ROWS($1:30)),)=$E$7,OFFSET(TH!M$1,SMALL(Dong5,ROWS($1:30)),),0))</f>
        <v>0</v>
      </c>
      <c r="H44" s="413">
        <f t="shared" ca="1" si="0"/>
        <v>183200958</v>
      </c>
      <c r="I44" s="413">
        <f t="shared" ca="1" si="1"/>
        <v>0</v>
      </c>
      <c r="J44" s="18">
        <f t="shared" ca="1" si="2"/>
        <v>1</v>
      </c>
    </row>
    <row r="45" spans="1:10" s="18" customFormat="1" ht="18" customHeight="1">
      <c r="A45" s="329">
        <f ca="1">IF(ROWS($1:31)&gt;COUNT(Dong5),"",OFFSET(TH!C$1,SMALL(Dong5,ROWS($1:31)),))</f>
        <v>42371</v>
      </c>
      <c r="B45" s="329" t="str">
        <f ca="1">IF(ROWS($1:31)&gt;COUNT(Dong5),"",OFFSET(TH!D$1,SMALL(Dong5,ROWS($1:31)),))</f>
        <v>C04</v>
      </c>
      <c r="C45" s="329">
        <f ca="1">IF(ROWS($1:31)&gt;COUNT(Dong5),"",OFFSET(TH!E$1,SMALL(Dong5,ROWS($1:31)),))</f>
        <v>42367</v>
      </c>
      <c r="D45" s="411" t="str">
        <f ca="1">IF(ROWS($1:31)&gt;COUNT(Dong5),"",OFFSET(TH!F$1,SMALL(Dong5,ROWS($1:31)),))</f>
        <v>VAT Cước vận chuyển</v>
      </c>
      <c r="E45" s="329" t="str">
        <f ca="1">IF(ROWS($1:31)&gt;COUNT(Dong5),"",IF(OFFSET(TH!N$1,SMALL(Dong5,ROWS($1:31)),)=$E$7,OFFSET(TH!O$1,SMALL(Dong5,ROWS($1:31)),),OFFSET(TH!N$1,SMALL(Dong5,ROWS($1:31)),)))</f>
        <v>1111</v>
      </c>
      <c r="F45" s="412">
        <f ca="1">IF(ROWS($1:31)&gt;COUNT(Dong5),0,IF(OFFSET(TH!N$1,SMALL(Dong5,ROWS($1:31)),)=$E$7,OFFSET(TH!M$1,SMALL(Dong5,ROWS($1:31)),),0))</f>
        <v>1200000</v>
      </c>
      <c r="G45" s="410">
        <f ca="1">IF(ROWS($1:31)&gt;COUNT(Dong5),0,IF(OFFSET(TH!O$1,SMALL(Dong5,ROWS($1:31)),)=$E$7,OFFSET(TH!M$1,SMALL(Dong5,ROWS($1:31)),),0))</f>
        <v>0</v>
      </c>
      <c r="H45" s="413">
        <f t="shared" ca="1" si="0"/>
        <v>184400958</v>
      </c>
      <c r="I45" s="413">
        <f t="shared" ca="1" si="1"/>
        <v>0</v>
      </c>
      <c r="J45" s="18">
        <f t="shared" ca="1" si="2"/>
        <v>1</v>
      </c>
    </row>
    <row r="46" spans="1:10" s="18" customFormat="1" ht="18" customHeight="1">
      <c r="A46" s="329">
        <f ca="1">IF(ROWS($1:32)&gt;COUNT(Dong5),"",OFFSET(TH!C$1,SMALL(Dong5,ROWS($1:32)),))</f>
        <v>42371</v>
      </c>
      <c r="B46" s="329" t="str">
        <f ca="1">IF(ROWS($1:32)&gt;COUNT(Dong5),"",OFFSET(TH!D$1,SMALL(Dong5,ROWS($1:32)),))</f>
        <v>C05</v>
      </c>
      <c r="C46" s="329">
        <f ca="1">IF(ROWS($1:32)&gt;COUNT(Dong5),"",OFFSET(TH!E$1,SMALL(Dong5,ROWS($1:32)),))</f>
        <v>42370</v>
      </c>
      <c r="D46" s="411" t="str">
        <f ca="1">IF(ROWS($1:32)&gt;COUNT(Dong5),"",OFFSET(TH!F$1,SMALL(Dong5,ROWS($1:32)),))</f>
        <v>VAT Dầu DO</v>
      </c>
      <c r="E46" s="329" t="str">
        <f ca="1">IF(ROWS($1:32)&gt;COUNT(Dong5),"",IF(OFFSET(TH!N$1,SMALL(Dong5,ROWS($1:32)),)=$E$7,OFFSET(TH!O$1,SMALL(Dong5,ROWS($1:32)),),OFFSET(TH!N$1,SMALL(Dong5,ROWS($1:32)),)))</f>
        <v>1111</v>
      </c>
      <c r="F46" s="412">
        <f ca="1">IF(ROWS($1:32)&gt;COUNT(Dong5),0,IF(OFFSET(TH!N$1,SMALL(Dong5,ROWS($1:32)),)=$E$7,OFFSET(TH!M$1,SMALL(Dong5,ROWS($1:32)),),0))</f>
        <v>62078</v>
      </c>
      <c r="G46" s="410">
        <f ca="1">IF(ROWS($1:32)&gt;COUNT(Dong5),0,IF(OFFSET(TH!O$1,SMALL(Dong5,ROWS($1:32)),)=$E$7,OFFSET(TH!M$1,SMALL(Dong5,ROWS($1:32)),),0))</f>
        <v>0</v>
      </c>
      <c r="H46" s="413">
        <f t="shared" ca="1" si="0"/>
        <v>184463036</v>
      </c>
      <c r="I46" s="413">
        <f t="shared" ca="1" si="1"/>
        <v>0</v>
      </c>
      <c r="J46" s="18">
        <f t="shared" ca="1" si="2"/>
        <v>1</v>
      </c>
    </row>
    <row r="47" spans="1:10" s="18" customFormat="1" ht="18" customHeight="1">
      <c r="A47" s="329">
        <f ca="1">IF(ROWS($1:33)&gt;COUNT(Dong5),"",OFFSET(TH!C$1,SMALL(Dong5,ROWS($1:33)),))</f>
        <v>42373</v>
      </c>
      <c r="B47" s="329" t="str">
        <f ca="1">IF(ROWS($1:33)&gt;COUNT(Dong5),"",OFFSET(TH!D$1,SMALL(Dong5,ROWS($1:33)),))</f>
        <v>C07</v>
      </c>
      <c r="C47" s="329">
        <f ca="1">IF(ROWS($1:33)&gt;COUNT(Dong5),"",OFFSET(TH!E$1,SMALL(Dong5,ROWS($1:33)),))</f>
        <v>42373</v>
      </c>
      <c r="D47" s="411" t="str">
        <f ca="1">IF(ROWS($1:33)&gt;COUNT(Dong5),"",OFFSET(TH!F$1,SMALL(Dong5,ROWS($1:33)),))</f>
        <v>VAT Xi măng Fico</v>
      </c>
      <c r="E47" s="329" t="str">
        <f ca="1">IF(ROWS($1:33)&gt;COUNT(Dong5),"",IF(OFFSET(TH!N$1,SMALL(Dong5,ROWS($1:33)),)=$E$7,OFFSET(TH!O$1,SMALL(Dong5,ROWS($1:33)),),OFFSET(TH!N$1,SMALL(Dong5,ROWS($1:33)),)))</f>
        <v>1111</v>
      </c>
      <c r="F47" s="412">
        <f ca="1">IF(ROWS($1:33)&gt;COUNT(Dong5),0,IF(OFFSET(TH!N$1,SMALL(Dong5,ROWS($1:33)),)=$E$7,OFFSET(TH!M$1,SMALL(Dong5,ROWS($1:33)),),0))</f>
        <v>1665000</v>
      </c>
      <c r="G47" s="410">
        <f ca="1">IF(ROWS($1:33)&gt;COUNT(Dong5),0,IF(OFFSET(TH!O$1,SMALL(Dong5,ROWS($1:33)),)=$E$7,OFFSET(TH!M$1,SMALL(Dong5,ROWS($1:33)),),0))</f>
        <v>0</v>
      </c>
      <c r="H47" s="413">
        <f t="shared" ref="H47:H78" ca="1" si="3">IF(D47&lt;&gt;"",MAX(H46+F47-G47-I46,0),0)</f>
        <v>186128036</v>
      </c>
      <c r="I47" s="413">
        <f t="shared" ref="I47:I78" ca="1" si="4">IF(D47&lt;&gt;"",MAX(I46+G47-H46-F47,0),0)</f>
        <v>0</v>
      </c>
      <c r="J47" s="18">
        <f t="shared" ca="1" si="2"/>
        <v>1</v>
      </c>
    </row>
    <row r="48" spans="1:10" s="18" customFormat="1" ht="18" customHeight="1">
      <c r="A48" s="329">
        <f ca="1">IF(ROWS($1:34)&gt;COUNT(Dong5),"",OFFSET(TH!C$1,SMALL(Dong5,ROWS($1:34)),))</f>
        <v>42373</v>
      </c>
      <c r="B48" s="329" t="str">
        <f ca="1">IF(ROWS($1:34)&gt;COUNT(Dong5),"",OFFSET(TH!D$1,SMALL(Dong5,ROWS($1:34)),))</f>
        <v>C08</v>
      </c>
      <c r="C48" s="329">
        <f ca="1">IF(ROWS($1:34)&gt;COUNT(Dong5),"",OFFSET(TH!E$1,SMALL(Dong5,ROWS($1:34)),))</f>
        <v>42336</v>
      </c>
      <c r="D48" s="411" t="str">
        <f ca="1">IF(ROWS($1:34)&gt;COUNT(Dong5),"",OFFSET(TH!F$1,SMALL(Dong5,ROWS($1:34)),))</f>
        <v>VAT Cước vận chuyển</v>
      </c>
      <c r="E48" s="329" t="str">
        <f ca="1">IF(ROWS($1:34)&gt;COUNT(Dong5),"",IF(OFFSET(TH!N$1,SMALL(Dong5,ROWS($1:34)),)=$E$7,OFFSET(TH!O$1,SMALL(Dong5,ROWS($1:34)),),OFFSET(TH!N$1,SMALL(Dong5,ROWS($1:34)),)))</f>
        <v>1111</v>
      </c>
      <c r="F48" s="412">
        <f ca="1">IF(ROWS($1:34)&gt;COUNT(Dong5),0,IF(OFFSET(TH!N$1,SMALL(Dong5,ROWS($1:34)),)=$E$7,OFFSET(TH!M$1,SMALL(Dong5,ROWS($1:34)),),0))</f>
        <v>1200000</v>
      </c>
      <c r="G48" s="410">
        <f ca="1">IF(ROWS($1:34)&gt;COUNT(Dong5),0,IF(OFFSET(TH!O$1,SMALL(Dong5,ROWS($1:34)),)=$E$7,OFFSET(TH!M$1,SMALL(Dong5,ROWS($1:34)),),0))</f>
        <v>0</v>
      </c>
      <c r="H48" s="413">
        <f t="shared" ca="1" si="3"/>
        <v>187328036</v>
      </c>
      <c r="I48" s="413">
        <f t="shared" ca="1" si="4"/>
        <v>0</v>
      </c>
      <c r="J48" s="18">
        <f t="shared" ca="1" si="2"/>
        <v>1</v>
      </c>
    </row>
    <row r="49" spans="1:10" s="18" customFormat="1" ht="18" customHeight="1">
      <c r="A49" s="329">
        <f ca="1">IF(ROWS($1:35)&gt;COUNT(Dong5),"",OFFSET(TH!C$1,SMALL(Dong5,ROWS($1:35)),))</f>
        <v>42373</v>
      </c>
      <c r="B49" s="329" t="str">
        <f ca="1">IF(ROWS($1:35)&gt;COUNT(Dong5),"",OFFSET(TH!D$1,SMALL(Dong5,ROWS($1:35)),))</f>
        <v>C09</v>
      </c>
      <c r="C49" s="329">
        <f ca="1">IF(ROWS($1:35)&gt;COUNT(Dong5),"",OFFSET(TH!E$1,SMALL(Dong5,ROWS($1:35)),))</f>
        <v>42373</v>
      </c>
      <c r="D49" s="411" t="str">
        <f ca="1">IF(ROWS($1:35)&gt;COUNT(Dong5),"",OFFSET(TH!F$1,SMALL(Dong5,ROWS($1:35)),)&amp;" - "&amp;OFFSET(TH!H$1,SMALL(Dong5,ROWS($1:35)),))</f>
        <v>VAT Xăng - Cty CP Vật Tư - Xăng Dầu (Comeco)</v>
      </c>
      <c r="E49" s="329" t="str">
        <f ca="1">IF(ROWS($1:35)&gt;COUNT(Dong5),"",IF(OFFSET(TH!N$1,SMALL(Dong5,ROWS($1:35)),)=$E$7,OFFSET(TH!O$1,SMALL(Dong5,ROWS($1:35)),),OFFSET(TH!N$1,SMALL(Dong5,ROWS($1:35)),)))</f>
        <v>1111</v>
      </c>
      <c r="F49" s="412">
        <f ca="1">IF(ROWS($1:35)&gt;COUNT(Dong5),0,IF(OFFSET(TH!N$1,SMALL(Dong5,ROWS($1:35)),)=$E$7,OFFSET(TH!M$1,SMALL(Dong5,ROWS($1:35)),),0))</f>
        <v>68400</v>
      </c>
      <c r="G49" s="410">
        <f ca="1">IF(ROWS($1:35)&gt;COUNT(Dong5),0,IF(OFFSET(TH!O$1,SMALL(Dong5,ROWS($1:35)),)=$E$7,OFFSET(TH!M$1,SMALL(Dong5,ROWS($1:35)),),0))</f>
        <v>0</v>
      </c>
      <c r="H49" s="413">
        <f t="shared" ca="1" si="3"/>
        <v>187396436</v>
      </c>
      <c r="I49" s="413">
        <f t="shared" ca="1" si="4"/>
        <v>0</v>
      </c>
      <c r="J49" s="18">
        <f t="shared" ca="1" si="2"/>
        <v>1</v>
      </c>
    </row>
    <row r="50" spans="1:10" s="18" customFormat="1" ht="18" customHeight="1">
      <c r="A50" s="329">
        <f ca="1">IF(ROWS($1:36)&gt;COUNT(Dong5),"",OFFSET(TH!C$1,SMALL(Dong5,ROWS($1:36)),))</f>
        <v>42373</v>
      </c>
      <c r="B50" s="329" t="str">
        <f ca="1">IF(ROWS($1:36)&gt;COUNT(Dong5),"",OFFSET(TH!D$1,SMALL(Dong5,ROWS($1:36)),))</f>
        <v>C10</v>
      </c>
      <c r="C50" s="329">
        <f ca="1">IF(ROWS($1:36)&gt;COUNT(Dong5),"",OFFSET(TH!E$1,SMALL(Dong5,ROWS($1:36)),))</f>
        <v>42373</v>
      </c>
      <c r="D50" s="411" t="str">
        <f ca="1">IF(ROWS($1:36)&gt;COUNT(Dong5),"",OFFSET(TH!F$1,SMALL(Dong5,ROWS($1:36)),))</f>
        <v>VAT Xăng</v>
      </c>
      <c r="E50" s="329" t="str">
        <f ca="1">IF(ROWS($1:36)&gt;COUNT(Dong5),"",IF(OFFSET(TH!N$1,SMALL(Dong5,ROWS($1:36)),)=$E$7,OFFSET(TH!O$1,SMALL(Dong5,ROWS($1:36)),),OFFSET(TH!N$1,SMALL(Dong5,ROWS($1:36)),)))</f>
        <v>1111</v>
      </c>
      <c r="F50" s="412">
        <f ca="1">IF(ROWS($1:36)&gt;COUNT(Dong5),0,IF(OFFSET(TH!N$1,SMALL(Dong5,ROWS($1:36)),)=$E$7,OFFSET(TH!M$1,SMALL(Dong5,ROWS($1:36)),),0))</f>
        <v>2982</v>
      </c>
      <c r="G50" s="410">
        <f ca="1">IF(ROWS($1:36)&gt;COUNT(Dong5),0,IF(OFFSET(TH!O$1,SMALL(Dong5,ROWS($1:36)),)=$E$7,OFFSET(TH!M$1,SMALL(Dong5,ROWS($1:36)),),0))</f>
        <v>0</v>
      </c>
      <c r="H50" s="413">
        <f t="shared" ca="1" si="3"/>
        <v>187399418</v>
      </c>
      <c r="I50" s="413">
        <f t="shared" ca="1" si="4"/>
        <v>0</v>
      </c>
      <c r="J50" s="18">
        <f t="shared" ca="1" si="2"/>
        <v>1</v>
      </c>
    </row>
    <row r="51" spans="1:10" s="18" customFormat="1" ht="18" customHeight="1">
      <c r="A51" s="329">
        <f ca="1">IF(ROWS($1:37)&gt;COUNT(Dong5),"",OFFSET(TH!C$1,SMALL(Dong5,ROWS($1:37)),))</f>
        <v>42374</v>
      </c>
      <c r="B51" s="329" t="str">
        <f ca="1">IF(ROWS($1:37)&gt;COUNT(Dong5),"",OFFSET(TH!D$1,SMALL(Dong5,ROWS($1:37)),))</f>
        <v>C11</v>
      </c>
      <c r="C51" s="329">
        <f ca="1">IF(ROWS($1:37)&gt;COUNT(Dong5),"",OFFSET(TH!E$1,SMALL(Dong5,ROWS($1:37)),))</f>
        <v>42374</v>
      </c>
      <c r="D51" s="411" t="str">
        <f ca="1">IF(ROWS($1:37)&gt;COUNT(Dong5),"",OFFSET(TH!F$1,SMALL(Dong5,ROWS($1:37)),))</f>
        <v>VAT Gạch ống, cát vàng</v>
      </c>
      <c r="E51" s="329" t="str">
        <f ca="1">IF(ROWS($1:37)&gt;COUNT(Dong5),"",IF(OFFSET(TH!N$1,SMALL(Dong5,ROWS($1:37)),)=$E$7,OFFSET(TH!O$1,SMALL(Dong5,ROWS($1:37)),),OFFSET(TH!N$1,SMALL(Dong5,ROWS($1:37)),)))</f>
        <v>1111</v>
      </c>
      <c r="F51" s="412">
        <f ca="1">IF(ROWS($1:37)&gt;COUNT(Dong5),0,IF(OFFSET(TH!N$1,SMALL(Dong5,ROWS($1:37)),)=$E$7,OFFSET(TH!M$1,SMALL(Dong5,ROWS($1:37)),),0))</f>
        <v>1689000</v>
      </c>
      <c r="G51" s="410">
        <f ca="1">IF(ROWS($1:37)&gt;COUNT(Dong5),0,IF(OFFSET(TH!O$1,SMALL(Dong5,ROWS($1:37)),)=$E$7,OFFSET(TH!M$1,SMALL(Dong5,ROWS($1:37)),),0))</f>
        <v>0</v>
      </c>
      <c r="H51" s="413">
        <f t="shared" ca="1" si="3"/>
        <v>189088418</v>
      </c>
      <c r="I51" s="413">
        <f t="shared" ca="1" si="4"/>
        <v>0</v>
      </c>
      <c r="J51" s="18">
        <f t="shared" ca="1" si="2"/>
        <v>1</v>
      </c>
    </row>
    <row r="52" spans="1:10" s="18" customFormat="1" ht="18" customHeight="1">
      <c r="A52" s="329">
        <f ca="1">IF(ROWS($1:38)&gt;COUNT(Dong5),"",OFFSET(TH!C$1,SMALL(Dong5,ROWS($1:38)),))</f>
        <v>42374</v>
      </c>
      <c r="B52" s="329" t="str">
        <f ca="1">IF(ROWS($1:38)&gt;COUNT(Dong5),"",OFFSET(TH!D$1,SMALL(Dong5,ROWS($1:38)),))</f>
        <v>C12</v>
      </c>
      <c r="C52" s="329">
        <f ca="1">IF(ROWS($1:38)&gt;COUNT(Dong5),"",OFFSET(TH!E$1,SMALL(Dong5,ROWS($1:38)),))</f>
        <v>42350</v>
      </c>
      <c r="D52" s="411" t="str">
        <f ca="1">IF(ROWS($1:38)&gt;COUNT(Dong5),"",OFFSET(TH!F$1,SMALL(Dong5,ROWS($1:38)),))</f>
        <v>VAT Cước vận chuyển</v>
      </c>
      <c r="E52" s="329" t="str">
        <f ca="1">IF(ROWS($1:38)&gt;COUNT(Dong5),"",IF(OFFSET(TH!N$1,SMALL(Dong5,ROWS($1:38)),)=$E$7,OFFSET(TH!O$1,SMALL(Dong5,ROWS($1:38)),),OFFSET(TH!N$1,SMALL(Dong5,ROWS($1:38)),)))</f>
        <v>1111</v>
      </c>
      <c r="F52" s="412">
        <f ca="1">IF(ROWS($1:38)&gt;COUNT(Dong5),0,IF(OFFSET(TH!N$1,SMALL(Dong5,ROWS($1:38)),)=$E$7,OFFSET(TH!M$1,SMALL(Dong5,ROWS($1:38)),),0))</f>
        <v>1200000</v>
      </c>
      <c r="G52" s="410">
        <f ca="1">IF(ROWS($1:38)&gt;COUNT(Dong5),0,IF(OFFSET(TH!O$1,SMALL(Dong5,ROWS($1:38)),)=$E$7,OFFSET(TH!M$1,SMALL(Dong5,ROWS($1:38)),),0))</f>
        <v>0</v>
      </c>
      <c r="H52" s="413">
        <f t="shared" ca="1" si="3"/>
        <v>190288418</v>
      </c>
      <c r="I52" s="413">
        <f t="shared" ca="1" si="4"/>
        <v>0</v>
      </c>
      <c r="J52" s="18">
        <f t="shared" ca="1" si="2"/>
        <v>1</v>
      </c>
    </row>
    <row r="53" spans="1:10" s="18" customFormat="1" ht="18" customHeight="1">
      <c r="A53" s="329">
        <f ca="1">IF(ROWS($1:39)&gt;COUNT(Dong5),"",OFFSET(TH!C$1,SMALL(Dong5,ROWS($1:39)),))</f>
        <v>42374</v>
      </c>
      <c r="B53" s="329" t="str">
        <f ca="1">IF(ROWS($1:39)&gt;COUNT(Dong5),"",OFFSET(TH!D$1,SMALL(Dong5,ROWS($1:39)),))</f>
        <v>C13</v>
      </c>
      <c r="C53" s="329">
        <f ca="1">IF(ROWS($1:39)&gt;COUNT(Dong5),"",OFFSET(TH!E$1,SMALL(Dong5,ROWS($1:39)),))</f>
        <v>42374</v>
      </c>
      <c r="D53" s="411" t="str">
        <f ca="1">IF(ROWS($1:39)&gt;COUNT(Dong5),"",OFFSET(TH!F$1,SMALL(Dong5,ROWS($1:39)),))</f>
        <v>VAT Xăng</v>
      </c>
      <c r="E53" s="329" t="str">
        <f ca="1">IF(ROWS($1:39)&gt;COUNT(Dong5),"",IF(OFFSET(TH!N$1,SMALL(Dong5,ROWS($1:39)),)=$E$7,OFFSET(TH!O$1,SMALL(Dong5,ROWS($1:39)),),OFFSET(TH!N$1,SMALL(Dong5,ROWS($1:39)),)))</f>
        <v>1111</v>
      </c>
      <c r="F53" s="412">
        <f ca="1">IF(ROWS($1:39)&gt;COUNT(Dong5),0,IF(OFFSET(TH!N$1,SMALL(Dong5,ROWS($1:39)),)=$E$7,OFFSET(TH!M$1,SMALL(Dong5,ROWS($1:39)),),0))</f>
        <v>67670</v>
      </c>
      <c r="G53" s="410">
        <f ca="1">IF(ROWS($1:39)&gt;COUNT(Dong5),0,IF(OFFSET(TH!O$1,SMALL(Dong5,ROWS($1:39)),)=$E$7,OFFSET(TH!M$1,SMALL(Dong5,ROWS($1:39)),),0))</f>
        <v>0</v>
      </c>
      <c r="H53" s="413">
        <f t="shared" ca="1" si="3"/>
        <v>190356088</v>
      </c>
      <c r="I53" s="413">
        <f t="shared" ca="1" si="4"/>
        <v>0</v>
      </c>
      <c r="J53" s="18">
        <f t="shared" ca="1" si="2"/>
        <v>1</v>
      </c>
    </row>
    <row r="54" spans="1:10" s="18" customFormat="1" ht="18" customHeight="1">
      <c r="A54" s="329">
        <f ca="1">IF(ROWS($1:40)&gt;COUNT(Dong5),"",OFFSET(TH!C$1,SMALL(Dong5,ROWS($1:40)),))</f>
        <v>42376</v>
      </c>
      <c r="B54" s="329" t="str">
        <f ca="1">IF(ROWS($1:40)&gt;COUNT(Dong5),"",OFFSET(TH!D$1,SMALL(Dong5,ROWS($1:40)),))</f>
        <v>C16</v>
      </c>
      <c r="C54" s="329">
        <f ca="1">IF(ROWS($1:40)&gt;COUNT(Dong5),"",OFFSET(TH!E$1,SMALL(Dong5,ROWS($1:40)),))</f>
        <v>42376</v>
      </c>
      <c r="D54" s="411" t="str">
        <f ca="1">IF(ROWS($1:40)&gt;COUNT(Dong5),"",OFFSET(TH!F$1,SMALL(Dong5,ROWS($1:40)),))</f>
        <v>VAT Bảo dưỡng xe 51F - 080.56</v>
      </c>
      <c r="E54" s="329" t="str">
        <f ca="1">IF(ROWS($1:40)&gt;COUNT(Dong5),"",IF(OFFSET(TH!N$1,SMALL(Dong5,ROWS($1:40)),)=$E$7,OFFSET(TH!O$1,SMALL(Dong5,ROWS($1:40)),),OFFSET(TH!N$1,SMALL(Dong5,ROWS($1:40)),)))</f>
        <v>1111</v>
      </c>
      <c r="F54" s="412">
        <f ca="1">IF(ROWS($1:40)&gt;COUNT(Dong5),0,IF(OFFSET(TH!N$1,SMALL(Dong5,ROWS($1:40)),)=$E$7,OFFSET(TH!M$1,SMALL(Dong5,ROWS($1:40)),),0))</f>
        <v>134106</v>
      </c>
      <c r="G54" s="410">
        <f ca="1">IF(ROWS($1:40)&gt;COUNT(Dong5),0,IF(OFFSET(TH!O$1,SMALL(Dong5,ROWS($1:40)),)=$E$7,OFFSET(TH!M$1,SMALL(Dong5,ROWS($1:40)),),0))</f>
        <v>0</v>
      </c>
      <c r="H54" s="413">
        <f t="shared" ca="1" si="3"/>
        <v>190490194</v>
      </c>
      <c r="I54" s="413">
        <f t="shared" ca="1" si="4"/>
        <v>0</v>
      </c>
      <c r="J54" s="18">
        <f t="shared" ca="1" si="2"/>
        <v>1</v>
      </c>
    </row>
    <row r="55" spans="1:10" s="18" customFormat="1" ht="18" customHeight="1">
      <c r="A55" s="329">
        <f ca="1">IF(ROWS($1:41)&gt;COUNT(Dong5),"",OFFSET(TH!C$1,SMALL(Dong5,ROWS($1:41)),))</f>
        <v>42377</v>
      </c>
      <c r="B55" s="329" t="str">
        <f ca="1">IF(ROWS($1:41)&gt;COUNT(Dong5),"",OFFSET(TH!D$1,SMALL(Dong5,ROWS($1:41)),))</f>
        <v>C17</v>
      </c>
      <c r="C55" s="329">
        <f ca="1">IF(ROWS($1:41)&gt;COUNT(Dong5),"",OFFSET(TH!E$1,SMALL(Dong5,ROWS($1:41)),))</f>
        <v>42377</v>
      </c>
      <c r="D55" s="411" t="str">
        <f ca="1">IF(ROWS($1:41)&gt;COUNT(Dong5),"",OFFSET(TH!F$1,SMALL(Dong5,ROWS($1:41)),))</f>
        <v>VAT Máy tính</v>
      </c>
      <c r="E55" s="329" t="str">
        <f ca="1">IF(ROWS($1:41)&gt;COUNT(Dong5),"",IF(OFFSET(TH!N$1,SMALL(Dong5,ROWS($1:41)),)=$E$7,OFFSET(TH!O$1,SMALL(Dong5,ROWS($1:41)),),OFFSET(TH!N$1,SMALL(Dong5,ROWS($1:41)),)))</f>
        <v>1111</v>
      </c>
      <c r="F55" s="412">
        <f ca="1">IF(ROWS($1:41)&gt;COUNT(Dong5),0,IF(OFFSET(TH!N$1,SMALL(Dong5,ROWS($1:41)),)=$E$7,OFFSET(TH!M$1,SMALL(Dong5,ROWS($1:41)),),0))</f>
        <v>536364</v>
      </c>
      <c r="G55" s="410">
        <f ca="1">IF(ROWS($1:41)&gt;COUNT(Dong5),0,IF(OFFSET(TH!O$1,SMALL(Dong5,ROWS($1:41)),)=$E$7,OFFSET(TH!M$1,SMALL(Dong5,ROWS($1:41)),),0))</f>
        <v>0</v>
      </c>
      <c r="H55" s="413">
        <f t="shared" ca="1" si="3"/>
        <v>191026558</v>
      </c>
      <c r="I55" s="413">
        <f t="shared" ca="1" si="4"/>
        <v>0</v>
      </c>
      <c r="J55" s="18">
        <f t="shared" ca="1" si="2"/>
        <v>1</v>
      </c>
    </row>
    <row r="56" spans="1:10" s="18" customFormat="1" ht="18" customHeight="1">
      <c r="A56" s="329">
        <f ca="1">IF(ROWS($1:42)&gt;COUNT(Dong5),"",OFFSET(TH!C$1,SMALL(Dong5,ROWS($1:42)),))</f>
        <v>42377</v>
      </c>
      <c r="B56" s="329" t="str">
        <f ca="1">IF(ROWS($1:42)&gt;COUNT(Dong5),"",OFFSET(TH!D$1,SMALL(Dong5,ROWS($1:42)),))</f>
        <v>C18</v>
      </c>
      <c r="C56" s="329">
        <f ca="1">IF(ROWS($1:42)&gt;COUNT(Dong5),"",OFFSET(TH!E$1,SMALL(Dong5,ROWS($1:42)),))</f>
        <v>42377</v>
      </c>
      <c r="D56" s="411" t="str">
        <f ca="1">IF(ROWS($1:42)&gt;COUNT(Dong5),"",OFFSET(TH!F$1,SMALL(Dong5,ROWS($1:42)),))</f>
        <v xml:space="preserve">VAT Xăng </v>
      </c>
      <c r="E56" s="329" t="str">
        <f ca="1">IF(ROWS($1:42)&gt;COUNT(Dong5),"",IF(OFFSET(TH!N$1,SMALL(Dong5,ROWS($1:42)),)=$E$7,OFFSET(TH!O$1,SMALL(Dong5,ROWS($1:42)),),OFFSET(TH!N$1,SMALL(Dong5,ROWS($1:42)),)))</f>
        <v>1111</v>
      </c>
      <c r="F56" s="412">
        <f ca="1">IF(ROWS($1:42)&gt;COUNT(Dong5),0,IF(OFFSET(TH!N$1,SMALL(Dong5,ROWS($1:42)),)=$E$7,OFFSET(TH!M$1,SMALL(Dong5,ROWS($1:42)),),0))</f>
        <v>85171</v>
      </c>
      <c r="G56" s="410">
        <f ca="1">IF(ROWS($1:42)&gt;COUNT(Dong5),0,IF(OFFSET(TH!O$1,SMALL(Dong5,ROWS($1:42)),)=$E$7,OFFSET(TH!M$1,SMALL(Dong5,ROWS($1:42)),),0))</f>
        <v>0</v>
      </c>
      <c r="H56" s="413">
        <f t="shared" ca="1" si="3"/>
        <v>191111729</v>
      </c>
      <c r="I56" s="413">
        <f t="shared" ca="1" si="4"/>
        <v>0</v>
      </c>
      <c r="J56" s="18">
        <f t="shared" ca="1" si="2"/>
        <v>1</v>
      </c>
    </row>
    <row r="57" spans="1:10" s="18" customFormat="1" ht="18" customHeight="1">
      <c r="A57" s="329">
        <f ca="1">IF(ROWS($1:43)&gt;COUNT(Dong5),"",OFFSET(TH!C$1,SMALL(Dong5,ROWS($1:43)),))</f>
        <v>42380</v>
      </c>
      <c r="B57" s="329" t="str">
        <f ca="1">IF(ROWS($1:43)&gt;COUNT(Dong5),"",OFFSET(TH!D$1,SMALL(Dong5,ROWS($1:43)),))</f>
        <v>GBN</v>
      </c>
      <c r="C57" s="329">
        <f ca="1">IF(ROWS($1:43)&gt;COUNT(Dong5),"",OFFSET(TH!E$1,SMALL(Dong5,ROWS($1:43)),))</f>
        <v>42380</v>
      </c>
      <c r="D57" s="411" t="str">
        <f ca="1">IF(ROWS($1:43)&gt;COUNT(Dong5),"",OFFSET(TH!F$1,SMALL(Dong5,ROWS($1:43)),))</f>
        <v>Q11 - VAT Phí thông báo LC</v>
      </c>
      <c r="E57" s="329" t="str">
        <f ca="1">IF(ROWS($1:43)&gt;COUNT(Dong5),"",IF(OFFSET(TH!N$1,SMALL(Dong5,ROWS($1:43)),)=$E$7,OFFSET(TH!O$1,SMALL(Dong5,ROWS($1:43)),),OFFSET(TH!N$1,SMALL(Dong5,ROWS($1:43)),)))</f>
        <v>1122</v>
      </c>
      <c r="F57" s="412">
        <f ca="1">IF(ROWS($1:43)&gt;COUNT(Dong5),0,IF(OFFSET(TH!N$1,SMALL(Dong5,ROWS($1:43)),)=$E$7,OFFSET(TH!M$1,SMALL(Dong5,ROWS($1:43)),),0))</f>
        <v>33660</v>
      </c>
      <c r="G57" s="410">
        <f ca="1">IF(ROWS($1:43)&gt;COUNT(Dong5),0,IF(OFFSET(TH!O$1,SMALL(Dong5,ROWS($1:43)),)=$E$7,OFFSET(TH!M$1,SMALL(Dong5,ROWS($1:43)),),0))</f>
        <v>0</v>
      </c>
      <c r="H57" s="413">
        <f t="shared" ca="1" si="3"/>
        <v>191145389</v>
      </c>
      <c r="I57" s="413">
        <f t="shared" ca="1" si="4"/>
        <v>0</v>
      </c>
      <c r="J57" s="18">
        <f t="shared" ca="1" si="2"/>
        <v>1</v>
      </c>
    </row>
    <row r="58" spans="1:10" s="18" customFormat="1" ht="18" customHeight="1">
      <c r="A58" s="329">
        <f ca="1">IF(ROWS($1:44)&gt;COUNT(Dong5),"",OFFSET(TH!C$1,SMALL(Dong5,ROWS($1:44)),))</f>
        <v>42380</v>
      </c>
      <c r="B58" s="329" t="str">
        <f ca="1">IF(ROWS($1:44)&gt;COUNT(Dong5),"",OFFSET(TH!D$1,SMALL(Dong5,ROWS($1:44)),))</f>
        <v>C19</v>
      </c>
      <c r="C58" s="329">
        <f ca="1">IF(ROWS($1:44)&gt;COUNT(Dong5),"",OFFSET(TH!E$1,SMALL(Dong5,ROWS($1:44)),))</f>
        <v>42380</v>
      </c>
      <c r="D58" s="411" t="str">
        <f ca="1">IF(ROWS($1:44)&gt;COUNT(Dong5),"",OFFSET(TH!F$1,SMALL(Dong5,ROWS($1:44)),))</f>
        <v>VAT Dầu DO</v>
      </c>
      <c r="E58" s="329" t="str">
        <f ca="1">IF(ROWS($1:44)&gt;COUNT(Dong5),"",IF(OFFSET(TH!N$1,SMALL(Dong5,ROWS($1:44)),)=$E$7,OFFSET(TH!O$1,SMALL(Dong5,ROWS($1:44)),),OFFSET(TH!N$1,SMALL(Dong5,ROWS($1:44)),)))</f>
        <v>1111</v>
      </c>
      <c r="F58" s="412">
        <f ca="1">IF(ROWS($1:44)&gt;COUNT(Dong5),0,IF(OFFSET(TH!N$1,SMALL(Dong5,ROWS($1:44)),)=$E$7,OFFSET(TH!M$1,SMALL(Dong5,ROWS($1:44)),),0))</f>
        <v>59590</v>
      </c>
      <c r="G58" s="410">
        <f ca="1">IF(ROWS($1:44)&gt;COUNT(Dong5),0,IF(OFFSET(TH!O$1,SMALL(Dong5,ROWS($1:44)),)=$E$7,OFFSET(TH!M$1,SMALL(Dong5,ROWS($1:44)),),0))</f>
        <v>0</v>
      </c>
      <c r="H58" s="413">
        <f t="shared" ca="1" si="3"/>
        <v>191204979</v>
      </c>
      <c r="I58" s="413">
        <f t="shared" ca="1" si="4"/>
        <v>0</v>
      </c>
      <c r="J58" s="18">
        <f t="shared" ca="1" si="2"/>
        <v>1</v>
      </c>
    </row>
    <row r="59" spans="1:10" s="18" customFormat="1" ht="18" customHeight="1">
      <c r="A59" s="329">
        <f ca="1">IF(ROWS($1:45)&gt;COUNT(Dong5),"",OFFSET(TH!C$1,SMALL(Dong5,ROWS($1:45)),))</f>
        <v>42381</v>
      </c>
      <c r="B59" s="329" t="str">
        <f ca="1">IF(ROWS($1:45)&gt;COUNT(Dong5),"",OFFSET(TH!D$1,SMALL(Dong5,ROWS($1:45)),))</f>
        <v>C21</v>
      </c>
      <c r="C59" s="329">
        <f ca="1">IF(ROWS($1:45)&gt;COUNT(Dong5),"",OFFSET(TH!E$1,SMALL(Dong5,ROWS($1:45)),))</f>
        <v>42381</v>
      </c>
      <c r="D59" s="411" t="str">
        <f ca="1">IF(ROWS($1:45)&gt;COUNT(Dong5),"",OFFSET(TH!F$1,SMALL(Dong5,ROWS($1:45)),))</f>
        <v>VAT Xăng</v>
      </c>
      <c r="E59" s="329" t="str">
        <f ca="1">IF(ROWS($1:45)&gt;COUNT(Dong5),"",IF(OFFSET(TH!N$1,SMALL(Dong5,ROWS($1:45)),)=$E$7,OFFSET(TH!O$1,SMALL(Dong5,ROWS($1:45)),),OFFSET(TH!N$1,SMALL(Dong5,ROWS($1:45)),)))</f>
        <v>1111</v>
      </c>
      <c r="F59" s="412">
        <f ca="1">IF(ROWS($1:45)&gt;COUNT(Dong5),0,IF(OFFSET(TH!N$1,SMALL(Dong5,ROWS($1:45)),)=$E$7,OFFSET(TH!M$1,SMALL(Dong5,ROWS($1:45)),),0))</f>
        <v>79087</v>
      </c>
      <c r="G59" s="410">
        <f ca="1">IF(ROWS($1:45)&gt;COUNT(Dong5),0,IF(OFFSET(TH!O$1,SMALL(Dong5,ROWS($1:45)),)=$E$7,OFFSET(TH!M$1,SMALL(Dong5,ROWS($1:45)),),0))</f>
        <v>0</v>
      </c>
      <c r="H59" s="413">
        <f t="shared" ca="1" si="3"/>
        <v>191284066</v>
      </c>
      <c r="I59" s="413">
        <f t="shared" ca="1" si="4"/>
        <v>0</v>
      </c>
      <c r="J59" s="18">
        <f t="shared" ca="1" si="2"/>
        <v>1</v>
      </c>
    </row>
    <row r="60" spans="1:10" s="18" customFormat="1" ht="18" customHeight="1">
      <c r="A60" s="329">
        <f ca="1">IF(ROWS($1:46)&gt;COUNT(Dong5),"",OFFSET(TH!C$1,SMALL(Dong5,ROWS($1:46)),))</f>
        <v>42381</v>
      </c>
      <c r="B60" s="329" t="str">
        <f ca="1">IF(ROWS($1:46)&gt;COUNT(Dong5),"",OFFSET(TH!D$1,SMALL(Dong5,ROWS($1:46)),))</f>
        <v>C22</v>
      </c>
      <c r="C60" s="329">
        <f ca="1">IF(ROWS($1:46)&gt;COUNT(Dong5),"",OFFSET(TH!E$1,SMALL(Dong5,ROWS($1:46)),))</f>
        <v>42381</v>
      </c>
      <c r="D60" s="411" t="str">
        <f ca="1">IF(ROWS($1:46)&gt;COUNT(Dong5),"",OFFSET(TH!F$1,SMALL(Dong5,ROWS($1:46)),))</f>
        <v>VAT Tư vấn giám sát môi trường</v>
      </c>
      <c r="E60" s="329" t="str">
        <f ca="1">IF(ROWS($1:46)&gt;COUNT(Dong5),"",IF(OFFSET(TH!N$1,SMALL(Dong5,ROWS($1:46)),)=$E$7,OFFSET(TH!O$1,SMALL(Dong5,ROWS($1:46)),),OFFSET(TH!N$1,SMALL(Dong5,ROWS($1:46)),)))</f>
        <v>1111</v>
      </c>
      <c r="F60" s="412">
        <f ca="1">IF(ROWS($1:46)&gt;COUNT(Dong5),0,IF(OFFSET(TH!N$1,SMALL(Dong5,ROWS($1:46)),)=$E$7,OFFSET(TH!M$1,SMALL(Dong5,ROWS($1:46)),),0))</f>
        <v>332500</v>
      </c>
      <c r="G60" s="410">
        <f ca="1">IF(ROWS($1:46)&gt;COUNT(Dong5),0,IF(OFFSET(TH!O$1,SMALL(Dong5,ROWS($1:46)),)=$E$7,OFFSET(TH!M$1,SMALL(Dong5,ROWS($1:46)),),0))</f>
        <v>0</v>
      </c>
      <c r="H60" s="413">
        <f t="shared" ca="1" si="3"/>
        <v>191616566</v>
      </c>
      <c r="I60" s="413">
        <f t="shared" ca="1" si="4"/>
        <v>0</v>
      </c>
      <c r="J60" s="18">
        <f t="shared" ca="1" si="2"/>
        <v>1</v>
      </c>
    </row>
    <row r="61" spans="1:10" s="18" customFormat="1" ht="18" customHeight="1">
      <c r="A61" s="329">
        <f ca="1">IF(ROWS($1:47)&gt;COUNT(Dong5),"",OFFSET(TH!C$1,SMALL(Dong5,ROWS($1:47)),))</f>
        <v>42383</v>
      </c>
      <c r="B61" s="329" t="str">
        <f ca="1">IF(ROWS($1:47)&gt;COUNT(Dong5),"",OFFSET(TH!D$1,SMALL(Dong5,ROWS($1:47)),))</f>
        <v>GBN</v>
      </c>
      <c r="C61" s="329">
        <f ca="1">IF(ROWS($1:47)&gt;COUNT(Dong5),"",OFFSET(TH!E$1,SMALL(Dong5,ROWS($1:47)),))</f>
        <v>42383</v>
      </c>
      <c r="D61" s="411" t="str">
        <f ca="1">IF(ROWS($1:47)&gt;COUNT(Dong5),"",OFFSET(TH!F$1,SMALL(Dong5,ROWS($1:47)),))</f>
        <v>Q11 - VAT Phí chuyển tiền</v>
      </c>
      <c r="E61" s="329" t="str">
        <f ca="1">IF(ROWS($1:47)&gt;COUNT(Dong5),"",IF(OFFSET(TH!N$1,SMALL(Dong5,ROWS($1:47)),)=$E$7,OFFSET(TH!O$1,SMALL(Dong5,ROWS($1:47)),),OFFSET(TH!N$1,SMALL(Dong5,ROWS($1:47)),)))</f>
        <v>1121</v>
      </c>
      <c r="F61" s="412">
        <f ca="1">IF(ROWS($1:47)&gt;COUNT(Dong5),0,IF(OFFSET(TH!N$1,SMALL(Dong5,ROWS($1:47)),)=$E$7,OFFSET(TH!M$1,SMALL(Dong5,ROWS($1:47)),),0))</f>
        <v>2000</v>
      </c>
      <c r="G61" s="410">
        <f ca="1">IF(ROWS($1:47)&gt;COUNT(Dong5),0,IF(OFFSET(TH!O$1,SMALL(Dong5,ROWS($1:47)),)=$E$7,OFFSET(TH!M$1,SMALL(Dong5,ROWS($1:47)),),0))</f>
        <v>0</v>
      </c>
      <c r="H61" s="413">
        <f t="shared" ca="1" si="3"/>
        <v>191618566</v>
      </c>
      <c r="I61" s="413">
        <f t="shared" ca="1" si="4"/>
        <v>0</v>
      </c>
      <c r="J61" s="18">
        <f t="shared" ca="1" si="2"/>
        <v>1</v>
      </c>
    </row>
    <row r="62" spans="1:10" s="18" customFormat="1" ht="18" customHeight="1">
      <c r="A62" s="329">
        <f ca="1">IF(ROWS($1:48)&gt;COUNT(Dong5),"",OFFSET(TH!C$1,SMALL(Dong5,ROWS($1:48)),))</f>
        <v>42383</v>
      </c>
      <c r="B62" s="329" t="str">
        <f ca="1">IF(ROWS($1:48)&gt;COUNT(Dong5),"",OFFSET(TH!D$1,SMALL(Dong5,ROWS($1:48)),))</f>
        <v>C23</v>
      </c>
      <c r="C62" s="329">
        <f ca="1">IF(ROWS($1:48)&gt;COUNT(Dong5),"",OFFSET(TH!E$1,SMALL(Dong5,ROWS($1:48)),))</f>
        <v>42383</v>
      </c>
      <c r="D62" s="411" t="str">
        <f ca="1">IF(ROWS($1:48)&gt;COUNT(Dong5),"",OFFSET(TH!F$1,SMALL(Dong5,ROWS($1:48)),))</f>
        <v>VAT Bảo dưỡng xe 51F - 080.56</v>
      </c>
      <c r="E62" s="329" t="str">
        <f ca="1">IF(ROWS($1:48)&gt;COUNT(Dong5),"",IF(OFFSET(TH!N$1,SMALL(Dong5,ROWS($1:48)),)=$E$7,OFFSET(TH!O$1,SMALL(Dong5,ROWS($1:48)),),OFFSET(TH!N$1,SMALL(Dong5,ROWS($1:48)),)))</f>
        <v>1111</v>
      </c>
      <c r="F62" s="412">
        <f ca="1">IF(ROWS($1:48)&gt;COUNT(Dong5),0,IF(OFFSET(TH!N$1,SMALL(Dong5,ROWS($1:48)),)=$E$7,OFFSET(TH!M$1,SMALL(Dong5,ROWS($1:48)),),0))</f>
        <v>1666290</v>
      </c>
      <c r="G62" s="410">
        <f ca="1">IF(ROWS($1:48)&gt;COUNT(Dong5),0,IF(OFFSET(TH!O$1,SMALL(Dong5,ROWS($1:48)),)=$E$7,OFFSET(TH!M$1,SMALL(Dong5,ROWS($1:48)),),0))</f>
        <v>0</v>
      </c>
      <c r="H62" s="413">
        <f t="shared" ca="1" si="3"/>
        <v>193284856</v>
      </c>
      <c r="I62" s="413">
        <f t="shared" ca="1" si="4"/>
        <v>0</v>
      </c>
      <c r="J62" s="18">
        <f t="shared" ca="1" si="2"/>
        <v>1</v>
      </c>
    </row>
    <row r="63" spans="1:10" s="18" customFormat="1" ht="18" customHeight="1">
      <c r="A63" s="329">
        <f ca="1">IF(ROWS($1:49)&gt;COUNT(Dong5),"",OFFSET(TH!C$1,SMALL(Dong5,ROWS($1:49)),))</f>
        <v>42384</v>
      </c>
      <c r="B63" s="329" t="str">
        <f ca="1">IF(ROWS($1:49)&gt;COUNT(Dong5),"",OFFSET(TH!D$1,SMALL(Dong5,ROWS($1:49)),))</f>
        <v>C24</v>
      </c>
      <c r="C63" s="329">
        <f ca="1">IF(ROWS($1:49)&gt;COUNT(Dong5),"",OFFSET(TH!E$1,SMALL(Dong5,ROWS($1:49)),))</f>
        <v>42384</v>
      </c>
      <c r="D63" s="411" t="str">
        <f ca="1">IF(ROWS($1:49)&gt;COUNT(Dong5),"",OFFSET(TH!F$1,SMALL(Dong5,ROWS($1:49)),))</f>
        <v>VAT Xăng</v>
      </c>
      <c r="E63" s="329" t="str">
        <f ca="1">IF(ROWS($1:49)&gt;COUNT(Dong5),"",IF(OFFSET(TH!N$1,SMALL(Dong5,ROWS($1:49)),)=$E$7,OFFSET(TH!O$1,SMALL(Dong5,ROWS($1:49)),),OFFSET(TH!N$1,SMALL(Dong5,ROWS($1:49)),)))</f>
        <v>1111</v>
      </c>
      <c r="F63" s="412">
        <f ca="1">IF(ROWS($1:49)&gt;COUNT(Dong5),0,IF(OFFSET(TH!N$1,SMALL(Dong5,ROWS($1:49)),)=$E$7,OFFSET(TH!M$1,SMALL(Dong5,ROWS($1:49)),),0))</f>
        <v>30603</v>
      </c>
      <c r="G63" s="410">
        <f ca="1">IF(ROWS($1:49)&gt;COUNT(Dong5),0,IF(OFFSET(TH!O$1,SMALL(Dong5,ROWS($1:49)),)=$E$7,OFFSET(TH!M$1,SMALL(Dong5,ROWS($1:49)),),0))</f>
        <v>0</v>
      </c>
      <c r="H63" s="413">
        <f t="shared" ca="1" si="3"/>
        <v>193315459</v>
      </c>
      <c r="I63" s="413">
        <f t="shared" ca="1" si="4"/>
        <v>0</v>
      </c>
      <c r="J63" s="18">
        <f t="shared" ca="1" si="2"/>
        <v>1</v>
      </c>
    </row>
    <row r="64" spans="1:10" s="18" customFormat="1" ht="18" customHeight="1">
      <c r="A64" s="329">
        <f ca="1">IF(ROWS($1:50)&gt;COUNT(Dong5),"",OFFSET(TH!C$1,SMALL(Dong5,ROWS($1:50)),))</f>
        <v>42384</v>
      </c>
      <c r="B64" s="329" t="str">
        <f ca="1">IF(ROWS($1:50)&gt;COUNT(Dong5),"",OFFSET(TH!D$1,SMALL(Dong5,ROWS($1:50)),))</f>
        <v>C25</v>
      </c>
      <c r="C64" s="329">
        <f ca="1">IF(ROWS($1:50)&gt;COUNT(Dong5),"",OFFSET(TH!E$1,SMALL(Dong5,ROWS($1:50)),))</f>
        <v>42384</v>
      </c>
      <c r="D64" s="411" t="str">
        <f ca="1">IF(ROWS($1:50)&gt;COUNT(Dong5),"",OFFSET(TH!F$1,SMALL(Dong5,ROWS($1:50)),))</f>
        <v>VAT Xăng</v>
      </c>
      <c r="E64" s="329" t="str">
        <f ca="1">IF(ROWS($1:50)&gt;COUNT(Dong5),"",IF(OFFSET(TH!N$1,SMALL(Dong5,ROWS($1:50)),)=$E$7,OFFSET(TH!O$1,SMALL(Dong5,ROWS($1:50)),),OFFSET(TH!N$1,SMALL(Dong5,ROWS($1:50)),)))</f>
        <v>1111</v>
      </c>
      <c r="F64" s="412">
        <f ca="1">IF(ROWS($1:50)&gt;COUNT(Dong5),0,IF(OFFSET(TH!N$1,SMALL(Dong5,ROWS($1:50)),)=$E$7,OFFSET(TH!M$1,SMALL(Dong5,ROWS($1:50)),),0))</f>
        <v>59315</v>
      </c>
      <c r="G64" s="410">
        <f ca="1">IF(ROWS($1:50)&gt;COUNT(Dong5),0,IF(OFFSET(TH!O$1,SMALL(Dong5,ROWS($1:50)),)=$E$7,OFFSET(TH!M$1,SMALL(Dong5,ROWS($1:50)),),0))</f>
        <v>0</v>
      </c>
      <c r="H64" s="413">
        <f t="shared" ca="1" si="3"/>
        <v>193374774</v>
      </c>
      <c r="I64" s="413">
        <f t="shared" ca="1" si="4"/>
        <v>0</v>
      </c>
      <c r="J64" s="18">
        <f t="shared" ca="1" si="2"/>
        <v>1</v>
      </c>
    </row>
    <row r="65" spans="1:10" s="18" customFormat="1" ht="18" customHeight="1">
      <c r="A65" s="329">
        <f ca="1">IF(ROWS($1:51)&gt;COUNT(Dong5),"",OFFSET(TH!C$1,SMALL(Dong5,ROWS($1:51)),))</f>
        <v>42384</v>
      </c>
      <c r="B65" s="329" t="str">
        <f ca="1">IF(ROWS($1:51)&gt;COUNT(Dong5),"",OFFSET(TH!D$1,SMALL(Dong5,ROWS($1:51)),))</f>
        <v>C26</v>
      </c>
      <c r="C65" s="329">
        <f ca="1">IF(ROWS($1:51)&gt;COUNT(Dong5),"",OFFSET(TH!E$1,SMALL(Dong5,ROWS($1:51)),))</f>
        <v>42384</v>
      </c>
      <c r="D65" s="411" t="str">
        <f ca="1">IF(ROWS($1:51)&gt;COUNT(Dong5),"",OFFSET(TH!F$1,SMALL(Dong5,ROWS($1:51)),))</f>
        <v>VAT Phí phân tích cá khô</v>
      </c>
      <c r="E65" s="329" t="str">
        <f ca="1">IF(ROWS($1:51)&gt;COUNT(Dong5),"",IF(OFFSET(TH!N$1,SMALL(Dong5,ROWS($1:51)),)=$E$7,OFFSET(TH!O$1,SMALL(Dong5,ROWS($1:51)),),OFFSET(TH!N$1,SMALL(Dong5,ROWS($1:51)),)))</f>
        <v>1111</v>
      </c>
      <c r="F65" s="412">
        <f ca="1">IF(ROWS($1:51)&gt;COUNT(Dong5),0,IF(OFFSET(TH!N$1,SMALL(Dong5,ROWS($1:51)),)=$E$7,OFFSET(TH!M$1,SMALL(Dong5,ROWS($1:51)),),0))</f>
        <v>20000</v>
      </c>
      <c r="G65" s="410">
        <f ca="1">IF(ROWS($1:51)&gt;COUNT(Dong5),0,IF(OFFSET(TH!O$1,SMALL(Dong5,ROWS($1:51)),)=$E$7,OFFSET(TH!M$1,SMALL(Dong5,ROWS($1:51)),),0))</f>
        <v>0</v>
      </c>
      <c r="H65" s="413">
        <f t="shared" ca="1" si="3"/>
        <v>193394774</v>
      </c>
      <c r="I65" s="413">
        <f t="shared" ca="1" si="4"/>
        <v>0</v>
      </c>
      <c r="J65" s="18">
        <f t="shared" ca="1" si="2"/>
        <v>1</v>
      </c>
    </row>
    <row r="66" spans="1:10" s="18" customFormat="1" ht="18" customHeight="1">
      <c r="A66" s="329">
        <f ca="1">IF(ROWS($1:52)&gt;COUNT(Dong5),"",OFFSET(TH!C$1,SMALL(Dong5,ROWS($1:52)),))</f>
        <v>42384</v>
      </c>
      <c r="B66" s="329" t="str">
        <f ca="1">IF(ROWS($1:52)&gt;COUNT(Dong5),"",OFFSET(TH!D$1,SMALL(Dong5,ROWS($1:52)),))</f>
        <v>C27</v>
      </c>
      <c r="C66" s="329">
        <f ca="1">IF(ROWS($1:52)&gt;COUNT(Dong5),"",OFFSET(TH!E$1,SMALL(Dong5,ROWS($1:52)),))</f>
        <v>42384</v>
      </c>
      <c r="D66" s="411" t="str">
        <f ca="1">IF(ROWS($1:52)&gt;COUNT(Dong5),"",OFFSET(TH!F$1,SMALL(Dong5,ROWS($1:52)),)&amp;" - "&amp;OFFSET(TH!H$1,SMALL(Dong5,ROWS($1:52)),))</f>
        <v>VAT Bảo dưỡng xe 51F - 080.56 - Cty TNHH DV Ôtô Sài Gòn Toyota Tsusho</v>
      </c>
      <c r="E66" s="329" t="str">
        <f ca="1">IF(ROWS($1:52)&gt;COUNT(Dong5),"",IF(OFFSET(TH!N$1,SMALL(Dong5,ROWS($1:52)),)=$E$7,OFFSET(TH!O$1,SMALL(Dong5,ROWS($1:52)),),OFFSET(TH!N$1,SMALL(Dong5,ROWS($1:52)),)))</f>
        <v>1111</v>
      </c>
      <c r="F66" s="412">
        <f ca="1">IF(ROWS($1:52)&gt;COUNT(Dong5),0,IF(OFFSET(TH!N$1,SMALL(Dong5,ROWS($1:52)),)=$E$7,OFFSET(TH!M$1,SMALL(Dong5,ROWS($1:52)),),0))</f>
        <v>1743580</v>
      </c>
      <c r="G66" s="410">
        <f ca="1">IF(ROWS($1:52)&gt;COUNT(Dong5),0,IF(OFFSET(TH!O$1,SMALL(Dong5,ROWS($1:52)),)=$E$7,OFFSET(TH!M$1,SMALL(Dong5,ROWS($1:52)),),0))</f>
        <v>0</v>
      </c>
      <c r="H66" s="413">
        <f t="shared" ca="1" si="3"/>
        <v>195138354</v>
      </c>
      <c r="I66" s="413">
        <f t="shared" ca="1" si="4"/>
        <v>0</v>
      </c>
      <c r="J66" s="18">
        <f t="shared" ca="1" si="2"/>
        <v>1</v>
      </c>
    </row>
    <row r="67" spans="1:10" s="18" customFormat="1" ht="18" customHeight="1">
      <c r="A67" s="329">
        <f ca="1">IF(ROWS($1:53)&gt;COUNT(Dong5),"",OFFSET(TH!C$1,SMALL(Dong5,ROWS($1:53)),))</f>
        <v>42387</v>
      </c>
      <c r="B67" s="329" t="str">
        <f ca="1">IF(ROWS($1:53)&gt;COUNT(Dong5),"",OFFSET(TH!D$1,SMALL(Dong5,ROWS($1:53)),))</f>
        <v>C28</v>
      </c>
      <c r="C67" s="329">
        <f ca="1">IF(ROWS($1:53)&gt;COUNT(Dong5),"",OFFSET(TH!E$1,SMALL(Dong5,ROWS($1:53)),))</f>
        <v>42387</v>
      </c>
      <c r="D67" s="411" t="str">
        <f ca="1">IF(ROWS($1:53)&gt;COUNT(Dong5),"",OFFSET(TH!F$1,SMALL(Dong5,ROWS($1:53)),))</f>
        <v>VAT Dầu DO, Xăng</v>
      </c>
      <c r="E67" s="329" t="str">
        <f ca="1">IF(ROWS($1:53)&gt;COUNT(Dong5),"",IF(OFFSET(TH!N$1,SMALL(Dong5,ROWS($1:53)),)=$E$7,OFFSET(TH!O$1,SMALL(Dong5,ROWS($1:53)),),OFFSET(TH!N$1,SMALL(Dong5,ROWS($1:53)),)))</f>
        <v>1111</v>
      </c>
      <c r="F67" s="412">
        <f ca="1">IF(ROWS($1:53)&gt;COUNT(Dong5),0,IF(OFFSET(TH!N$1,SMALL(Dong5,ROWS($1:53)),)=$E$7,OFFSET(TH!M$1,SMALL(Dong5,ROWS($1:53)),),0))</f>
        <v>134614</v>
      </c>
      <c r="G67" s="410">
        <f ca="1">IF(ROWS($1:53)&gt;COUNT(Dong5),0,IF(OFFSET(TH!O$1,SMALL(Dong5,ROWS($1:53)),)=$E$7,OFFSET(TH!M$1,SMALL(Dong5,ROWS($1:53)),),0))</f>
        <v>0</v>
      </c>
      <c r="H67" s="413">
        <f t="shared" ca="1" si="3"/>
        <v>195272968</v>
      </c>
      <c r="I67" s="413">
        <f t="shared" ca="1" si="4"/>
        <v>0</v>
      </c>
      <c r="J67" s="18">
        <f t="shared" ca="1" si="2"/>
        <v>1</v>
      </c>
    </row>
    <row r="68" spans="1:10" s="18" customFormat="1" ht="18" customHeight="1">
      <c r="A68" s="329">
        <f ca="1">IF(ROWS($1:54)&gt;COUNT(Dong5),"",OFFSET(TH!C$1,SMALL(Dong5,ROWS($1:54)),))</f>
        <v>42388</v>
      </c>
      <c r="B68" s="329" t="str">
        <f ca="1">IF(ROWS($1:54)&gt;COUNT(Dong5),"",OFFSET(TH!D$1,SMALL(Dong5,ROWS($1:54)),))</f>
        <v>C30</v>
      </c>
      <c r="C68" s="329">
        <f ca="1">IF(ROWS($1:54)&gt;COUNT(Dong5),"",OFFSET(TH!E$1,SMALL(Dong5,ROWS($1:54)),))</f>
        <v>42388</v>
      </c>
      <c r="D68" s="411" t="str">
        <f ca="1">IF(ROWS($1:54)&gt;COUNT(Dong5),"",OFFSET(TH!F$1,SMALL(Dong5,ROWS($1:54)),)&amp;" - "&amp;OFFSET(TH!H$1,SMALL(Dong5,ROWS($1:54)),))</f>
        <v>VAT Xăng - DNTN Nguyễn Văn Sáu</v>
      </c>
      <c r="E68" s="329" t="str">
        <f ca="1">IF(ROWS($1:54)&gt;COUNT(Dong5),"",IF(OFFSET(TH!N$1,SMALL(Dong5,ROWS($1:54)),)=$E$7,OFFSET(TH!O$1,SMALL(Dong5,ROWS($1:54)),),OFFSET(TH!N$1,SMALL(Dong5,ROWS($1:54)),)))</f>
        <v>1111</v>
      </c>
      <c r="F68" s="412">
        <f ca="1">IF(ROWS($1:54)&gt;COUNT(Dong5),0,IF(OFFSET(TH!N$1,SMALL(Dong5,ROWS($1:54)),)=$E$7,OFFSET(TH!M$1,SMALL(Dong5,ROWS($1:54)),),0))</f>
        <v>2915</v>
      </c>
      <c r="G68" s="410">
        <f ca="1">IF(ROWS($1:54)&gt;COUNT(Dong5),0,IF(OFFSET(TH!O$1,SMALL(Dong5,ROWS($1:54)),)=$E$7,OFFSET(TH!M$1,SMALL(Dong5,ROWS($1:54)),),0))</f>
        <v>0</v>
      </c>
      <c r="H68" s="413">
        <f t="shared" ca="1" si="3"/>
        <v>195275883</v>
      </c>
      <c r="I68" s="413">
        <f t="shared" ca="1" si="4"/>
        <v>0</v>
      </c>
      <c r="J68" s="18">
        <f t="shared" ca="1" si="2"/>
        <v>1</v>
      </c>
    </row>
    <row r="69" spans="1:10" s="18" customFormat="1" ht="18" customHeight="1">
      <c r="A69" s="329">
        <f ca="1">IF(ROWS($1:55)&gt;COUNT(Dong5),"",OFFSET(TH!C$1,SMALL(Dong5,ROWS($1:55)),))</f>
        <v>42389</v>
      </c>
      <c r="B69" s="329" t="str">
        <f ca="1">IF(ROWS($1:55)&gt;COUNT(Dong5),"",OFFSET(TH!D$1,SMALL(Dong5,ROWS($1:55)),))</f>
        <v>C31</v>
      </c>
      <c r="C69" s="329">
        <f ca="1">IF(ROWS($1:55)&gt;COUNT(Dong5),"",OFFSET(TH!E$1,SMALL(Dong5,ROWS($1:55)),))</f>
        <v>42389</v>
      </c>
      <c r="D69" s="411" t="str">
        <f ca="1">IF(ROWS($1:55)&gt;COUNT(Dong5),"",OFFSET(TH!F$1,SMALL(Dong5,ROWS($1:55)),))</f>
        <v>VAT Xăng</v>
      </c>
      <c r="E69" s="329" t="str">
        <f ca="1">IF(ROWS($1:55)&gt;COUNT(Dong5),"",IF(OFFSET(TH!N$1,SMALL(Dong5,ROWS($1:55)),)=$E$7,OFFSET(TH!O$1,SMALL(Dong5,ROWS($1:55)),),OFFSET(TH!N$1,SMALL(Dong5,ROWS($1:55)),)))</f>
        <v>1111</v>
      </c>
      <c r="F69" s="412">
        <f ca="1">IF(ROWS($1:55)&gt;COUNT(Dong5),0,IF(OFFSET(TH!N$1,SMALL(Dong5,ROWS($1:55)),)=$E$7,OFFSET(TH!M$1,SMALL(Dong5,ROWS($1:55)),),0))</f>
        <v>68962</v>
      </c>
      <c r="G69" s="410">
        <f ca="1">IF(ROWS($1:55)&gt;COUNT(Dong5),0,IF(OFFSET(TH!O$1,SMALL(Dong5,ROWS($1:55)),)=$E$7,OFFSET(TH!M$1,SMALL(Dong5,ROWS($1:55)),),0))</f>
        <v>0</v>
      </c>
      <c r="H69" s="413">
        <f t="shared" ca="1" si="3"/>
        <v>195344845</v>
      </c>
      <c r="I69" s="413">
        <f t="shared" ca="1" si="4"/>
        <v>0</v>
      </c>
      <c r="J69" s="18">
        <f t="shared" ca="1" si="2"/>
        <v>1</v>
      </c>
    </row>
    <row r="70" spans="1:10" s="18" customFormat="1" ht="18" customHeight="1">
      <c r="A70" s="329">
        <f ca="1">IF(ROWS($1:56)&gt;COUNT(Dong5),"",OFFSET(TH!C$1,SMALL(Dong5,ROWS($1:56)),))</f>
        <v>42390</v>
      </c>
      <c r="B70" s="329" t="str">
        <f ca="1">IF(ROWS($1:56)&gt;COUNT(Dong5),"",OFFSET(TH!D$1,SMALL(Dong5,ROWS($1:56)),))</f>
        <v>C32</v>
      </c>
      <c r="C70" s="329">
        <f ca="1">IF(ROWS($1:56)&gt;COUNT(Dong5),"",OFFSET(TH!E$1,SMALL(Dong5,ROWS($1:56)),))</f>
        <v>42390</v>
      </c>
      <c r="D70" s="411" t="str">
        <f ca="1">IF(ROWS($1:56)&gt;COUNT(Dong5),"",OFFSET(TH!F$1,SMALL(Dong5,ROWS($1:56)),))</f>
        <v>VAT Dầu DO</v>
      </c>
      <c r="E70" s="329" t="str">
        <f ca="1">IF(ROWS($1:56)&gt;COUNT(Dong5),"",IF(OFFSET(TH!N$1,SMALL(Dong5,ROWS($1:56)),)=$E$7,OFFSET(TH!O$1,SMALL(Dong5,ROWS($1:56)),),OFFSET(TH!N$1,SMALL(Dong5,ROWS($1:56)),)))</f>
        <v>1111</v>
      </c>
      <c r="F70" s="412">
        <f ca="1">IF(ROWS($1:56)&gt;COUNT(Dong5),0,IF(OFFSET(TH!N$1,SMALL(Dong5,ROWS($1:56)),)=$E$7,OFFSET(TH!M$1,SMALL(Dong5,ROWS($1:56)),),0))</f>
        <v>38018</v>
      </c>
      <c r="G70" s="410">
        <f ca="1">IF(ROWS($1:56)&gt;COUNT(Dong5),0,IF(OFFSET(TH!O$1,SMALL(Dong5,ROWS($1:56)),)=$E$7,OFFSET(TH!M$1,SMALL(Dong5,ROWS($1:56)),),0))</f>
        <v>0</v>
      </c>
      <c r="H70" s="413">
        <f t="shared" ca="1" si="3"/>
        <v>195382863</v>
      </c>
      <c r="I70" s="413">
        <f t="shared" ca="1" si="4"/>
        <v>0</v>
      </c>
      <c r="J70" s="18">
        <f t="shared" ca="1" si="2"/>
        <v>1</v>
      </c>
    </row>
    <row r="71" spans="1:10" s="18" customFormat="1" ht="18" customHeight="1">
      <c r="A71" s="329">
        <f ca="1">IF(ROWS($1:57)&gt;COUNT(Dong5),"",OFFSET(TH!C$1,SMALL(Dong5,ROWS($1:57)),))</f>
        <v>42393</v>
      </c>
      <c r="B71" s="329" t="str">
        <f ca="1">IF(ROWS($1:57)&gt;COUNT(Dong5),"",OFFSET(TH!D$1,SMALL(Dong5,ROWS($1:57)),))</f>
        <v>C36</v>
      </c>
      <c r="C71" s="329">
        <f ca="1">IF(ROWS($1:57)&gt;COUNT(Dong5),"",OFFSET(TH!E$1,SMALL(Dong5,ROWS($1:57)),))</f>
        <v>42393</v>
      </c>
      <c r="D71" s="411" t="str">
        <f ca="1">IF(ROWS($1:57)&gt;COUNT(Dong5),"",OFFSET(TH!F$1,SMALL(Dong5,ROWS($1:57)),))</f>
        <v>VAT Dầu DO, Xăng</v>
      </c>
      <c r="E71" s="329" t="str">
        <f ca="1">IF(ROWS($1:57)&gt;COUNT(Dong5),"",IF(OFFSET(TH!N$1,SMALL(Dong5,ROWS($1:57)),)=$E$7,OFFSET(TH!O$1,SMALL(Dong5,ROWS($1:57)),),OFFSET(TH!N$1,SMALL(Dong5,ROWS($1:57)),)))</f>
        <v>1111</v>
      </c>
      <c r="F71" s="412">
        <f ca="1">IF(ROWS($1:57)&gt;COUNT(Dong5),0,IF(OFFSET(TH!N$1,SMALL(Dong5,ROWS($1:57)),)=$E$7,OFFSET(TH!M$1,SMALL(Dong5,ROWS($1:57)),),0))</f>
        <v>113776</v>
      </c>
      <c r="G71" s="410">
        <f ca="1">IF(ROWS($1:57)&gt;COUNT(Dong5),0,IF(OFFSET(TH!O$1,SMALL(Dong5,ROWS($1:57)),)=$E$7,OFFSET(TH!M$1,SMALL(Dong5,ROWS($1:57)),),0))</f>
        <v>0</v>
      </c>
      <c r="H71" s="413">
        <f t="shared" ca="1" si="3"/>
        <v>195496639</v>
      </c>
      <c r="I71" s="413">
        <f t="shared" ca="1" si="4"/>
        <v>0</v>
      </c>
      <c r="J71" s="18">
        <f t="shared" ca="1" si="2"/>
        <v>1</v>
      </c>
    </row>
    <row r="72" spans="1:10" s="18" customFormat="1" ht="18" customHeight="1">
      <c r="A72" s="329">
        <f ca="1">IF(ROWS($1:58)&gt;COUNT(Dong5),"",OFFSET(TH!C$1,SMALL(Dong5,ROWS($1:58)),))</f>
        <v>42394</v>
      </c>
      <c r="B72" s="329" t="str">
        <f ca="1">IF(ROWS($1:58)&gt;COUNT(Dong5),"",OFFSET(TH!D$1,SMALL(Dong5,ROWS($1:58)),))</f>
        <v>GBN</v>
      </c>
      <c r="C72" s="329">
        <f ca="1">IF(ROWS($1:58)&gt;COUNT(Dong5),"",OFFSET(TH!E$1,SMALL(Dong5,ROWS($1:58)),))</f>
        <v>42394</v>
      </c>
      <c r="D72" s="411" t="str">
        <f ca="1">IF(ROWS($1:58)&gt;COUNT(Dong5),"",OFFSET(TH!F$1,SMALL(Dong5,ROWS($1:58)),))</f>
        <v>Q11 - VAT Phí thông báo LC</v>
      </c>
      <c r="E72" s="329" t="str">
        <f ca="1">IF(ROWS($1:58)&gt;COUNT(Dong5),"",IF(OFFSET(TH!N$1,SMALL(Dong5,ROWS($1:58)),)=$E$7,OFFSET(TH!O$1,SMALL(Dong5,ROWS($1:58)),),OFFSET(TH!N$1,SMALL(Dong5,ROWS($1:58)),)))</f>
        <v>1122</v>
      </c>
      <c r="F72" s="412">
        <f ca="1">IF(ROWS($1:58)&gt;COUNT(Dong5),0,IF(OFFSET(TH!N$1,SMALL(Dong5,ROWS($1:58)),)=$E$7,OFFSET(TH!M$1,SMALL(Dong5,ROWS($1:58)),),0))</f>
        <v>33555</v>
      </c>
      <c r="G72" s="410">
        <f ca="1">IF(ROWS($1:58)&gt;COUNT(Dong5),0,IF(OFFSET(TH!O$1,SMALL(Dong5,ROWS($1:58)),)=$E$7,OFFSET(TH!M$1,SMALL(Dong5,ROWS($1:58)),),0))</f>
        <v>0</v>
      </c>
      <c r="H72" s="413">
        <f t="shared" ca="1" si="3"/>
        <v>195530194</v>
      </c>
      <c r="I72" s="413">
        <f t="shared" ca="1" si="4"/>
        <v>0</v>
      </c>
      <c r="J72" s="18">
        <f t="shared" ca="1" si="2"/>
        <v>1</v>
      </c>
    </row>
    <row r="73" spans="1:10" s="18" customFormat="1" ht="18" customHeight="1">
      <c r="A73" s="329">
        <f ca="1">IF(ROWS($1:59)&gt;COUNT(Dong5),"",OFFSET(TH!C$1,SMALL(Dong5,ROWS($1:59)),))</f>
        <v>42394</v>
      </c>
      <c r="B73" s="329" t="str">
        <f ca="1">IF(ROWS($1:59)&gt;COUNT(Dong5),"",OFFSET(TH!D$1,SMALL(Dong5,ROWS($1:59)),))</f>
        <v>C38</v>
      </c>
      <c r="C73" s="329">
        <f ca="1">IF(ROWS($1:59)&gt;COUNT(Dong5),"",OFFSET(TH!E$1,SMALL(Dong5,ROWS($1:59)),))</f>
        <v>42394</v>
      </c>
      <c r="D73" s="411" t="str">
        <f ca="1">IF(ROWS($1:59)&gt;COUNT(Dong5),"",OFFSET(TH!F$1,SMALL(Dong5,ROWS($1:59)),))</f>
        <v>VAT Phí dịch vụ bảo vệ T1/2016</v>
      </c>
      <c r="E73" s="329" t="str">
        <f ca="1">IF(ROWS($1:59)&gt;COUNT(Dong5),"",IF(OFFSET(TH!N$1,SMALL(Dong5,ROWS($1:59)),)=$E$7,OFFSET(TH!O$1,SMALL(Dong5,ROWS($1:59)),),OFFSET(TH!N$1,SMALL(Dong5,ROWS($1:59)),)))</f>
        <v>1111</v>
      </c>
      <c r="F73" s="412">
        <f ca="1">IF(ROWS($1:59)&gt;COUNT(Dong5),0,IF(OFFSET(TH!N$1,SMALL(Dong5,ROWS($1:59)),)=$E$7,OFFSET(TH!M$1,SMALL(Dong5,ROWS($1:59)),),0))</f>
        <v>1500000</v>
      </c>
      <c r="G73" s="410">
        <f ca="1">IF(ROWS($1:59)&gt;COUNT(Dong5),0,IF(OFFSET(TH!O$1,SMALL(Dong5,ROWS($1:59)),)=$E$7,OFFSET(TH!M$1,SMALL(Dong5,ROWS($1:59)),),0))</f>
        <v>0</v>
      </c>
      <c r="H73" s="413">
        <f t="shared" ca="1" si="3"/>
        <v>197030194</v>
      </c>
      <c r="I73" s="413">
        <f t="shared" ca="1" si="4"/>
        <v>0</v>
      </c>
      <c r="J73" s="18">
        <f t="shared" ca="1" si="2"/>
        <v>1</v>
      </c>
    </row>
    <row r="74" spans="1:10" s="18" customFormat="1" ht="18" customHeight="1">
      <c r="A74" s="329">
        <f ca="1">IF(ROWS($1:60)&gt;COUNT(Dong5),"",OFFSET(TH!C$1,SMALL(Dong5,ROWS($1:60)),))</f>
        <v>42396</v>
      </c>
      <c r="B74" s="329" t="str">
        <f ca="1">IF(ROWS($1:60)&gt;COUNT(Dong5),"",OFFSET(TH!D$1,SMALL(Dong5,ROWS($1:60)),))</f>
        <v>GBN</v>
      </c>
      <c r="C74" s="329">
        <f ca="1">IF(ROWS($1:60)&gt;COUNT(Dong5),"",OFFSET(TH!E$1,SMALL(Dong5,ROWS($1:60)),))</f>
        <v>42396</v>
      </c>
      <c r="D74" s="411" t="str">
        <f ca="1">IF(ROWS($1:60)&gt;COUNT(Dong5),"",OFFSET(TH!F$1,SMALL(Dong5,ROWS($1:60)),))</f>
        <v>Q11 - VAT Phí chuyển tiền</v>
      </c>
      <c r="E74" s="329" t="str">
        <f ca="1">IF(ROWS($1:60)&gt;COUNT(Dong5),"",IF(OFFSET(TH!N$1,SMALL(Dong5,ROWS($1:60)),)=$E$7,OFFSET(TH!O$1,SMALL(Dong5,ROWS($1:60)),),OFFSET(TH!N$1,SMALL(Dong5,ROWS($1:60)),)))</f>
        <v>1121</v>
      </c>
      <c r="F74" s="412">
        <f ca="1">IF(ROWS($1:60)&gt;COUNT(Dong5),0,IF(OFFSET(TH!N$1,SMALL(Dong5,ROWS($1:60)),)=$E$7,OFFSET(TH!M$1,SMALL(Dong5,ROWS($1:60)),),0))</f>
        <v>2500</v>
      </c>
      <c r="G74" s="410">
        <f ca="1">IF(ROWS($1:60)&gt;COUNT(Dong5),0,IF(OFFSET(TH!O$1,SMALL(Dong5,ROWS($1:60)),)=$E$7,OFFSET(TH!M$1,SMALL(Dong5,ROWS($1:60)),),0))</f>
        <v>0</v>
      </c>
      <c r="H74" s="413">
        <f t="shared" ca="1" si="3"/>
        <v>197032694</v>
      </c>
      <c r="I74" s="413">
        <f t="shared" ca="1" si="4"/>
        <v>0</v>
      </c>
      <c r="J74" s="18">
        <f t="shared" ca="1" si="2"/>
        <v>1</v>
      </c>
    </row>
    <row r="75" spans="1:10" s="18" customFormat="1" ht="18" customHeight="1">
      <c r="A75" s="329">
        <f ca="1">IF(ROWS($1:61)&gt;COUNT(Dong5),"",OFFSET(TH!C$1,SMALL(Dong5,ROWS($1:61)),))</f>
        <v>42398</v>
      </c>
      <c r="B75" s="329" t="str">
        <f ca="1">IF(ROWS($1:61)&gt;COUNT(Dong5),"",OFFSET(TH!D$1,SMALL(Dong5,ROWS($1:61)),))</f>
        <v>GBN</v>
      </c>
      <c r="C75" s="329">
        <f ca="1">IF(ROWS($1:61)&gt;COUNT(Dong5),"",OFFSET(TH!E$1,SMALL(Dong5,ROWS($1:61)),))</f>
        <v>42398</v>
      </c>
      <c r="D75" s="411" t="str">
        <f ca="1">IF(ROWS($1:61)&gt;COUNT(Dong5),"",OFFSET(TH!F$1,SMALL(Dong5,ROWS($1:61)),))</f>
        <v>Q4 - VAT Phí dịch vụ</v>
      </c>
      <c r="E75" s="329" t="str">
        <f ca="1">IF(ROWS($1:61)&gt;COUNT(Dong5),"",IF(OFFSET(TH!N$1,SMALL(Dong5,ROWS($1:61)),)=$E$7,OFFSET(TH!O$1,SMALL(Dong5,ROWS($1:61)),),OFFSET(TH!N$1,SMALL(Dong5,ROWS($1:61)),)))</f>
        <v>1121</v>
      </c>
      <c r="F75" s="412">
        <f ca="1">IF(ROWS($1:61)&gt;COUNT(Dong5),0,IF(OFFSET(TH!N$1,SMALL(Dong5,ROWS($1:61)),)=$E$7,OFFSET(TH!M$1,SMALL(Dong5,ROWS($1:61)),),0))</f>
        <v>2000</v>
      </c>
      <c r="G75" s="410">
        <f ca="1">IF(ROWS($1:61)&gt;COUNT(Dong5),0,IF(OFFSET(TH!O$1,SMALL(Dong5,ROWS($1:61)),)=$E$7,OFFSET(TH!M$1,SMALL(Dong5,ROWS($1:61)),),0))</f>
        <v>0</v>
      </c>
      <c r="H75" s="413">
        <f t="shared" ca="1" si="3"/>
        <v>197034694</v>
      </c>
      <c r="I75" s="413">
        <f t="shared" ca="1" si="4"/>
        <v>0</v>
      </c>
      <c r="J75" s="18">
        <f t="shared" ca="1" si="2"/>
        <v>1</v>
      </c>
    </row>
    <row r="76" spans="1:10" s="18" customFormat="1" ht="18" customHeight="1">
      <c r="A76" s="329">
        <f ca="1">IF(ROWS($1:62)&gt;COUNT(Dong5),"",OFFSET(TH!C$1,SMALL(Dong5,ROWS($1:62)),))</f>
        <v>42398</v>
      </c>
      <c r="B76" s="329" t="str">
        <f ca="1">IF(ROWS($1:62)&gt;COUNT(Dong5),"",OFFSET(TH!D$1,SMALL(Dong5,ROWS($1:62)),))</f>
        <v>C42</v>
      </c>
      <c r="C76" s="329">
        <f ca="1">IF(ROWS($1:62)&gt;COUNT(Dong5),"",OFFSET(TH!E$1,SMALL(Dong5,ROWS($1:62)),))</f>
        <v>42398</v>
      </c>
      <c r="D76" s="411" t="str">
        <f ca="1">IF(ROWS($1:62)&gt;COUNT(Dong5),"",OFFSET(TH!F$1,SMALL(Dong5,ROWS($1:62)),))</f>
        <v>VAT Xăng</v>
      </c>
      <c r="E76" s="329" t="str">
        <f ca="1">IF(ROWS($1:62)&gt;COUNT(Dong5),"",IF(OFFSET(TH!N$1,SMALL(Dong5,ROWS($1:62)),)=$E$7,OFFSET(TH!O$1,SMALL(Dong5,ROWS($1:62)),),OFFSET(TH!N$1,SMALL(Dong5,ROWS($1:62)),)))</f>
        <v>1111</v>
      </c>
      <c r="F76" s="412">
        <f ca="1">IF(ROWS($1:62)&gt;COUNT(Dong5),0,IF(OFFSET(TH!N$1,SMALL(Dong5,ROWS($1:62)),)=$E$7,OFFSET(TH!M$1,SMALL(Dong5,ROWS($1:62)),),0))</f>
        <v>66027</v>
      </c>
      <c r="G76" s="410">
        <f ca="1">IF(ROWS($1:62)&gt;COUNT(Dong5),0,IF(OFFSET(TH!O$1,SMALL(Dong5,ROWS($1:62)),)=$E$7,OFFSET(TH!M$1,SMALL(Dong5,ROWS($1:62)),),0))</f>
        <v>0</v>
      </c>
      <c r="H76" s="413">
        <f t="shared" ca="1" si="3"/>
        <v>197100721</v>
      </c>
      <c r="I76" s="413">
        <f t="shared" ca="1" si="4"/>
        <v>0</v>
      </c>
      <c r="J76" s="18">
        <f t="shared" ca="1" si="2"/>
        <v>1</v>
      </c>
    </row>
    <row r="77" spans="1:10" s="18" customFormat="1" ht="18" customHeight="1">
      <c r="A77" s="329">
        <f ca="1">IF(ROWS($1:63)&gt;COUNT(Dong5),"",OFFSET(TH!C$1,SMALL(Dong5,ROWS($1:63)),))</f>
        <v>42399</v>
      </c>
      <c r="B77" s="329" t="str">
        <f ca="1">IF(ROWS($1:63)&gt;COUNT(Dong5),"",OFFSET(TH!D$1,SMALL(Dong5,ROWS($1:63)),))</f>
        <v>GBN</v>
      </c>
      <c r="C77" s="329">
        <f ca="1">IF(ROWS($1:63)&gt;COUNT(Dong5),"",OFFSET(TH!E$1,SMALL(Dong5,ROWS($1:63)),))</f>
        <v>42399</v>
      </c>
      <c r="D77" s="411" t="str">
        <f ca="1">IF(ROWS($1:63)&gt;COUNT(Dong5),"",OFFSET(TH!F$1,SMALL(Dong5,ROWS($1:63)),))</f>
        <v>Q11 - VAT Phí chuyển tiền</v>
      </c>
      <c r="E77" s="329" t="str">
        <f ca="1">IF(ROWS($1:63)&gt;COUNT(Dong5),"",IF(OFFSET(TH!N$1,SMALL(Dong5,ROWS($1:63)),)=$E$7,OFFSET(TH!O$1,SMALL(Dong5,ROWS($1:63)),),OFFSET(TH!N$1,SMALL(Dong5,ROWS($1:63)),)))</f>
        <v>1121</v>
      </c>
      <c r="F77" s="412">
        <f ca="1">IF(ROWS($1:63)&gt;COUNT(Dong5),0,IF(OFFSET(TH!N$1,SMALL(Dong5,ROWS($1:63)),)=$E$7,OFFSET(TH!M$1,SMALL(Dong5,ROWS($1:63)),),0))</f>
        <v>2849</v>
      </c>
      <c r="G77" s="410">
        <f ca="1">IF(ROWS($1:63)&gt;COUNT(Dong5),0,IF(OFFSET(TH!O$1,SMALL(Dong5,ROWS($1:63)),)=$E$7,OFFSET(TH!M$1,SMALL(Dong5,ROWS($1:63)),),0))</f>
        <v>0</v>
      </c>
      <c r="H77" s="413">
        <f t="shared" ca="1" si="3"/>
        <v>197103570</v>
      </c>
      <c r="I77" s="413">
        <f t="shared" ca="1" si="4"/>
        <v>0</v>
      </c>
      <c r="J77" s="18">
        <f t="shared" ca="1" si="2"/>
        <v>1</v>
      </c>
    </row>
    <row r="78" spans="1:10" s="18" customFormat="1" ht="18" customHeight="1">
      <c r="A78" s="329">
        <f ca="1">IF(ROWS($1:64)&gt;COUNT(Dong5),"",OFFSET(TH!C$1,SMALL(Dong5,ROWS($1:64)),))</f>
        <v>42399</v>
      </c>
      <c r="B78" s="329" t="str">
        <f ca="1">IF(ROWS($1:64)&gt;COUNT(Dong5),"",OFFSET(TH!D$1,SMALL(Dong5,ROWS($1:64)),))</f>
        <v>GBN</v>
      </c>
      <c r="C78" s="329">
        <f ca="1">IF(ROWS($1:64)&gt;COUNT(Dong5),"",OFFSET(TH!E$1,SMALL(Dong5,ROWS($1:64)),))</f>
        <v>42399</v>
      </c>
      <c r="D78" s="411" t="str">
        <f ca="1">IF(ROWS($1:64)&gt;COUNT(Dong5),"",OFFSET(TH!F$1,SMALL(Dong5,ROWS($1:64)),))</f>
        <v>Q11 - VAT Phí chuyển tiền</v>
      </c>
      <c r="E78" s="329" t="str">
        <f ca="1">IF(ROWS($1:64)&gt;COUNT(Dong5),"",IF(OFFSET(TH!N$1,SMALL(Dong5,ROWS($1:64)),)=$E$7,OFFSET(TH!O$1,SMALL(Dong5,ROWS($1:64)),),OFFSET(TH!N$1,SMALL(Dong5,ROWS($1:64)),)))</f>
        <v>1121</v>
      </c>
      <c r="F78" s="412">
        <f ca="1">IF(ROWS($1:64)&gt;COUNT(Dong5),0,IF(OFFSET(TH!N$1,SMALL(Dong5,ROWS($1:64)),)=$E$7,OFFSET(TH!M$1,SMALL(Dong5,ROWS($1:64)),),0))</f>
        <v>2000</v>
      </c>
      <c r="G78" s="410">
        <f ca="1">IF(ROWS($1:64)&gt;COUNT(Dong5),0,IF(OFFSET(TH!O$1,SMALL(Dong5,ROWS($1:64)),)=$E$7,OFFSET(TH!M$1,SMALL(Dong5,ROWS($1:64)),),0))</f>
        <v>0</v>
      </c>
      <c r="H78" s="413">
        <f t="shared" ca="1" si="3"/>
        <v>197105570</v>
      </c>
      <c r="I78" s="413">
        <f t="shared" ca="1" si="4"/>
        <v>0</v>
      </c>
      <c r="J78" s="18">
        <f t="shared" ca="1" si="2"/>
        <v>1</v>
      </c>
    </row>
    <row r="79" spans="1:10" s="18" customFormat="1" ht="18" customHeight="1">
      <c r="A79" s="329">
        <f ca="1">IF(ROWS($1:65)&gt;COUNT(Dong5),"",OFFSET(TH!C$1,SMALL(Dong5,ROWS($1:65)),))</f>
        <v>42399</v>
      </c>
      <c r="B79" s="329" t="str">
        <f ca="1">IF(ROWS($1:65)&gt;COUNT(Dong5),"",OFFSET(TH!D$1,SMALL(Dong5,ROWS($1:65)),))</f>
        <v>GBN</v>
      </c>
      <c r="C79" s="329">
        <f ca="1">IF(ROWS($1:65)&gt;COUNT(Dong5),"",OFFSET(TH!E$1,SMALL(Dong5,ROWS($1:65)),))</f>
        <v>42399</v>
      </c>
      <c r="D79" s="411" t="str">
        <f ca="1">IF(ROWS($1:65)&gt;COUNT(Dong5),"",OFFSET(TH!F$1,SMALL(Dong5,ROWS($1:65)),))</f>
        <v>Q11 - VAT Phí chuyển tiền</v>
      </c>
      <c r="E79" s="329" t="str">
        <f ca="1">IF(ROWS($1:65)&gt;COUNT(Dong5),"",IF(OFFSET(TH!N$1,SMALL(Dong5,ROWS($1:65)),)=$E$7,OFFSET(TH!O$1,SMALL(Dong5,ROWS($1:65)),),OFFSET(TH!N$1,SMALL(Dong5,ROWS($1:65)),)))</f>
        <v>1121</v>
      </c>
      <c r="F79" s="412">
        <f ca="1">IF(ROWS($1:65)&gt;COUNT(Dong5),0,IF(OFFSET(TH!N$1,SMALL(Dong5,ROWS($1:65)),)=$E$7,OFFSET(TH!M$1,SMALL(Dong5,ROWS($1:65)),),0))</f>
        <v>2000</v>
      </c>
      <c r="G79" s="410">
        <f ca="1">IF(ROWS($1:65)&gt;COUNT(Dong5),0,IF(OFFSET(TH!O$1,SMALL(Dong5,ROWS($1:65)),)=$E$7,OFFSET(TH!M$1,SMALL(Dong5,ROWS($1:65)),),0))</f>
        <v>0</v>
      </c>
      <c r="H79" s="413">
        <f t="shared" ref="H79:H110" ca="1" si="5">IF(D79&lt;&gt;"",MAX(H78+F79-G79-I78,0),0)</f>
        <v>197107570</v>
      </c>
      <c r="I79" s="413">
        <f t="shared" ref="I79:I110" ca="1" si="6">IF(D79&lt;&gt;"",MAX(I78+G79-H78-F79,0),0)</f>
        <v>0</v>
      </c>
      <c r="J79" s="18">
        <f t="shared" ca="1" si="2"/>
        <v>1</v>
      </c>
    </row>
    <row r="80" spans="1:10" s="18" customFormat="1" ht="18" customHeight="1">
      <c r="A80" s="329">
        <f ca="1">IF(ROWS($1:66)&gt;COUNT(Dong5),"",OFFSET(TH!C$1,SMALL(Dong5,ROWS($1:66)),))</f>
        <v>42399</v>
      </c>
      <c r="B80" s="329" t="str">
        <f ca="1">IF(ROWS($1:66)&gt;COUNT(Dong5),"",OFFSET(TH!D$1,SMALL(Dong5,ROWS($1:66)),))</f>
        <v>C43</v>
      </c>
      <c r="C80" s="329">
        <f ca="1">IF(ROWS($1:66)&gt;COUNT(Dong5),"",OFFSET(TH!E$1,SMALL(Dong5,ROWS($1:66)),))</f>
        <v>42399</v>
      </c>
      <c r="D80" s="411" t="str">
        <f ca="1">IF(ROWS($1:66)&gt;COUNT(Dong5),"",OFFSET(TH!F$1,SMALL(Dong5,ROWS($1:66)),))</f>
        <v>VAT Xăng</v>
      </c>
      <c r="E80" s="329" t="str">
        <f ca="1">IF(ROWS($1:66)&gt;COUNT(Dong5),"",IF(OFFSET(TH!N$1,SMALL(Dong5,ROWS($1:66)),)=$E$7,OFFSET(TH!O$1,SMALL(Dong5,ROWS($1:66)),),OFFSET(TH!N$1,SMALL(Dong5,ROWS($1:66)),)))</f>
        <v>1111</v>
      </c>
      <c r="F80" s="412">
        <f ca="1">IF(ROWS($1:66)&gt;COUNT(Dong5),0,IF(OFFSET(TH!N$1,SMALL(Dong5,ROWS($1:66)),)=$E$7,OFFSET(TH!M$1,SMALL(Dong5,ROWS($1:66)),),0))</f>
        <v>67495</v>
      </c>
      <c r="G80" s="410">
        <f ca="1">IF(ROWS($1:66)&gt;COUNT(Dong5),0,IF(OFFSET(TH!O$1,SMALL(Dong5,ROWS($1:66)),)=$E$7,OFFSET(TH!M$1,SMALL(Dong5,ROWS($1:66)),),0))</f>
        <v>0</v>
      </c>
      <c r="H80" s="413">
        <f t="shared" ca="1" si="5"/>
        <v>197175065</v>
      </c>
      <c r="I80" s="413">
        <f t="shared" ca="1" si="6"/>
        <v>0</v>
      </c>
      <c r="J80" s="18">
        <f t="shared" ref="J80:J143" ca="1" si="7">MONTH(A80)</f>
        <v>1</v>
      </c>
    </row>
    <row r="81" spans="1:10" s="18" customFormat="1" ht="18" customHeight="1">
      <c r="A81" s="329">
        <f ca="1">IF(ROWS($1:67)&gt;COUNT(Dong5),"",OFFSET(TH!C$1,SMALL(Dong5,ROWS($1:67)),))</f>
        <v>42400</v>
      </c>
      <c r="B81" s="329" t="str">
        <f ca="1">IF(ROWS($1:67)&gt;COUNT(Dong5),"",OFFSET(TH!D$1,SMALL(Dong5,ROWS($1:67)),))</f>
        <v>C44</v>
      </c>
      <c r="C81" s="329">
        <f ca="1">IF(ROWS($1:67)&gt;COUNT(Dong5),"",OFFSET(TH!E$1,SMALL(Dong5,ROWS($1:67)),))</f>
        <v>42400</v>
      </c>
      <c r="D81" s="411" t="str">
        <f ca="1">IF(ROWS($1:67)&gt;COUNT(Dong5),"",OFFSET(TH!F$1,SMALL(Dong5,ROWS($1:67)),))</f>
        <v>VAT Dầu DO, Xăng</v>
      </c>
      <c r="E81" s="329" t="str">
        <f ca="1">IF(ROWS($1:67)&gt;COUNT(Dong5),"",IF(OFFSET(TH!N$1,SMALL(Dong5,ROWS($1:67)),)=$E$7,OFFSET(TH!O$1,SMALL(Dong5,ROWS($1:67)),),OFFSET(TH!N$1,SMALL(Dong5,ROWS($1:67)),)))</f>
        <v>1111</v>
      </c>
      <c r="F81" s="412">
        <f ca="1">IF(ROWS($1:67)&gt;COUNT(Dong5),0,IF(OFFSET(TH!N$1,SMALL(Dong5,ROWS($1:67)),)=$E$7,OFFSET(TH!M$1,SMALL(Dong5,ROWS($1:67)),),0))</f>
        <v>32029</v>
      </c>
      <c r="G81" s="410">
        <f ca="1">IF(ROWS($1:67)&gt;COUNT(Dong5),0,IF(OFFSET(TH!O$1,SMALL(Dong5,ROWS($1:67)),)=$E$7,OFFSET(TH!M$1,SMALL(Dong5,ROWS($1:67)),),0))</f>
        <v>0</v>
      </c>
      <c r="H81" s="413">
        <f t="shared" ca="1" si="5"/>
        <v>197207094</v>
      </c>
      <c r="I81" s="413">
        <f t="shared" ca="1" si="6"/>
        <v>0</v>
      </c>
      <c r="J81" s="18">
        <f t="shared" ca="1" si="7"/>
        <v>1</v>
      </c>
    </row>
    <row r="82" spans="1:10" s="18" customFormat="1" ht="18" customHeight="1">
      <c r="A82" s="329">
        <f ca="1">IF(ROWS($1:68)&gt;COUNT(Dong5),"",OFFSET(TH!C$1,SMALL(Dong5,ROWS($1:68)),))</f>
        <v>42400</v>
      </c>
      <c r="B82" s="329" t="str">
        <f ca="1">IF(ROWS($1:68)&gt;COUNT(Dong5),"",OFFSET(TH!D$1,SMALL(Dong5,ROWS($1:68)),))</f>
        <v>C45</v>
      </c>
      <c r="C82" s="329">
        <f ca="1">IF(ROWS($1:68)&gt;COUNT(Dong5),"",OFFSET(TH!E$1,SMALL(Dong5,ROWS($1:68)),))</f>
        <v>42400</v>
      </c>
      <c r="D82" s="411" t="str">
        <f ca="1">IF(ROWS($1:68)&gt;COUNT(Dong5),"",OFFSET(TH!F$1,SMALL(Dong5,ROWS($1:68)),))</f>
        <v>VAT Xăng</v>
      </c>
      <c r="E82" s="329" t="str">
        <f ca="1">IF(ROWS($1:68)&gt;COUNT(Dong5),"",IF(OFFSET(TH!N$1,SMALL(Dong5,ROWS($1:68)),)=$E$7,OFFSET(TH!O$1,SMALL(Dong5,ROWS($1:68)),),OFFSET(TH!N$1,SMALL(Dong5,ROWS($1:68)),)))</f>
        <v>1111</v>
      </c>
      <c r="F82" s="412">
        <f ca="1">IF(ROWS($1:68)&gt;COUNT(Dong5),0,IF(OFFSET(TH!N$1,SMALL(Dong5,ROWS($1:68)),)=$E$7,OFFSET(TH!M$1,SMALL(Dong5,ROWS($1:68)),),0))</f>
        <v>4402</v>
      </c>
      <c r="G82" s="410">
        <f ca="1">IF(ROWS($1:68)&gt;COUNT(Dong5),0,IF(OFFSET(TH!O$1,SMALL(Dong5,ROWS($1:68)),)=$E$7,OFFSET(TH!M$1,SMALL(Dong5,ROWS($1:68)),),0))</f>
        <v>0</v>
      </c>
      <c r="H82" s="413">
        <f t="shared" ca="1" si="5"/>
        <v>197211496</v>
      </c>
      <c r="I82" s="413">
        <f t="shared" ca="1" si="6"/>
        <v>0</v>
      </c>
      <c r="J82" s="18">
        <f t="shared" ca="1" si="7"/>
        <v>1</v>
      </c>
    </row>
    <row r="83" spans="1:10" s="18" customFormat="1" ht="18" customHeight="1">
      <c r="A83" s="329">
        <f ca="1">IF(ROWS($1:69)&gt;COUNT(Dong5),"",OFFSET(TH!C$1,SMALL(Dong5,ROWS($1:69)),))</f>
        <v>42400</v>
      </c>
      <c r="B83" s="329" t="str">
        <f ca="1">IF(ROWS($1:69)&gt;COUNT(Dong5),"",OFFSET(TH!D$1,SMALL(Dong5,ROWS($1:69)),))</f>
        <v>C46</v>
      </c>
      <c r="C83" s="329">
        <f ca="1">IF(ROWS($1:69)&gt;COUNT(Dong5),"",OFFSET(TH!E$1,SMALL(Dong5,ROWS($1:69)),))</f>
        <v>42400</v>
      </c>
      <c r="D83" s="411" t="str">
        <f ca="1">IF(ROWS($1:69)&gt;COUNT(Dong5),"",OFFSET(TH!F$1,SMALL(Dong5,ROWS($1:69)),))</f>
        <v>VAT Cước VT - CNTT T1/2016</v>
      </c>
      <c r="E83" s="329" t="str">
        <f ca="1">IF(ROWS($1:69)&gt;COUNT(Dong5),"",IF(OFFSET(TH!N$1,SMALL(Dong5,ROWS($1:69)),)=$E$7,OFFSET(TH!O$1,SMALL(Dong5,ROWS($1:69)),),OFFSET(TH!N$1,SMALL(Dong5,ROWS($1:69)),)))</f>
        <v>1111</v>
      </c>
      <c r="F83" s="412">
        <f ca="1">IF(ROWS($1:69)&gt;COUNT(Dong5),0,IF(OFFSET(TH!N$1,SMALL(Dong5,ROWS($1:69)),)=$E$7,OFFSET(TH!M$1,SMALL(Dong5,ROWS($1:69)),),0))</f>
        <v>197003</v>
      </c>
      <c r="G83" s="410">
        <f ca="1">IF(ROWS($1:69)&gt;COUNT(Dong5),0,IF(OFFSET(TH!O$1,SMALL(Dong5,ROWS($1:69)),)=$E$7,OFFSET(TH!M$1,SMALL(Dong5,ROWS($1:69)),),0))</f>
        <v>0</v>
      </c>
      <c r="H83" s="413">
        <f t="shared" ca="1" si="5"/>
        <v>197408499</v>
      </c>
      <c r="I83" s="413">
        <f t="shared" ca="1" si="6"/>
        <v>0</v>
      </c>
      <c r="J83" s="18">
        <f t="shared" ca="1" si="7"/>
        <v>1</v>
      </c>
    </row>
    <row r="84" spans="1:10" s="18" customFormat="1" ht="18" customHeight="1">
      <c r="A84" s="329">
        <f ca="1">IF(ROWS($1:70)&gt;COUNT(Dong5),"",OFFSET(TH!C$1,SMALL(Dong5,ROWS($1:70)),))</f>
        <v>42400</v>
      </c>
      <c r="B84" s="329" t="str">
        <f ca="1">IF(ROWS($1:70)&gt;COUNT(Dong5),"",OFFSET(TH!D$1,SMALL(Dong5,ROWS($1:70)),))</f>
        <v>C47</v>
      </c>
      <c r="C84" s="329">
        <f ca="1">IF(ROWS($1:70)&gt;COUNT(Dong5),"",OFFSET(TH!E$1,SMALL(Dong5,ROWS($1:70)),))</f>
        <v>42400</v>
      </c>
      <c r="D84" s="411" t="str">
        <f ca="1">IF(ROWS($1:70)&gt;COUNT(Dong5),"",OFFSET(TH!F$1,SMALL(Dong5,ROWS($1:70)),))</f>
        <v>VAT Phí CPN</v>
      </c>
      <c r="E84" s="329" t="str">
        <f ca="1">IF(ROWS($1:70)&gt;COUNT(Dong5),"",IF(OFFSET(TH!N$1,SMALL(Dong5,ROWS($1:70)),)=$E$7,OFFSET(TH!O$1,SMALL(Dong5,ROWS($1:70)),),OFFSET(TH!N$1,SMALL(Dong5,ROWS($1:70)),)))</f>
        <v>1111</v>
      </c>
      <c r="F84" s="412">
        <f ca="1">IF(ROWS($1:70)&gt;COUNT(Dong5),0,IF(OFFSET(TH!N$1,SMALL(Dong5,ROWS($1:70)),)=$E$7,OFFSET(TH!M$1,SMALL(Dong5,ROWS($1:70)),),0))</f>
        <v>35453</v>
      </c>
      <c r="G84" s="410">
        <f ca="1">IF(ROWS($1:70)&gt;COUNT(Dong5),0,IF(OFFSET(TH!O$1,SMALL(Dong5,ROWS($1:70)),)=$E$7,OFFSET(TH!M$1,SMALL(Dong5,ROWS($1:70)),),0))</f>
        <v>0</v>
      </c>
      <c r="H84" s="413">
        <f t="shared" ca="1" si="5"/>
        <v>197443952</v>
      </c>
      <c r="I84" s="413">
        <f t="shared" ca="1" si="6"/>
        <v>0</v>
      </c>
      <c r="J84" s="18">
        <f t="shared" ca="1" si="7"/>
        <v>1</v>
      </c>
    </row>
    <row r="85" spans="1:10" s="18" customFormat="1" ht="18" customHeight="1">
      <c r="A85" s="329">
        <f ca="1">IF(ROWS($1:71)&gt;COUNT(Dong5),"",OFFSET(TH!C$1,SMALL(Dong5,ROWS($1:71)),))</f>
        <v>42401</v>
      </c>
      <c r="B85" s="329" t="str">
        <f ca="1">IF(ROWS($1:71)&gt;COUNT(Dong5),"",OFFSET(TH!D$1,SMALL(Dong5,ROWS($1:71)),))</f>
        <v>C01</v>
      </c>
      <c r="C85" s="329">
        <f ca="1">IF(ROWS($1:71)&gt;COUNT(Dong5),"",OFFSET(TH!E$1,SMALL(Dong5,ROWS($1:71)),))</f>
        <v>42384</v>
      </c>
      <c r="D85" s="411" t="str">
        <f ca="1">IF(ROWS($1:71)&gt;COUNT(Dong5),"",OFFSET(TH!F$1,SMALL(Dong5,ROWS($1:71)),))</f>
        <v>VAT Hũ ly trung</v>
      </c>
      <c r="E85" s="329" t="str">
        <f ca="1">IF(ROWS($1:71)&gt;COUNT(Dong5),"",IF(OFFSET(TH!N$1,SMALL(Dong5,ROWS($1:71)),)=$E$7,OFFSET(TH!O$1,SMALL(Dong5,ROWS($1:71)),),OFFSET(TH!N$1,SMALL(Dong5,ROWS($1:71)),)))</f>
        <v>1111</v>
      </c>
      <c r="F85" s="412">
        <f ca="1">IF(ROWS($1:71)&gt;COUNT(Dong5),0,IF(OFFSET(TH!N$1,SMALL(Dong5,ROWS($1:71)),)=$E$7,OFFSET(TH!M$1,SMALL(Dong5,ROWS($1:71)),),0))</f>
        <v>424375</v>
      </c>
      <c r="G85" s="410">
        <f ca="1">IF(ROWS($1:71)&gt;COUNT(Dong5),0,IF(OFFSET(TH!O$1,SMALL(Dong5,ROWS($1:71)),)=$E$7,OFFSET(TH!M$1,SMALL(Dong5,ROWS($1:71)),),0))</f>
        <v>0</v>
      </c>
      <c r="H85" s="413">
        <f t="shared" ca="1" si="5"/>
        <v>197868327</v>
      </c>
      <c r="I85" s="413">
        <f t="shared" ca="1" si="6"/>
        <v>0</v>
      </c>
      <c r="J85" s="18">
        <f t="shared" ca="1" si="7"/>
        <v>2</v>
      </c>
    </row>
    <row r="86" spans="1:10" s="18" customFormat="1" ht="18" customHeight="1">
      <c r="A86" s="329">
        <f ca="1">IF(ROWS($1:72)&gt;COUNT(Dong5),"",OFFSET(TH!C$1,SMALL(Dong5,ROWS($1:72)),))</f>
        <v>42402</v>
      </c>
      <c r="B86" s="329" t="str">
        <f ca="1">IF(ROWS($1:72)&gt;COUNT(Dong5),"",OFFSET(TH!D$1,SMALL(Dong5,ROWS($1:72)),))</f>
        <v>GBN</v>
      </c>
      <c r="C86" s="329">
        <f ca="1">IF(ROWS($1:72)&gt;COUNT(Dong5),"",OFFSET(TH!E$1,SMALL(Dong5,ROWS($1:72)),))</f>
        <v>42402</v>
      </c>
      <c r="D86" s="411" t="str">
        <f ca="1">IF(ROWS($1:72)&gt;COUNT(Dong5),"",OFFSET(TH!F$1,SMALL(Dong5,ROWS($1:72)),))</f>
        <v>Q11 - VAT Phí chuyển tiền</v>
      </c>
      <c r="E86" s="329" t="str">
        <f ca="1">IF(ROWS($1:72)&gt;COUNT(Dong5),"",IF(OFFSET(TH!N$1,SMALL(Dong5,ROWS($1:72)),)=$E$7,OFFSET(TH!O$1,SMALL(Dong5,ROWS($1:72)),),OFFSET(TH!N$1,SMALL(Dong5,ROWS($1:72)),)))</f>
        <v>1121</v>
      </c>
      <c r="F86" s="412">
        <f ca="1">IF(ROWS($1:72)&gt;COUNT(Dong5),0,IF(OFFSET(TH!N$1,SMALL(Dong5,ROWS($1:72)),)=$E$7,OFFSET(TH!M$1,SMALL(Dong5,ROWS($1:72)),),0))</f>
        <v>2500</v>
      </c>
      <c r="G86" s="410">
        <f ca="1">IF(ROWS($1:72)&gt;COUNT(Dong5),0,IF(OFFSET(TH!O$1,SMALL(Dong5,ROWS($1:72)),)=$E$7,OFFSET(TH!M$1,SMALL(Dong5,ROWS($1:72)),),0))</f>
        <v>0</v>
      </c>
      <c r="H86" s="413">
        <f t="shared" ca="1" si="5"/>
        <v>197870827</v>
      </c>
      <c r="I86" s="413">
        <f t="shared" ca="1" si="6"/>
        <v>0</v>
      </c>
      <c r="J86" s="18">
        <f t="shared" ca="1" si="7"/>
        <v>2</v>
      </c>
    </row>
    <row r="87" spans="1:10" s="18" customFormat="1" ht="18" customHeight="1">
      <c r="A87" s="329">
        <f ca="1">IF(ROWS($1:73)&gt;COUNT(Dong5),"",OFFSET(TH!C$1,SMALL(Dong5,ROWS($1:73)),))</f>
        <v>42403</v>
      </c>
      <c r="B87" s="329" t="str">
        <f ca="1">IF(ROWS($1:73)&gt;COUNT(Dong5),"",OFFSET(TH!D$1,SMALL(Dong5,ROWS($1:73)),))</f>
        <v>CTGS</v>
      </c>
      <c r="C87" s="329">
        <f ca="1">IF(ROWS($1:73)&gt;COUNT(Dong5),"",OFFSET(TH!E$1,SMALL(Dong5,ROWS($1:73)),))</f>
        <v>42403</v>
      </c>
      <c r="D87" s="411" t="str">
        <f ca="1">IF(ROWS($1:73)&gt;COUNT(Dong5),"",OFFSET(TH!F$1,SMALL(Dong5,ROWS($1:73)),))</f>
        <v>VAT Phí dịch vụ thanh toán, điện phí</v>
      </c>
      <c r="E87" s="329" t="str">
        <f ca="1">IF(ROWS($1:73)&gt;COUNT(Dong5),"",IF(OFFSET(TH!N$1,SMALL(Dong5,ROWS($1:73)),)=$E$7,OFFSET(TH!O$1,SMALL(Dong5,ROWS($1:73)),),OFFSET(TH!N$1,SMALL(Dong5,ROWS($1:73)),)))</f>
        <v>131</v>
      </c>
      <c r="F87" s="412">
        <f ca="1">IF(ROWS($1:73)&gt;COUNT(Dong5),0,IF(OFFSET(TH!N$1,SMALL(Dong5,ROWS($1:73)),)=$E$7,OFFSET(TH!M$1,SMALL(Dong5,ROWS($1:73)),),0))</f>
        <v>120595</v>
      </c>
      <c r="G87" s="410">
        <f ca="1">IF(ROWS($1:73)&gt;COUNT(Dong5),0,IF(OFFSET(TH!O$1,SMALL(Dong5,ROWS($1:73)),)=$E$7,OFFSET(TH!M$1,SMALL(Dong5,ROWS($1:73)),),0))</f>
        <v>0</v>
      </c>
      <c r="H87" s="413">
        <f t="shared" ca="1" si="5"/>
        <v>197991422</v>
      </c>
      <c r="I87" s="413">
        <f t="shared" ca="1" si="6"/>
        <v>0</v>
      </c>
      <c r="J87" s="18">
        <f t="shared" ca="1" si="7"/>
        <v>2</v>
      </c>
    </row>
    <row r="88" spans="1:10" s="18" customFormat="1" ht="18" customHeight="1">
      <c r="A88" s="329">
        <f ca="1">IF(ROWS($1:74)&gt;COUNT(Dong5),"",OFFSET(TH!C$1,SMALL(Dong5,ROWS($1:74)),))</f>
        <v>42403</v>
      </c>
      <c r="B88" s="329" t="str">
        <f ca="1">IF(ROWS($1:74)&gt;COUNT(Dong5),"",OFFSET(TH!D$1,SMALL(Dong5,ROWS($1:74)),))</f>
        <v>C05</v>
      </c>
      <c r="C88" s="329">
        <f ca="1">IF(ROWS($1:74)&gt;COUNT(Dong5),"",OFFSET(TH!E$1,SMALL(Dong5,ROWS($1:74)),))</f>
        <v>42403</v>
      </c>
      <c r="D88" s="411" t="str">
        <f ca="1">IF(ROWS($1:74)&gt;COUNT(Dong5),"",OFFSET(TH!F$1,SMALL(Dong5,ROWS($1:74)),))</f>
        <v>VAT Xăng 92</v>
      </c>
      <c r="E88" s="329" t="str">
        <f ca="1">IF(ROWS($1:74)&gt;COUNT(Dong5),"",IF(OFFSET(TH!N$1,SMALL(Dong5,ROWS($1:74)),)=$E$7,OFFSET(TH!O$1,SMALL(Dong5,ROWS($1:74)),),OFFSET(TH!N$1,SMALL(Dong5,ROWS($1:74)),)))</f>
        <v>1111</v>
      </c>
      <c r="F88" s="412">
        <f ca="1">IF(ROWS($1:74)&gt;COUNT(Dong5),0,IF(OFFSET(TH!N$1,SMALL(Dong5,ROWS($1:74)),)=$E$7,OFFSET(TH!M$1,SMALL(Dong5,ROWS($1:74)),),0))</f>
        <v>11229</v>
      </c>
      <c r="G88" s="410">
        <f ca="1">IF(ROWS($1:74)&gt;COUNT(Dong5),0,IF(OFFSET(TH!O$1,SMALL(Dong5,ROWS($1:74)),)=$E$7,OFFSET(TH!M$1,SMALL(Dong5,ROWS($1:74)),),0))</f>
        <v>0</v>
      </c>
      <c r="H88" s="413">
        <f t="shared" ca="1" si="5"/>
        <v>198002651</v>
      </c>
      <c r="I88" s="413">
        <f t="shared" ca="1" si="6"/>
        <v>0</v>
      </c>
      <c r="J88" s="18">
        <f t="shared" ca="1" si="7"/>
        <v>2</v>
      </c>
    </row>
    <row r="89" spans="1:10" s="18" customFormat="1" ht="18" customHeight="1">
      <c r="A89" s="329">
        <f ca="1">IF(ROWS($1:75)&gt;COUNT(Dong5),"",OFFSET(TH!C$1,SMALL(Dong5,ROWS($1:75)),))</f>
        <v>42403</v>
      </c>
      <c r="B89" s="329" t="str">
        <f ca="1">IF(ROWS($1:75)&gt;COUNT(Dong5),"",OFFSET(TH!D$1,SMALL(Dong5,ROWS($1:75)),))</f>
        <v>GBN</v>
      </c>
      <c r="C89" s="329">
        <f ca="1">IF(ROWS($1:75)&gt;COUNT(Dong5),"",OFFSET(TH!E$1,SMALL(Dong5,ROWS($1:75)),))</f>
        <v>42403</v>
      </c>
      <c r="D89" s="411" t="str">
        <f ca="1">IF(ROWS($1:75)&gt;COUNT(Dong5),"",OFFSET(TH!F$1,SMALL(Dong5,ROWS($1:75)),))</f>
        <v>Q11 - VAT Phí chuyển tiền</v>
      </c>
      <c r="E89" s="329" t="str">
        <f ca="1">IF(ROWS($1:75)&gt;COUNT(Dong5),"",IF(OFFSET(TH!N$1,SMALL(Dong5,ROWS($1:75)),)=$E$7,OFFSET(TH!O$1,SMALL(Dong5,ROWS($1:75)),),OFFSET(TH!N$1,SMALL(Dong5,ROWS($1:75)),)))</f>
        <v>1121</v>
      </c>
      <c r="F89" s="412">
        <f ca="1">IF(ROWS($1:75)&gt;COUNT(Dong5),0,IF(OFFSET(TH!N$1,SMALL(Dong5,ROWS($1:75)),)=$E$7,OFFSET(TH!M$1,SMALL(Dong5,ROWS($1:75)),),0))</f>
        <v>5000</v>
      </c>
      <c r="G89" s="410">
        <f ca="1">IF(ROWS($1:75)&gt;COUNT(Dong5),0,IF(OFFSET(TH!O$1,SMALL(Dong5,ROWS($1:75)),)=$E$7,OFFSET(TH!M$1,SMALL(Dong5,ROWS($1:75)),),0))</f>
        <v>0</v>
      </c>
      <c r="H89" s="413">
        <f t="shared" ca="1" si="5"/>
        <v>198007651</v>
      </c>
      <c r="I89" s="413">
        <f t="shared" ca="1" si="6"/>
        <v>0</v>
      </c>
      <c r="J89" s="18">
        <f t="shared" ca="1" si="7"/>
        <v>2</v>
      </c>
    </row>
    <row r="90" spans="1:10" s="18" customFormat="1" ht="18" customHeight="1">
      <c r="A90" s="329">
        <f ca="1">IF(ROWS($1:76)&gt;COUNT(Dong5),"",OFFSET(TH!C$1,SMALL(Dong5,ROWS($1:76)),))</f>
        <v>42403</v>
      </c>
      <c r="B90" s="329" t="str">
        <f ca="1">IF(ROWS($1:76)&gt;COUNT(Dong5),"",OFFSET(TH!D$1,SMALL(Dong5,ROWS($1:76)),))</f>
        <v>GBN</v>
      </c>
      <c r="C90" s="329">
        <f ca="1">IF(ROWS($1:76)&gt;COUNT(Dong5),"",OFFSET(TH!E$1,SMALL(Dong5,ROWS($1:76)),))</f>
        <v>42403</v>
      </c>
      <c r="D90" s="411" t="str">
        <f ca="1">IF(ROWS($1:76)&gt;COUNT(Dong5),"",OFFSET(TH!F$1,SMALL(Dong5,ROWS($1:76)),))</f>
        <v>Q11 - VAT Phí chuyển tiền</v>
      </c>
      <c r="E90" s="329" t="str">
        <f ca="1">IF(ROWS($1:76)&gt;COUNT(Dong5),"",IF(OFFSET(TH!N$1,SMALL(Dong5,ROWS($1:76)),)=$E$7,OFFSET(TH!O$1,SMALL(Dong5,ROWS($1:76)),),OFFSET(TH!N$1,SMALL(Dong5,ROWS($1:76)),)))</f>
        <v>1121</v>
      </c>
      <c r="F90" s="412">
        <f ca="1">IF(ROWS($1:76)&gt;COUNT(Dong5),0,IF(OFFSET(TH!N$1,SMALL(Dong5,ROWS($1:76)),)=$E$7,OFFSET(TH!M$1,SMALL(Dong5,ROWS($1:76)),),0))</f>
        <v>2000</v>
      </c>
      <c r="G90" s="410">
        <f ca="1">IF(ROWS($1:76)&gt;COUNT(Dong5),0,IF(OFFSET(TH!O$1,SMALL(Dong5,ROWS($1:76)),)=$E$7,OFFSET(TH!M$1,SMALL(Dong5,ROWS($1:76)),),0))</f>
        <v>0</v>
      </c>
      <c r="H90" s="413">
        <f t="shared" ca="1" si="5"/>
        <v>198009651</v>
      </c>
      <c r="I90" s="413">
        <f t="shared" ca="1" si="6"/>
        <v>0</v>
      </c>
      <c r="J90" s="18">
        <f t="shared" ca="1" si="7"/>
        <v>2</v>
      </c>
    </row>
    <row r="91" spans="1:10" s="18" customFormat="1" ht="18" customHeight="1">
      <c r="A91" s="329">
        <f ca="1">IF(ROWS($1:77)&gt;COUNT(Dong5),"",OFFSET(TH!C$1,SMALL(Dong5,ROWS($1:77)),))</f>
        <v>42403</v>
      </c>
      <c r="B91" s="329" t="str">
        <f ca="1">IF(ROWS($1:77)&gt;COUNT(Dong5),"",OFFSET(TH!D$1,SMALL(Dong5,ROWS($1:77)),))</f>
        <v>GBN</v>
      </c>
      <c r="C91" s="329">
        <f ca="1">IF(ROWS($1:77)&gt;COUNT(Dong5),"",OFFSET(TH!E$1,SMALL(Dong5,ROWS($1:77)),))</f>
        <v>42403</v>
      </c>
      <c r="D91" s="411" t="str">
        <f ca="1">IF(ROWS($1:77)&gt;COUNT(Dong5),"",OFFSET(TH!F$1,SMALL(Dong5,ROWS($1:77)),))</f>
        <v>Q11 - VAT Phí chuyển tiền</v>
      </c>
      <c r="E91" s="329" t="str">
        <f ca="1">IF(ROWS($1:77)&gt;COUNT(Dong5),"",IF(OFFSET(TH!N$1,SMALL(Dong5,ROWS($1:77)),)=$E$7,OFFSET(TH!O$1,SMALL(Dong5,ROWS($1:77)),),OFFSET(TH!N$1,SMALL(Dong5,ROWS($1:77)),)))</f>
        <v>1121</v>
      </c>
      <c r="F91" s="412">
        <f ca="1">IF(ROWS($1:77)&gt;COUNT(Dong5),0,IF(OFFSET(TH!N$1,SMALL(Dong5,ROWS($1:77)),)=$E$7,OFFSET(TH!M$1,SMALL(Dong5,ROWS($1:77)),),0))</f>
        <v>3000</v>
      </c>
      <c r="G91" s="410">
        <f ca="1">IF(ROWS($1:77)&gt;COUNT(Dong5),0,IF(OFFSET(TH!O$1,SMALL(Dong5,ROWS($1:77)),)=$E$7,OFFSET(TH!M$1,SMALL(Dong5,ROWS($1:77)),),0))</f>
        <v>0</v>
      </c>
      <c r="H91" s="413">
        <f t="shared" ca="1" si="5"/>
        <v>198012651</v>
      </c>
      <c r="I91" s="413">
        <f t="shared" ca="1" si="6"/>
        <v>0</v>
      </c>
      <c r="J91" s="18">
        <f t="shared" ca="1" si="7"/>
        <v>2</v>
      </c>
    </row>
    <row r="92" spans="1:10" s="18" customFormat="1" ht="18" customHeight="1">
      <c r="A92" s="329">
        <f ca="1">IF(ROWS($1:78)&gt;COUNT(Dong5),"",OFFSET(TH!C$1,SMALL(Dong5,ROWS($1:78)),))</f>
        <v>42403</v>
      </c>
      <c r="B92" s="329" t="str">
        <f ca="1">IF(ROWS($1:78)&gt;COUNT(Dong5),"",OFFSET(TH!D$1,SMALL(Dong5,ROWS($1:78)),))</f>
        <v>GBN</v>
      </c>
      <c r="C92" s="329">
        <f ca="1">IF(ROWS($1:78)&gt;COUNT(Dong5),"",OFFSET(TH!E$1,SMALL(Dong5,ROWS($1:78)),))</f>
        <v>42403</v>
      </c>
      <c r="D92" s="411" t="str">
        <f ca="1">IF(ROWS($1:78)&gt;COUNT(Dong5),"",OFFSET(TH!F$1,SMALL(Dong5,ROWS($1:78)),))</f>
        <v>Q11 - VAT Phí chuyển tiền</v>
      </c>
      <c r="E92" s="329" t="str">
        <f ca="1">IF(ROWS($1:78)&gt;COUNT(Dong5),"",IF(OFFSET(TH!N$1,SMALL(Dong5,ROWS($1:78)),)=$E$7,OFFSET(TH!O$1,SMALL(Dong5,ROWS($1:78)),),OFFSET(TH!N$1,SMALL(Dong5,ROWS($1:78)),)))</f>
        <v>1121</v>
      </c>
      <c r="F92" s="412">
        <f ca="1">IF(ROWS($1:78)&gt;COUNT(Dong5),0,IF(OFFSET(TH!N$1,SMALL(Dong5,ROWS($1:78)),)=$E$7,OFFSET(TH!M$1,SMALL(Dong5,ROWS($1:78)),),0))</f>
        <v>2500</v>
      </c>
      <c r="G92" s="410">
        <f ca="1">IF(ROWS($1:78)&gt;COUNT(Dong5),0,IF(OFFSET(TH!O$1,SMALL(Dong5,ROWS($1:78)),)=$E$7,OFFSET(TH!M$1,SMALL(Dong5,ROWS($1:78)),),0))</f>
        <v>0</v>
      </c>
      <c r="H92" s="413">
        <f t="shared" ca="1" si="5"/>
        <v>198015151</v>
      </c>
      <c r="I92" s="413">
        <f t="shared" ca="1" si="6"/>
        <v>0</v>
      </c>
      <c r="J92" s="18">
        <f t="shared" ca="1" si="7"/>
        <v>2</v>
      </c>
    </row>
    <row r="93" spans="1:10" s="18" customFormat="1" ht="18" customHeight="1">
      <c r="A93" s="329">
        <f ca="1">IF(ROWS($1:79)&gt;COUNT(Dong5),"",OFFSET(TH!C$1,SMALL(Dong5,ROWS($1:79)),))</f>
        <v>42403</v>
      </c>
      <c r="B93" s="329" t="str">
        <f ca="1">IF(ROWS($1:79)&gt;COUNT(Dong5),"",OFFSET(TH!D$1,SMALL(Dong5,ROWS($1:79)),))</f>
        <v>C06</v>
      </c>
      <c r="C93" s="329">
        <f ca="1">IF(ROWS($1:79)&gt;COUNT(Dong5),"",OFFSET(TH!E$1,SMALL(Dong5,ROWS($1:79)),))</f>
        <v>42403</v>
      </c>
      <c r="D93" s="411" t="str">
        <f ca="1">IF(ROWS($1:79)&gt;COUNT(Dong5),"",OFFSET(TH!F$1,SMALL(Dong5,ROWS($1:79)),))</f>
        <v>VAT Xăng RON 95</v>
      </c>
      <c r="E93" s="329" t="str">
        <f ca="1">IF(ROWS($1:79)&gt;COUNT(Dong5),"",IF(OFFSET(TH!N$1,SMALL(Dong5,ROWS($1:79)),)=$E$7,OFFSET(TH!O$1,SMALL(Dong5,ROWS($1:79)),),OFFSET(TH!N$1,SMALL(Dong5,ROWS($1:79)),)))</f>
        <v>1111</v>
      </c>
      <c r="F93" s="412">
        <f ca="1">IF(ROWS($1:79)&gt;COUNT(Dong5),0,IF(OFFSET(TH!N$1,SMALL(Dong5,ROWS($1:79)),)=$E$7,OFFSET(TH!M$1,SMALL(Dong5,ROWS($1:79)),),0))</f>
        <v>66027</v>
      </c>
      <c r="G93" s="410">
        <f ca="1">IF(ROWS($1:79)&gt;COUNT(Dong5),0,IF(OFFSET(TH!O$1,SMALL(Dong5,ROWS($1:79)),)=$E$7,OFFSET(TH!M$1,SMALL(Dong5,ROWS($1:79)),),0))</f>
        <v>0</v>
      </c>
      <c r="H93" s="413">
        <f t="shared" ca="1" si="5"/>
        <v>198081178</v>
      </c>
      <c r="I93" s="413">
        <f t="shared" ca="1" si="6"/>
        <v>0</v>
      </c>
      <c r="J93" s="18">
        <f t="shared" ca="1" si="7"/>
        <v>2</v>
      </c>
    </row>
    <row r="94" spans="1:10" s="18" customFormat="1" ht="18" customHeight="1">
      <c r="A94" s="329">
        <f ca="1">IF(ROWS($1:80)&gt;COUNT(Dong5),"",OFFSET(TH!C$1,SMALL(Dong5,ROWS($1:80)),))</f>
        <v>42405</v>
      </c>
      <c r="B94" s="329" t="str">
        <f ca="1">IF(ROWS($1:80)&gt;COUNT(Dong5),"",OFFSET(TH!D$1,SMALL(Dong5,ROWS($1:80)),))</f>
        <v>CTGS</v>
      </c>
      <c r="C94" s="329">
        <f ca="1">IF(ROWS($1:80)&gt;COUNT(Dong5),"",OFFSET(TH!E$1,SMALL(Dong5,ROWS($1:80)),))</f>
        <v>42405</v>
      </c>
      <c r="D94" s="411" t="str">
        <f ca="1">IF(ROWS($1:80)&gt;COUNT(Dong5),"",OFFSET(TH!F$1,SMALL(Dong5,ROWS($1:80)),))</f>
        <v>VAT Phí thanh toán bộ chứng từ</v>
      </c>
      <c r="E94" s="329" t="str">
        <f ca="1">IF(ROWS($1:80)&gt;COUNT(Dong5),"",IF(OFFSET(TH!N$1,SMALL(Dong5,ROWS($1:80)),)=$E$7,OFFSET(TH!O$1,SMALL(Dong5,ROWS($1:80)),),OFFSET(TH!N$1,SMALL(Dong5,ROWS($1:80)),)))</f>
        <v>131</v>
      </c>
      <c r="F94" s="412">
        <f ca="1">IF(ROWS($1:80)&gt;COUNT(Dong5),0,IF(OFFSET(TH!N$1,SMALL(Dong5,ROWS($1:80)),)=$E$7,OFFSET(TH!M$1,SMALL(Dong5,ROWS($1:80)),),0))</f>
        <v>238957</v>
      </c>
      <c r="G94" s="410">
        <f ca="1">IF(ROWS($1:80)&gt;COUNT(Dong5),0,IF(OFFSET(TH!O$1,SMALL(Dong5,ROWS($1:80)),)=$E$7,OFFSET(TH!M$1,SMALL(Dong5,ROWS($1:80)),),0))</f>
        <v>0</v>
      </c>
      <c r="H94" s="413">
        <f t="shared" ca="1" si="5"/>
        <v>198320135</v>
      </c>
      <c r="I94" s="413">
        <f t="shared" ca="1" si="6"/>
        <v>0</v>
      </c>
      <c r="J94" s="18">
        <f t="shared" ca="1" si="7"/>
        <v>2</v>
      </c>
    </row>
    <row r="95" spans="1:10" s="18" customFormat="1" ht="18" customHeight="1">
      <c r="A95" s="329">
        <f ca="1">IF(ROWS($1:81)&gt;COUNT(Dong5),"",OFFSET(TH!C$1,SMALL(Dong5,ROWS($1:81)),))</f>
        <v>42404</v>
      </c>
      <c r="B95" s="329" t="str">
        <f ca="1">IF(ROWS($1:81)&gt;COUNT(Dong5),"",OFFSET(TH!D$1,SMALL(Dong5,ROWS($1:81)),))</f>
        <v>C07</v>
      </c>
      <c r="C95" s="329">
        <f ca="1">IF(ROWS($1:81)&gt;COUNT(Dong5),"",OFFSET(TH!E$1,SMALL(Dong5,ROWS($1:81)),))</f>
        <v>42404</v>
      </c>
      <c r="D95" s="411" t="str">
        <f ca="1">IF(ROWS($1:81)&gt;COUNT(Dong5),"",OFFSET(TH!F$1,SMALL(Dong5,ROWS($1:81)),))</f>
        <v>VAT Dầu DO</v>
      </c>
      <c r="E95" s="329" t="str">
        <f ca="1">IF(ROWS($1:81)&gt;COUNT(Dong5),"",IF(OFFSET(TH!N$1,SMALL(Dong5,ROWS($1:81)),)=$E$7,OFFSET(TH!O$1,SMALL(Dong5,ROWS($1:81)),),OFFSET(TH!N$1,SMALL(Dong5,ROWS($1:81)),)))</f>
        <v>1111</v>
      </c>
      <c r="F95" s="412">
        <f ca="1">IF(ROWS($1:81)&gt;COUNT(Dong5),0,IF(OFFSET(TH!N$1,SMALL(Dong5,ROWS($1:81)),)=$E$7,OFFSET(TH!M$1,SMALL(Dong5,ROWS($1:81)),),0))</f>
        <v>45287</v>
      </c>
      <c r="G95" s="410">
        <f ca="1">IF(ROWS($1:81)&gt;COUNT(Dong5),0,IF(OFFSET(TH!O$1,SMALL(Dong5,ROWS($1:81)),)=$E$7,OFFSET(TH!M$1,SMALL(Dong5,ROWS($1:81)),),0))</f>
        <v>0</v>
      </c>
      <c r="H95" s="413">
        <f t="shared" ca="1" si="5"/>
        <v>198365422</v>
      </c>
      <c r="I95" s="413">
        <f t="shared" ca="1" si="6"/>
        <v>0</v>
      </c>
      <c r="J95" s="18">
        <f t="shared" ca="1" si="7"/>
        <v>2</v>
      </c>
    </row>
    <row r="96" spans="1:10" s="18" customFormat="1" ht="18" customHeight="1">
      <c r="A96" s="329">
        <f ca="1">IF(ROWS($1:82)&gt;COUNT(Dong5),"",OFFSET(TH!C$1,SMALL(Dong5,ROWS($1:82)),))</f>
        <v>42415</v>
      </c>
      <c r="B96" s="329" t="str">
        <f ca="1">IF(ROWS($1:82)&gt;COUNT(Dong5),"",OFFSET(TH!D$1,SMALL(Dong5,ROWS($1:82)),))</f>
        <v>GBN</v>
      </c>
      <c r="C96" s="329">
        <f ca="1">IF(ROWS($1:82)&gt;COUNT(Dong5),"",OFFSET(TH!E$1,SMALL(Dong5,ROWS($1:82)),))</f>
        <v>42415</v>
      </c>
      <c r="D96" s="411" t="str">
        <f ca="1">IF(ROWS($1:82)&gt;COUNT(Dong5),"",OFFSET(TH!F$1,SMALL(Dong5,ROWS($1:82)),))</f>
        <v>Q4 - VAT Phí dịch vụ</v>
      </c>
      <c r="E96" s="329" t="str">
        <f ca="1">IF(ROWS($1:82)&gt;COUNT(Dong5),"",IF(OFFSET(TH!N$1,SMALL(Dong5,ROWS($1:82)),)=$E$7,OFFSET(TH!O$1,SMALL(Dong5,ROWS($1:82)),),OFFSET(TH!N$1,SMALL(Dong5,ROWS($1:82)),)))</f>
        <v>1121</v>
      </c>
      <c r="F96" s="412">
        <f ca="1">IF(ROWS($1:82)&gt;COUNT(Dong5),0,IF(OFFSET(TH!N$1,SMALL(Dong5,ROWS($1:82)),)=$E$7,OFFSET(TH!M$1,SMALL(Dong5,ROWS($1:82)),),0))</f>
        <v>5000</v>
      </c>
      <c r="G96" s="410">
        <f ca="1">IF(ROWS($1:82)&gt;COUNT(Dong5),0,IF(OFFSET(TH!O$1,SMALL(Dong5,ROWS($1:82)),)=$E$7,OFFSET(TH!M$1,SMALL(Dong5,ROWS($1:82)),),0))</f>
        <v>0</v>
      </c>
      <c r="H96" s="413">
        <f t="shared" ca="1" si="5"/>
        <v>198370422</v>
      </c>
      <c r="I96" s="413">
        <f t="shared" ca="1" si="6"/>
        <v>0</v>
      </c>
      <c r="J96" s="18">
        <f t="shared" ca="1" si="7"/>
        <v>2</v>
      </c>
    </row>
    <row r="97" spans="1:10" s="18" customFormat="1" ht="18" customHeight="1">
      <c r="A97" s="329">
        <f ca="1">IF(ROWS($1:83)&gt;COUNT(Dong5),"",OFFSET(TH!C$1,SMALL(Dong5,ROWS($1:83)),))</f>
        <v>42415</v>
      </c>
      <c r="B97" s="329" t="str">
        <f ca="1">IF(ROWS($1:83)&gt;COUNT(Dong5),"",OFFSET(TH!D$1,SMALL(Dong5,ROWS($1:83)),))</f>
        <v>GBN</v>
      </c>
      <c r="C97" s="329">
        <f ca="1">IF(ROWS($1:83)&gt;COUNT(Dong5),"",OFFSET(TH!E$1,SMALL(Dong5,ROWS($1:83)),))</f>
        <v>42415</v>
      </c>
      <c r="D97" s="411" t="str">
        <f ca="1">IF(ROWS($1:83)&gt;COUNT(Dong5),"",OFFSET(TH!F$1,SMALL(Dong5,ROWS($1:83)),))</f>
        <v>Q4 - VAT Phí dịch vụ</v>
      </c>
      <c r="E97" s="329" t="str">
        <f ca="1">IF(ROWS($1:83)&gt;COUNT(Dong5),"",IF(OFFSET(TH!N$1,SMALL(Dong5,ROWS($1:83)),)=$E$7,OFFSET(TH!O$1,SMALL(Dong5,ROWS($1:83)),),OFFSET(TH!N$1,SMALL(Dong5,ROWS($1:83)),)))</f>
        <v>1121</v>
      </c>
      <c r="F97" s="412">
        <f ca="1">IF(ROWS($1:83)&gt;COUNT(Dong5),0,IF(OFFSET(TH!N$1,SMALL(Dong5,ROWS($1:83)),)=$E$7,OFFSET(TH!M$1,SMALL(Dong5,ROWS($1:83)),),0))</f>
        <v>5000</v>
      </c>
      <c r="G97" s="410">
        <f ca="1">IF(ROWS($1:83)&gt;COUNT(Dong5),0,IF(OFFSET(TH!O$1,SMALL(Dong5,ROWS($1:83)),)=$E$7,OFFSET(TH!M$1,SMALL(Dong5,ROWS($1:83)),),0))</f>
        <v>0</v>
      </c>
      <c r="H97" s="413">
        <f t="shared" ca="1" si="5"/>
        <v>198375422</v>
      </c>
      <c r="I97" s="413">
        <f t="shared" ca="1" si="6"/>
        <v>0</v>
      </c>
      <c r="J97" s="18">
        <f t="shared" ca="1" si="7"/>
        <v>2</v>
      </c>
    </row>
    <row r="98" spans="1:10" s="18" customFormat="1" ht="18" customHeight="1">
      <c r="A98" s="329">
        <f ca="1">IF(ROWS($1:84)&gt;COUNT(Dong5),"",OFFSET(TH!C$1,SMALL(Dong5,ROWS($1:84)),))</f>
        <v>42406</v>
      </c>
      <c r="B98" s="329" t="str">
        <f ca="1">IF(ROWS($1:84)&gt;COUNT(Dong5),"",OFFSET(TH!D$1,SMALL(Dong5,ROWS($1:84)),))</f>
        <v>C08</v>
      </c>
      <c r="C98" s="329">
        <f ca="1">IF(ROWS($1:84)&gt;COUNT(Dong5),"",OFFSET(TH!E$1,SMALL(Dong5,ROWS($1:84)),))</f>
        <v>42406</v>
      </c>
      <c r="D98" s="411" t="str">
        <f ca="1">IF(ROWS($1:84)&gt;COUNT(Dong5),"",OFFSET(TH!F$1,SMALL(Dong5,ROWS($1:84)),))</f>
        <v>VAT Xăng RON 95</v>
      </c>
      <c r="E98" s="329" t="str">
        <f ca="1">IF(ROWS($1:84)&gt;COUNT(Dong5),"",IF(OFFSET(TH!N$1,SMALL(Dong5,ROWS($1:84)),)=$E$7,OFFSET(TH!O$1,SMALL(Dong5,ROWS($1:84)),),OFFSET(TH!N$1,SMALL(Dong5,ROWS($1:84)),)))</f>
        <v>1111</v>
      </c>
      <c r="F98" s="412">
        <f ca="1">IF(ROWS($1:84)&gt;COUNT(Dong5),0,IF(OFFSET(TH!N$1,SMALL(Dong5,ROWS($1:84)),)=$E$7,OFFSET(TH!M$1,SMALL(Dong5,ROWS($1:84)),),0))</f>
        <v>79852</v>
      </c>
      <c r="G98" s="410">
        <f ca="1">IF(ROWS($1:84)&gt;COUNT(Dong5),0,IF(OFFSET(TH!O$1,SMALL(Dong5,ROWS($1:84)),)=$E$7,OFFSET(TH!M$1,SMALL(Dong5,ROWS($1:84)),),0))</f>
        <v>0</v>
      </c>
      <c r="H98" s="413">
        <f t="shared" ca="1" si="5"/>
        <v>198455274</v>
      </c>
      <c r="I98" s="413">
        <f t="shared" ca="1" si="6"/>
        <v>0</v>
      </c>
      <c r="J98" s="18">
        <f t="shared" ca="1" si="7"/>
        <v>2</v>
      </c>
    </row>
    <row r="99" spans="1:10" s="18" customFormat="1" ht="18" customHeight="1">
      <c r="A99" s="329">
        <f ca="1">IF(ROWS($1:85)&gt;COUNT(Dong5),"",OFFSET(TH!C$1,SMALL(Dong5,ROWS($1:85)),))</f>
        <v>42415</v>
      </c>
      <c r="B99" s="329" t="str">
        <f ca="1">IF(ROWS($1:85)&gt;COUNT(Dong5),"",OFFSET(TH!D$1,SMALL(Dong5,ROWS($1:85)),))</f>
        <v>C09</v>
      </c>
      <c r="C99" s="329">
        <f ca="1">IF(ROWS($1:85)&gt;COUNT(Dong5),"",OFFSET(TH!E$1,SMALL(Dong5,ROWS($1:85)),))</f>
        <v>42415</v>
      </c>
      <c r="D99" s="411" t="str">
        <f ca="1">IF(ROWS($1:85)&gt;COUNT(Dong5),"",OFFSET(TH!F$1,SMALL(Dong5,ROWS($1:85)),))</f>
        <v>Tạm ứng mua NL</v>
      </c>
      <c r="E99" s="329" t="str">
        <f ca="1">IF(ROWS($1:85)&gt;COUNT(Dong5),"",IF(OFFSET(TH!N$1,SMALL(Dong5,ROWS($1:85)),)=$E$7,OFFSET(TH!O$1,SMALL(Dong5,ROWS($1:85)),),OFFSET(TH!N$1,SMALL(Dong5,ROWS($1:85)),)))</f>
        <v>141</v>
      </c>
      <c r="F99" s="412">
        <f ca="1">IF(ROWS($1:85)&gt;COUNT(Dong5),0,IF(OFFSET(TH!N$1,SMALL(Dong5,ROWS($1:85)),)=$E$7,OFFSET(TH!M$1,SMALL(Dong5,ROWS($1:85)),),0))</f>
        <v>0</v>
      </c>
      <c r="G99" s="410">
        <f ca="1">IF(ROWS($1:85)&gt;COUNT(Dong5),0,IF(OFFSET(TH!O$1,SMALL(Dong5,ROWS($1:85)),)=$E$7,OFFSET(TH!M$1,SMALL(Dong5,ROWS($1:85)),),0))</f>
        <v>0</v>
      </c>
      <c r="H99" s="413">
        <f t="shared" ca="1" si="5"/>
        <v>198455274</v>
      </c>
      <c r="I99" s="413">
        <f t="shared" ca="1" si="6"/>
        <v>0</v>
      </c>
      <c r="J99" s="18">
        <f t="shared" ca="1" si="7"/>
        <v>2</v>
      </c>
    </row>
    <row r="100" spans="1:10" s="18" customFormat="1" ht="18" customHeight="1">
      <c r="A100" s="329">
        <f ca="1">IF(ROWS($1:86)&gt;COUNT(Dong5),"",OFFSET(TH!C$1,SMALL(Dong5,ROWS($1:86)),))</f>
        <v>42418</v>
      </c>
      <c r="B100" s="329" t="str">
        <f ca="1">IF(ROWS($1:86)&gt;COUNT(Dong5),"",OFFSET(TH!D$1,SMALL(Dong5,ROWS($1:86)),))</f>
        <v>CTGS</v>
      </c>
      <c r="C100" s="329">
        <f ca="1">IF(ROWS($1:86)&gt;COUNT(Dong5),"",OFFSET(TH!E$1,SMALL(Dong5,ROWS($1:86)),))</f>
        <v>42418</v>
      </c>
      <c r="D100" s="411" t="str">
        <f ca="1">IF(ROWS($1:86)&gt;COUNT(Dong5),"",OFFSET(TH!F$1,SMALL(Dong5,ROWS($1:86)),))</f>
        <v>VAT Phí thanh toán bộ chứng từ</v>
      </c>
      <c r="E100" s="329" t="str">
        <f ca="1">IF(ROWS($1:86)&gt;COUNT(Dong5),"",IF(OFFSET(TH!N$1,SMALL(Dong5,ROWS($1:86)),)=$E$7,OFFSET(TH!O$1,SMALL(Dong5,ROWS($1:86)),),OFFSET(TH!N$1,SMALL(Dong5,ROWS($1:86)),)))</f>
        <v>131</v>
      </c>
      <c r="F100" s="412">
        <f ca="1">IF(ROWS($1:86)&gt;COUNT(Dong5),0,IF(OFFSET(TH!N$1,SMALL(Dong5,ROWS($1:86)),)=$E$7,OFFSET(TH!M$1,SMALL(Dong5,ROWS($1:86)),),0))</f>
        <v>132878</v>
      </c>
      <c r="G100" s="410">
        <f ca="1">IF(ROWS($1:86)&gt;COUNT(Dong5),0,IF(OFFSET(TH!O$1,SMALL(Dong5,ROWS($1:86)),)=$E$7,OFFSET(TH!M$1,SMALL(Dong5,ROWS($1:86)),),0))</f>
        <v>0</v>
      </c>
      <c r="H100" s="413">
        <f t="shared" ca="1" si="5"/>
        <v>198588152</v>
      </c>
      <c r="I100" s="413">
        <f t="shared" ca="1" si="6"/>
        <v>0</v>
      </c>
      <c r="J100" s="18">
        <f t="shared" ca="1" si="7"/>
        <v>2</v>
      </c>
    </row>
    <row r="101" spans="1:10" s="18" customFormat="1" ht="18" customHeight="1">
      <c r="A101" s="329">
        <f ca="1">IF(ROWS($1:87)&gt;COUNT(Dong5),"",OFFSET(TH!C$1,SMALL(Dong5,ROWS($1:87)),))</f>
        <v>42418</v>
      </c>
      <c r="B101" s="329" t="str">
        <f ca="1">IF(ROWS($1:87)&gt;COUNT(Dong5),"",OFFSET(TH!D$1,SMALL(Dong5,ROWS($1:87)),))</f>
        <v>C11</v>
      </c>
      <c r="C101" s="329">
        <f ca="1">IF(ROWS($1:87)&gt;COUNT(Dong5),"",OFFSET(TH!E$1,SMALL(Dong5,ROWS($1:87)),))</f>
        <v>42418</v>
      </c>
      <c r="D101" s="411" t="str">
        <f ca="1">IF(ROWS($1:87)&gt;COUNT(Dong5),"",OFFSET(TH!F$1,SMALL(Dong5,ROWS($1:87)),))</f>
        <v>VAT Xăng RON 95</v>
      </c>
      <c r="E101" s="329" t="str">
        <f ca="1">IF(ROWS($1:87)&gt;COUNT(Dong5),"",IF(OFFSET(TH!N$1,SMALL(Dong5,ROWS($1:87)),)=$E$7,OFFSET(TH!O$1,SMALL(Dong5,ROWS($1:87)),),OFFSET(TH!N$1,SMALL(Dong5,ROWS($1:87)),)))</f>
        <v>1111</v>
      </c>
      <c r="F101" s="412">
        <f ca="1">IF(ROWS($1:87)&gt;COUNT(Dong5),0,IF(OFFSET(TH!N$1,SMALL(Dong5,ROWS($1:87)),)=$E$7,OFFSET(TH!M$1,SMALL(Dong5,ROWS($1:87)),),0))</f>
        <v>60239</v>
      </c>
      <c r="G101" s="410">
        <f ca="1">IF(ROWS($1:87)&gt;COUNT(Dong5),0,IF(OFFSET(TH!O$1,SMALL(Dong5,ROWS($1:87)),)=$E$7,OFFSET(TH!M$1,SMALL(Dong5,ROWS($1:87)),),0))</f>
        <v>0</v>
      </c>
      <c r="H101" s="413">
        <f t="shared" ca="1" si="5"/>
        <v>198648391</v>
      </c>
      <c r="I101" s="413">
        <f t="shared" ca="1" si="6"/>
        <v>0</v>
      </c>
      <c r="J101" s="18">
        <f t="shared" ca="1" si="7"/>
        <v>2</v>
      </c>
    </row>
    <row r="102" spans="1:10" s="18" customFormat="1" ht="18" customHeight="1">
      <c r="A102" s="329">
        <f ca="1">IF(ROWS($1:88)&gt;COUNT(Dong5),"",OFFSET(TH!C$1,SMALL(Dong5,ROWS($1:88)),))</f>
        <v>42420</v>
      </c>
      <c r="B102" s="329" t="str">
        <f ca="1">IF(ROWS($1:88)&gt;COUNT(Dong5),"",OFFSET(TH!D$1,SMALL(Dong5,ROWS($1:88)),))</f>
        <v>CTGS</v>
      </c>
      <c r="C102" s="329">
        <f ca="1">IF(ROWS($1:88)&gt;COUNT(Dong5),"",OFFSET(TH!E$1,SMALL(Dong5,ROWS($1:88)),))</f>
        <v>42420</v>
      </c>
      <c r="D102" s="411" t="str">
        <f ca="1">IF(ROWS($1:88)&gt;COUNT(Dong5),"",OFFSET(TH!F$1,SMALL(Dong5,ROWS($1:88)),))</f>
        <v>VAT Phí dịch vụ thanh toán ngoài nước</v>
      </c>
      <c r="E102" s="329" t="str">
        <f ca="1">IF(ROWS($1:88)&gt;COUNT(Dong5),"",IF(OFFSET(TH!N$1,SMALL(Dong5,ROWS($1:88)),)=$E$7,OFFSET(TH!O$1,SMALL(Dong5,ROWS($1:88)),),OFFSET(TH!N$1,SMALL(Dong5,ROWS($1:88)),)))</f>
        <v>131</v>
      </c>
      <c r="F102" s="412">
        <f ca="1">IF(ROWS($1:88)&gt;COUNT(Dong5),0,IF(OFFSET(TH!N$1,SMALL(Dong5,ROWS($1:88)),)=$E$7,OFFSET(TH!M$1,SMALL(Dong5,ROWS($1:88)),),0))</f>
        <v>345007</v>
      </c>
      <c r="G102" s="410">
        <f ca="1">IF(ROWS($1:88)&gt;COUNT(Dong5),0,IF(OFFSET(TH!O$1,SMALL(Dong5,ROWS($1:88)),)=$E$7,OFFSET(TH!M$1,SMALL(Dong5,ROWS($1:88)),),0))</f>
        <v>0</v>
      </c>
      <c r="H102" s="413">
        <f t="shared" ca="1" si="5"/>
        <v>198993398</v>
      </c>
      <c r="I102" s="413">
        <f t="shared" ca="1" si="6"/>
        <v>0</v>
      </c>
      <c r="J102" s="18">
        <f t="shared" ca="1" si="7"/>
        <v>2</v>
      </c>
    </row>
    <row r="103" spans="1:10" s="18" customFormat="1" ht="18" customHeight="1">
      <c r="A103" s="329">
        <f ca="1">IF(ROWS($1:89)&gt;COUNT(Dong5),"",OFFSET(TH!C$1,SMALL(Dong5,ROWS($1:89)),))</f>
        <v>42419</v>
      </c>
      <c r="B103" s="329" t="str">
        <f ca="1">IF(ROWS($1:89)&gt;COUNT(Dong5),"",OFFSET(TH!D$1,SMALL(Dong5,ROWS($1:89)),))</f>
        <v>C13</v>
      </c>
      <c r="C103" s="329">
        <f ca="1">IF(ROWS($1:89)&gt;COUNT(Dong5),"",OFFSET(TH!E$1,SMALL(Dong5,ROWS($1:89)),))</f>
        <v>42419</v>
      </c>
      <c r="D103" s="411" t="str">
        <f ca="1">IF(ROWS($1:89)&gt;COUNT(Dong5),"",OFFSET(TH!F$1,SMALL(Dong5,ROWS($1:89)),))</f>
        <v>VAT Phí chứng từ, phí xếp dỡ</v>
      </c>
      <c r="E103" s="329" t="str">
        <f ca="1">IF(ROWS($1:89)&gt;COUNT(Dong5),"",IF(OFFSET(TH!N$1,SMALL(Dong5,ROWS($1:89)),)=$E$7,OFFSET(TH!O$1,SMALL(Dong5,ROWS($1:89)),),OFFSET(TH!N$1,SMALL(Dong5,ROWS($1:89)),)))</f>
        <v>1111</v>
      </c>
      <c r="F103" s="412">
        <f ca="1">IF(ROWS($1:89)&gt;COUNT(Dong5),0,IF(OFFSET(TH!N$1,SMALL(Dong5,ROWS($1:89)),)=$E$7,OFFSET(TH!M$1,SMALL(Dong5,ROWS($1:89)),),0))</f>
        <v>270263</v>
      </c>
      <c r="G103" s="410">
        <f ca="1">IF(ROWS($1:89)&gt;COUNT(Dong5),0,IF(OFFSET(TH!O$1,SMALL(Dong5,ROWS($1:89)),)=$E$7,OFFSET(TH!M$1,SMALL(Dong5,ROWS($1:89)),),0))</f>
        <v>0</v>
      </c>
      <c r="H103" s="413">
        <f t="shared" ca="1" si="5"/>
        <v>199263661</v>
      </c>
      <c r="I103" s="413">
        <f t="shared" ca="1" si="6"/>
        <v>0</v>
      </c>
      <c r="J103" s="18">
        <f t="shared" ca="1" si="7"/>
        <v>2</v>
      </c>
    </row>
    <row r="104" spans="1:10" s="18" customFormat="1" ht="18" customHeight="1">
      <c r="A104" s="329">
        <f ca="1">IF(ROWS($1:90)&gt;COUNT(Dong5),"",OFFSET(TH!C$1,SMALL(Dong5,ROWS($1:90)),))</f>
        <v>42422</v>
      </c>
      <c r="B104" s="329" t="str">
        <f ca="1">IF(ROWS($1:90)&gt;COUNT(Dong5),"",OFFSET(TH!D$1,SMALL(Dong5,ROWS($1:90)),))</f>
        <v>C14</v>
      </c>
      <c r="C104" s="329">
        <f ca="1">IF(ROWS($1:90)&gt;COUNT(Dong5),"",OFFSET(TH!E$1,SMALL(Dong5,ROWS($1:90)),))</f>
        <v>42422</v>
      </c>
      <c r="D104" s="411" t="str">
        <f ca="1">IF(ROWS($1:90)&gt;COUNT(Dong5),"",OFFSET(TH!F$1,SMALL(Dong5,ROWS($1:90)),))</f>
        <v>VAT Xăng RON 95</v>
      </c>
      <c r="E104" s="329" t="str">
        <f ca="1">IF(ROWS($1:90)&gt;COUNT(Dong5),"",IF(OFFSET(TH!N$1,SMALL(Dong5,ROWS($1:90)),)=$E$7,OFFSET(TH!O$1,SMALL(Dong5,ROWS($1:90)),),OFFSET(TH!N$1,SMALL(Dong5,ROWS($1:90)),)))</f>
        <v>1111</v>
      </c>
      <c r="F104" s="412">
        <f ca="1">IF(ROWS($1:90)&gt;COUNT(Dong5),0,IF(OFFSET(TH!N$1,SMALL(Dong5,ROWS($1:90)),)=$E$7,OFFSET(TH!M$1,SMALL(Dong5,ROWS($1:90)),),0))</f>
        <v>53859</v>
      </c>
      <c r="G104" s="410">
        <f ca="1">IF(ROWS($1:90)&gt;COUNT(Dong5),0,IF(OFFSET(TH!O$1,SMALL(Dong5,ROWS($1:90)),)=$E$7,OFFSET(TH!M$1,SMALL(Dong5,ROWS($1:90)),),0))</f>
        <v>0</v>
      </c>
      <c r="H104" s="413">
        <f t="shared" ca="1" si="5"/>
        <v>199317520</v>
      </c>
      <c r="I104" s="413">
        <f t="shared" ca="1" si="6"/>
        <v>0</v>
      </c>
      <c r="J104" s="18">
        <f t="shared" ca="1" si="7"/>
        <v>2</v>
      </c>
    </row>
    <row r="105" spans="1:10" s="18" customFormat="1" ht="18" customHeight="1">
      <c r="A105" s="329">
        <f ca="1">IF(ROWS($1:91)&gt;COUNT(Dong5),"",OFFSET(TH!C$1,SMALL(Dong5,ROWS($1:91)),))</f>
        <v>42424</v>
      </c>
      <c r="B105" s="329" t="str">
        <f ca="1">IF(ROWS($1:91)&gt;COUNT(Dong5),"",OFFSET(TH!D$1,SMALL(Dong5,ROWS($1:91)),))</f>
        <v>GBN</v>
      </c>
      <c r="C105" s="329">
        <f ca="1">IF(ROWS($1:91)&gt;COUNT(Dong5),"",OFFSET(TH!E$1,SMALL(Dong5,ROWS($1:91)),))</f>
        <v>42424</v>
      </c>
      <c r="D105" s="411" t="str">
        <f ca="1">IF(ROWS($1:91)&gt;COUNT(Dong5),"",OFFSET(TH!F$1,SMALL(Dong5,ROWS($1:91)),))</f>
        <v>Q11 - VAT Phí chuyển tiền</v>
      </c>
      <c r="E105" s="329" t="str">
        <f ca="1">IF(ROWS($1:91)&gt;COUNT(Dong5),"",IF(OFFSET(TH!N$1,SMALL(Dong5,ROWS($1:91)),)=$E$7,OFFSET(TH!O$1,SMALL(Dong5,ROWS($1:91)),),OFFSET(TH!N$1,SMALL(Dong5,ROWS($1:91)),)))</f>
        <v>1121</v>
      </c>
      <c r="F105" s="412">
        <f ca="1">IF(ROWS($1:91)&gt;COUNT(Dong5),0,IF(OFFSET(TH!N$1,SMALL(Dong5,ROWS($1:91)),)=$E$7,OFFSET(TH!M$1,SMALL(Dong5,ROWS($1:91)),),0))</f>
        <v>4500</v>
      </c>
      <c r="G105" s="410">
        <f ca="1">IF(ROWS($1:91)&gt;COUNT(Dong5),0,IF(OFFSET(TH!O$1,SMALL(Dong5,ROWS($1:91)),)=$E$7,OFFSET(TH!M$1,SMALL(Dong5,ROWS($1:91)),),0))</f>
        <v>0</v>
      </c>
      <c r="H105" s="413">
        <f t="shared" ca="1" si="5"/>
        <v>199322020</v>
      </c>
      <c r="I105" s="413">
        <f t="shared" ca="1" si="6"/>
        <v>0</v>
      </c>
      <c r="J105" s="18">
        <f t="shared" ca="1" si="7"/>
        <v>2</v>
      </c>
    </row>
    <row r="106" spans="1:10" s="18" customFormat="1" ht="18" customHeight="1">
      <c r="A106" s="329">
        <f ca="1">IF(ROWS($1:92)&gt;COUNT(Dong5),"",OFFSET(TH!C$1,SMALL(Dong5,ROWS($1:92)),))</f>
        <v>42422</v>
      </c>
      <c r="B106" s="329" t="str">
        <f ca="1">IF(ROWS($1:92)&gt;COUNT(Dong5),"",OFFSET(TH!D$1,SMALL(Dong5,ROWS($1:92)),))</f>
        <v>C15</v>
      </c>
      <c r="C106" s="329">
        <f ca="1">IF(ROWS($1:92)&gt;COUNT(Dong5),"",OFFSET(TH!E$1,SMALL(Dong5,ROWS($1:92)),))</f>
        <v>42422</v>
      </c>
      <c r="D106" s="411" t="str">
        <f ca="1">IF(ROWS($1:92)&gt;COUNT(Dong5),"",OFFSET(TH!F$1,SMALL(Dong5,ROWS($1:92)),))</f>
        <v>Tạm ứng mua NL</v>
      </c>
      <c r="E106" s="329" t="str">
        <f ca="1">IF(ROWS($1:92)&gt;COUNT(Dong5),"",IF(OFFSET(TH!N$1,SMALL(Dong5,ROWS($1:92)),)=$E$7,OFFSET(TH!O$1,SMALL(Dong5,ROWS($1:92)),),OFFSET(TH!N$1,SMALL(Dong5,ROWS($1:92)),)))</f>
        <v>141</v>
      </c>
      <c r="F106" s="412">
        <f ca="1">IF(ROWS($1:92)&gt;COUNT(Dong5),0,IF(OFFSET(TH!N$1,SMALL(Dong5,ROWS($1:92)),)=$E$7,OFFSET(TH!M$1,SMALL(Dong5,ROWS($1:92)),),0))</f>
        <v>0</v>
      </c>
      <c r="G106" s="410">
        <f ca="1">IF(ROWS($1:92)&gt;COUNT(Dong5),0,IF(OFFSET(TH!O$1,SMALL(Dong5,ROWS($1:92)),)=$E$7,OFFSET(TH!M$1,SMALL(Dong5,ROWS($1:92)),),0))</f>
        <v>0</v>
      </c>
      <c r="H106" s="413">
        <f t="shared" ca="1" si="5"/>
        <v>199322020</v>
      </c>
      <c r="I106" s="413">
        <f t="shared" ca="1" si="6"/>
        <v>0</v>
      </c>
      <c r="J106" s="18">
        <f t="shared" ca="1" si="7"/>
        <v>2</v>
      </c>
    </row>
    <row r="107" spans="1:10" s="18" customFormat="1" ht="18" customHeight="1">
      <c r="A107" s="329">
        <f ca="1">IF(ROWS($1:93)&gt;COUNT(Dong5),"",OFFSET(TH!C$1,SMALL(Dong5,ROWS($1:93)),))</f>
        <v>42424</v>
      </c>
      <c r="B107" s="329" t="str">
        <f ca="1">IF(ROWS($1:93)&gt;COUNT(Dong5),"",OFFSET(TH!D$1,SMALL(Dong5,ROWS($1:93)),))</f>
        <v>C17</v>
      </c>
      <c r="C107" s="329">
        <f ca="1">IF(ROWS($1:93)&gt;COUNT(Dong5),"",OFFSET(TH!E$1,SMALL(Dong5,ROWS($1:93)),))</f>
        <v>42424</v>
      </c>
      <c r="D107" s="411" t="str">
        <f ca="1">IF(ROWS($1:93)&gt;COUNT(Dong5),"",OFFSET(TH!F$1,SMALL(Dong5,ROWS($1:93)),))</f>
        <v>Dầu DO</v>
      </c>
      <c r="E107" s="329" t="str">
        <f ca="1">IF(ROWS($1:93)&gt;COUNT(Dong5),"",IF(OFFSET(TH!N$1,SMALL(Dong5,ROWS($1:93)),)=$E$7,OFFSET(TH!O$1,SMALL(Dong5,ROWS($1:93)),),OFFSET(TH!N$1,SMALL(Dong5,ROWS($1:93)),)))</f>
        <v>642</v>
      </c>
      <c r="F107" s="412">
        <f ca="1">IF(ROWS($1:93)&gt;COUNT(Dong5),0,IF(OFFSET(TH!N$1,SMALL(Dong5,ROWS($1:93)),)=$E$7,OFFSET(TH!M$1,SMALL(Dong5,ROWS($1:93)),),0))</f>
        <v>0</v>
      </c>
      <c r="G107" s="410">
        <f ca="1">IF(ROWS($1:93)&gt;COUNT(Dong5),0,IF(OFFSET(TH!O$1,SMALL(Dong5,ROWS($1:93)),)=$E$7,OFFSET(TH!M$1,SMALL(Dong5,ROWS($1:93)),),0))</f>
        <v>0</v>
      </c>
      <c r="H107" s="413">
        <f t="shared" ca="1" si="5"/>
        <v>199322020</v>
      </c>
      <c r="I107" s="413">
        <f t="shared" ca="1" si="6"/>
        <v>0</v>
      </c>
      <c r="J107" s="18">
        <f t="shared" ca="1" si="7"/>
        <v>2</v>
      </c>
    </row>
    <row r="108" spans="1:10" s="18" customFormat="1" ht="18" customHeight="1">
      <c r="A108" s="329">
        <f ca="1">IF(ROWS($1:94)&gt;COUNT(Dong5),"",OFFSET(TH!C$1,SMALL(Dong5,ROWS($1:94)),))</f>
        <v>42424</v>
      </c>
      <c r="B108" s="329" t="str">
        <f ca="1">IF(ROWS($1:94)&gt;COUNT(Dong5),"",OFFSET(TH!D$1,SMALL(Dong5,ROWS($1:94)),))</f>
        <v>C18</v>
      </c>
      <c r="C108" s="329">
        <f ca="1">IF(ROWS($1:94)&gt;COUNT(Dong5),"",OFFSET(TH!E$1,SMALL(Dong5,ROWS($1:94)),))</f>
        <v>42424</v>
      </c>
      <c r="D108" s="411" t="str">
        <f ca="1">IF(ROWS($1:94)&gt;COUNT(Dong5),"",OFFSET(TH!F$1,SMALL(Dong5,ROWS($1:94)),))</f>
        <v>Q11 - Nộp tiền mặt vào TK</v>
      </c>
      <c r="E108" s="329" t="str">
        <f ca="1">IF(ROWS($1:94)&gt;COUNT(Dong5),"",IF(OFFSET(TH!N$1,SMALL(Dong5,ROWS($1:94)),)=$E$7,OFFSET(TH!O$1,SMALL(Dong5,ROWS($1:94)),),OFFSET(TH!N$1,SMALL(Dong5,ROWS($1:94)),)))</f>
        <v>1121</v>
      </c>
      <c r="F108" s="412">
        <f ca="1">IF(ROWS($1:94)&gt;COUNT(Dong5),0,IF(OFFSET(TH!N$1,SMALL(Dong5,ROWS($1:94)),)=$E$7,OFFSET(TH!M$1,SMALL(Dong5,ROWS($1:94)),),0))</f>
        <v>0</v>
      </c>
      <c r="G108" s="410">
        <f ca="1">IF(ROWS($1:94)&gt;COUNT(Dong5),0,IF(OFFSET(TH!O$1,SMALL(Dong5,ROWS($1:94)),)=$E$7,OFFSET(TH!M$1,SMALL(Dong5,ROWS($1:94)),),0))</f>
        <v>0</v>
      </c>
      <c r="H108" s="413">
        <f t="shared" ca="1" si="5"/>
        <v>199322020</v>
      </c>
      <c r="I108" s="413">
        <f t="shared" ca="1" si="6"/>
        <v>0</v>
      </c>
      <c r="J108" s="18">
        <f t="shared" ca="1" si="7"/>
        <v>2</v>
      </c>
    </row>
    <row r="109" spans="1:10" s="18" customFormat="1" ht="18" customHeight="1">
      <c r="A109" s="329">
        <f ca="1">IF(ROWS($1:95)&gt;COUNT(Dong5),"",OFFSET(TH!C$1,SMALL(Dong5,ROWS($1:95)),))</f>
        <v>42426</v>
      </c>
      <c r="B109" s="329" t="str">
        <f ca="1">IF(ROWS($1:95)&gt;COUNT(Dong5),"",OFFSET(TH!D$1,SMALL(Dong5,ROWS($1:95)),))</f>
        <v>C20</v>
      </c>
      <c r="C109" s="329">
        <f ca="1">IF(ROWS($1:95)&gt;COUNT(Dong5),"",OFFSET(TH!E$1,SMALL(Dong5,ROWS($1:95)),))</f>
        <v>42426</v>
      </c>
      <c r="D109" s="411" t="str">
        <f ca="1">IF(ROWS($1:95)&gt;COUNT(Dong5),"",OFFSET(TH!F$1,SMALL(Dong5,ROWS($1:95)),))</f>
        <v>VAT Phí kéo cont</v>
      </c>
      <c r="E109" s="329" t="str">
        <f ca="1">IF(ROWS($1:95)&gt;COUNT(Dong5),"",IF(OFFSET(TH!N$1,SMALL(Dong5,ROWS($1:95)),)=$E$7,OFFSET(TH!O$1,SMALL(Dong5,ROWS($1:95)),),OFFSET(TH!N$1,SMALL(Dong5,ROWS($1:95)),)))</f>
        <v>1111</v>
      </c>
      <c r="F109" s="412">
        <f ca="1">IF(ROWS($1:95)&gt;COUNT(Dong5),0,IF(OFFSET(TH!N$1,SMALL(Dong5,ROWS($1:95)),)=$E$7,OFFSET(TH!M$1,SMALL(Dong5,ROWS($1:95)),),0))</f>
        <v>822727</v>
      </c>
      <c r="G109" s="410">
        <f ca="1">IF(ROWS($1:95)&gt;COUNT(Dong5),0,IF(OFFSET(TH!O$1,SMALL(Dong5,ROWS($1:95)),)=$E$7,OFFSET(TH!M$1,SMALL(Dong5,ROWS($1:95)),),0))</f>
        <v>0</v>
      </c>
      <c r="H109" s="413">
        <f t="shared" ca="1" si="5"/>
        <v>200144747</v>
      </c>
      <c r="I109" s="413">
        <f t="shared" ca="1" si="6"/>
        <v>0</v>
      </c>
      <c r="J109" s="18">
        <f t="shared" ca="1" si="7"/>
        <v>2</v>
      </c>
    </row>
    <row r="110" spans="1:10" s="18" customFormat="1" ht="18" customHeight="1">
      <c r="A110" s="329">
        <f ca="1">IF(ROWS($1:96)&gt;COUNT(Dong5),"",OFFSET(TH!C$1,SMALL(Dong5,ROWS($1:96)),))</f>
        <v>42427</v>
      </c>
      <c r="B110" s="329" t="str">
        <f ca="1">IF(ROWS($1:96)&gt;COUNT(Dong5),"",OFFSET(TH!D$1,SMALL(Dong5,ROWS($1:96)),))</f>
        <v>C22</v>
      </c>
      <c r="C110" s="329">
        <f ca="1">IF(ROWS($1:96)&gt;COUNT(Dong5),"",OFFSET(TH!E$1,SMALL(Dong5,ROWS($1:96)),))</f>
        <v>42427</v>
      </c>
      <c r="D110" s="411" t="str">
        <f ca="1">IF(ROWS($1:96)&gt;COUNT(Dong5),"",OFFSET(TH!F$1,SMALL(Dong5,ROWS($1:96)),))</f>
        <v>VAT Xăng RON 95</v>
      </c>
      <c r="E110" s="329" t="str">
        <f ca="1">IF(ROWS($1:96)&gt;COUNT(Dong5),"",IF(OFFSET(TH!N$1,SMALL(Dong5,ROWS($1:96)),)=$E$7,OFFSET(TH!O$1,SMALL(Dong5,ROWS($1:96)),),OFFSET(TH!N$1,SMALL(Dong5,ROWS($1:96)),)))</f>
        <v>1111</v>
      </c>
      <c r="F110" s="412">
        <f ca="1">IF(ROWS($1:96)&gt;COUNT(Dong5),0,IF(OFFSET(TH!N$1,SMALL(Dong5,ROWS($1:96)),)=$E$7,OFFSET(TH!M$1,SMALL(Dong5,ROWS($1:96)),),0))</f>
        <v>51232</v>
      </c>
      <c r="G110" s="410">
        <f ca="1">IF(ROWS($1:96)&gt;COUNT(Dong5),0,IF(OFFSET(TH!O$1,SMALL(Dong5,ROWS($1:96)),)=$E$7,OFFSET(TH!M$1,SMALL(Dong5,ROWS($1:96)),),0))</f>
        <v>0</v>
      </c>
      <c r="H110" s="413">
        <f t="shared" ca="1" si="5"/>
        <v>200195979</v>
      </c>
      <c r="I110" s="413">
        <f t="shared" ca="1" si="6"/>
        <v>0</v>
      </c>
      <c r="J110" s="18">
        <f t="shared" ca="1" si="7"/>
        <v>2</v>
      </c>
    </row>
    <row r="111" spans="1:10" s="18" customFormat="1" ht="18" customHeight="1">
      <c r="A111" s="329">
        <f ca="1">IF(ROWS($1:97)&gt;COUNT(Dong5),"",OFFSET(TH!C$1,SMALL(Dong5,ROWS($1:97)),))</f>
        <v>42429</v>
      </c>
      <c r="B111" s="329" t="str">
        <f ca="1">IF(ROWS($1:97)&gt;COUNT(Dong5),"",OFFSET(TH!D$1,SMALL(Dong5,ROWS($1:97)),))</f>
        <v>C22</v>
      </c>
      <c r="C111" s="329">
        <f ca="1">IF(ROWS($1:97)&gt;COUNT(Dong5),"",OFFSET(TH!E$1,SMALL(Dong5,ROWS($1:97)),))</f>
        <v>42429</v>
      </c>
      <c r="D111" s="411" t="str">
        <f ca="1">IF(ROWS($1:97)&gt;COUNT(Dong5),"",OFFSET(TH!F$1,SMALL(Dong5,ROWS($1:97)),))</f>
        <v xml:space="preserve">VAT Xăng, dầu </v>
      </c>
      <c r="E111" s="329" t="str">
        <f ca="1">IF(ROWS($1:97)&gt;COUNT(Dong5),"",IF(OFFSET(TH!N$1,SMALL(Dong5,ROWS($1:97)),)=$E$7,OFFSET(TH!O$1,SMALL(Dong5,ROWS($1:97)),),OFFSET(TH!N$1,SMALL(Dong5,ROWS($1:97)),)))</f>
        <v>1111</v>
      </c>
      <c r="F111" s="412">
        <f ca="1">IF(ROWS($1:97)&gt;COUNT(Dong5),0,IF(OFFSET(TH!N$1,SMALL(Dong5,ROWS($1:97)),)=$E$7,OFFSET(TH!M$1,SMALL(Dong5,ROWS($1:97)),),0))</f>
        <v>94591</v>
      </c>
      <c r="G111" s="410">
        <f ca="1">IF(ROWS($1:97)&gt;COUNT(Dong5),0,IF(OFFSET(TH!O$1,SMALL(Dong5,ROWS($1:97)),)=$E$7,OFFSET(TH!M$1,SMALL(Dong5,ROWS($1:97)),),0))</f>
        <v>0</v>
      </c>
      <c r="H111" s="413">
        <f t="shared" ref="H111:H142" ca="1" si="8">IF(D111&lt;&gt;"",MAX(H110+F111-G111-I110,0),0)</f>
        <v>200290570</v>
      </c>
      <c r="I111" s="413">
        <f t="shared" ref="I111:I142" ca="1" si="9">IF(D111&lt;&gt;"",MAX(I110+G111-H110-F111,0),0)</f>
        <v>0</v>
      </c>
      <c r="J111" s="18">
        <f t="shared" ca="1" si="7"/>
        <v>2</v>
      </c>
    </row>
    <row r="112" spans="1:10" s="18" customFormat="1" ht="18" customHeight="1">
      <c r="A112" s="329">
        <f ca="1">IF(ROWS($1:98)&gt;COUNT(Dong5),"",OFFSET(TH!C$1,SMALL(Dong5,ROWS($1:98)),))</f>
        <v>42430</v>
      </c>
      <c r="B112" s="329" t="str">
        <f ca="1">IF(ROWS($1:98)&gt;COUNT(Dong5),"",OFFSET(TH!D$1,SMALL(Dong5,ROWS($1:98)),))</f>
        <v>C01</v>
      </c>
      <c r="C112" s="329">
        <f ca="1">IF(ROWS($1:98)&gt;COUNT(Dong5),"",OFFSET(TH!E$1,SMALL(Dong5,ROWS($1:98)),))</f>
        <v>42400</v>
      </c>
      <c r="D112" s="411" t="str">
        <f ca="1">IF(ROWS($1:98)&gt;COUNT(Dong5),"",OFFSET(TH!F$1,SMALL(Dong5,ROWS($1:98)),))</f>
        <v>VAT Cước CPN T1 + T2</v>
      </c>
      <c r="E112" s="329" t="str">
        <f ca="1">IF(ROWS($1:98)&gt;COUNT(Dong5),"",IF(OFFSET(TH!N$1,SMALL(Dong5,ROWS($1:98)),)=$E$7,OFFSET(TH!O$1,SMALL(Dong5,ROWS($1:98)),),OFFSET(TH!N$1,SMALL(Dong5,ROWS($1:98)),)))</f>
        <v>1111</v>
      </c>
      <c r="F112" s="412">
        <f ca="1">IF(ROWS($1:98)&gt;COUNT(Dong5),0,IF(OFFSET(TH!N$1,SMALL(Dong5,ROWS($1:98)),)=$E$7,OFFSET(TH!M$1,SMALL(Dong5,ROWS($1:98)),),0))</f>
        <v>8071</v>
      </c>
      <c r="G112" s="410">
        <f ca="1">IF(ROWS($1:98)&gt;COUNT(Dong5),0,IF(OFFSET(TH!O$1,SMALL(Dong5,ROWS($1:98)),)=$E$7,OFFSET(TH!M$1,SMALL(Dong5,ROWS($1:98)),),0))</f>
        <v>0</v>
      </c>
      <c r="H112" s="413">
        <f t="shared" ca="1" si="8"/>
        <v>200298641</v>
      </c>
      <c r="I112" s="413">
        <f t="shared" ca="1" si="9"/>
        <v>0</v>
      </c>
      <c r="J112" s="18">
        <f t="shared" ca="1" si="7"/>
        <v>3</v>
      </c>
    </row>
    <row r="113" spans="1:10" s="18" customFormat="1" ht="18" customHeight="1">
      <c r="A113" s="329">
        <f ca="1">IF(ROWS($1:99)&gt;COUNT(Dong5),"",OFFSET(TH!C$1,SMALL(Dong5,ROWS($1:99)),))</f>
        <v>42430</v>
      </c>
      <c r="B113" s="329" t="str">
        <f ca="1">IF(ROWS($1:99)&gt;COUNT(Dong5),"",OFFSET(TH!D$1,SMALL(Dong5,ROWS($1:99)),))</f>
        <v>C02</v>
      </c>
      <c r="C113" s="329">
        <f ca="1">IF(ROWS($1:99)&gt;COUNT(Dong5),"",OFFSET(TH!E$1,SMALL(Dong5,ROWS($1:99)),))</f>
        <v>42395</v>
      </c>
      <c r="D113" s="411" t="str">
        <f ca="1">IF(ROWS($1:99)&gt;COUNT(Dong5),"",OFFSET(TH!F$1,SMALL(Dong5,ROWS($1:99)),))</f>
        <v>VAT Cước cấp cont</v>
      </c>
      <c r="E113" s="329" t="str">
        <f ca="1">IF(ROWS($1:99)&gt;COUNT(Dong5),"",IF(OFFSET(TH!N$1,SMALL(Dong5,ROWS($1:99)),)=$E$7,OFFSET(TH!O$1,SMALL(Dong5,ROWS($1:99)),),OFFSET(TH!N$1,SMALL(Dong5,ROWS($1:99)),)))</f>
        <v>1111</v>
      </c>
      <c r="F113" s="412">
        <f ca="1">IF(ROWS($1:99)&gt;COUNT(Dong5),0,IF(OFFSET(TH!N$1,SMALL(Dong5,ROWS($1:99)),)=$E$7,OFFSET(TH!M$1,SMALL(Dong5,ROWS($1:99)),),0))</f>
        <v>73182</v>
      </c>
      <c r="G113" s="410">
        <f ca="1">IF(ROWS($1:99)&gt;COUNT(Dong5),0,IF(OFFSET(TH!O$1,SMALL(Dong5,ROWS($1:99)),)=$E$7,OFFSET(TH!M$1,SMALL(Dong5,ROWS($1:99)),),0))</f>
        <v>0</v>
      </c>
      <c r="H113" s="413">
        <f t="shared" ca="1" si="8"/>
        <v>200371823</v>
      </c>
      <c r="I113" s="413">
        <f t="shared" ca="1" si="9"/>
        <v>0</v>
      </c>
      <c r="J113" s="18">
        <f t="shared" ca="1" si="7"/>
        <v>3</v>
      </c>
    </row>
    <row r="114" spans="1:10" s="18" customFormat="1" ht="18" customHeight="1">
      <c r="A114" s="329">
        <f ca="1">IF(ROWS($1:100)&gt;COUNT(Dong5),"",OFFSET(TH!C$1,SMALL(Dong5,ROWS($1:100)),))</f>
        <v>42430</v>
      </c>
      <c r="B114" s="329" t="str">
        <f ca="1">IF(ROWS($1:100)&gt;COUNT(Dong5),"",OFFSET(TH!D$1,SMALL(Dong5,ROWS($1:100)),))</f>
        <v>C03</v>
      </c>
      <c r="C114" s="329">
        <f ca="1">IF(ROWS($1:100)&gt;COUNT(Dong5),"",OFFSET(TH!E$1,SMALL(Dong5,ROWS($1:100)),))</f>
        <v>42397</v>
      </c>
      <c r="D114" s="411" t="str">
        <f ca="1">IF(ROWS($1:100)&gt;COUNT(Dong5),"",OFFSET(TH!F$1,SMALL(Dong5,ROWS($1:100)),))</f>
        <v>VAT Nước, nước thải, phí cơ sở hạ tầng</v>
      </c>
      <c r="E114" s="329" t="str">
        <f ca="1">IF(ROWS($1:100)&gt;COUNT(Dong5),"",IF(OFFSET(TH!N$1,SMALL(Dong5,ROWS($1:100)),)=$E$7,OFFSET(TH!O$1,SMALL(Dong5,ROWS($1:100)),),OFFSET(TH!N$1,SMALL(Dong5,ROWS($1:100)),)))</f>
        <v>1111</v>
      </c>
      <c r="F114" s="412">
        <f ca="1">IF(ROWS($1:100)&gt;COUNT(Dong5),0,IF(OFFSET(TH!N$1,SMALL(Dong5,ROWS($1:100)),)=$E$7,OFFSET(TH!M$1,SMALL(Dong5,ROWS($1:100)),),0))</f>
        <v>1078675</v>
      </c>
      <c r="G114" s="410">
        <f ca="1">IF(ROWS($1:100)&gt;COUNT(Dong5),0,IF(OFFSET(TH!O$1,SMALL(Dong5,ROWS($1:100)),)=$E$7,OFFSET(TH!M$1,SMALL(Dong5,ROWS($1:100)),),0))</f>
        <v>0</v>
      </c>
      <c r="H114" s="413">
        <f t="shared" ca="1" si="8"/>
        <v>201450498</v>
      </c>
      <c r="I114" s="413">
        <f t="shared" ca="1" si="9"/>
        <v>0</v>
      </c>
      <c r="J114" s="18">
        <f t="shared" ca="1" si="7"/>
        <v>3</v>
      </c>
    </row>
    <row r="115" spans="1:10" s="18" customFormat="1" ht="18" customHeight="1">
      <c r="A115" s="329">
        <f ca="1">IF(ROWS($1:101)&gt;COUNT(Dong5),"",OFFSET(TH!C$1,SMALL(Dong5,ROWS($1:101)),))</f>
        <v>42430</v>
      </c>
      <c r="B115" s="329" t="str">
        <f ca="1">IF(ROWS($1:101)&gt;COUNT(Dong5),"",OFFSET(TH!D$1,SMALL(Dong5,ROWS($1:101)),))</f>
        <v>C04</v>
      </c>
      <c r="C115" s="329">
        <f ca="1">IF(ROWS($1:101)&gt;COUNT(Dong5),"",OFFSET(TH!E$1,SMALL(Dong5,ROWS($1:101)),))</f>
        <v>42372</v>
      </c>
      <c r="D115" s="411" t="str">
        <f ca="1">IF(ROWS($1:101)&gt;COUNT(Dong5),"",OFFSET(TH!F$1,SMALL(Dong5,ROWS($1:101)),))</f>
        <v>VAT Kính trắng 5mm</v>
      </c>
      <c r="E115" s="329" t="str">
        <f ca="1">IF(ROWS($1:101)&gt;COUNT(Dong5),"",IF(OFFSET(TH!N$1,SMALL(Dong5,ROWS($1:101)),)=$E$7,OFFSET(TH!O$1,SMALL(Dong5,ROWS($1:101)),),OFFSET(TH!N$1,SMALL(Dong5,ROWS($1:101)),)))</f>
        <v>1111</v>
      </c>
      <c r="F115" s="412">
        <f ca="1">IF(ROWS($1:101)&gt;COUNT(Dong5),0,IF(OFFSET(TH!N$1,SMALL(Dong5,ROWS($1:101)),)=$E$7,OFFSET(TH!M$1,SMALL(Dong5,ROWS($1:101)),),0))</f>
        <v>1727250</v>
      </c>
      <c r="G115" s="410">
        <f ca="1">IF(ROWS($1:101)&gt;COUNT(Dong5),0,IF(OFFSET(TH!O$1,SMALL(Dong5,ROWS($1:101)),)=$E$7,OFFSET(TH!M$1,SMALL(Dong5,ROWS($1:101)),),0))</f>
        <v>0</v>
      </c>
      <c r="H115" s="413">
        <f t="shared" ca="1" si="8"/>
        <v>203177748</v>
      </c>
      <c r="I115" s="413">
        <f t="shared" ca="1" si="9"/>
        <v>0</v>
      </c>
      <c r="J115" s="18">
        <f t="shared" ca="1" si="7"/>
        <v>3</v>
      </c>
    </row>
    <row r="116" spans="1:10" s="18" customFormat="1" ht="18" customHeight="1">
      <c r="A116" s="329">
        <f ca="1">IF(ROWS($1:102)&gt;COUNT(Dong5),"",OFFSET(TH!C$1,SMALL(Dong5,ROWS($1:102)),))</f>
        <v>42430</v>
      </c>
      <c r="B116" s="329" t="str">
        <f ca="1">IF(ROWS($1:102)&gt;COUNT(Dong5),"",OFFSET(TH!D$1,SMALL(Dong5,ROWS($1:102)),))</f>
        <v>C05</v>
      </c>
      <c r="C116" s="329">
        <f ca="1">IF(ROWS($1:102)&gt;COUNT(Dong5),"",OFFSET(TH!E$1,SMALL(Dong5,ROWS($1:102)),))</f>
        <v>42416</v>
      </c>
      <c r="D116" s="411" t="str">
        <f ca="1">IF(ROWS($1:102)&gt;COUNT(Dong5),"",OFFSET(TH!F$1,SMALL(Dong5,ROWS($1:102)),))</f>
        <v>VAT Cước vận chuyển</v>
      </c>
      <c r="E116" s="329" t="str">
        <f ca="1">IF(ROWS($1:102)&gt;COUNT(Dong5),"",IF(OFFSET(TH!N$1,SMALL(Dong5,ROWS($1:102)),)=$E$7,OFFSET(TH!O$1,SMALL(Dong5,ROWS($1:102)),),OFFSET(TH!N$1,SMALL(Dong5,ROWS($1:102)),)))</f>
        <v>1111</v>
      </c>
      <c r="F116" s="412">
        <f ca="1">IF(ROWS($1:102)&gt;COUNT(Dong5),0,IF(OFFSET(TH!N$1,SMALL(Dong5,ROWS($1:102)),)=$E$7,OFFSET(TH!M$1,SMALL(Dong5,ROWS($1:102)),),0))</f>
        <v>1200000</v>
      </c>
      <c r="G116" s="410">
        <f ca="1">IF(ROWS($1:102)&gt;COUNT(Dong5),0,IF(OFFSET(TH!O$1,SMALL(Dong5,ROWS($1:102)),)=$E$7,OFFSET(TH!M$1,SMALL(Dong5,ROWS($1:102)),),0))</f>
        <v>0</v>
      </c>
      <c r="H116" s="413">
        <f t="shared" ca="1" si="8"/>
        <v>204377748</v>
      </c>
      <c r="I116" s="413">
        <f t="shared" ca="1" si="9"/>
        <v>0</v>
      </c>
      <c r="J116" s="18">
        <f t="shared" ca="1" si="7"/>
        <v>3</v>
      </c>
    </row>
    <row r="117" spans="1:10" s="18" customFormat="1" ht="18" customHeight="1">
      <c r="A117" s="329">
        <f ca="1">IF(ROWS($1:103)&gt;COUNT(Dong5),"",OFFSET(TH!C$1,SMALL(Dong5,ROWS($1:103)),))</f>
        <v>42430</v>
      </c>
      <c r="B117" s="329" t="str">
        <f ca="1">IF(ROWS($1:103)&gt;COUNT(Dong5),"",OFFSET(TH!D$1,SMALL(Dong5,ROWS($1:103)),))</f>
        <v>C07</v>
      </c>
      <c r="C117" s="329">
        <f ca="1">IF(ROWS($1:103)&gt;COUNT(Dong5),"",OFFSET(TH!E$1,SMALL(Dong5,ROWS($1:103)),))</f>
        <v>42430</v>
      </c>
      <c r="D117" s="411" t="str">
        <f ca="1">IF(ROWS($1:103)&gt;COUNT(Dong5),"",OFFSET(TH!F$1,SMALL(Dong5,ROWS($1:103)),))</f>
        <v>VAT Dầu DO</v>
      </c>
      <c r="E117" s="329" t="str">
        <f ca="1">IF(ROWS($1:103)&gt;COUNT(Dong5),"",IF(OFFSET(TH!N$1,SMALL(Dong5,ROWS($1:103)),)=$E$7,OFFSET(TH!O$1,SMALL(Dong5,ROWS($1:103)),),OFFSET(TH!N$1,SMALL(Dong5,ROWS($1:103)),)))</f>
        <v>1111</v>
      </c>
      <c r="F117" s="412">
        <f ca="1">IF(ROWS($1:103)&gt;COUNT(Dong5),0,IF(OFFSET(TH!N$1,SMALL(Dong5,ROWS($1:103)),)=$E$7,OFFSET(TH!M$1,SMALL(Dong5,ROWS($1:103)),),0))</f>
        <v>43545</v>
      </c>
      <c r="G117" s="410">
        <f ca="1">IF(ROWS($1:103)&gt;COUNT(Dong5),0,IF(OFFSET(TH!O$1,SMALL(Dong5,ROWS($1:103)),)=$E$7,OFFSET(TH!M$1,SMALL(Dong5,ROWS($1:103)),),0))</f>
        <v>0</v>
      </c>
      <c r="H117" s="413">
        <f t="shared" ca="1" si="8"/>
        <v>204421293</v>
      </c>
      <c r="I117" s="413">
        <f t="shared" ca="1" si="9"/>
        <v>0</v>
      </c>
      <c r="J117" s="18">
        <f t="shared" ca="1" si="7"/>
        <v>3</v>
      </c>
    </row>
    <row r="118" spans="1:10" s="18" customFormat="1" ht="18" customHeight="1">
      <c r="A118" s="329">
        <f ca="1">IF(ROWS($1:104)&gt;COUNT(Dong5),"",OFFSET(TH!C$1,SMALL(Dong5,ROWS($1:104)),))</f>
        <v>42430</v>
      </c>
      <c r="B118" s="329" t="str">
        <f ca="1">IF(ROWS($1:104)&gt;COUNT(Dong5),"",OFFSET(TH!D$1,SMALL(Dong5,ROWS($1:104)),))</f>
        <v>C08</v>
      </c>
      <c r="C118" s="329">
        <f ca="1">IF(ROWS($1:104)&gt;COUNT(Dong5),"",OFFSET(TH!E$1,SMALL(Dong5,ROWS($1:104)),))</f>
        <v>42430</v>
      </c>
      <c r="D118" s="411" t="str">
        <f ca="1">IF(ROWS($1:104)&gt;COUNT(Dong5),"",OFFSET(TH!F$1,SMALL(Dong5,ROWS($1:104)),))</f>
        <v xml:space="preserve">VAT Hũ ly trung </v>
      </c>
      <c r="E118" s="329" t="str">
        <f ca="1">IF(ROWS($1:104)&gt;COUNT(Dong5),"",IF(OFFSET(TH!N$1,SMALL(Dong5,ROWS($1:104)),)=$E$7,OFFSET(TH!O$1,SMALL(Dong5,ROWS($1:104)),),OFFSET(TH!N$1,SMALL(Dong5,ROWS($1:104)),)))</f>
        <v>1111</v>
      </c>
      <c r="F118" s="412">
        <f ca="1">IF(ROWS($1:104)&gt;COUNT(Dong5),0,IF(OFFSET(TH!N$1,SMALL(Dong5,ROWS($1:104)),)=$E$7,OFFSET(TH!M$1,SMALL(Dong5,ROWS($1:104)),),0))</f>
        <v>169750</v>
      </c>
      <c r="G118" s="410">
        <f ca="1">IF(ROWS($1:104)&gt;COUNT(Dong5),0,IF(OFFSET(TH!O$1,SMALL(Dong5,ROWS($1:104)),)=$E$7,OFFSET(TH!M$1,SMALL(Dong5,ROWS($1:104)),),0))</f>
        <v>0</v>
      </c>
      <c r="H118" s="413">
        <f t="shared" ca="1" si="8"/>
        <v>204591043</v>
      </c>
      <c r="I118" s="413">
        <f t="shared" ca="1" si="9"/>
        <v>0</v>
      </c>
      <c r="J118" s="18">
        <f t="shared" ca="1" si="7"/>
        <v>3</v>
      </c>
    </row>
    <row r="119" spans="1:10" s="18" customFormat="1" ht="18" customHeight="1">
      <c r="A119" s="329">
        <f ca="1">IF(ROWS($1:105)&gt;COUNT(Dong5),"",OFFSET(TH!C$1,SMALL(Dong5,ROWS($1:105)),))</f>
        <v>42430</v>
      </c>
      <c r="B119" s="329" t="str">
        <f ca="1">IF(ROWS($1:105)&gt;COUNT(Dong5),"",OFFSET(TH!D$1,SMALL(Dong5,ROWS($1:105)),))</f>
        <v>GBN</v>
      </c>
      <c r="C119" s="329">
        <f ca="1">IF(ROWS($1:105)&gt;COUNT(Dong5),"",OFFSET(TH!E$1,SMALL(Dong5,ROWS($1:105)),))</f>
        <v>42430</v>
      </c>
      <c r="D119" s="411" t="str">
        <f ca="1">IF(ROWS($1:105)&gt;COUNT(Dong5),"",OFFSET(TH!F$1,SMALL(Dong5,ROWS($1:105)),))</f>
        <v>VAT Phí chuyển tiền</v>
      </c>
      <c r="E119" s="329" t="str">
        <f ca="1">IF(ROWS($1:105)&gt;COUNT(Dong5),"",IF(OFFSET(TH!N$1,SMALL(Dong5,ROWS($1:105)),)=$E$7,OFFSET(TH!O$1,SMALL(Dong5,ROWS($1:105)),),OFFSET(TH!N$1,SMALL(Dong5,ROWS($1:105)),)))</f>
        <v>1121</v>
      </c>
      <c r="F119" s="412">
        <f ca="1">IF(ROWS($1:105)&gt;COUNT(Dong5),0,IF(OFFSET(TH!N$1,SMALL(Dong5,ROWS($1:105)),)=$E$7,OFFSET(TH!M$1,SMALL(Dong5,ROWS($1:105)),),0))</f>
        <v>4500</v>
      </c>
      <c r="G119" s="410">
        <f ca="1">IF(ROWS($1:105)&gt;COUNT(Dong5),0,IF(OFFSET(TH!O$1,SMALL(Dong5,ROWS($1:105)),)=$E$7,OFFSET(TH!M$1,SMALL(Dong5,ROWS($1:105)),),0))</f>
        <v>0</v>
      </c>
      <c r="H119" s="413">
        <f t="shared" ca="1" si="8"/>
        <v>204595543</v>
      </c>
      <c r="I119" s="413">
        <f t="shared" ca="1" si="9"/>
        <v>0</v>
      </c>
      <c r="J119" s="18">
        <f t="shared" ca="1" si="7"/>
        <v>3</v>
      </c>
    </row>
    <row r="120" spans="1:10" s="18" customFormat="1" ht="18" customHeight="1">
      <c r="A120" s="329">
        <f ca="1">IF(ROWS($1:106)&gt;COUNT(Dong5),"",OFFSET(TH!C$1,SMALL(Dong5,ROWS($1:106)),))</f>
        <v>42431</v>
      </c>
      <c r="B120" s="329" t="str">
        <f ca="1">IF(ROWS($1:106)&gt;COUNT(Dong5),"",OFFSET(TH!D$1,SMALL(Dong5,ROWS($1:106)),))</f>
        <v>C11</v>
      </c>
      <c r="C120" s="329">
        <f ca="1">IF(ROWS($1:106)&gt;COUNT(Dong5),"",OFFSET(TH!E$1,SMALL(Dong5,ROWS($1:106)),))</f>
        <v>42375</v>
      </c>
      <c r="D120" s="411" t="str">
        <f ca="1">IF(ROWS($1:106)&gt;COUNT(Dong5),"",OFFSET(TH!F$1,SMALL(Dong5,ROWS($1:106)),))</f>
        <v xml:space="preserve">Nhôm thanh </v>
      </c>
      <c r="E120" s="329" t="str">
        <f ca="1">IF(ROWS($1:106)&gt;COUNT(Dong5),"",IF(OFFSET(TH!N$1,SMALL(Dong5,ROWS($1:106)),)=$E$7,OFFSET(TH!O$1,SMALL(Dong5,ROWS($1:106)),),OFFSET(TH!N$1,SMALL(Dong5,ROWS($1:106)),)))</f>
        <v>2412</v>
      </c>
      <c r="F120" s="412">
        <f ca="1">IF(ROWS($1:106)&gt;COUNT(Dong5),0,IF(OFFSET(TH!N$1,SMALL(Dong5,ROWS($1:106)),)=$E$7,OFFSET(TH!M$1,SMALL(Dong5,ROWS($1:106)),),0))</f>
        <v>0</v>
      </c>
      <c r="G120" s="410">
        <f ca="1">IF(ROWS($1:106)&gt;COUNT(Dong5),0,IF(OFFSET(TH!O$1,SMALL(Dong5,ROWS($1:106)),)=$E$7,OFFSET(TH!M$1,SMALL(Dong5,ROWS($1:106)),),0))</f>
        <v>0</v>
      </c>
      <c r="H120" s="413">
        <f t="shared" ca="1" si="8"/>
        <v>204595543</v>
      </c>
      <c r="I120" s="413">
        <f t="shared" ca="1" si="9"/>
        <v>0</v>
      </c>
      <c r="J120" s="18">
        <f t="shared" ca="1" si="7"/>
        <v>3</v>
      </c>
    </row>
    <row r="121" spans="1:10" s="18" customFormat="1" ht="18" customHeight="1">
      <c r="A121" s="329">
        <f ca="1">IF(ROWS($1:107)&gt;COUNT(Dong5),"",OFFSET(TH!C$1,SMALL(Dong5,ROWS($1:107)),))</f>
        <v>42431</v>
      </c>
      <c r="B121" s="329" t="str">
        <f ca="1">IF(ROWS($1:107)&gt;COUNT(Dong5),"",OFFSET(TH!D$1,SMALL(Dong5,ROWS($1:107)),))</f>
        <v>C12</v>
      </c>
      <c r="C121" s="329">
        <f ca="1">IF(ROWS($1:107)&gt;COUNT(Dong5),"",OFFSET(TH!E$1,SMALL(Dong5,ROWS($1:107)),))</f>
        <v>42375</v>
      </c>
      <c r="D121" s="411" t="str">
        <f ca="1">IF(ROWS($1:107)&gt;COUNT(Dong5),"",OFFSET(TH!F$1,SMALL(Dong5,ROWS($1:107)),))</f>
        <v>Nhôm thanh 265</v>
      </c>
      <c r="E121" s="329" t="str">
        <f ca="1">IF(ROWS($1:107)&gt;COUNT(Dong5),"",IF(OFFSET(TH!N$1,SMALL(Dong5,ROWS($1:107)),)=$E$7,OFFSET(TH!O$1,SMALL(Dong5,ROWS($1:107)),),OFFSET(TH!N$1,SMALL(Dong5,ROWS($1:107)),)))</f>
        <v>2412</v>
      </c>
      <c r="F121" s="412">
        <f ca="1">IF(ROWS($1:107)&gt;COUNT(Dong5),0,IF(OFFSET(TH!N$1,SMALL(Dong5,ROWS($1:107)),)=$E$7,OFFSET(TH!M$1,SMALL(Dong5,ROWS($1:107)),),0))</f>
        <v>0</v>
      </c>
      <c r="G121" s="410">
        <f ca="1">IF(ROWS($1:107)&gt;COUNT(Dong5),0,IF(OFFSET(TH!O$1,SMALL(Dong5,ROWS($1:107)),)=$E$7,OFFSET(TH!M$1,SMALL(Dong5,ROWS($1:107)),),0))</f>
        <v>0</v>
      </c>
      <c r="H121" s="413">
        <f t="shared" ca="1" si="8"/>
        <v>204595543</v>
      </c>
      <c r="I121" s="413">
        <f t="shared" ca="1" si="9"/>
        <v>0</v>
      </c>
      <c r="J121" s="18">
        <f t="shared" ca="1" si="7"/>
        <v>3</v>
      </c>
    </row>
    <row r="122" spans="1:10" s="18" customFormat="1" ht="18" customHeight="1">
      <c r="A122" s="329">
        <f ca="1">IF(ROWS($1:108)&gt;COUNT(Dong5),"",OFFSET(TH!C$1,SMALL(Dong5,ROWS($1:108)),))</f>
        <v>42431</v>
      </c>
      <c r="B122" s="329" t="str">
        <f ca="1">IF(ROWS($1:108)&gt;COUNT(Dong5),"",OFFSET(TH!D$1,SMALL(Dong5,ROWS($1:108)),))</f>
        <v>C13</v>
      </c>
      <c r="C122" s="329">
        <f ca="1">IF(ROWS($1:108)&gt;COUNT(Dong5),"",OFFSET(TH!E$1,SMALL(Dong5,ROWS($1:108)),))</f>
        <v>42429</v>
      </c>
      <c r="D122" s="411" t="str">
        <f ca="1">IF(ROWS($1:108)&gt;COUNT(Dong5),"",OFFSET(TH!F$1,SMALL(Dong5,ROWS($1:108)),))</f>
        <v>Nước, nước thải, phí cơ sở hạ tầng</v>
      </c>
      <c r="E122" s="329" t="str">
        <f ca="1">IF(ROWS($1:108)&gt;COUNT(Dong5),"",IF(OFFSET(TH!N$1,SMALL(Dong5,ROWS($1:108)),)=$E$7,OFFSET(TH!O$1,SMALL(Dong5,ROWS($1:108)),),OFFSET(TH!N$1,SMALL(Dong5,ROWS($1:108)),)))</f>
        <v>642</v>
      </c>
      <c r="F122" s="412">
        <f ca="1">IF(ROWS($1:108)&gt;COUNT(Dong5),0,IF(OFFSET(TH!N$1,SMALL(Dong5,ROWS($1:108)),)=$E$7,OFFSET(TH!M$1,SMALL(Dong5,ROWS($1:108)),),0))</f>
        <v>0</v>
      </c>
      <c r="G122" s="410">
        <f ca="1">IF(ROWS($1:108)&gt;COUNT(Dong5),0,IF(OFFSET(TH!O$1,SMALL(Dong5,ROWS($1:108)),)=$E$7,OFFSET(TH!M$1,SMALL(Dong5,ROWS($1:108)),),0))</f>
        <v>0</v>
      </c>
      <c r="H122" s="413">
        <f t="shared" ca="1" si="8"/>
        <v>204595543</v>
      </c>
      <c r="I122" s="413">
        <f t="shared" ca="1" si="9"/>
        <v>0</v>
      </c>
      <c r="J122" s="18">
        <f t="shared" ca="1" si="7"/>
        <v>3</v>
      </c>
    </row>
    <row r="123" spans="1:10" s="18" customFormat="1" ht="18" customHeight="1">
      <c r="A123" s="329">
        <f ca="1">IF(ROWS($1:109)&gt;COUNT(Dong5),"",OFFSET(TH!C$1,SMALL(Dong5,ROWS($1:109)),))</f>
        <v>42433</v>
      </c>
      <c r="B123" s="329" t="str">
        <f ca="1">IF(ROWS($1:109)&gt;COUNT(Dong5),"",OFFSET(TH!D$1,SMALL(Dong5,ROWS($1:109)),))</f>
        <v>C14</v>
      </c>
      <c r="C123" s="329">
        <f ca="1">IF(ROWS($1:109)&gt;COUNT(Dong5),"",OFFSET(TH!E$1,SMALL(Dong5,ROWS($1:109)),))</f>
        <v>42433</v>
      </c>
      <c r="D123" s="411" t="str">
        <f ca="1">IF(ROWS($1:109)&gt;COUNT(Dong5),"",OFFSET(TH!F$1,SMALL(Dong5,ROWS($1:109)),))</f>
        <v>Dầu DO, Xăng</v>
      </c>
      <c r="E123" s="329" t="str">
        <f ca="1">IF(ROWS($1:109)&gt;COUNT(Dong5),"",IF(OFFSET(TH!N$1,SMALL(Dong5,ROWS($1:109)),)=$E$7,OFFSET(TH!O$1,SMALL(Dong5,ROWS($1:109)),),OFFSET(TH!N$1,SMALL(Dong5,ROWS($1:109)),)))</f>
        <v>642</v>
      </c>
      <c r="F123" s="412">
        <f ca="1">IF(ROWS($1:109)&gt;COUNT(Dong5),0,IF(OFFSET(TH!N$1,SMALL(Dong5,ROWS($1:109)),)=$E$7,OFFSET(TH!M$1,SMALL(Dong5,ROWS($1:109)),),0))</f>
        <v>0</v>
      </c>
      <c r="G123" s="410">
        <f ca="1">IF(ROWS($1:109)&gt;COUNT(Dong5),0,IF(OFFSET(TH!O$1,SMALL(Dong5,ROWS($1:109)),)=$E$7,OFFSET(TH!M$1,SMALL(Dong5,ROWS($1:109)),),0))</f>
        <v>0</v>
      </c>
      <c r="H123" s="413">
        <f t="shared" ca="1" si="8"/>
        <v>204595543</v>
      </c>
      <c r="I123" s="413">
        <f t="shared" ca="1" si="9"/>
        <v>0</v>
      </c>
      <c r="J123" s="18">
        <f t="shared" ca="1" si="7"/>
        <v>3</v>
      </c>
    </row>
    <row r="124" spans="1:10" s="18" customFormat="1" ht="18" customHeight="1">
      <c r="A124" s="329">
        <f ca="1">IF(ROWS($1:110)&gt;COUNT(Dong5),"",OFFSET(TH!C$1,SMALL(Dong5,ROWS($1:110)),))</f>
        <v>42433</v>
      </c>
      <c r="B124" s="329" t="str">
        <f ca="1">IF(ROWS($1:110)&gt;COUNT(Dong5),"",OFFSET(TH!D$1,SMALL(Dong5,ROWS($1:110)),))</f>
        <v>C15</v>
      </c>
      <c r="C124" s="329">
        <f ca="1">IF(ROWS($1:110)&gt;COUNT(Dong5),"",OFFSET(TH!E$1,SMALL(Dong5,ROWS($1:110)),))</f>
        <v>42377</v>
      </c>
      <c r="D124" s="411" t="str">
        <f ca="1">IF(ROWS($1:110)&gt;COUNT(Dong5),"",OFFSET(TH!F$1,SMALL(Dong5,ROWS($1:110)),))</f>
        <v>Kính trắng 5mm</v>
      </c>
      <c r="E124" s="329" t="str">
        <f ca="1">IF(ROWS($1:110)&gt;COUNT(Dong5),"",IF(OFFSET(TH!N$1,SMALL(Dong5,ROWS($1:110)),)=$E$7,OFFSET(TH!O$1,SMALL(Dong5,ROWS($1:110)),),OFFSET(TH!N$1,SMALL(Dong5,ROWS($1:110)),)))</f>
        <v>2412</v>
      </c>
      <c r="F124" s="412">
        <f ca="1">IF(ROWS($1:110)&gt;COUNT(Dong5),0,IF(OFFSET(TH!N$1,SMALL(Dong5,ROWS($1:110)),)=$E$7,OFFSET(TH!M$1,SMALL(Dong5,ROWS($1:110)),),0))</f>
        <v>0</v>
      </c>
      <c r="G124" s="410">
        <f ca="1">IF(ROWS($1:110)&gt;COUNT(Dong5),0,IF(OFFSET(TH!O$1,SMALL(Dong5,ROWS($1:110)),)=$E$7,OFFSET(TH!M$1,SMALL(Dong5,ROWS($1:110)),),0))</f>
        <v>0</v>
      </c>
      <c r="H124" s="413">
        <f t="shared" ca="1" si="8"/>
        <v>204595543</v>
      </c>
      <c r="I124" s="413">
        <f t="shared" ca="1" si="9"/>
        <v>0</v>
      </c>
      <c r="J124" s="18">
        <f t="shared" ca="1" si="7"/>
        <v>3</v>
      </c>
    </row>
    <row r="125" spans="1:10" s="18" customFormat="1" ht="18" customHeight="1">
      <c r="A125" s="329">
        <f ca="1">IF(ROWS($1:111)&gt;COUNT(Dong5),"",OFFSET(TH!C$1,SMALL(Dong5,ROWS($1:111)),))</f>
        <v>42434</v>
      </c>
      <c r="B125" s="329" t="str">
        <f ca="1">IF(ROWS($1:111)&gt;COUNT(Dong5),"",OFFSET(TH!D$1,SMALL(Dong5,ROWS($1:111)),))</f>
        <v>C16</v>
      </c>
      <c r="C125" s="329">
        <f ca="1">IF(ROWS($1:111)&gt;COUNT(Dong5),"",OFFSET(TH!E$1,SMALL(Dong5,ROWS($1:111)),))</f>
        <v>42434</v>
      </c>
      <c r="D125" s="411" t="str">
        <f ca="1">IF(ROWS($1:111)&gt;COUNT(Dong5),"",OFFSET(TH!F$1,SMALL(Dong5,ROWS($1:111)),))</f>
        <v>Cước VT - CNTT T2/2016</v>
      </c>
      <c r="E125" s="329" t="str">
        <f ca="1">IF(ROWS($1:111)&gt;COUNT(Dong5),"",IF(OFFSET(TH!N$1,SMALL(Dong5,ROWS($1:111)),)=$E$7,OFFSET(TH!O$1,SMALL(Dong5,ROWS($1:111)),),OFFSET(TH!N$1,SMALL(Dong5,ROWS($1:111)),)))</f>
        <v>642</v>
      </c>
      <c r="F125" s="412">
        <f ca="1">IF(ROWS($1:111)&gt;COUNT(Dong5),0,IF(OFFSET(TH!N$1,SMALL(Dong5,ROWS($1:111)),)=$E$7,OFFSET(TH!M$1,SMALL(Dong5,ROWS($1:111)),),0))</f>
        <v>0</v>
      </c>
      <c r="G125" s="410">
        <f ca="1">IF(ROWS($1:111)&gt;COUNT(Dong5),0,IF(OFFSET(TH!O$1,SMALL(Dong5,ROWS($1:111)),)=$E$7,OFFSET(TH!M$1,SMALL(Dong5,ROWS($1:111)),),0))</f>
        <v>0</v>
      </c>
      <c r="H125" s="413">
        <f t="shared" ca="1" si="8"/>
        <v>204595543</v>
      </c>
      <c r="I125" s="413">
        <f t="shared" ca="1" si="9"/>
        <v>0</v>
      </c>
      <c r="J125" s="18">
        <f t="shared" ca="1" si="7"/>
        <v>3</v>
      </c>
    </row>
    <row r="126" spans="1:10" s="18" customFormat="1" ht="18" customHeight="1">
      <c r="A126" s="329">
        <f ca="1">IF(ROWS($1:112)&gt;COUNT(Dong5),"",OFFSET(TH!C$1,SMALL(Dong5,ROWS($1:112)),))</f>
        <v>42435</v>
      </c>
      <c r="B126" s="329" t="str">
        <f ca="1">IF(ROWS($1:112)&gt;COUNT(Dong5),"",OFFSET(TH!D$1,SMALL(Dong5,ROWS($1:112)),))</f>
        <v>C17</v>
      </c>
      <c r="C126" s="329">
        <f ca="1">IF(ROWS($1:112)&gt;COUNT(Dong5),"",OFFSET(TH!E$1,SMALL(Dong5,ROWS($1:112)),))</f>
        <v>42435</v>
      </c>
      <c r="D126" s="411" t="str">
        <f ca="1">IF(ROWS($1:112)&gt;COUNT(Dong5),"",OFFSET(TH!F$1,SMALL(Dong5,ROWS($1:112)),))</f>
        <v>Xăng</v>
      </c>
      <c r="E126" s="329" t="str">
        <f ca="1">IF(ROWS($1:112)&gt;COUNT(Dong5),"",IF(OFFSET(TH!N$1,SMALL(Dong5,ROWS($1:112)),)=$E$7,OFFSET(TH!O$1,SMALL(Dong5,ROWS($1:112)),),OFFSET(TH!N$1,SMALL(Dong5,ROWS($1:112)),)))</f>
        <v>642</v>
      </c>
      <c r="F126" s="412">
        <f ca="1">IF(ROWS($1:112)&gt;COUNT(Dong5),0,IF(OFFSET(TH!N$1,SMALL(Dong5,ROWS($1:112)),)=$E$7,OFFSET(TH!M$1,SMALL(Dong5,ROWS($1:112)),),0))</f>
        <v>0</v>
      </c>
      <c r="G126" s="410">
        <f ca="1">IF(ROWS($1:112)&gt;COUNT(Dong5),0,IF(OFFSET(TH!O$1,SMALL(Dong5,ROWS($1:112)),)=$E$7,OFFSET(TH!M$1,SMALL(Dong5,ROWS($1:112)),),0))</f>
        <v>0</v>
      </c>
      <c r="H126" s="413">
        <f t="shared" ca="1" si="8"/>
        <v>204595543</v>
      </c>
      <c r="I126" s="413">
        <f t="shared" ca="1" si="9"/>
        <v>0</v>
      </c>
      <c r="J126" s="18">
        <f t="shared" ca="1" si="7"/>
        <v>3</v>
      </c>
    </row>
    <row r="127" spans="1:10" s="18" customFormat="1" ht="18" customHeight="1">
      <c r="A127" s="329">
        <f ca="1">IF(ROWS($1:113)&gt;COUNT(Dong5),"",OFFSET(TH!C$1,SMALL(Dong5,ROWS($1:113)),))</f>
        <v>42436</v>
      </c>
      <c r="B127" s="329" t="str">
        <f ca="1">IF(ROWS($1:113)&gt;COUNT(Dong5),"",OFFSET(TH!D$1,SMALL(Dong5,ROWS($1:113)),))</f>
        <v>C18</v>
      </c>
      <c r="C127" s="329">
        <f ca="1">IF(ROWS($1:113)&gt;COUNT(Dong5),"",OFFSET(TH!E$1,SMALL(Dong5,ROWS($1:113)),))</f>
        <v>42436</v>
      </c>
      <c r="D127" s="411" t="str">
        <f ca="1">IF(ROWS($1:113)&gt;COUNT(Dong5),"",OFFSET(TH!F$1,SMALL(Dong5,ROWS($1:113)),))</f>
        <v>Nộp tiền mặt vào TK NH</v>
      </c>
      <c r="E127" s="329" t="str">
        <f ca="1">IF(ROWS($1:113)&gt;COUNT(Dong5),"",IF(OFFSET(TH!N$1,SMALL(Dong5,ROWS($1:113)),)=$E$7,OFFSET(TH!O$1,SMALL(Dong5,ROWS($1:113)),),OFFSET(TH!N$1,SMALL(Dong5,ROWS($1:113)),)))</f>
        <v>1121</v>
      </c>
      <c r="F127" s="412">
        <f ca="1">IF(ROWS($1:113)&gt;COUNT(Dong5),0,IF(OFFSET(TH!N$1,SMALL(Dong5,ROWS($1:113)),)=$E$7,OFFSET(TH!M$1,SMALL(Dong5,ROWS($1:113)),),0))</f>
        <v>0</v>
      </c>
      <c r="G127" s="410">
        <f ca="1">IF(ROWS($1:113)&gt;COUNT(Dong5),0,IF(OFFSET(TH!O$1,SMALL(Dong5,ROWS($1:113)),)=$E$7,OFFSET(TH!M$1,SMALL(Dong5,ROWS($1:113)),),0))</f>
        <v>0</v>
      </c>
      <c r="H127" s="413">
        <f t="shared" ca="1" si="8"/>
        <v>204595543</v>
      </c>
      <c r="I127" s="413">
        <f t="shared" ca="1" si="9"/>
        <v>0</v>
      </c>
      <c r="J127" s="18">
        <f t="shared" ca="1" si="7"/>
        <v>3</v>
      </c>
    </row>
    <row r="128" spans="1:10" s="18" customFormat="1" ht="18" customHeight="1">
      <c r="A128" s="329">
        <f ca="1">IF(ROWS($1:114)&gt;COUNT(Dong5),"",OFFSET(TH!C$1,SMALL(Dong5,ROWS($1:114)),))</f>
        <v>42436</v>
      </c>
      <c r="B128" s="329" t="str">
        <f ca="1">IF(ROWS($1:114)&gt;COUNT(Dong5),"",OFFSET(TH!D$1,SMALL(Dong5,ROWS($1:114)),))</f>
        <v>C19</v>
      </c>
      <c r="C128" s="329">
        <f ca="1">IF(ROWS($1:114)&gt;COUNT(Dong5),"",OFFSET(TH!E$1,SMALL(Dong5,ROWS($1:114)),))</f>
        <v>42436</v>
      </c>
      <c r="D128" s="411" t="str">
        <f ca="1">IF(ROWS($1:114)&gt;COUNT(Dong5),"",OFFSET(TH!F$1,SMALL(Dong5,ROWS($1:114)),))</f>
        <v>Tạm ứng mua NL</v>
      </c>
      <c r="E128" s="329" t="str">
        <f ca="1">IF(ROWS($1:114)&gt;COUNT(Dong5),"",IF(OFFSET(TH!N$1,SMALL(Dong5,ROWS($1:114)),)=$E$7,OFFSET(TH!O$1,SMALL(Dong5,ROWS($1:114)),),OFFSET(TH!N$1,SMALL(Dong5,ROWS($1:114)),)))</f>
        <v>141</v>
      </c>
      <c r="F128" s="412">
        <f ca="1">IF(ROWS($1:114)&gt;COUNT(Dong5),0,IF(OFFSET(TH!N$1,SMALL(Dong5,ROWS($1:114)),)=$E$7,OFFSET(TH!M$1,SMALL(Dong5,ROWS($1:114)),),0))</f>
        <v>0</v>
      </c>
      <c r="G128" s="410">
        <f ca="1">IF(ROWS($1:114)&gt;COUNT(Dong5),0,IF(OFFSET(TH!O$1,SMALL(Dong5,ROWS($1:114)),)=$E$7,OFFSET(TH!M$1,SMALL(Dong5,ROWS($1:114)),),0))</f>
        <v>0</v>
      </c>
      <c r="H128" s="413">
        <f t="shared" ca="1" si="8"/>
        <v>204595543</v>
      </c>
      <c r="I128" s="413">
        <f t="shared" ca="1" si="9"/>
        <v>0</v>
      </c>
      <c r="J128" s="18">
        <f t="shared" ca="1" si="7"/>
        <v>3</v>
      </c>
    </row>
    <row r="129" spans="1:10" s="18" customFormat="1" ht="18" customHeight="1">
      <c r="A129" s="329">
        <f ca="1">IF(ROWS($1:115)&gt;COUNT(Dong5),"",OFFSET(TH!C$1,SMALL(Dong5,ROWS($1:115)),))</f>
        <v>42437</v>
      </c>
      <c r="B129" s="329" t="str">
        <f ca="1">IF(ROWS($1:115)&gt;COUNT(Dong5),"",OFFSET(TH!D$1,SMALL(Dong5,ROWS($1:115)),))</f>
        <v>C23</v>
      </c>
      <c r="C129" s="329">
        <f ca="1">IF(ROWS($1:115)&gt;COUNT(Dong5),"",OFFSET(TH!E$1,SMALL(Dong5,ROWS($1:115)),))</f>
        <v>42437</v>
      </c>
      <c r="D129" s="411" t="str">
        <f ca="1">IF(ROWS($1:115)&gt;COUNT(Dong5),"",OFFSET(TH!F$1,SMALL(Dong5,ROWS($1:115)),))</f>
        <v>Thanh toán tiền đường</v>
      </c>
      <c r="E129" s="329" t="str">
        <f ca="1">IF(ROWS($1:115)&gt;COUNT(Dong5),"",IF(OFFSET(TH!N$1,SMALL(Dong5,ROWS($1:115)),)=$E$7,OFFSET(TH!O$1,SMALL(Dong5,ROWS($1:115)),),OFFSET(TH!N$1,SMALL(Dong5,ROWS($1:115)),)))</f>
        <v>331</v>
      </c>
      <c r="F129" s="412">
        <f ca="1">IF(ROWS($1:115)&gt;COUNT(Dong5),0,IF(OFFSET(TH!N$1,SMALL(Dong5,ROWS($1:115)),)=$E$7,OFFSET(TH!M$1,SMALL(Dong5,ROWS($1:115)),),0))</f>
        <v>0</v>
      </c>
      <c r="G129" s="410">
        <f ca="1">IF(ROWS($1:115)&gt;COUNT(Dong5),0,IF(OFFSET(TH!O$1,SMALL(Dong5,ROWS($1:115)),)=$E$7,OFFSET(TH!M$1,SMALL(Dong5,ROWS($1:115)),),0))</f>
        <v>0</v>
      </c>
      <c r="H129" s="413">
        <f t="shared" ca="1" si="8"/>
        <v>204595543</v>
      </c>
      <c r="I129" s="413">
        <f t="shared" ca="1" si="9"/>
        <v>0</v>
      </c>
      <c r="J129" s="18">
        <f t="shared" ca="1" si="7"/>
        <v>3</v>
      </c>
    </row>
    <row r="130" spans="1:10" s="18" customFormat="1" ht="18" customHeight="1">
      <c r="A130" s="329">
        <f ca="1">IF(ROWS($1:116)&gt;COUNT(Dong5),"",OFFSET(TH!C$1,SMALL(Dong5,ROWS($1:116)),))</f>
        <v>42440</v>
      </c>
      <c r="B130" s="329" t="str">
        <f ca="1">IF(ROWS($1:116)&gt;COUNT(Dong5),"",OFFSET(TH!D$1,SMALL(Dong5,ROWS($1:116)),))</f>
        <v>C27</v>
      </c>
      <c r="C130" s="329">
        <f ca="1">IF(ROWS($1:116)&gt;COUNT(Dong5),"",OFFSET(TH!E$1,SMALL(Dong5,ROWS($1:116)),))</f>
        <v>42440</v>
      </c>
      <c r="D130" s="411" t="str">
        <f ca="1">IF(ROWS($1:116)&gt;COUNT(Dong5),"",OFFSET(TH!F$1,SMALL(Dong5,ROWS($1:116)),))</f>
        <v>Dầu DO</v>
      </c>
      <c r="E130" s="329" t="str">
        <f ca="1">IF(ROWS($1:116)&gt;COUNT(Dong5),"",IF(OFFSET(TH!N$1,SMALL(Dong5,ROWS($1:116)),)=$E$7,OFFSET(TH!O$1,SMALL(Dong5,ROWS($1:116)),),OFFSET(TH!N$1,SMALL(Dong5,ROWS($1:116)),)))</f>
        <v>642</v>
      </c>
      <c r="F130" s="412">
        <f ca="1">IF(ROWS($1:116)&gt;COUNT(Dong5),0,IF(OFFSET(TH!N$1,SMALL(Dong5,ROWS($1:116)),)=$E$7,OFFSET(TH!M$1,SMALL(Dong5,ROWS($1:116)),),0))</f>
        <v>0</v>
      </c>
      <c r="G130" s="410">
        <f ca="1">IF(ROWS($1:116)&gt;COUNT(Dong5),0,IF(OFFSET(TH!O$1,SMALL(Dong5,ROWS($1:116)),)=$E$7,OFFSET(TH!M$1,SMALL(Dong5,ROWS($1:116)),),0))</f>
        <v>0</v>
      </c>
      <c r="H130" s="413">
        <f t="shared" ca="1" si="8"/>
        <v>204595543</v>
      </c>
      <c r="I130" s="413">
        <f t="shared" ca="1" si="9"/>
        <v>0</v>
      </c>
      <c r="J130" s="18">
        <f t="shared" ca="1" si="7"/>
        <v>3</v>
      </c>
    </row>
    <row r="131" spans="1:10" s="18" customFormat="1" ht="18" customHeight="1">
      <c r="A131" s="329">
        <f ca="1">IF(ROWS($1:117)&gt;COUNT(Dong5),"",OFFSET(TH!C$1,SMALL(Dong5,ROWS($1:117)),))</f>
        <v>42441</v>
      </c>
      <c r="B131" s="329" t="str">
        <f ca="1">IF(ROWS($1:117)&gt;COUNT(Dong5),"",OFFSET(TH!D$1,SMALL(Dong5,ROWS($1:117)),))</f>
        <v>C28</v>
      </c>
      <c r="C131" s="329">
        <f ca="1">IF(ROWS($1:117)&gt;COUNT(Dong5),"",OFFSET(TH!E$1,SMALL(Dong5,ROWS($1:117)),))</f>
        <v>42441</v>
      </c>
      <c r="D131" s="411" t="str">
        <f ca="1">IF(ROWS($1:117)&gt;COUNT(Dong5),"",OFFSET(TH!F$1,SMALL(Dong5,ROWS($1:117)),))</f>
        <v>VAT Bình ắc quy</v>
      </c>
      <c r="E131" s="329" t="str">
        <f ca="1">IF(ROWS($1:117)&gt;COUNT(Dong5),"",IF(OFFSET(TH!N$1,SMALL(Dong5,ROWS($1:117)),)=$E$7,OFFSET(TH!O$1,SMALL(Dong5,ROWS($1:117)),),OFFSET(TH!N$1,SMALL(Dong5,ROWS($1:117)),)))</f>
        <v>1111</v>
      </c>
      <c r="F131" s="412">
        <f ca="1">IF(ROWS($1:117)&gt;COUNT(Dong5),0,IF(OFFSET(TH!N$1,SMALL(Dong5,ROWS($1:117)),)=$E$7,OFFSET(TH!M$1,SMALL(Dong5,ROWS($1:117)),),0))</f>
        <v>200000</v>
      </c>
      <c r="G131" s="410">
        <f ca="1">IF(ROWS($1:117)&gt;COUNT(Dong5),0,IF(OFFSET(TH!O$1,SMALL(Dong5,ROWS($1:117)),)=$E$7,OFFSET(TH!M$1,SMALL(Dong5,ROWS($1:117)),),0))</f>
        <v>0</v>
      </c>
      <c r="H131" s="413">
        <f t="shared" ca="1" si="8"/>
        <v>204795543</v>
      </c>
      <c r="I131" s="413">
        <f t="shared" ca="1" si="9"/>
        <v>0</v>
      </c>
      <c r="J131" s="18">
        <f t="shared" ca="1" si="7"/>
        <v>3</v>
      </c>
    </row>
    <row r="132" spans="1:10" s="18" customFormat="1" ht="18" customHeight="1">
      <c r="A132" s="329">
        <f ca="1">IF(ROWS($1:118)&gt;COUNT(Dong5),"",OFFSET(TH!C$1,SMALL(Dong5,ROWS($1:118)),))</f>
        <v>42441</v>
      </c>
      <c r="B132" s="329" t="str">
        <f ca="1">IF(ROWS($1:118)&gt;COUNT(Dong5),"",OFFSET(TH!D$1,SMALL(Dong5,ROWS($1:118)),))</f>
        <v>C29</v>
      </c>
      <c r="C132" s="329">
        <f ca="1">IF(ROWS($1:118)&gt;COUNT(Dong5),"",OFFSET(TH!E$1,SMALL(Dong5,ROWS($1:118)),))</f>
        <v>42441</v>
      </c>
      <c r="D132" s="411" t="str">
        <f ca="1">IF(ROWS($1:118)&gt;COUNT(Dong5),"",OFFSET(TH!F$1,SMALL(Dong5,ROWS($1:118)),))</f>
        <v>VAT Xăng</v>
      </c>
      <c r="E132" s="329" t="str">
        <f ca="1">IF(ROWS($1:118)&gt;COUNT(Dong5),"",IF(OFFSET(TH!N$1,SMALL(Dong5,ROWS($1:118)),)=$E$7,OFFSET(TH!O$1,SMALL(Dong5,ROWS($1:118)),),OFFSET(TH!N$1,SMALL(Dong5,ROWS($1:118)),)))</f>
        <v>1111</v>
      </c>
      <c r="F132" s="412">
        <f ca="1">IF(ROWS($1:118)&gt;COUNT(Dong5),0,IF(OFFSET(TH!N$1,SMALL(Dong5,ROWS($1:118)),)=$E$7,OFFSET(TH!M$1,SMALL(Dong5,ROWS($1:118)),),0))</f>
        <v>64368</v>
      </c>
      <c r="G132" s="410">
        <f ca="1">IF(ROWS($1:118)&gt;COUNT(Dong5),0,IF(OFFSET(TH!O$1,SMALL(Dong5,ROWS($1:118)),)=$E$7,OFFSET(TH!M$1,SMALL(Dong5,ROWS($1:118)),),0))</f>
        <v>0</v>
      </c>
      <c r="H132" s="413">
        <f t="shared" ca="1" si="8"/>
        <v>204859911</v>
      </c>
      <c r="I132" s="413">
        <f t="shared" ca="1" si="9"/>
        <v>0</v>
      </c>
      <c r="J132" s="18">
        <f t="shared" ca="1" si="7"/>
        <v>3</v>
      </c>
    </row>
    <row r="133" spans="1:10" s="18" customFormat="1" ht="18" customHeight="1">
      <c r="A133" s="329">
        <f ca="1">IF(ROWS($1:119)&gt;COUNT(Dong5),"",OFFSET(TH!C$1,SMALL(Dong5,ROWS($1:119)),))</f>
        <v>42443</v>
      </c>
      <c r="B133" s="329" t="str">
        <f ca="1">IF(ROWS($1:119)&gt;COUNT(Dong5),"",OFFSET(TH!D$1,SMALL(Dong5,ROWS($1:119)),))</f>
        <v>C30</v>
      </c>
      <c r="C133" s="329">
        <f ca="1">IF(ROWS($1:119)&gt;COUNT(Dong5),"",OFFSET(TH!E$1,SMALL(Dong5,ROWS($1:119)),))</f>
        <v>42443</v>
      </c>
      <c r="D133" s="411" t="str">
        <f ca="1">IF(ROWS($1:119)&gt;COUNT(Dong5),"",OFFSET(TH!F$1,SMALL(Dong5,ROWS($1:119)),))</f>
        <v>VAT Bảo dưỡng xe 51A - 14174</v>
      </c>
      <c r="E133" s="329" t="str">
        <f ca="1">IF(ROWS($1:119)&gt;COUNT(Dong5),"",IF(OFFSET(TH!N$1,SMALL(Dong5,ROWS($1:119)),)=$E$7,OFFSET(TH!O$1,SMALL(Dong5,ROWS($1:119)),),OFFSET(TH!N$1,SMALL(Dong5,ROWS($1:119)),)))</f>
        <v>1111</v>
      </c>
      <c r="F133" s="412">
        <f ca="1">IF(ROWS($1:119)&gt;COUNT(Dong5),0,IF(OFFSET(TH!N$1,SMALL(Dong5,ROWS($1:119)),)=$E$7,OFFSET(TH!M$1,SMALL(Dong5,ROWS($1:119)),),0))</f>
        <v>141300</v>
      </c>
      <c r="G133" s="410">
        <f ca="1">IF(ROWS($1:119)&gt;COUNT(Dong5),0,IF(OFFSET(TH!O$1,SMALL(Dong5,ROWS($1:119)),)=$E$7,OFFSET(TH!M$1,SMALL(Dong5,ROWS($1:119)),),0))</f>
        <v>0</v>
      </c>
      <c r="H133" s="413">
        <f t="shared" ca="1" si="8"/>
        <v>205001211</v>
      </c>
      <c r="I133" s="413">
        <f t="shared" ca="1" si="9"/>
        <v>0</v>
      </c>
      <c r="J133" s="18">
        <f t="shared" ca="1" si="7"/>
        <v>3</v>
      </c>
    </row>
    <row r="134" spans="1:10" s="18" customFormat="1" ht="18" customHeight="1">
      <c r="A134" s="329">
        <f ca="1">IF(ROWS($1:120)&gt;COUNT(Dong5),"",OFFSET(TH!C$1,SMALL(Dong5,ROWS($1:120)),))</f>
        <v>42443</v>
      </c>
      <c r="B134" s="329" t="str">
        <f ca="1">IF(ROWS($1:120)&gt;COUNT(Dong5),"",OFFSET(TH!D$1,SMALL(Dong5,ROWS($1:120)),))</f>
        <v>C31</v>
      </c>
      <c r="C134" s="329">
        <f ca="1">IF(ROWS($1:120)&gt;COUNT(Dong5),"",OFFSET(TH!E$1,SMALL(Dong5,ROWS($1:120)),))</f>
        <v>42443</v>
      </c>
      <c r="D134" s="411" t="str">
        <f ca="1">IF(ROWS($1:120)&gt;COUNT(Dong5),"",OFFSET(TH!F$1,SMALL(Dong5,ROWS($1:120)),))</f>
        <v>VAT Phí nâng hạ</v>
      </c>
      <c r="E134" s="329" t="str">
        <f ca="1">IF(ROWS($1:120)&gt;COUNT(Dong5),"",IF(OFFSET(TH!N$1,SMALL(Dong5,ROWS($1:120)),)=$E$7,OFFSET(TH!O$1,SMALL(Dong5,ROWS($1:120)),),OFFSET(TH!N$1,SMALL(Dong5,ROWS($1:120)),)))</f>
        <v>1111</v>
      </c>
      <c r="F134" s="412">
        <f ca="1">IF(ROWS($1:120)&gt;COUNT(Dong5),0,IF(OFFSET(TH!N$1,SMALL(Dong5,ROWS($1:120)),)=$E$7,OFFSET(TH!M$1,SMALL(Dong5,ROWS($1:120)),),0))</f>
        <v>80000</v>
      </c>
      <c r="G134" s="410">
        <f ca="1">IF(ROWS($1:120)&gt;COUNT(Dong5),0,IF(OFFSET(TH!O$1,SMALL(Dong5,ROWS($1:120)),)=$E$7,OFFSET(TH!M$1,SMALL(Dong5,ROWS($1:120)),),0))</f>
        <v>0</v>
      </c>
      <c r="H134" s="413">
        <f t="shared" ca="1" si="8"/>
        <v>205081211</v>
      </c>
      <c r="I134" s="413">
        <f t="shared" ca="1" si="9"/>
        <v>0</v>
      </c>
      <c r="J134" s="18">
        <f t="shared" ca="1" si="7"/>
        <v>3</v>
      </c>
    </row>
    <row r="135" spans="1:10" s="18" customFormat="1" ht="18" customHeight="1">
      <c r="A135" s="329">
        <f ca="1">IF(ROWS($1:121)&gt;COUNT(Dong5),"",OFFSET(TH!C$1,SMALL(Dong5,ROWS($1:121)),))</f>
        <v>42443</v>
      </c>
      <c r="B135" s="329" t="str">
        <f ca="1">IF(ROWS($1:121)&gt;COUNT(Dong5),"",OFFSET(TH!D$1,SMALL(Dong5,ROWS($1:121)),))</f>
        <v>C32</v>
      </c>
      <c r="C135" s="329">
        <f ca="1">IF(ROWS($1:121)&gt;COUNT(Dong5),"",OFFSET(TH!E$1,SMALL(Dong5,ROWS($1:121)),))</f>
        <v>42443</v>
      </c>
      <c r="D135" s="411" t="str">
        <f ca="1">IF(ROWS($1:121)&gt;COUNT(Dong5),"",OFFSET(TH!F$1,SMALL(Dong5,ROWS($1:121)),))</f>
        <v>VAT Cước vận chuyển</v>
      </c>
      <c r="E135" s="329" t="str">
        <f ca="1">IF(ROWS($1:121)&gt;COUNT(Dong5),"",IF(OFFSET(TH!N$1,SMALL(Dong5,ROWS($1:121)),)=$E$7,OFFSET(TH!O$1,SMALL(Dong5,ROWS($1:121)),),OFFSET(TH!N$1,SMALL(Dong5,ROWS($1:121)),)))</f>
        <v>1111</v>
      </c>
      <c r="F135" s="412">
        <f ca="1">IF(ROWS($1:121)&gt;COUNT(Dong5),0,IF(OFFSET(TH!N$1,SMALL(Dong5,ROWS($1:121)),)=$E$7,OFFSET(TH!M$1,SMALL(Dong5,ROWS($1:121)),),0))</f>
        <v>790000</v>
      </c>
      <c r="G135" s="410">
        <f ca="1">IF(ROWS($1:121)&gt;COUNT(Dong5),0,IF(OFFSET(TH!O$1,SMALL(Dong5,ROWS($1:121)),)=$E$7,OFFSET(TH!M$1,SMALL(Dong5,ROWS($1:121)),),0))</f>
        <v>0</v>
      </c>
      <c r="H135" s="413">
        <f t="shared" ca="1" si="8"/>
        <v>205871211</v>
      </c>
      <c r="I135" s="413">
        <f t="shared" ca="1" si="9"/>
        <v>0</v>
      </c>
      <c r="J135" s="18">
        <f t="shared" ca="1" si="7"/>
        <v>3</v>
      </c>
    </row>
    <row r="136" spans="1:10" s="18" customFormat="1" ht="18" customHeight="1">
      <c r="A136" s="329">
        <f ca="1">IF(ROWS($1:122)&gt;COUNT(Dong5),"",OFFSET(TH!C$1,SMALL(Dong5,ROWS($1:122)),))</f>
        <v>42443</v>
      </c>
      <c r="B136" s="329" t="str">
        <f ca="1">IF(ROWS($1:122)&gt;COUNT(Dong5),"",OFFSET(TH!D$1,SMALL(Dong5,ROWS($1:122)),))</f>
        <v>GBN</v>
      </c>
      <c r="C136" s="329">
        <f ca="1">IF(ROWS($1:122)&gt;COUNT(Dong5),"",OFFSET(TH!E$1,SMALL(Dong5,ROWS($1:122)),))</f>
        <v>42443</v>
      </c>
      <c r="D136" s="411" t="str">
        <f ca="1">IF(ROWS($1:122)&gt;COUNT(Dong5),"",OFFSET(TH!F$1,SMALL(Dong5,ROWS($1:122)),))</f>
        <v>VAT Phí chuyển tiền</v>
      </c>
      <c r="E136" s="329" t="str">
        <f ca="1">IF(ROWS($1:122)&gt;COUNT(Dong5),"",IF(OFFSET(TH!N$1,SMALL(Dong5,ROWS($1:122)),)=$E$7,OFFSET(TH!O$1,SMALL(Dong5,ROWS($1:122)),),OFFSET(TH!N$1,SMALL(Dong5,ROWS($1:122)),)))</f>
        <v>1121</v>
      </c>
      <c r="F136" s="412">
        <f ca="1">IF(ROWS($1:122)&gt;COUNT(Dong5),0,IF(OFFSET(TH!N$1,SMALL(Dong5,ROWS($1:122)),)=$E$7,OFFSET(TH!M$1,SMALL(Dong5,ROWS($1:122)),),0))</f>
        <v>2500</v>
      </c>
      <c r="G136" s="410">
        <f ca="1">IF(ROWS($1:122)&gt;COUNT(Dong5),0,IF(OFFSET(TH!O$1,SMALL(Dong5,ROWS($1:122)),)=$E$7,OFFSET(TH!M$1,SMALL(Dong5,ROWS($1:122)),),0))</f>
        <v>0</v>
      </c>
      <c r="H136" s="413">
        <f t="shared" ca="1" si="8"/>
        <v>205873711</v>
      </c>
      <c r="I136" s="413">
        <f t="shared" ca="1" si="9"/>
        <v>0</v>
      </c>
      <c r="J136" s="18">
        <f t="shared" ca="1" si="7"/>
        <v>3</v>
      </c>
    </row>
    <row r="137" spans="1:10" s="18" customFormat="1" ht="18" customHeight="1">
      <c r="A137" s="329">
        <f ca="1">IF(ROWS($1:123)&gt;COUNT(Dong5),"",OFFSET(TH!C$1,SMALL(Dong5,ROWS($1:123)),))</f>
        <v>42444</v>
      </c>
      <c r="B137" s="329" t="str">
        <f ca="1">IF(ROWS($1:123)&gt;COUNT(Dong5),"",OFFSET(TH!D$1,SMALL(Dong5,ROWS($1:123)),))</f>
        <v>GBN</v>
      </c>
      <c r="C137" s="329">
        <f ca="1">IF(ROWS($1:123)&gt;COUNT(Dong5),"",OFFSET(TH!E$1,SMALL(Dong5,ROWS($1:123)),))</f>
        <v>42444</v>
      </c>
      <c r="D137" s="411" t="str">
        <f ca="1">IF(ROWS($1:123)&gt;COUNT(Dong5),"",OFFSET(TH!F$1,SMALL(Dong5,ROWS($1:123)),))</f>
        <v>VAT Phí thông báo LC</v>
      </c>
      <c r="E137" s="329" t="str">
        <f ca="1">IF(ROWS($1:123)&gt;COUNT(Dong5),"",IF(OFFSET(TH!N$1,SMALL(Dong5,ROWS($1:123)),)=$E$7,OFFSET(TH!O$1,SMALL(Dong5,ROWS($1:123)),),OFFSET(TH!N$1,SMALL(Dong5,ROWS($1:123)),)))</f>
        <v>1122</v>
      </c>
      <c r="F137" s="412">
        <f ca="1">IF(ROWS($1:123)&gt;COUNT(Dong5),0,IF(OFFSET(TH!N$1,SMALL(Dong5,ROWS($1:123)),)=$E$7,OFFSET(TH!M$1,SMALL(Dong5,ROWS($1:123)),),0))</f>
        <v>33443</v>
      </c>
      <c r="G137" s="410">
        <f ca="1">IF(ROWS($1:123)&gt;COUNT(Dong5),0,IF(OFFSET(TH!O$1,SMALL(Dong5,ROWS($1:123)),)=$E$7,OFFSET(TH!M$1,SMALL(Dong5,ROWS($1:123)),),0))</f>
        <v>0</v>
      </c>
      <c r="H137" s="413">
        <f t="shared" ca="1" si="8"/>
        <v>205907154</v>
      </c>
      <c r="I137" s="413">
        <f t="shared" ca="1" si="9"/>
        <v>0</v>
      </c>
      <c r="J137" s="18">
        <f t="shared" ca="1" si="7"/>
        <v>3</v>
      </c>
    </row>
    <row r="138" spans="1:10" s="18" customFormat="1" ht="18" customHeight="1">
      <c r="A138" s="329">
        <f ca="1">IF(ROWS($1:124)&gt;COUNT(Dong5),"",OFFSET(TH!C$1,SMALL(Dong5,ROWS($1:124)),))</f>
        <v>42444</v>
      </c>
      <c r="B138" s="329" t="str">
        <f ca="1">IF(ROWS($1:124)&gt;COUNT(Dong5),"",OFFSET(TH!D$1,SMALL(Dong5,ROWS($1:124)),))</f>
        <v>GBN</v>
      </c>
      <c r="C138" s="329">
        <f ca="1">IF(ROWS($1:124)&gt;COUNT(Dong5),"",OFFSET(TH!E$1,SMALL(Dong5,ROWS($1:124)),))</f>
        <v>42444</v>
      </c>
      <c r="D138" s="411" t="str">
        <f ca="1">IF(ROWS($1:124)&gt;COUNT(Dong5),"",OFFSET(TH!F$1,SMALL(Dong5,ROWS($1:124)),))</f>
        <v>VAT Phí xử lý bộ chứng từ</v>
      </c>
      <c r="E138" s="329" t="str">
        <f ca="1">IF(ROWS($1:124)&gt;COUNT(Dong5),"",IF(OFFSET(TH!N$1,SMALL(Dong5,ROWS($1:124)),)=$E$7,OFFSET(TH!O$1,SMALL(Dong5,ROWS($1:124)),),OFFSET(TH!N$1,SMALL(Dong5,ROWS($1:124)),)))</f>
        <v>1122</v>
      </c>
      <c r="F138" s="412">
        <f ca="1">IF(ROWS($1:124)&gt;COUNT(Dong5),0,IF(OFFSET(TH!N$1,SMALL(Dong5,ROWS($1:124)),)=$E$7,OFFSET(TH!M$1,SMALL(Dong5,ROWS($1:124)),),0))</f>
        <v>22295</v>
      </c>
      <c r="G138" s="410">
        <f ca="1">IF(ROWS($1:124)&gt;COUNT(Dong5),0,IF(OFFSET(TH!O$1,SMALL(Dong5,ROWS($1:124)),)=$E$7,OFFSET(TH!M$1,SMALL(Dong5,ROWS($1:124)),),0))</f>
        <v>0</v>
      </c>
      <c r="H138" s="413">
        <f t="shared" ca="1" si="8"/>
        <v>205929449</v>
      </c>
      <c r="I138" s="413">
        <f t="shared" ca="1" si="9"/>
        <v>0</v>
      </c>
      <c r="J138" s="18">
        <f t="shared" ca="1" si="7"/>
        <v>3</v>
      </c>
    </row>
    <row r="139" spans="1:10" s="18" customFormat="1" ht="18" customHeight="1">
      <c r="A139" s="329">
        <f ca="1">IF(ROWS($1:125)&gt;COUNT(Dong5),"",OFFSET(TH!C$1,SMALL(Dong5,ROWS($1:125)),))</f>
        <v>42444</v>
      </c>
      <c r="B139" s="329" t="str">
        <f ca="1">IF(ROWS($1:125)&gt;COUNT(Dong5),"",OFFSET(TH!D$1,SMALL(Dong5,ROWS($1:125)),))</f>
        <v>GBN</v>
      </c>
      <c r="C139" s="329">
        <f ca="1">IF(ROWS($1:125)&gt;COUNT(Dong5),"",OFFSET(TH!E$1,SMALL(Dong5,ROWS($1:125)),))</f>
        <v>42444</v>
      </c>
      <c r="D139" s="411" t="str">
        <f ca="1">IF(ROWS($1:125)&gt;COUNT(Dong5),"",OFFSET(TH!F$1,SMALL(Dong5,ROWS($1:125)),))</f>
        <v>VAT Bưu phí</v>
      </c>
      <c r="E139" s="329" t="str">
        <f ca="1">IF(ROWS($1:125)&gt;COUNT(Dong5),"",IF(OFFSET(TH!N$1,SMALL(Dong5,ROWS($1:125)),)=$E$7,OFFSET(TH!O$1,SMALL(Dong5,ROWS($1:125)),),OFFSET(TH!N$1,SMALL(Dong5,ROWS($1:125)),)))</f>
        <v>1122</v>
      </c>
      <c r="F139" s="412">
        <f ca="1">IF(ROWS($1:125)&gt;COUNT(Dong5),0,IF(OFFSET(TH!N$1,SMALL(Dong5,ROWS($1:125)),)=$E$7,OFFSET(TH!M$1,SMALL(Dong5,ROWS($1:125)),),0))</f>
        <v>70452</v>
      </c>
      <c r="G139" s="410">
        <f ca="1">IF(ROWS($1:125)&gt;COUNT(Dong5),0,IF(OFFSET(TH!O$1,SMALL(Dong5,ROWS($1:125)),)=$E$7,OFFSET(TH!M$1,SMALL(Dong5,ROWS($1:125)),),0))</f>
        <v>0</v>
      </c>
      <c r="H139" s="413">
        <f t="shared" ca="1" si="8"/>
        <v>205999901</v>
      </c>
      <c r="I139" s="413">
        <f t="shared" ca="1" si="9"/>
        <v>0</v>
      </c>
      <c r="J139" s="18">
        <f t="shared" ca="1" si="7"/>
        <v>3</v>
      </c>
    </row>
    <row r="140" spans="1:10" s="18" customFormat="1" ht="18" customHeight="1">
      <c r="A140" s="329">
        <f ca="1">IF(ROWS($1:126)&gt;COUNT(Dong5),"",OFFSET(TH!C$1,SMALL(Dong5,ROWS($1:126)),))</f>
        <v>42444</v>
      </c>
      <c r="B140" s="329" t="str">
        <f ca="1">IF(ROWS($1:126)&gt;COUNT(Dong5),"",OFFSET(TH!D$1,SMALL(Dong5,ROWS($1:126)),))</f>
        <v>GBN</v>
      </c>
      <c r="C140" s="329">
        <f ca="1">IF(ROWS($1:126)&gt;COUNT(Dong5),"",OFFSET(TH!E$1,SMALL(Dong5,ROWS($1:126)),))</f>
        <v>42444</v>
      </c>
      <c r="D140" s="411" t="str">
        <f ca="1">IF(ROWS($1:126)&gt;COUNT(Dong5),"",OFFSET(TH!F$1,SMALL(Dong5,ROWS($1:126)),))</f>
        <v>VAT Phí chuyển tiền</v>
      </c>
      <c r="E140" s="329" t="str">
        <f ca="1">IF(ROWS($1:126)&gt;COUNT(Dong5),"",IF(OFFSET(TH!N$1,SMALL(Dong5,ROWS($1:126)),)=$E$7,OFFSET(TH!O$1,SMALL(Dong5,ROWS($1:126)),),OFFSET(TH!N$1,SMALL(Dong5,ROWS($1:126)),)))</f>
        <v>1121</v>
      </c>
      <c r="F140" s="412">
        <f ca="1">IF(ROWS($1:126)&gt;COUNT(Dong5),0,IF(OFFSET(TH!N$1,SMALL(Dong5,ROWS($1:126)),)=$E$7,OFFSET(TH!M$1,SMALL(Dong5,ROWS($1:126)),),0))</f>
        <v>2000</v>
      </c>
      <c r="G140" s="410">
        <f ca="1">IF(ROWS($1:126)&gt;COUNT(Dong5),0,IF(OFFSET(TH!O$1,SMALL(Dong5,ROWS($1:126)),)=$E$7,OFFSET(TH!M$1,SMALL(Dong5,ROWS($1:126)),),0))</f>
        <v>0</v>
      </c>
      <c r="H140" s="413">
        <f t="shared" ca="1" si="8"/>
        <v>206001901</v>
      </c>
      <c r="I140" s="413">
        <f t="shared" ca="1" si="9"/>
        <v>0</v>
      </c>
      <c r="J140" s="18">
        <f t="shared" ca="1" si="7"/>
        <v>3</v>
      </c>
    </row>
    <row r="141" spans="1:10" s="18" customFormat="1" ht="18" customHeight="1">
      <c r="A141" s="329">
        <f ca="1">IF(ROWS($1:127)&gt;COUNT(Dong5),"",OFFSET(TH!C$1,SMALL(Dong5,ROWS($1:127)),))</f>
        <v>42444</v>
      </c>
      <c r="B141" s="329" t="str">
        <f ca="1">IF(ROWS($1:127)&gt;COUNT(Dong5),"",OFFSET(TH!D$1,SMALL(Dong5,ROWS($1:127)),))</f>
        <v>GBN</v>
      </c>
      <c r="C141" s="329">
        <f ca="1">IF(ROWS($1:127)&gt;COUNT(Dong5),"",OFFSET(TH!E$1,SMALL(Dong5,ROWS($1:127)),))</f>
        <v>42444</v>
      </c>
      <c r="D141" s="411" t="str">
        <f ca="1">IF(ROWS($1:127)&gt;COUNT(Dong5),"",OFFSET(TH!F$1,SMALL(Dong5,ROWS($1:127)),))</f>
        <v>VAT Phí chuyển tiền</v>
      </c>
      <c r="E141" s="329" t="str">
        <f ca="1">IF(ROWS($1:127)&gt;COUNT(Dong5),"",IF(OFFSET(TH!N$1,SMALL(Dong5,ROWS($1:127)),)=$E$7,OFFSET(TH!O$1,SMALL(Dong5,ROWS($1:127)),),OFFSET(TH!N$1,SMALL(Dong5,ROWS($1:127)),)))</f>
        <v>1121</v>
      </c>
      <c r="F141" s="412">
        <f ca="1">IF(ROWS($1:127)&gt;COUNT(Dong5),0,IF(OFFSET(TH!N$1,SMALL(Dong5,ROWS($1:127)),)=$E$7,OFFSET(TH!M$1,SMALL(Dong5,ROWS($1:127)),),0))</f>
        <v>2000</v>
      </c>
      <c r="G141" s="410">
        <f ca="1">IF(ROWS($1:127)&gt;COUNT(Dong5),0,IF(OFFSET(TH!O$1,SMALL(Dong5,ROWS($1:127)),)=$E$7,OFFSET(TH!M$1,SMALL(Dong5,ROWS($1:127)),),0))</f>
        <v>0</v>
      </c>
      <c r="H141" s="413">
        <f t="shared" ca="1" si="8"/>
        <v>206003901</v>
      </c>
      <c r="I141" s="413">
        <f t="shared" ca="1" si="9"/>
        <v>0</v>
      </c>
      <c r="J141" s="18">
        <f t="shared" ca="1" si="7"/>
        <v>3</v>
      </c>
    </row>
    <row r="142" spans="1:10" s="18" customFormat="1" ht="18" customHeight="1">
      <c r="A142" s="329">
        <f ca="1">IF(ROWS($1:128)&gt;COUNT(Dong5),"",OFFSET(TH!C$1,SMALL(Dong5,ROWS($1:128)),))</f>
        <v>42444</v>
      </c>
      <c r="B142" s="329" t="str">
        <f ca="1">IF(ROWS($1:128)&gt;COUNT(Dong5),"",OFFSET(TH!D$1,SMALL(Dong5,ROWS($1:128)),))</f>
        <v>GBN</v>
      </c>
      <c r="C142" s="329">
        <f ca="1">IF(ROWS($1:128)&gt;COUNT(Dong5),"",OFFSET(TH!E$1,SMALL(Dong5,ROWS($1:128)),))</f>
        <v>42444</v>
      </c>
      <c r="D142" s="411" t="str">
        <f ca="1">IF(ROWS($1:128)&gt;COUNT(Dong5),"",OFFSET(TH!F$1,SMALL(Dong5,ROWS($1:128)),))</f>
        <v>VAT Phí chuyển tiền</v>
      </c>
      <c r="E142" s="329" t="str">
        <f ca="1">IF(ROWS($1:128)&gt;COUNT(Dong5),"",IF(OFFSET(TH!N$1,SMALL(Dong5,ROWS($1:128)),)=$E$7,OFFSET(TH!O$1,SMALL(Dong5,ROWS($1:128)),),OFFSET(TH!N$1,SMALL(Dong5,ROWS($1:128)),)))</f>
        <v>1121</v>
      </c>
      <c r="F142" s="412">
        <f ca="1">IF(ROWS($1:128)&gt;COUNT(Dong5),0,IF(OFFSET(TH!N$1,SMALL(Dong5,ROWS($1:128)),)=$E$7,OFFSET(TH!M$1,SMALL(Dong5,ROWS($1:128)),),0))</f>
        <v>2500</v>
      </c>
      <c r="G142" s="410">
        <f ca="1">IF(ROWS($1:128)&gt;COUNT(Dong5),0,IF(OFFSET(TH!O$1,SMALL(Dong5,ROWS($1:128)),)=$E$7,OFFSET(TH!M$1,SMALL(Dong5,ROWS($1:128)),),0))</f>
        <v>0</v>
      </c>
      <c r="H142" s="413">
        <f t="shared" ca="1" si="8"/>
        <v>206006401</v>
      </c>
      <c r="I142" s="413">
        <f t="shared" ca="1" si="9"/>
        <v>0</v>
      </c>
      <c r="J142" s="18">
        <f t="shared" ca="1" si="7"/>
        <v>3</v>
      </c>
    </row>
    <row r="143" spans="1:10" s="18" customFormat="1" ht="18" customHeight="1">
      <c r="A143" s="329">
        <f ca="1">IF(ROWS($1:129)&gt;COUNT(Dong5),"",OFFSET(TH!C$1,SMALL(Dong5,ROWS($1:129)),))</f>
        <v>42444</v>
      </c>
      <c r="B143" s="329" t="str">
        <f ca="1">IF(ROWS($1:129)&gt;COUNT(Dong5),"",OFFSET(TH!D$1,SMALL(Dong5,ROWS($1:129)),))</f>
        <v>GBN</v>
      </c>
      <c r="C143" s="329">
        <f ca="1">IF(ROWS($1:129)&gt;COUNT(Dong5),"",OFFSET(TH!E$1,SMALL(Dong5,ROWS($1:129)),))</f>
        <v>42444</v>
      </c>
      <c r="D143" s="411" t="str">
        <f ca="1">IF(ROWS($1:129)&gt;COUNT(Dong5),"",OFFSET(TH!F$1,SMALL(Dong5,ROWS($1:129)),))</f>
        <v>VAT Phí chuyển tiền</v>
      </c>
      <c r="E143" s="329" t="str">
        <f ca="1">IF(ROWS($1:129)&gt;COUNT(Dong5),"",IF(OFFSET(TH!N$1,SMALL(Dong5,ROWS($1:129)),)=$E$7,OFFSET(TH!O$1,SMALL(Dong5,ROWS($1:129)),),OFFSET(TH!N$1,SMALL(Dong5,ROWS($1:129)),)))</f>
        <v>1121</v>
      </c>
      <c r="F143" s="412">
        <f ca="1">IF(ROWS($1:129)&gt;COUNT(Dong5),0,IF(OFFSET(TH!N$1,SMALL(Dong5,ROWS($1:129)),)=$E$7,OFFSET(TH!M$1,SMALL(Dong5,ROWS($1:129)),),0))</f>
        <v>2500</v>
      </c>
      <c r="G143" s="410">
        <f ca="1">IF(ROWS($1:129)&gt;COUNT(Dong5),0,IF(OFFSET(TH!O$1,SMALL(Dong5,ROWS($1:129)),)=$E$7,OFFSET(TH!M$1,SMALL(Dong5,ROWS($1:129)),),0))</f>
        <v>0</v>
      </c>
      <c r="H143" s="413">
        <f t="shared" ref="H143:H164" ca="1" si="10">IF(D143&lt;&gt;"",MAX(H142+F143-G143-I142,0),0)</f>
        <v>206008901</v>
      </c>
      <c r="I143" s="413">
        <f t="shared" ref="I143:I164" ca="1" si="11">IF(D143&lt;&gt;"",MAX(I142+G143-H142-F143,0),0)</f>
        <v>0</v>
      </c>
      <c r="J143" s="18">
        <f t="shared" ca="1" si="7"/>
        <v>3</v>
      </c>
    </row>
    <row r="144" spans="1:10" s="18" customFormat="1" ht="18" customHeight="1">
      <c r="A144" s="329">
        <f ca="1">IF(ROWS($1:130)&gt;COUNT(Dong5),"",OFFSET(TH!C$1,SMALL(Dong5,ROWS($1:130)),))</f>
        <v>42444</v>
      </c>
      <c r="B144" s="329" t="str">
        <f ca="1">IF(ROWS($1:130)&gt;COUNT(Dong5),"",OFFSET(TH!D$1,SMALL(Dong5,ROWS($1:130)),))</f>
        <v>GBN</v>
      </c>
      <c r="C144" s="329">
        <f ca="1">IF(ROWS($1:130)&gt;COUNT(Dong5),"",OFFSET(TH!E$1,SMALL(Dong5,ROWS($1:130)),))</f>
        <v>42444</v>
      </c>
      <c r="D144" s="411" t="str">
        <f ca="1">IF(ROWS($1:130)&gt;COUNT(Dong5),"",OFFSET(TH!F$1,SMALL(Dong5,ROWS($1:130)),))</f>
        <v>VAT Phí chuyển tiền</v>
      </c>
      <c r="E144" s="329" t="str">
        <f ca="1">IF(ROWS($1:130)&gt;COUNT(Dong5),"",IF(OFFSET(TH!N$1,SMALL(Dong5,ROWS($1:130)),)=$E$7,OFFSET(TH!O$1,SMALL(Dong5,ROWS($1:130)),),OFFSET(TH!N$1,SMALL(Dong5,ROWS($1:130)),)))</f>
        <v>1121</v>
      </c>
      <c r="F144" s="412">
        <f ca="1">IF(ROWS($1:130)&gt;COUNT(Dong5),0,IF(OFFSET(TH!N$1,SMALL(Dong5,ROWS($1:130)),)=$E$7,OFFSET(TH!M$1,SMALL(Dong5,ROWS($1:130)),),0))</f>
        <v>5000</v>
      </c>
      <c r="G144" s="410">
        <f ca="1">IF(ROWS($1:130)&gt;COUNT(Dong5),0,IF(OFFSET(TH!O$1,SMALL(Dong5,ROWS($1:130)),)=$E$7,OFFSET(TH!M$1,SMALL(Dong5,ROWS($1:130)),),0))</f>
        <v>0</v>
      </c>
      <c r="H144" s="413">
        <f t="shared" ca="1" si="10"/>
        <v>206013901</v>
      </c>
      <c r="I144" s="413">
        <f t="shared" ca="1" si="11"/>
        <v>0</v>
      </c>
      <c r="J144" s="18">
        <f t="shared" ref="J144:J200" ca="1" si="12">MONTH(A144)</f>
        <v>3</v>
      </c>
    </row>
    <row r="145" spans="1:10" s="18" customFormat="1" ht="18" customHeight="1">
      <c r="A145" s="329">
        <f ca="1">IF(ROWS($1:131)&gt;COUNT(Dong5),"",OFFSET(TH!C$1,SMALL(Dong5,ROWS($1:131)),))</f>
        <v>42444</v>
      </c>
      <c r="B145" s="329" t="str">
        <f ca="1">IF(ROWS($1:131)&gt;COUNT(Dong5),"",OFFSET(TH!D$1,SMALL(Dong5,ROWS($1:131)),))</f>
        <v>GBN</v>
      </c>
      <c r="C145" s="329">
        <f ca="1">IF(ROWS($1:131)&gt;COUNT(Dong5),"",OFFSET(TH!E$1,SMALL(Dong5,ROWS($1:131)),))</f>
        <v>42444</v>
      </c>
      <c r="D145" s="411" t="str">
        <f ca="1">IF(ROWS($1:131)&gt;COUNT(Dong5),"",OFFSET(TH!F$1,SMALL(Dong5,ROWS($1:131)),))</f>
        <v>VAT Phí chuyển tiền</v>
      </c>
      <c r="E145" s="329" t="str">
        <f ca="1">IF(ROWS($1:131)&gt;COUNT(Dong5),"",IF(OFFSET(TH!N$1,SMALL(Dong5,ROWS($1:131)),)=$E$7,OFFSET(TH!O$1,SMALL(Dong5,ROWS($1:131)),),OFFSET(TH!N$1,SMALL(Dong5,ROWS($1:131)),)))</f>
        <v>1121</v>
      </c>
      <c r="F145" s="412">
        <f ca="1">IF(ROWS($1:131)&gt;COUNT(Dong5),0,IF(OFFSET(TH!N$1,SMALL(Dong5,ROWS($1:131)),)=$E$7,OFFSET(TH!M$1,SMALL(Dong5,ROWS($1:131)),),0))</f>
        <v>2000</v>
      </c>
      <c r="G145" s="410">
        <f ca="1">IF(ROWS($1:131)&gt;COUNT(Dong5),0,IF(OFFSET(TH!O$1,SMALL(Dong5,ROWS($1:131)),)=$E$7,OFFSET(TH!M$1,SMALL(Dong5,ROWS($1:131)),),0))</f>
        <v>0</v>
      </c>
      <c r="H145" s="413">
        <f t="shared" ca="1" si="10"/>
        <v>206015901</v>
      </c>
      <c r="I145" s="413">
        <f t="shared" ca="1" si="11"/>
        <v>0</v>
      </c>
      <c r="J145" s="18">
        <f t="shared" ca="1" si="12"/>
        <v>3</v>
      </c>
    </row>
    <row r="146" spans="1:10" s="18" customFormat="1" ht="18" customHeight="1">
      <c r="A146" s="329">
        <f ca="1">IF(ROWS($1:132)&gt;COUNT(Dong5),"",OFFSET(TH!C$1,SMALL(Dong5,ROWS($1:132)),))</f>
        <v>42444</v>
      </c>
      <c r="B146" s="329" t="str">
        <f ca="1">IF(ROWS($1:132)&gt;COUNT(Dong5),"",OFFSET(TH!D$1,SMALL(Dong5,ROWS($1:132)),))</f>
        <v>GBN</v>
      </c>
      <c r="C146" s="329">
        <f ca="1">IF(ROWS($1:132)&gt;COUNT(Dong5),"",OFFSET(TH!E$1,SMALL(Dong5,ROWS($1:132)),))</f>
        <v>42444</v>
      </c>
      <c r="D146" s="411" t="str">
        <f ca="1">IF(ROWS($1:132)&gt;COUNT(Dong5),"",OFFSET(TH!F$1,SMALL(Dong5,ROWS($1:132)),))</f>
        <v>VAT Phí chuyển tiền</v>
      </c>
      <c r="E146" s="329" t="str">
        <f ca="1">IF(ROWS($1:132)&gt;COUNT(Dong5),"",IF(OFFSET(TH!N$1,SMALL(Dong5,ROWS($1:132)),)=$E$7,OFFSET(TH!O$1,SMALL(Dong5,ROWS($1:132)),),OFFSET(TH!N$1,SMALL(Dong5,ROWS($1:132)),)))</f>
        <v>1121</v>
      </c>
      <c r="F146" s="412">
        <f ca="1">IF(ROWS($1:132)&gt;COUNT(Dong5),0,IF(OFFSET(TH!N$1,SMALL(Dong5,ROWS($1:132)),)=$E$7,OFFSET(TH!M$1,SMALL(Dong5,ROWS($1:132)),),0))</f>
        <v>2000</v>
      </c>
      <c r="G146" s="410">
        <f ca="1">IF(ROWS($1:132)&gt;COUNT(Dong5),0,IF(OFFSET(TH!O$1,SMALL(Dong5,ROWS($1:132)),)=$E$7,OFFSET(TH!M$1,SMALL(Dong5,ROWS($1:132)),),0))</f>
        <v>0</v>
      </c>
      <c r="H146" s="413">
        <f t="shared" ca="1" si="10"/>
        <v>206017901</v>
      </c>
      <c r="I146" s="413">
        <f t="shared" ca="1" si="11"/>
        <v>0</v>
      </c>
      <c r="J146" s="18">
        <f t="shared" ca="1" si="12"/>
        <v>3</v>
      </c>
    </row>
    <row r="147" spans="1:10" s="18" customFormat="1" ht="18" customHeight="1">
      <c r="A147" s="329">
        <f ca="1">IF(ROWS($1:133)&gt;COUNT(Dong5),"",OFFSET(TH!C$1,SMALL(Dong5,ROWS($1:133)),))</f>
        <v>42444</v>
      </c>
      <c r="B147" s="329" t="str">
        <f ca="1">IF(ROWS($1:133)&gt;COUNT(Dong5),"",OFFSET(TH!D$1,SMALL(Dong5,ROWS($1:133)),))</f>
        <v>GBN</v>
      </c>
      <c r="C147" s="329">
        <f ca="1">IF(ROWS($1:133)&gt;COUNT(Dong5),"",OFFSET(TH!E$1,SMALL(Dong5,ROWS($1:133)),))</f>
        <v>42444</v>
      </c>
      <c r="D147" s="411" t="str">
        <f ca="1">IF(ROWS($1:133)&gt;COUNT(Dong5),"",OFFSET(TH!F$1,SMALL(Dong5,ROWS($1:133)),))</f>
        <v>VAT Phí chuyển tiền</v>
      </c>
      <c r="E147" s="329" t="str">
        <f ca="1">IF(ROWS($1:133)&gt;COUNT(Dong5),"",IF(OFFSET(TH!N$1,SMALL(Dong5,ROWS($1:133)),)=$E$7,OFFSET(TH!O$1,SMALL(Dong5,ROWS($1:133)),),OFFSET(TH!N$1,SMALL(Dong5,ROWS($1:133)),)))</f>
        <v>1121</v>
      </c>
      <c r="F147" s="412">
        <f ca="1">IF(ROWS($1:133)&gt;COUNT(Dong5),0,IF(OFFSET(TH!N$1,SMALL(Dong5,ROWS($1:133)),)=$E$7,OFFSET(TH!M$1,SMALL(Dong5,ROWS($1:133)),),0))</f>
        <v>2000</v>
      </c>
      <c r="G147" s="410">
        <f ca="1">IF(ROWS($1:133)&gt;COUNT(Dong5),0,IF(OFFSET(TH!O$1,SMALL(Dong5,ROWS($1:133)),)=$E$7,OFFSET(TH!M$1,SMALL(Dong5,ROWS($1:133)),),0))</f>
        <v>0</v>
      </c>
      <c r="H147" s="413">
        <f t="shared" ca="1" si="10"/>
        <v>206019901</v>
      </c>
      <c r="I147" s="413">
        <f t="shared" ca="1" si="11"/>
        <v>0</v>
      </c>
      <c r="J147" s="18">
        <f t="shared" ca="1" si="12"/>
        <v>3</v>
      </c>
    </row>
    <row r="148" spans="1:10" s="18" customFormat="1" ht="18" customHeight="1">
      <c r="A148" s="329">
        <f ca="1">IF(ROWS($1:134)&gt;COUNT(Dong5),"",OFFSET(TH!C$1,SMALL(Dong5,ROWS($1:134)),))</f>
        <v>42443</v>
      </c>
      <c r="B148" s="329" t="str">
        <f ca="1">IF(ROWS($1:134)&gt;COUNT(Dong5),"",OFFSET(TH!D$1,SMALL(Dong5,ROWS($1:134)),))</f>
        <v>C33</v>
      </c>
      <c r="C148" s="329">
        <f ca="1">IF(ROWS($1:134)&gt;COUNT(Dong5),"",OFFSET(TH!E$1,SMALL(Dong5,ROWS($1:134)),))</f>
        <v>42443</v>
      </c>
      <c r="D148" s="411" t="str">
        <f ca="1">IF(ROWS($1:134)&gt;COUNT(Dong5),"",OFFSET(TH!F$1,SMALL(Dong5,ROWS($1:134)),))</f>
        <v>VAT Phí cấp cont, hạ bãi</v>
      </c>
      <c r="E148" s="329" t="str">
        <f ca="1">IF(ROWS($1:134)&gt;COUNT(Dong5),"",IF(OFFSET(TH!N$1,SMALL(Dong5,ROWS($1:134)),)=$E$7,OFFSET(TH!O$1,SMALL(Dong5,ROWS($1:134)),),OFFSET(TH!N$1,SMALL(Dong5,ROWS($1:134)),)))</f>
        <v>1111</v>
      </c>
      <c r="F148" s="412">
        <f ca="1">IF(ROWS($1:134)&gt;COUNT(Dong5),0,IF(OFFSET(TH!N$1,SMALL(Dong5,ROWS($1:134)),)=$E$7,OFFSET(TH!M$1,SMALL(Dong5,ROWS($1:134)),),0))</f>
        <v>131820</v>
      </c>
      <c r="G148" s="410">
        <f ca="1">IF(ROWS($1:134)&gt;COUNT(Dong5),0,IF(OFFSET(TH!O$1,SMALL(Dong5,ROWS($1:134)),)=$E$7,OFFSET(TH!M$1,SMALL(Dong5,ROWS($1:134)),),0))</f>
        <v>0</v>
      </c>
      <c r="H148" s="413">
        <f t="shared" ca="1" si="10"/>
        <v>206151721</v>
      </c>
      <c r="I148" s="413">
        <f t="shared" ca="1" si="11"/>
        <v>0</v>
      </c>
      <c r="J148" s="18">
        <f t="shared" ca="1" si="12"/>
        <v>3</v>
      </c>
    </row>
    <row r="149" spans="1:10" s="18" customFormat="1" ht="18" customHeight="1">
      <c r="A149" s="329">
        <f ca="1">IF(ROWS($1:135)&gt;COUNT(Dong5),"",OFFSET(TH!C$1,SMALL(Dong5,ROWS($1:135)),))</f>
        <v>42446</v>
      </c>
      <c r="B149" s="329" t="str">
        <f ca="1">IF(ROWS($1:135)&gt;COUNT(Dong5),"",OFFSET(TH!D$1,SMALL(Dong5,ROWS($1:135)),))</f>
        <v>C36</v>
      </c>
      <c r="C149" s="329">
        <f ca="1">IF(ROWS($1:135)&gt;COUNT(Dong5),"",OFFSET(TH!E$1,SMALL(Dong5,ROWS($1:135)),))</f>
        <v>42446</v>
      </c>
      <c r="D149" s="411" t="str">
        <f ca="1">IF(ROWS($1:135)&gt;COUNT(Dong5),"",OFFSET(TH!F$1,SMALL(Dong5,ROWS($1:135)),))</f>
        <v>Thanh toán tiền băng keo</v>
      </c>
      <c r="E149" s="329" t="str">
        <f ca="1">IF(ROWS($1:135)&gt;COUNT(Dong5),"",IF(OFFSET(TH!N$1,SMALL(Dong5,ROWS($1:135)),)=$E$7,OFFSET(TH!O$1,SMALL(Dong5,ROWS($1:135)),),OFFSET(TH!N$1,SMALL(Dong5,ROWS($1:135)),)))</f>
        <v>331</v>
      </c>
      <c r="F149" s="412">
        <f ca="1">IF(ROWS($1:135)&gt;COUNT(Dong5),0,IF(OFFSET(TH!N$1,SMALL(Dong5,ROWS($1:135)),)=$E$7,OFFSET(TH!M$1,SMALL(Dong5,ROWS($1:135)),),0))</f>
        <v>0</v>
      </c>
      <c r="G149" s="410">
        <f ca="1">IF(ROWS($1:135)&gt;COUNT(Dong5),0,IF(OFFSET(TH!O$1,SMALL(Dong5,ROWS($1:135)),)=$E$7,OFFSET(TH!M$1,SMALL(Dong5,ROWS($1:135)),),0))</f>
        <v>0</v>
      </c>
      <c r="H149" s="413">
        <f t="shared" ca="1" si="10"/>
        <v>206151721</v>
      </c>
      <c r="I149" s="413">
        <f t="shared" ca="1" si="11"/>
        <v>0</v>
      </c>
      <c r="J149" s="18">
        <f t="shared" ca="1" si="12"/>
        <v>3</v>
      </c>
    </row>
    <row r="150" spans="1:10" s="18" customFormat="1" ht="18" customHeight="1">
      <c r="A150" s="329">
        <f ca="1">IF(ROWS($1:136)&gt;COUNT(Dong5),"",OFFSET(TH!C$1,SMALL(Dong5,ROWS($1:136)),))</f>
        <v>42446</v>
      </c>
      <c r="B150" s="329" t="str">
        <f ca="1">IF(ROWS($1:136)&gt;COUNT(Dong5),"",OFFSET(TH!D$1,SMALL(Dong5,ROWS($1:136)),))</f>
        <v>GBN</v>
      </c>
      <c r="C150" s="329">
        <f ca="1">IF(ROWS($1:136)&gt;COUNT(Dong5),"",OFFSET(TH!E$1,SMALL(Dong5,ROWS($1:136)),))</f>
        <v>42446</v>
      </c>
      <c r="D150" s="411" t="str">
        <f ca="1">IF(ROWS($1:136)&gt;COUNT(Dong5),"",OFFSET(TH!F$1,SMALL(Dong5,ROWS($1:136)),))</f>
        <v>VAT Phí thông báo số dư</v>
      </c>
      <c r="E150" s="329" t="str">
        <f ca="1">IF(ROWS($1:136)&gt;COUNT(Dong5),"",IF(OFFSET(TH!N$1,SMALL(Dong5,ROWS($1:136)),)=$E$7,OFFSET(TH!O$1,SMALL(Dong5,ROWS($1:136)),),OFFSET(TH!N$1,SMALL(Dong5,ROWS($1:136)),)))</f>
        <v>1121</v>
      </c>
      <c r="F150" s="412">
        <f ca="1">IF(ROWS($1:136)&gt;COUNT(Dong5),0,IF(OFFSET(TH!N$1,SMALL(Dong5,ROWS($1:136)),)=$E$7,OFFSET(TH!M$1,SMALL(Dong5,ROWS($1:136)),),0))</f>
        <v>5000</v>
      </c>
      <c r="G150" s="410">
        <f ca="1">IF(ROWS($1:136)&gt;COUNT(Dong5),0,IF(OFFSET(TH!O$1,SMALL(Dong5,ROWS($1:136)),)=$E$7,OFFSET(TH!M$1,SMALL(Dong5,ROWS($1:136)),),0))</f>
        <v>0</v>
      </c>
      <c r="H150" s="413">
        <f t="shared" ca="1" si="10"/>
        <v>206156721</v>
      </c>
      <c r="I150" s="413">
        <f t="shared" ca="1" si="11"/>
        <v>0</v>
      </c>
      <c r="J150" s="18">
        <f t="shared" ca="1" si="12"/>
        <v>3</v>
      </c>
    </row>
    <row r="151" spans="1:10" s="18" customFormat="1" ht="18" customHeight="1">
      <c r="A151" s="329">
        <f ca="1">IF(ROWS($1:137)&gt;COUNT(Dong5),"",OFFSET(TH!C$1,SMALL(Dong5,ROWS($1:137)),))</f>
        <v>42446</v>
      </c>
      <c r="B151" s="329" t="str">
        <f ca="1">IF(ROWS($1:137)&gt;COUNT(Dong5),"",OFFSET(TH!D$1,SMALL(Dong5,ROWS($1:137)),))</f>
        <v>GBN</v>
      </c>
      <c r="C151" s="329">
        <f ca="1">IF(ROWS($1:137)&gt;COUNT(Dong5),"",OFFSET(TH!E$1,SMALL(Dong5,ROWS($1:137)),))</f>
        <v>42446</v>
      </c>
      <c r="D151" s="411" t="str">
        <f ca="1">IF(ROWS($1:137)&gt;COUNT(Dong5),"",OFFSET(TH!F$1,SMALL(Dong5,ROWS($1:137)),))</f>
        <v>VAT Phí thông báo số dư</v>
      </c>
      <c r="E151" s="329" t="str">
        <f ca="1">IF(ROWS($1:137)&gt;COUNT(Dong5),"",IF(OFFSET(TH!N$1,SMALL(Dong5,ROWS($1:137)),)=$E$7,OFFSET(TH!O$1,SMALL(Dong5,ROWS($1:137)),),OFFSET(TH!N$1,SMALL(Dong5,ROWS($1:137)),)))</f>
        <v>1121</v>
      </c>
      <c r="F151" s="412">
        <f ca="1">IF(ROWS($1:137)&gt;COUNT(Dong5),0,IF(OFFSET(TH!N$1,SMALL(Dong5,ROWS($1:137)),)=$E$7,OFFSET(TH!M$1,SMALL(Dong5,ROWS($1:137)),),0))</f>
        <v>5000</v>
      </c>
      <c r="G151" s="410">
        <f ca="1">IF(ROWS($1:137)&gt;COUNT(Dong5),0,IF(OFFSET(TH!O$1,SMALL(Dong5,ROWS($1:137)),)=$E$7,OFFSET(TH!M$1,SMALL(Dong5,ROWS($1:137)),),0))</f>
        <v>0</v>
      </c>
      <c r="H151" s="413">
        <f t="shared" ca="1" si="10"/>
        <v>206161721</v>
      </c>
      <c r="I151" s="413">
        <f t="shared" ca="1" si="11"/>
        <v>0</v>
      </c>
      <c r="J151" s="18">
        <f t="shared" ca="1" si="12"/>
        <v>3</v>
      </c>
    </row>
    <row r="152" spans="1:10" s="18" customFormat="1" ht="18" customHeight="1">
      <c r="A152" s="329">
        <f ca="1">IF(ROWS($1:138)&gt;COUNT(Dong5),"",OFFSET(TH!C$1,SMALL(Dong5,ROWS($1:138)),))</f>
        <v>42447</v>
      </c>
      <c r="B152" s="329" t="str">
        <f ca="1">IF(ROWS($1:138)&gt;COUNT(Dong5),"",OFFSET(TH!D$1,SMALL(Dong5,ROWS($1:138)),))</f>
        <v>C39</v>
      </c>
      <c r="C152" s="329">
        <f ca="1">IF(ROWS($1:138)&gt;COUNT(Dong5),"",OFFSET(TH!E$1,SMALL(Dong5,ROWS($1:138)),))</f>
        <v>42447</v>
      </c>
      <c r="D152" s="411" t="str">
        <f ca="1">IF(ROWS($1:138)&gt;COUNT(Dong5),"",OFFSET(TH!F$1,SMALL(Dong5,ROWS($1:138)),))</f>
        <v>Xăng 95</v>
      </c>
      <c r="E152" s="329" t="str">
        <f ca="1">IF(ROWS($1:138)&gt;COUNT(Dong5),"",IF(OFFSET(TH!N$1,SMALL(Dong5,ROWS($1:138)),)=$E$7,OFFSET(TH!O$1,SMALL(Dong5,ROWS($1:138)),),OFFSET(TH!N$1,SMALL(Dong5,ROWS($1:138)),)))</f>
        <v>642</v>
      </c>
      <c r="F152" s="412">
        <f ca="1">IF(ROWS($1:138)&gt;COUNT(Dong5),0,IF(OFFSET(TH!N$1,SMALL(Dong5,ROWS($1:138)),)=$E$7,OFFSET(TH!M$1,SMALL(Dong5,ROWS($1:138)),),0))</f>
        <v>0</v>
      </c>
      <c r="G152" s="410">
        <f ca="1">IF(ROWS($1:138)&gt;COUNT(Dong5),0,IF(OFFSET(TH!O$1,SMALL(Dong5,ROWS($1:138)),)=$E$7,OFFSET(TH!M$1,SMALL(Dong5,ROWS($1:138)),),0))</f>
        <v>0</v>
      </c>
      <c r="H152" s="413">
        <f t="shared" ca="1" si="10"/>
        <v>206161721</v>
      </c>
      <c r="I152" s="413">
        <f t="shared" ca="1" si="11"/>
        <v>0</v>
      </c>
      <c r="J152" s="18">
        <f t="shared" ca="1" si="12"/>
        <v>3</v>
      </c>
    </row>
    <row r="153" spans="1:10" s="18" customFormat="1" ht="18" customHeight="1">
      <c r="A153" s="329">
        <f ca="1">IF(ROWS($1:139)&gt;COUNT(Dong5),"",OFFSET(TH!C$1,SMALL(Dong5,ROWS($1:139)),))</f>
        <v>42450</v>
      </c>
      <c r="B153" s="329" t="str">
        <f ca="1">IF(ROWS($1:139)&gt;COUNT(Dong5),"",OFFSET(TH!D$1,SMALL(Dong5,ROWS($1:139)),))</f>
        <v>GBN</v>
      </c>
      <c r="C153" s="329">
        <f ca="1">IF(ROWS($1:139)&gt;COUNT(Dong5),"",OFFSET(TH!E$1,SMALL(Dong5,ROWS($1:139)),))</f>
        <v>42450</v>
      </c>
      <c r="D153" s="411" t="str">
        <f ca="1">IF(ROWS($1:139)&gt;COUNT(Dong5),"",OFFSET(TH!F$1,SMALL(Dong5,ROWS($1:139)),))</f>
        <v>VAT Phí thông báo LC</v>
      </c>
      <c r="E153" s="329" t="str">
        <f ca="1">IF(ROWS($1:139)&gt;COUNT(Dong5),"",IF(OFFSET(TH!N$1,SMALL(Dong5,ROWS($1:139)),)=$E$7,OFFSET(TH!O$1,SMALL(Dong5,ROWS($1:139)),),OFFSET(TH!N$1,SMALL(Dong5,ROWS($1:139)),)))</f>
        <v>1121</v>
      </c>
      <c r="F153" s="412">
        <f ca="1">IF(ROWS($1:139)&gt;COUNT(Dong5),0,IF(OFFSET(TH!N$1,SMALL(Dong5,ROWS($1:139)),)=$E$7,OFFSET(TH!M$1,SMALL(Dong5,ROWS($1:139)),),0))</f>
        <v>33390</v>
      </c>
      <c r="G153" s="410">
        <f ca="1">IF(ROWS($1:139)&gt;COUNT(Dong5),0,IF(OFFSET(TH!O$1,SMALL(Dong5,ROWS($1:139)),)=$E$7,OFFSET(TH!M$1,SMALL(Dong5,ROWS($1:139)),),0))</f>
        <v>0</v>
      </c>
      <c r="H153" s="413">
        <f t="shared" ca="1" si="10"/>
        <v>206195111</v>
      </c>
      <c r="I153" s="413">
        <f t="shared" ca="1" si="11"/>
        <v>0</v>
      </c>
      <c r="J153" s="18">
        <f t="shared" ca="1" si="12"/>
        <v>3</v>
      </c>
    </row>
    <row r="154" spans="1:10" s="18" customFormat="1" ht="18" customHeight="1">
      <c r="A154" s="329">
        <f ca="1">IF(ROWS($1:140)&gt;COUNT(Dong5),"",OFFSET(TH!C$1,SMALL(Dong5,ROWS($1:140)),))</f>
        <v>42449</v>
      </c>
      <c r="B154" s="329" t="str">
        <f ca="1">IF(ROWS($1:140)&gt;COUNT(Dong5),"",OFFSET(TH!D$1,SMALL(Dong5,ROWS($1:140)),))</f>
        <v>C40</v>
      </c>
      <c r="C154" s="329">
        <f ca="1">IF(ROWS($1:140)&gt;COUNT(Dong5),"",OFFSET(TH!E$1,SMALL(Dong5,ROWS($1:140)),))</f>
        <v>42449</v>
      </c>
      <c r="D154" s="411" t="str">
        <f ca="1">IF(ROWS($1:140)&gt;COUNT(Dong5),"",OFFSET(TH!F$1,SMALL(Dong5,ROWS($1:140)),))</f>
        <v>Xăng 95</v>
      </c>
      <c r="E154" s="329" t="str">
        <f ca="1">IF(ROWS($1:140)&gt;COUNT(Dong5),"",IF(OFFSET(TH!N$1,SMALL(Dong5,ROWS($1:140)),)=$E$7,OFFSET(TH!O$1,SMALL(Dong5,ROWS($1:140)),),OFFSET(TH!N$1,SMALL(Dong5,ROWS($1:140)),)))</f>
        <v>642</v>
      </c>
      <c r="F154" s="412">
        <f ca="1">IF(ROWS($1:140)&gt;COUNT(Dong5),0,IF(OFFSET(TH!N$1,SMALL(Dong5,ROWS($1:140)),)=$E$7,OFFSET(TH!M$1,SMALL(Dong5,ROWS($1:140)),),0))</f>
        <v>0</v>
      </c>
      <c r="G154" s="410">
        <f ca="1">IF(ROWS($1:140)&gt;COUNT(Dong5),0,IF(OFFSET(TH!O$1,SMALL(Dong5,ROWS($1:140)),)=$E$7,OFFSET(TH!M$1,SMALL(Dong5,ROWS($1:140)),),0))</f>
        <v>0</v>
      </c>
      <c r="H154" s="413">
        <f t="shared" ca="1" si="10"/>
        <v>206195111</v>
      </c>
      <c r="I154" s="413">
        <f t="shared" ca="1" si="11"/>
        <v>0</v>
      </c>
      <c r="J154" s="18">
        <f t="shared" ca="1" si="12"/>
        <v>3</v>
      </c>
    </row>
    <row r="155" spans="1:10" s="18" customFormat="1" ht="18" customHeight="1">
      <c r="A155" s="329">
        <f ca="1">IF(ROWS($1:141)&gt;COUNT(Dong5),"",OFFSET(TH!C$1,SMALL(Dong5,ROWS($1:141)),))</f>
        <v>42452</v>
      </c>
      <c r="B155" s="329" t="str">
        <f ca="1">IF(ROWS($1:141)&gt;COUNT(Dong5),"",OFFSET(TH!D$1,SMALL(Dong5,ROWS($1:141)),))</f>
        <v>C41</v>
      </c>
      <c r="C155" s="329">
        <f ca="1">IF(ROWS($1:141)&gt;COUNT(Dong5),"",OFFSET(TH!E$1,SMALL(Dong5,ROWS($1:141)),))</f>
        <v>42452</v>
      </c>
      <c r="D155" s="411" t="str">
        <f ca="1">IF(ROWS($1:141)&gt;COUNT(Dong5),"",OFFSET(TH!F$1,SMALL(Dong5,ROWS($1:141)),))</f>
        <v>Phí DHL</v>
      </c>
      <c r="E155" s="329" t="str">
        <f ca="1">IF(ROWS($1:141)&gt;COUNT(Dong5),"",IF(OFFSET(TH!N$1,SMALL(Dong5,ROWS($1:141)),)=$E$7,OFFSET(TH!O$1,SMALL(Dong5,ROWS($1:141)),),OFFSET(TH!N$1,SMALL(Dong5,ROWS($1:141)),)))</f>
        <v>642</v>
      </c>
      <c r="F155" s="412">
        <f ca="1">IF(ROWS($1:141)&gt;COUNT(Dong5),0,IF(OFFSET(TH!N$1,SMALL(Dong5,ROWS($1:141)),)=$E$7,OFFSET(TH!M$1,SMALL(Dong5,ROWS($1:141)),),0))</f>
        <v>0</v>
      </c>
      <c r="G155" s="410">
        <f ca="1">IF(ROWS($1:141)&gt;COUNT(Dong5),0,IF(OFFSET(TH!O$1,SMALL(Dong5,ROWS($1:141)),)=$E$7,OFFSET(TH!M$1,SMALL(Dong5,ROWS($1:141)),),0))</f>
        <v>0</v>
      </c>
      <c r="H155" s="413">
        <f t="shared" ca="1" si="10"/>
        <v>206195111</v>
      </c>
      <c r="I155" s="413">
        <f t="shared" ca="1" si="11"/>
        <v>0</v>
      </c>
      <c r="J155" s="18">
        <f t="shared" ca="1" si="12"/>
        <v>3</v>
      </c>
    </row>
    <row r="156" spans="1:10" s="18" customFormat="1" ht="18" customHeight="1">
      <c r="A156" s="329">
        <f ca="1">IF(ROWS($1:142)&gt;COUNT(Dong5),"",OFFSET(TH!C$1,SMALL(Dong5,ROWS($1:142)),))</f>
        <v>42452</v>
      </c>
      <c r="B156" s="329" t="str">
        <f ca="1">IF(ROWS($1:142)&gt;COUNT(Dong5),"",OFFSET(TH!D$1,SMALL(Dong5,ROWS($1:142)),))</f>
        <v>C42</v>
      </c>
      <c r="C156" s="329">
        <f ca="1">IF(ROWS($1:142)&gt;COUNT(Dong5),"",OFFSET(TH!E$1,SMALL(Dong5,ROWS($1:142)),))</f>
        <v>42452</v>
      </c>
      <c r="D156" s="411" t="str">
        <f ca="1">IF(ROWS($1:142)&gt;COUNT(Dong5),"",OFFSET(TH!F$1,SMALL(Dong5,ROWS($1:142)),))</f>
        <v>Dầu DO</v>
      </c>
      <c r="E156" s="329" t="str">
        <f ca="1">IF(ROWS($1:142)&gt;COUNT(Dong5),"",IF(OFFSET(TH!N$1,SMALL(Dong5,ROWS($1:142)),)=$E$7,OFFSET(TH!O$1,SMALL(Dong5,ROWS($1:142)),),OFFSET(TH!N$1,SMALL(Dong5,ROWS($1:142)),)))</f>
        <v>642</v>
      </c>
      <c r="F156" s="412">
        <f ca="1">IF(ROWS($1:142)&gt;COUNT(Dong5),0,IF(OFFSET(TH!N$1,SMALL(Dong5,ROWS($1:142)),)=$E$7,OFFSET(TH!M$1,SMALL(Dong5,ROWS($1:142)),),0))</f>
        <v>0</v>
      </c>
      <c r="G156" s="410">
        <f ca="1">IF(ROWS($1:142)&gt;COUNT(Dong5),0,IF(OFFSET(TH!O$1,SMALL(Dong5,ROWS($1:142)),)=$E$7,OFFSET(TH!M$1,SMALL(Dong5,ROWS($1:142)),),0))</f>
        <v>0</v>
      </c>
      <c r="H156" s="413">
        <f t="shared" ca="1" si="10"/>
        <v>206195111</v>
      </c>
      <c r="I156" s="413">
        <f t="shared" ca="1" si="11"/>
        <v>0</v>
      </c>
      <c r="J156" s="18">
        <f t="shared" ca="1" si="12"/>
        <v>3</v>
      </c>
    </row>
    <row r="157" spans="1:10" s="18" customFormat="1" ht="18" customHeight="1">
      <c r="A157" s="329">
        <f ca="1">IF(ROWS($1:143)&gt;COUNT(Dong5),"",OFFSET(TH!C$1,SMALL(Dong5,ROWS($1:143)),))</f>
        <v>42453</v>
      </c>
      <c r="B157" s="329" t="str">
        <f ca="1">IF(ROWS($1:143)&gt;COUNT(Dong5),"",OFFSET(TH!D$1,SMALL(Dong5,ROWS($1:143)),))</f>
        <v>C43</v>
      </c>
      <c r="C157" s="329">
        <f ca="1">IF(ROWS($1:143)&gt;COUNT(Dong5),"",OFFSET(TH!E$1,SMALL(Dong5,ROWS($1:143)),))</f>
        <v>42453</v>
      </c>
      <c r="D157" s="411" t="str">
        <f ca="1">IF(ROWS($1:143)&gt;COUNT(Dong5),"",OFFSET(TH!F$1,SMALL(Dong5,ROWS($1:143)),))</f>
        <v>Tạm ứng mua NL</v>
      </c>
      <c r="E157" s="329" t="str">
        <f ca="1">IF(ROWS($1:143)&gt;COUNT(Dong5),"",IF(OFFSET(TH!N$1,SMALL(Dong5,ROWS($1:143)),)=$E$7,OFFSET(TH!O$1,SMALL(Dong5,ROWS($1:143)),),OFFSET(TH!N$1,SMALL(Dong5,ROWS($1:143)),)))</f>
        <v>141</v>
      </c>
      <c r="F157" s="412">
        <f ca="1">IF(ROWS($1:143)&gt;COUNT(Dong5),0,IF(OFFSET(TH!N$1,SMALL(Dong5,ROWS($1:143)),)=$E$7,OFFSET(TH!M$1,SMALL(Dong5,ROWS($1:143)),),0))</f>
        <v>0</v>
      </c>
      <c r="G157" s="410">
        <f ca="1">IF(ROWS($1:143)&gt;COUNT(Dong5),0,IF(OFFSET(TH!O$1,SMALL(Dong5,ROWS($1:143)),)=$E$7,OFFSET(TH!M$1,SMALL(Dong5,ROWS($1:143)),),0))</f>
        <v>0</v>
      </c>
      <c r="H157" s="413">
        <f t="shared" ca="1" si="10"/>
        <v>206195111</v>
      </c>
      <c r="I157" s="413">
        <f t="shared" ca="1" si="11"/>
        <v>0</v>
      </c>
      <c r="J157" s="18">
        <f t="shared" ca="1" si="12"/>
        <v>3</v>
      </c>
    </row>
    <row r="158" spans="1:10" s="18" customFormat="1" ht="18" customHeight="1">
      <c r="A158" s="329">
        <f ca="1">IF(ROWS($1:144)&gt;COUNT(Dong5),"",OFFSET(TH!C$1,SMALL(Dong5,ROWS($1:144)),))</f>
        <v>42454</v>
      </c>
      <c r="B158" s="329" t="str">
        <f ca="1">IF(ROWS($1:144)&gt;COUNT(Dong5),"",OFFSET(TH!D$1,SMALL(Dong5,ROWS($1:144)),))</f>
        <v>GBN</v>
      </c>
      <c r="C158" s="329">
        <f ca="1">IF(ROWS($1:144)&gt;COUNT(Dong5),"",OFFSET(TH!E$1,SMALL(Dong5,ROWS($1:144)),))</f>
        <v>42454</v>
      </c>
      <c r="D158" s="411" t="str">
        <f ca="1">IF(ROWS($1:144)&gt;COUNT(Dong5),"",OFFSET(TH!F$1,SMALL(Dong5,ROWS($1:144)),))</f>
        <v>VAT Phí thông báo số dư</v>
      </c>
      <c r="E158" s="329" t="str">
        <f ca="1">IF(ROWS($1:144)&gt;COUNT(Dong5),"",IF(OFFSET(TH!N$1,SMALL(Dong5,ROWS($1:144)),)=$E$7,OFFSET(TH!O$1,SMALL(Dong5,ROWS($1:144)),),OFFSET(TH!N$1,SMALL(Dong5,ROWS($1:144)),)))</f>
        <v>1121</v>
      </c>
      <c r="F158" s="412">
        <f ca="1">IF(ROWS($1:144)&gt;COUNT(Dong5),0,IF(OFFSET(TH!N$1,SMALL(Dong5,ROWS($1:144)),)=$E$7,OFFSET(TH!M$1,SMALL(Dong5,ROWS($1:144)),),0))</f>
        <v>5000</v>
      </c>
      <c r="G158" s="410">
        <f ca="1">IF(ROWS($1:144)&gt;COUNT(Dong5),0,IF(OFFSET(TH!O$1,SMALL(Dong5,ROWS($1:144)),)=$E$7,OFFSET(TH!M$1,SMALL(Dong5,ROWS($1:144)),),0))</f>
        <v>0</v>
      </c>
      <c r="H158" s="413">
        <f t="shared" ca="1" si="10"/>
        <v>206200111</v>
      </c>
      <c r="I158" s="413">
        <f t="shared" ca="1" si="11"/>
        <v>0</v>
      </c>
      <c r="J158" s="18">
        <f t="shared" ca="1" si="12"/>
        <v>3</v>
      </c>
    </row>
    <row r="159" spans="1:10" s="18" customFormat="1" ht="18" customHeight="1">
      <c r="A159" s="329">
        <f ca="1">IF(ROWS($1:145)&gt;COUNT(Dong5),"",OFFSET(TH!C$1,SMALL(Dong5,ROWS($1:145)),))</f>
        <v>42454</v>
      </c>
      <c r="B159" s="329" t="str">
        <f ca="1">IF(ROWS($1:145)&gt;COUNT(Dong5),"",OFFSET(TH!D$1,SMALL(Dong5,ROWS($1:145)),))</f>
        <v>GBN</v>
      </c>
      <c r="C159" s="329">
        <f ca="1">IF(ROWS($1:145)&gt;COUNT(Dong5),"",OFFSET(TH!E$1,SMALL(Dong5,ROWS($1:145)),))</f>
        <v>42454</v>
      </c>
      <c r="D159" s="411" t="str">
        <f ca="1">IF(ROWS($1:145)&gt;COUNT(Dong5),"",OFFSET(TH!F$1,SMALL(Dong5,ROWS($1:145)),))</f>
        <v>VAT Phí thông báo số dư</v>
      </c>
      <c r="E159" s="329" t="str">
        <f ca="1">IF(ROWS($1:145)&gt;COUNT(Dong5),"",IF(OFFSET(TH!N$1,SMALL(Dong5,ROWS($1:145)),)=$E$7,OFFSET(TH!O$1,SMALL(Dong5,ROWS($1:145)),),OFFSET(TH!N$1,SMALL(Dong5,ROWS($1:145)),)))</f>
        <v>1121</v>
      </c>
      <c r="F159" s="412">
        <f ca="1">IF(ROWS($1:145)&gt;COUNT(Dong5),0,IF(OFFSET(TH!N$1,SMALL(Dong5,ROWS($1:145)),)=$E$7,OFFSET(TH!M$1,SMALL(Dong5,ROWS($1:145)),),0))</f>
        <v>5000</v>
      </c>
      <c r="G159" s="410">
        <f ca="1">IF(ROWS($1:145)&gt;COUNT(Dong5),0,IF(OFFSET(TH!O$1,SMALL(Dong5,ROWS($1:145)),)=$E$7,OFFSET(TH!M$1,SMALL(Dong5,ROWS($1:145)),),0))</f>
        <v>0</v>
      </c>
      <c r="H159" s="413">
        <f t="shared" ca="1" si="10"/>
        <v>206205111</v>
      </c>
      <c r="I159" s="413">
        <f t="shared" ca="1" si="11"/>
        <v>0</v>
      </c>
      <c r="J159" s="18">
        <f t="shared" ca="1" si="12"/>
        <v>3</v>
      </c>
    </row>
    <row r="160" spans="1:10" s="18" customFormat="1" ht="18" customHeight="1">
      <c r="A160" s="329">
        <f ca="1">IF(ROWS($1:146)&gt;COUNT(Dong5),"",OFFSET(TH!C$1,SMALL(Dong5,ROWS($1:146)),))</f>
        <v>42454</v>
      </c>
      <c r="B160" s="329" t="str">
        <f ca="1">IF(ROWS($1:146)&gt;COUNT(Dong5),"",OFFSET(TH!D$1,SMALL(Dong5,ROWS($1:146)),))</f>
        <v>GBN</v>
      </c>
      <c r="C160" s="329">
        <f ca="1">IF(ROWS($1:146)&gt;COUNT(Dong5),"",OFFSET(TH!E$1,SMALL(Dong5,ROWS($1:146)),))</f>
        <v>42454</v>
      </c>
      <c r="D160" s="411" t="str">
        <f ca="1">IF(ROWS($1:146)&gt;COUNT(Dong5),"",OFFSET(TH!F$1,SMALL(Dong5,ROWS($1:146)),))</f>
        <v>VAT Phí thông báo số dư</v>
      </c>
      <c r="E160" s="329" t="str">
        <f ca="1">IF(ROWS($1:146)&gt;COUNT(Dong5),"",IF(OFFSET(TH!N$1,SMALL(Dong5,ROWS($1:146)),)=$E$7,OFFSET(TH!O$1,SMALL(Dong5,ROWS($1:146)),),OFFSET(TH!N$1,SMALL(Dong5,ROWS($1:146)),)))</f>
        <v>1121</v>
      </c>
      <c r="F160" s="412">
        <f ca="1">IF(ROWS($1:146)&gt;COUNT(Dong5),0,IF(OFFSET(TH!N$1,SMALL(Dong5,ROWS($1:146)),)=$E$7,OFFSET(TH!M$1,SMALL(Dong5,ROWS($1:146)),),0))</f>
        <v>5000</v>
      </c>
      <c r="G160" s="410">
        <f ca="1">IF(ROWS($1:146)&gt;COUNT(Dong5),0,IF(OFFSET(TH!O$1,SMALL(Dong5,ROWS($1:146)),)=$E$7,OFFSET(TH!M$1,SMALL(Dong5,ROWS($1:146)),),0))</f>
        <v>0</v>
      </c>
      <c r="H160" s="413">
        <f t="shared" ca="1" si="10"/>
        <v>206210111</v>
      </c>
      <c r="I160" s="413">
        <f t="shared" ca="1" si="11"/>
        <v>0</v>
      </c>
      <c r="J160" s="18">
        <f t="shared" ca="1" si="12"/>
        <v>3</v>
      </c>
    </row>
    <row r="161" spans="1:10" s="18" customFormat="1" ht="18" customHeight="1">
      <c r="A161" s="329">
        <f ca="1">IF(ROWS($1:147)&gt;COUNT(Dong5),"",OFFSET(TH!C$1,SMALL(Dong5,ROWS($1:147)),))</f>
        <v>42454</v>
      </c>
      <c r="B161" s="329" t="str">
        <f ca="1">IF(ROWS($1:147)&gt;COUNT(Dong5),"",OFFSET(TH!D$1,SMALL(Dong5,ROWS($1:147)),))</f>
        <v>GBN</v>
      </c>
      <c r="C161" s="329">
        <f ca="1">IF(ROWS($1:147)&gt;COUNT(Dong5),"",OFFSET(TH!E$1,SMALL(Dong5,ROWS($1:147)),))</f>
        <v>42454</v>
      </c>
      <c r="D161" s="411" t="str">
        <f ca="1">IF(ROWS($1:147)&gt;COUNT(Dong5),"",OFFSET(TH!F$1,SMALL(Dong5,ROWS($1:147)),))</f>
        <v>VAT Phí thông báo số dư</v>
      </c>
      <c r="E161" s="329" t="str">
        <f ca="1">IF(ROWS($1:147)&gt;COUNT(Dong5),"",IF(OFFSET(TH!N$1,SMALL(Dong5,ROWS($1:147)),)=$E$7,OFFSET(TH!O$1,SMALL(Dong5,ROWS($1:147)),),OFFSET(TH!N$1,SMALL(Dong5,ROWS($1:147)),)))</f>
        <v>1121</v>
      </c>
      <c r="F161" s="412">
        <f ca="1">IF(ROWS($1:147)&gt;COUNT(Dong5),0,IF(OFFSET(TH!N$1,SMALL(Dong5,ROWS($1:147)),)=$E$7,OFFSET(TH!M$1,SMALL(Dong5,ROWS($1:147)),),0))</f>
        <v>5000</v>
      </c>
      <c r="G161" s="410">
        <f ca="1">IF(ROWS($1:147)&gt;COUNT(Dong5),0,IF(OFFSET(TH!O$1,SMALL(Dong5,ROWS($1:147)),)=$E$7,OFFSET(TH!M$1,SMALL(Dong5,ROWS($1:147)),),0))</f>
        <v>0</v>
      </c>
      <c r="H161" s="413">
        <f t="shared" ca="1" si="10"/>
        <v>206215111</v>
      </c>
      <c r="I161" s="413">
        <f t="shared" ca="1" si="11"/>
        <v>0</v>
      </c>
      <c r="J161" s="18">
        <f t="shared" ca="1" si="12"/>
        <v>3</v>
      </c>
    </row>
    <row r="162" spans="1:10" s="18" customFormat="1" ht="18" customHeight="1">
      <c r="A162" s="329">
        <f ca="1">IF(ROWS($1:148)&gt;COUNT(Dong5),"",OFFSET(TH!C$1,SMALL(Dong5,ROWS($1:148)),))</f>
        <v>42453</v>
      </c>
      <c r="B162" s="329" t="str">
        <f ca="1">IF(ROWS($1:148)&gt;COUNT(Dong5),"",OFFSET(TH!D$1,SMALL(Dong5,ROWS($1:148)),))</f>
        <v>C45</v>
      </c>
      <c r="C162" s="329">
        <f ca="1">IF(ROWS($1:148)&gt;COUNT(Dong5),"",OFFSET(TH!E$1,SMALL(Dong5,ROWS($1:148)),))</f>
        <v>42453</v>
      </c>
      <c r="D162" s="411" t="str">
        <f ca="1">IF(ROWS($1:148)&gt;COUNT(Dong5),"",OFFSET(TH!F$1,SMALL(Dong5,ROWS($1:148)),))</f>
        <v>VAT Xăng 95</v>
      </c>
      <c r="E162" s="329" t="str">
        <f ca="1">IF(ROWS($1:148)&gt;COUNT(Dong5),"",IF(OFFSET(TH!N$1,SMALL(Dong5,ROWS($1:148)),)=$E$7,OFFSET(TH!O$1,SMALL(Dong5,ROWS($1:148)),),OFFSET(TH!N$1,SMALL(Dong5,ROWS($1:148)),)))</f>
        <v>1111</v>
      </c>
      <c r="F162" s="412">
        <f ca="1">IF(ROWS($1:148)&gt;COUNT(Dong5),0,IF(OFFSET(TH!N$1,SMALL(Dong5,ROWS($1:148)),)=$E$7,OFFSET(TH!M$1,SMALL(Dong5,ROWS($1:148)),),0))</f>
        <v>67353</v>
      </c>
      <c r="G162" s="410">
        <f ca="1">IF(ROWS($1:148)&gt;COUNT(Dong5),0,IF(OFFSET(TH!O$1,SMALL(Dong5,ROWS($1:148)),)=$E$7,OFFSET(TH!M$1,SMALL(Dong5,ROWS($1:148)),),0))</f>
        <v>0</v>
      </c>
      <c r="H162" s="413">
        <f t="shared" ca="1" si="10"/>
        <v>206282464</v>
      </c>
      <c r="I162" s="413">
        <f t="shared" ca="1" si="11"/>
        <v>0</v>
      </c>
      <c r="J162" s="18">
        <f t="shared" ca="1" si="12"/>
        <v>3</v>
      </c>
    </row>
    <row r="163" spans="1:10" s="18" customFormat="1" ht="18" customHeight="1">
      <c r="A163" s="329">
        <f ca="1">IF(ROWS($1:149)&gt;COUNT(Dong5),"",OFFSET(TH!C$1,SMALL(Dong5,ROWS($1:149)),))</f>
        <v>42456</v>
      </c>
      <c r="B163" s="329" t="str">
        <f ca="1">IF(ROWS($1:149)&gt;COUNT(Dong5),"",OFFSET(TH!D$1,SMALL(Dong5,ROWS($1:149)),))</f>
        <v>C47</v>
      </c>
      <c r="C163" s="329">
        <f ca="1">IF(ROWS($1:149)&gt;COUNT(Dong5),"",OFFSET(TH!E$1,SMALL(Dong5,ROWS($1:149)),))</f>
        <v>42456</v>
      </c>
      <c r="D163" s="411" t="str">
        <f ca="1">IF(ROWS($1:149)&gt;COUNT(Dong5),"",OFFSET(TH!F$1,SMALL(Dong5,ROWS($1:149)),))</f>
        <v>Dầu DO</v>
      </c>
      <c r="E163" s="329" t="str">
        <f ca="1">IF(ROWS($1:149)&gt;COUNT(Dong5),"",IF(OFFSET(TH!N$1,SMALL(Dong5,ROWS($1:149)),)=$E$7,OFFSET(TH!O$1,SMALL(Dong5,ROWS($1:149)),),OFFSET(TH!N$1,SMALL(Dong5,ROWS($1:149)),)))</f>
        <v>642</v>
      </c>
      <c r="F163" s="412">
        <f ca="1">IF(ROWS($1:149)&gt;COUNT(Dong5),0,IF(OFFSET(TH!N$1,SMALL(Dong5,ROWS($1:149)),)=$E$7,OFFSET(TH!M$1,SMALL(Dong5,ROWS($1:149)),),0))</f>
        <v>0</v>
      </c>
      <c r="G163" s="410">
        <f ca="1">IF(ROWS($1:149)&gt;COUNT(Dong5),0,IF(OFFSET(TH!O$1,SMALL(Dong5,ROWS($1:149)),)=$E$7,OFFSET(TH!M$1,SMALL(Dong5,ROWS($1:149)),),0))</f>
        <v>0</v>
      </c>
      <c r="H163" s="413">
        <f t="shared" ca="1" si="10"/>
        <v>206282464</v>
      </c>
      <c r="I163" s="413">
        <f t="shared" ca="1" si="11"/>
        <v>0</v>
      </c>
      <c r="J163" s="18">
        <f t="shared" ca="1" si="12"/>
        <v>3</v>
      </c>
    </row>
    <row r="164" spans="1:10" s="18" customFormat="1" ht="18" customHeight="1">
      <c r="A164" s="329">
        <f ca="1">IF(ROWS($1:150)&gt;COUNT(Dong5),"",OFFSET(TH!C$1,SMALL(Dong5,ROWS($1:150)),))</f>
        <v>42457</v>
      </c>
      <c r="B164" s="329" t="str">
        <f ca="1">IF(ROWS($1:150)&gt;COUNT(Dong5),"",OFFSET(TH!D$1,SMALL(Dong5,ROWS($1:150)),))</f>
        <v>C48</v>
      </c>
      <c r="C164" s="329">
        <f ca="1">IF(ROWS($1:150)&gt;COUNT(Dong5),"",OFFSET(TH!E$1,SMALL(Dong5,ROWS($1:150)),))</f>
        <v>42457</v>
      </c>
      <c r="D164" s="411" t="str">
        <f ca="1">IF(ROWS($1:150)&gt;COUNT(Dong5),"",OFFSET(TH!F$1,SMALL(Dong5,ROWS($1:150)),))</f>
        <v>Phí dịch vụ bảo vệ T3/2016</v>
      </c>
      <c r="E164" s="329" t="str">
        <f ca="1">IF(ROWS($1:150)&gt;COUNT(Dong5),"",IF(OFFSET(TH!N$1,SMALL(Dong5,ROWS($1:150)),)=$E$7,OFFSET(TH!O$1,SMALL(Dong5,ROWS($1:150)),),OFFSET(TH!N$1,SMALL(Dong5,ROWS($1:150)),)))</f>
        <v>642</v>
      </c>
      <c r="F164" s="412">
        <f ca="1">IF(ROWS($1:150)&gt;COUNT(Dong5),0,IF(OFFSET(TH!N$1,SMALL(Dong5,ROWS($1:150)),)=$E$7,OFFSET(TH!M$1,SMALL(Dong5,ROWS($1:150)),),0))</f>
        <v>0</v>
      </c>
      <c r="G164" s="410">
        <f ca="1">IF(ROWS($1:150)&gt;COUNT(Dong5),0,IF(OFFSET(TH!O$1,SMALL(Dong5,ROWS($1:150)),)=$E$7,OFFSET(TH!M$1,SMALL(Dong5,ROWS($1:150)),),0))</f>
        <v>0</v>
      </c>
      <c r="H164" s="413">
        <f t="shared" ca="1" si="10"/>
        <v>206282464</v>
      </c>
      <c r="I164" s="413">
        <f t="shared" ca="1" si="11"/>
        <v>0</v>
      </c>
      <c r="J164" s="18">
        <f t="shared" ca="1" si="12"/>
        <v>3</v>
      </c>
    </row>
    <row r="165" spans="1:10" s="18" customFormat="1" ht="18" customHeight="1">
      <c r="A165" s="329">
        <f ca="1">IF(ROWS($1:151)&gt;COUNT(Dong5),"",OFFSET(TH!C$1,SMALL(Dong5,ROWS($1:151)),))</f>
        <v>42458</v>
      </c>
      <c r="B165" s="329" t="str">
        <f ca="1">IF(ROWS($1:151)&gt;COUNT(Dong5),"",OFFSET(TH!D$1,SMALL(Dong5,ROWS($1:151)),))</f>
        <v>CTGS</v>
      </c>
      <c r="C165" s="329">
        <f ca="1">IF(ROWS($1:151)&gt;COUNT(Dong5),"",OFFSET(TH!E$1,SMALL(Dong5,ROWS($1:151)),))</f>
        <v>42458</v>
      </c>
      <c r="D165" s="411" t="str">
        <f ca="1">IF(ROWS($1:151)&gt;COUNT(Dong5),"",OFFSET(TH!F$1,SMALL(Dong5,ROWS($1:151)),))</f>
        <v>VAT Phí dịch vụ thanh toán ngoài nước</v>
      </c>
      <c r="E165" s="329" t="str">
        <f ca="1">IF(ROWS($1:151)&gt;COUNT(Dong5),"",IF(OFFSET(TH!N$1,SMALL(Dong5,ROWS($1:151)),)=$E$7,OFFSET(TH!O$1,SMALL(Dong5,ROWS($1:151)),),OFFSET(TH!N$1,SMALL(Dong5,ROWS($1:151)),)))</f>
        <v>131</v>
      </c>
      <c r="F165" s="412">
        <f ca="1">IF(ROWS($1:151)&gt;COUNT(Dong5),0,IF(OFFSET(TH!N$1,SMALL(Dong5,ROWS($1:151)),)=$E$7,OFFSET(TH!M$1,SMALL(Dong5,ROWS($1:151)),),0))</f>
        <v>352247</v>
      </c>
      <c r="G165" s="410">
        <f ca="1">IF(ROWS($1:151)&gt;COUNT(Dong5),0,IF(OFFSET(TH!O$1,SMALL(Dong5,ROWS($1:151)),)=$E$7,OFFSET(TH!M$1,SMALL(Dong5,ROWS($1:151)),),0))</f>
        <v>0</v>
      </c>
      <c r="H165" s="413">
        <f t="shared" ref="H165:H172" ca="1" si="13">IF(D165&lt;&gt;"",MAX(H164+F165-G165-I164,0),0)</f>
        <v>206634711</v>
      </c>
      <c r="I165" s="413">
        <f t="shared" ref="I165:I172" ca="1" si="14">IF(D165&lt;&gt;"",MAX(I164+G165-H164-F165,0),0)</f>
        <v>0</v>
      </c>
      <c r="J165" s="18">
        <f t="shared" ca="1" si="12"/>
        <v>3</v>
      </c>
    </row>
    <row r="166" spans="1:10" s="18" customFormat="1" ht="18" customHeight="1">
      <c r="A166" s="329">
        <f ca="1">IF(ROWS($1:152)&gt;COUNT(Dong5),"",OFFSET(TH!C$1,SMALL(Dong5,ROWS($1:152)),))</f>
        <v>42458</v>
      </c>
      <c r="B166" s="329" t="str">
        <f ca="1">IF(ROWS($1:152)&gt;COUNT(Dong5),"",OFFSET(TH!D$1,SMALL(Dong5,ROWS($1:152)),))</f>
        <v>GBN</v>
      </c>
      <c r="C166" s="329">
        <f ca="1">IF(ROWS($1:152)&gt;COUNT(Dong5),"",OFFSET(TH!E$1,SMALL(Dong5,ROWS($1:152)),))</f>
        <v>42458</v>
      </c>
      <c r="D166" s="411" t="str">
        <f ca="1">IF(ROWS($1:152)&gt;COUNT(Dong5),"",OFFSET(TH!F$1,SMALL(Dong5,ROWS($1:152)),))</f>
        <v>VAT Điện phí</v>
      </c>
      <c r="E166" s="329" t="str">
        <f ca="1">IF(ROWS($1:152)&gt;COUNT(Dong5),"",IF(OFFSET(TH!N$1,SMALL(Dong5,ROWS($1:152)),)=$E$7,OFFSET(TH!O$1,SMALL(Dong5,ROWS($1:152)),),OFFSET(TH!N$1,SMALL(Dong5,ROWS($1:152)),)))</f>
        <v>1122</v>
      </c>
      <c r="F166" s="412">
        <f ca="1">IF(ROWS($1:152)&gt;COUNT(Dong5),0,IF(OFFSET(TH!N$1,SMALL(Dong5,ROWS($1:152)),)=$E$7,OFFSET(TH!M$1,SMALL(Dong5,ROWS($1:152)),),0))</f>
        <v>11148</v>
      </c>
      <c r="G166" s="410">
        <f ca="1">IF(ROWS($1:152)&gt;COUNT(Dong5),0,IF(OFFSET(TH!O$1,SMALL(Dong5,ROWS($1:152)),)=$E$7,OFFSET(TH!M$1,SMALL(Dong5,ROWS($1:152)),),0))</f>
        <v>0</v>
      </c>
      <c r="H166" s="413">
        <f t="shared" ca="1" si="13"/>
        <v>206645859</v>
      </c>
      <c r="I166" s="413">
        <f t="shared" ca="1" si="14"/>
        <v>0</v>
      </c>
      <c r="J166" s="18">
        <f t="shared" ca="1" si="12"/>
        <v>3</v>
      </c>
    </row>
    <row r="167" spans="1:10" s="18" customFormat="1" ht="18" customHeight="1">
      <c r="A167" s="329">
        <f ca="1">IF(ROWS($1:153)&gt;COUNT(Dong5),"",OFFSET(TH!C$1,SMALL(Dong5,ROWS($1:153)),))</f>
        <v>42457</v>
      </c>
      <c r="B167" s="329" t="str">
        <f ca="1">IF(ROWS($1:153)&gt;COUNT(Dong5),"",OFFSET(TH!D$1,SMALL(Dong5,ROWS($1:153)),))</f>
        <v>C49</v>
      </c>
      <c r="C167" s="329">
        <f ca="1">IF(ROWS($1:153)&gt;COUNT(Dong5),"",OFFSET(TH!E$1,SMALL(Dong5,ROWS($1:153)),))</f>
        <v>42457</v>
      </c>
      <c r="D167" s="411" t="str">
        <f ca="1">IF(ROWS($1:153)&gt;COUNT(Dong5),"",OFFSET(TH!F$1,SMALL(Dong5,ROWS($1:153)),))</f>
        <v>Thanh toán tiền đường</v>
      </c>
      <c r="E167" s="329" t="str">
        <f ca="1">IF(ROWS($1:153)&gt;COUNT(Dong5),"",IF(OFFSET(TH!N$1,SMALL(Dong5,ROWS($1:153)),)=$E$7,OFFSET(TH!O$1,SMALL(Dong5,ROWS($1:153)),),OFFSET(TH!N$1,SMALL(Dong5,ROWS($1:153)),)))</f>
        <v>331</v>
      </c>
      <c r="F167" s="412">
        <f ca="1">IF(ROWS($1:153)&gt;COUNT(Dong5),0,IF(OFFSET(TH!N$1,SMALL(Dong5,ROWS($1:153)),)=$E$7,OFFSET(TH!M$1,SMALL(Dong5,ROWS($1:153)),),0))</f>
        <v>0</v>
      </c>
      <c r="G167" s="410">
        <f ca="1">IF(ROWS($1:153)&gt;COUNT(Dong5),0,IF(OFFSET(TH!O$1,SMALL(Dong5,ROWS($1:153)),)=$E$7,OFFSET(TH!M$1,SMALL(Dong5,ROWS($1:153)),),0))</f>
        <v>0</v>
      </c>
      <c r="H167" s="413">
        <f t="shared" ca="1" si="13"/>
        <v>206645859</v>
      </c>
      <c r="I167" s="413">
        <f t="shared" ca="1" si="14"/>
        <v>0</v>
      </c>
      <c r="J167" s="18">
        <f t="shared" ca="1" si="12"/>
        <v>3</v>
      </c>
    </row>
    <row r="168" spans="1:10" s="18" customFormat="1" ht="18" customHeight="1">
      <c r="A168" s="329">
        <f ca="1">IF(ROWS($1:154)&gt;COUNT(Dong5),"",OFFSET(TH!C$1,SMALL(Dong5,ROWS($1:154)),))</f>
        <v>42458</v>
      </c>
      <c r="B168" s="329" t="str">
        <f ca="1">IF(ROWS($1:154)&gt;COUNT(Dong5),"",OFFSET(TH!D$1,SMALL(Dong5,ROWS($1:154)),))</f>
        <v>C50</v>
      </c>
      <c r="C168" s="329">
        <f ca="1">IF(ROWS($1:154)&gt;COUNT(Dong5),"",OFFSET(TH!E$1,SMALL(Dong5,ROWS($1:154)),))</f>
        <v>42458</v>
      </c>
      <c r="D168" s="411" t="str">
        <f ca="1">IF(ROWS($1:154)&gt;COUNT(Dong5),"",OFFSET(TH!F$1,SMALL(Dong5,ROWS($1:154)),))</f>
        <v>VAT Xăng 95</v>
      </c>
      <c r="E168" s="329" t="str">
        <f ca="1">IF(ROWS($1:154)&gt;COUNT(Dong5),"",IF(OFFSET(TH!N$1,SMALL(Dong5,ROWS($1:154)),)=$E$7,OFFSET(TH!O$1,SMALL(Dong5,ROWS($1:154)),),OFFSET(TH!N$1,SMALL(Dong5,ROWS($1:154)),)))</f>
        <v>1111</v>
      </c>
      <c r="F168" s="412">
        <f ca="1">IF(ROWS($1:154)&gt;COUNT(Dong5),0,IF(OFFSET(TH!N$1,SMALL(Dong5,ROWS($1:154)),)=$E$7,OFFSET(TH!M$1,SMALL(Dong5,ROWS($1:154)),),0))</f>
        <v>71476</v>
      </c>
      <c r="G168" s="410">
        <f ca="1">IF(ROWS($1:154)&gt;COUNT(Dong5),0,IF(OFFSET(TH!O$1,SMALL(Dong5,ROWS($1:154)),)=$E$7,OFFSET(TH!M$1,SMALL(Dong5,ROWS($1:154)),),0))</f>
        <v>0</v>
      </c>
      <c r="H168" s="413">
        <f t="shared" ca="1" si="13"/>
        <v>206717335</v>
      </c>
      <c r="I168" s="413">
        <f t="shared" ca="1" si="14"/>
        <v>0</v>
      </c>
      <c r="J168" s="18">
        <f t="shared" ca="1" si="12"/>
        <v>3</v>
      </c>
    </row>
    <row r="169" spans="1:10" s="18" customFormat="1" ht="18" customHeight="1">
      <c r="A169" s="329">
        <f ca="1">IF(ROWS($1:155)&gt;COUNT(Dong5),"",OFFSET(TH!C$1,SMALL(Dong5,ROWS($1:155)),))</f>
        <v>42459</v>
      </c>
      <c r="B169" s="329" t="str">
        <f ca="1">IF(ROWS($1:155)&gt;COUNT(Dong5),"",OFFSET(TH!D$1,SMALL(Dong5,ROWS($1:155)),))</f>
        <v>GBN</v>
      </c>
      <c r="C169" s="329">
        <f ca="1">IF(ROWS($1:155)&gt;COUNT(Dong5),"",OFFSET(TH!E$1,SMALL(Dong5,ROWS($1:155)),))</f>
        <v>42459</v>
      </c>
      <c r="D169" s="411" t="str">
        <f ca="1">IF(ROWS($1:155)&gt;COUNT(Dong5),"",OFFSET(TH!F$1,SMALL(Dong5,ROWS($1:155)),))</f>
        <v>VAT Phí chuyển tiền</v>
      </c>
      <c r="E169" s="329" t="str">
        <f ca="1">IF(ROWS($1:155)&gt;COUNT(Dong5),"",IF(OFFSET(TH!N$1,SMALL(Dong5,ROWS($1:155)),)=$E$7,OFFSET(TH!O$1,SMALL(Dong5,ROWS($1:155)),),OFFSET(TH!N$1,SMALL(Dong5,ROWS($1:155)),)))</f>
        <v>1121</v>
      </c>
      <c r="F169" s="412">
        <f ca="1">IF(ROWS($1:155)&gt;COUNT(Dong5),0,IF(OFFSET(TH!N$1,SMALL(Dong5,ROWS($1:155)),)=$E$7,OFFSET(TH!M$1,SMALL(Dong5,ROWS($1:155)),),0))</f>
        <v>4500</v>
      </c>
      <c r="G169" s="410">
        <f ca="1">IF(ROWS($1:155)&gt;COUNT(Dong5),0,IF(OFFSET(TH!O$1,SMALL(Dong5,ROWS($1:155)),)=$E$7,OFFSET(TH!M$1,SMALL(Dong5,ROWS($1:155)),),0))</f>
        <v>0</v>
      </c>
      <c r="H169" s="413">
        <f t="shared" ca="1" si="13"/>
        <v>206721835</v>
      </c>
      <c r="I169" s="413">
        <f t="shared" ca="1" si="14"/>
        <v>0</v>
      </c>
      <c r="J169" s="18">
        <f t="shared" ca="1" si="12"/>
        <v>3</v>
      </c>
    </row>
    <row r="170" spans="1:10" s="18" customFormat="1" ht="18" customHeight="1">
      <c r="A170" s="329">
        <f ca="1">IF(ROWS($1:156)&gt;COUNT(Dong5),"",OFFSET(TH!C$1,SMALL(Dong5,ROWS($1:156)),))</f>
        <v>42459</v>
      </c>
      <c r="B170" s="329" t="str">
        <f ca="1">IF(ROWS($1:156)&gt;COUNT(Dong5),"",OFFSET(TH!D$1,SMALL(Dong5,ROWS($1:156)),))</f>
        <v>C52</v>
      </c>
      <c r="C170" s="329">
        <f ca="1">IF(ROWS($1:156)&gt;COUNT(Dong5),"",OFFSET(TH!E$1,SMALL(Dong5,ROWS($1:156)),))</f>
        <v>42459</v>
      </c>
      <c r="D170" s="411" t="str">
        <f ca="1">IF(ROWS($1:156)&gt;COUNT(Dong5),"",OFFSET(TH!F$1,SMALL(Dong5,ROWS($1:156)),))</f>
        <v>VAT Xét nghiệm nước</v>
      </c>
      <c r="E170" s="329" t="str">
        <f ca="1">IF(ROWS($1:156)&gt;COUNT(Dong5),"",IF(OFFSET(TH!N$1,SMALL(Dong5,ROWS($1:156)),)=$E$7,OFFSET(TH!O$1,SMALL(Dong5,ROWS($1:156)),),OFFSET(TH!N$1,SMALL(Dong5,ROWS($1:156)),)))</f>
        <v>1111</v>
      </c>
      <c r="F170" s="412">
        <f ca="1">IF(ROWS($1:156)&gt;COUNT(Dong5),0,IF(OFFSET(TH!N$1,SMALL(Dong5,ROWS($1:156)),)=$E$7,OFFSET(TH!M$1,SMALL(Dong5,ROWS($1:156)),),0))</f>
        <v>46273</v>
      </c>
      <c r="G170" s="410">
        <f ca="1">IF(ROWS($1:156)&gt;COUNT(Dong5),0,IF(OFFSET(TH!O$1,SMALL(Dong5,ROWS($1:156)),)=$E$7,OFFSET(TH!M$1,SMALL(Dong5,ROWS($1:156)),),0))</f>
        <v>0</v>
      </c>
      <c r="H170" s="413">
        <f t="shared" ca="1" si="13"/>
        <v>206768108</v>
      </c>
      <c r="I170" s="413">
        <f t="shared" ca="1" si="14"/>
        <v>0</v>
      </c>
      <c r="J170" s="18">
        <f t="shared" ca="1" si="12"/>
        <v>3</v>
      </c>
    </row>
    <row r="171" spans="1:10" s="18" customFormat="1" ht="18" customHeight="1">
      <c r="A171" s="329">
        <f ca="1">IF(ROWS($1:157)&gt;COUNT(Dong5),"",OFFSET(TH!C$1,SMALL(Dong5,ROWS($1:157)),))</f>
        <v>42460</v>
      </c>
      <c r="B171" s="329" t="str">
        <f ca="1">IF(ROWS($1:157)&gt;COUNT(Dong5),"",OFFSET(TH!D$1,SMALL(Dong5,ROWS($1:157)),))</f>
        <v>C54</v>
      </c>
      <c r="C171" s="329">
        <f ca="1">IF(ROWS($1:157)&gt;COUNT(Dong5),"",OFFSET(TH!E$1,SMALL(Dong5,ROWS($1:157)),))</f>
        <v>42460</v>
      </c>
      <c r="D171" s="411" t="str">
        <f ca="1">IF(ROWS($1:157)&gt;COUNT(Dong5),"",OFFSET(TH!F$1,SMALL(Dong5,ROWS($1:157)),))</f>
        <v>VAT Phí giao thông</v>
      </c>
      <c r="E171" s="329" t="str">
        <f ca="1">IF(ROWS($1:157)&gt;COUNT(Dong5),"",IF(OFFSET(TH!N$1,SMALL(Dong5,ROWS($1:157)),)=$E$7,OFFSET(TH!O$1,SMALL(Dong5,ROWS($1:157)),),OFFSET(TH!N$1,SMALL(Dong5,ROWS($1:157)),)))</f>
        <v>1111</v>
      </c>
      <c r="F171" s="412">
        <f ca="1">IF(ROWS($1:157)&gt;COUNT(Dong5),0,IF(OFFSET(TH!N$1,SMALL(Dong5,ROWS($1:157)),)=$E$7,OFFSET(TH!M$1,SMALL(Dong5,ROWS($1:157)),),0))</f>
        <v>179637</v>
      </c>
      <c r="G171" s="410">
        <f ca="1">IF(ROWS($1:157)&gt;COUNT(Dong5),0,IF(OFFSET(TH!O$1,SMALL(Dong5,ROWS($1:157)),)=$E$7,OFFSET(TH!M$1,SMALL(Dong5,ROWS($1:157)),),0))</f>
        <v>0</v>
      </c>
      <c r="H171" s="413">
        <f t="shared" ca="1" si="13"/>
        <v>206947745</v>
      </c>
      <c r="I171" s="413">
        <f t="shared" ca="1" si="14"/>
        <v>0</v>
      </c>
      <c r="J171" s="18">
        <f t="shared" ca="1" si="12"/>
        <v>3</v>
      </c>
    </row>
    <row r="172" spans="1:10" s="18" customFormat="1" ht="18" customHeight="1">
      <c r="A172" s="329">
        <f ca="1">IF(ROWS($1:158)&gt;COUNT(Dong5),"",OFFSET(TH!C$1,SMALL(Dong5,ROWS($1:158)),))</f>
        <v>42400</v>
      </c>
      <c r="B172" s="329" t="str">
        <f ca="1">IF(ROWS($1:158)&gt;COUNT(Dong5),"",OFFSET(TH!D$1,SMALL(Dong5,ROWS($1:158)),))</f>
        <v>CTGS</v>
      </c>
      <c r="C172" s="329">
        <f ca="1">IF(ROWS($1:158)&gt;COUNT(Dong5),"",OFFSET(TH!E$1,SMALL(Dong5,ROWS($1:158)),))</f>
        <v>42370</v>
      </c>
      <c r="D172" s="411" t="str">
        <f ca="1">IF(ROWS($1:158)&gt;COUNT(Dong5),"",OFFSET(TH!F$1,SMALL(Dong5,ROWS($1:158)),))</f>
        <v>VAT Phí xếp dỡ, niêm chì, khai hải quan, chứng từ, điện giao hàng</v>
      </c>
      <c r="E172" s="329" t="str">
        <f ca="1">IF(ROWS($1:158)&gt;COUNT(Dong5),"",IF(OFFSET(TH!N$1,SMALL(Dong5,ROWS($1:158)),)=$E$7,OFFSET(TH!O$1,SMALL(Dong5,ROWS($1:158)),),OFFSET(TH!N$1,SMALL(Dong5,ROWS($1:158)),)))</f>
        <v>331</v>
      </c>
      <c r="F172" s="412">
        <f ca="1">IF(ROWS($1:158)&gt;COUNT(Dong5),0,IF(OFFSET(TH!N$1,SMALL(Dong5,ROWS($1:158)),)=$E$7,OFFSET(TH!M$1,SMALL(Dong5,ROWS($1:158)),),0))</f>
        <v>682356</v>
      </c>
      <c r="G172" s="410">
        <f ca="1">IF(ROWS($1:158)&gt;COUNT(Dong5),0,IF(OFFSET(TH!O$1,SMALL(Dong5,ROWS($1:158)),)=$E$7,OFFSET(TH!M$1,SMALL(Dong5,ROWS($1:158)),),0))</f>
        <v>0</v>
      </c>
      <c r="H172" s="413">
        <f t="shared" ca="1" si="13"/>
        <v>207630101</v>
      </c>
      <c r="I172" s="413">
        <f t="shared" ca="1" si="14"/>
        <v>0</v>
      </c>
      <c r="J172" s="18">
        <f t="shared" ca="1" si="12"/>
        <v>1</v>
      </c>
    </row>
    <row r="173" spans="1:10" s="18" customFormat="1" ht="18" customHeight="1">
      <c r="A173" s="329">
        <f ca="1">IF(ROWS($1:159)&gt;COUNT(Dong5),"",OFFSET(TH!C$1,SMALL(Dong5,ROWS($1:159)),))</f>
        <v>42400</v>
      </c>
      <c r="B173" s="329" t="str">
        <f ca="1">IF(ROWS($1:159)&gt;COUNT(Dong5),"",OFFSET(TH!D$1,SMALL(Dong5,ROWS($1:159)),))</f>
        <v>CTGS</v>
      </c>
      <c r="C173" s="329">
        <f ca="1">IF(ROWS($1:159)&gt;COUNT(Dong5),"",OFFSET(TH!E$1,SMALL(Dong5,ROWS($1:159)),))</f>
        <v>42380</v>
      </c>
      <c r="D173" s="411" t="str">
        <f ca="1">IF(ROWS($1:159)&gt;COUNT(Dong5),"",OFFSET(TH!F$1,SMALL(Dong5,ROWS($1:159)),))</f>
        <v>VAT Phí xử lý cá khô</v>
      </c>
      <c r="E173" s="329" t="str">
        <f ca="1">IF(ROWS($1:159)&gt;COUNT(Dong5),"",IF(OFFSET(TH!N$1,SMALL(Dong5,ROWS($1:159)),)=$E$7,OFFSET(TH!O$1,SMALL(Dong5,ROWS($1:159)),),OFFSET(TH!N$1,SMALL(Dong5,ROWS($1:159)),)))</f>
        <v>331</v>
      </c>
      <c r="F173" s="412">
        <f ca="1">IF(ROWS($1:159)&gt;COUNT(Dong5),0,IF(OFFSET(TH!N$1,SMALL(Dong5,ROWS($1:159)),)=$E$7,OFFSET(TH!M$1,SMALL(Dong5,ROWS($1:159)),),0))</f>
        <v>200000</v>
      </c>
      <c r="G173" s="410">
        <f ca="1">IF(ROWS($1:159)&gt;COUNT(Dong5),0,IF(OFFSET(TH!O$1,SMALL(Dong5,ROWS($1:159)),)=$E$7,OFFSET(TH!M$1,SMALL(Dong5,ROWS($1:159)),),0))</f>
        <v>0</v>
      </c>
      <c r="H173" s="413">
        <f t="shared" ref="H173:H186" ca="1" si="15">IF(D173&lt;&gt;"",MAX(H172+F173-G173-I172,0),0)</f>
        <v>207830101</v>
      </c>
      <c r="I173" s="413">
        <f t="shared" ref="I173:I186" ca="1" si="16">IF(D173&lt;&gt;"",MAX(I172+G173-H172-F173,0),0)</f>
        <v>0</v>
      </c>
      <c r="J173" s="18">
        <f t="shared" ref="J173:J186" ca="1" si="17">MONTH(A173)</f>
        <v>1</v>
      </c>
    </row>
    <row r="174" spans="1:10" s="18" customFormat="1" ht="18" customHeight="1">
      <c r="A174" s="329">
        <f ca="1">IF(ROWS($1:160)&gt;COUNT(Dong5),"",OFFSET(TH!C$1,SMALL(Dong5,ROWS($1:160)),))</f>
        <v>42400</v>
      </c>
      <c r="B174" s="329" t="str">
        <f ca="1">IF(ROWS($1:160)&gt;COUNT(Dong5),"",OFFSET(TH!D$1,SMALL(Dong5,ROWS($1:160)),))</f>
        <v>CTGS</v>
      </c>
      <c r="C174" s="329">
        <f ca="1">IF(ROWS($1:160)&gt;COUNT(Dong5),"",OFFSET(TH!E$1,SMALL(Dong5,ROWS($1:160)),))</f>
        <v>42381</v>
      </c>
      <c r="D174" s="411" t="str">
        <f ca="1">IF(ROWS($1:160)&gt;COUNT(Dong5),"",OFFSET(TH!F$1,SMALL(Dong5,ROWS($1:160)),))</f>
        <v>VAT Phí xử lý cá khô</v>
      </c>
      <c r="E174" s="329" t="str">
        <f ca="1">IF(ROWS($1:160)&gt;COUNT(Dong5),"",IF(OFFSET(TH!N$1,SMALL(Dong5,ROWS($1:160)),)=$E$7,OFFSET(TH!O$1,SMALL(Dong5,ROWS($1:160)),),OFFSET(TH!N$1,SMALL(Dong5,ROWS($1:160)),)))</f>
        <v>331</v>
      </c>
      <c r="F174" s="412">
        <f ca="1">IF(ROWS($1:160)&gt;COUNT(Dong5),0,IF(OFFSET(TH!N$1,SMALL(Dong5,ROWS($1:160)),)=$E$7,OFFSET(TH!M$1,SMALL(Dong5,ROWS($1:160)),),0))</f>
        <v>200000</v>
      </c>
      <c r="G174" s="410">
        <f ca="1">IF(ROWS($1:160)&gt;COUNT(Dong5),0,IF(OFFSET(TH!O$1,SMALL(Dong5,ROWS($1:160)),)=$E$7,OFFSET(TH!M$1,SMALL(Dong5,ROWS($1:160)),),0))</f>
        <v>0</v>
      </c>
      <c r="H174" s="413">
        <f t="shared" ca="1" si="15"/>
        <v>208030101</v>
      </c>
      <c r="I174" s="413">
        <f t="shared" ca="1" si="16"/>
        <v>0</v>
      </c>
      <c r="J174" s="18">
        <f t="shared" ca="1" si="17"/>
        <v>1</v>
      </c>
    </row>
    <row r="175" spans="1:10" s="18" customFormat="1" ht="18" customHeight="1">
      <c r="A175" s="329">
        <f ca="1">IF(ROWS($1:161)&gt;COUNT(Dong5),"",OFFSET(TH!C$1,SMALL(Dong5,ROWS($1:161)),))</f>
        <v>42400</v>
      </c>
      <c r="B175" s="329" t="str">
        <f ca="1">IF(ROWS($1:161)&gt;COUNT(Dong5),"",OFFSET(TH!D$1,SMALL(Dong5,ROWS($1:161)),))</f>
        <v>CTGS</v>
      </c>
      <c r="C175" s="329">
        <f ca="1">IF(ROWS($1:161)&gt;COUNT(Dong5),"",OFFSET(TH!E$1,SMALL(Dong5,ROWS($1:161)),))</f>
        <v>42394</v>
      </c>
      <c r="D175" s="411" t="str">
        <f ca="1">IF(ROWS($1:161)&gt;COUNT(Dong5),"",OFFSET(TH!F$1,SMALL(Dong5,ROWS($1:161)),))</f>
        <v>VAT Phí xử lý cá khô</v>
      </c>
      <c r="E175" s="329" t="str">
        <f ca="1">IF(ROWS($1:161)&gt;COUNT(Dong5),"",IF(OFFSET(TH!N$1,SMALL(Dong5,ROWS($1:161)),)=$E$7,OFFSET(TH!O$1,SMALL(Dong5,ROWS($1:161)),),OFFSET(TH!N$1,SMALL(Dong5,ROWS($1:161)),)))</f>
        <v>331</v>
      </c>
      <c r="F175" s="412">
        <f ca="1">IF(ROWS($1:161)&gt;COUNT(Dong5),0,IF(OFFSET(TH!N$1,SMALL(Dong5,ROWS($1:161)),)=$E$7,OFFSET(TH!M$1,SMALL(Dong5,ROWS($1:161)),),0))</f>
        <v>181818</v>
      </c>
      <c r="G175" s="410">
        <f ca="1">IF(ROWS($1:161)&gt;COUNT(Dong5),0,IF(OFFSET(TH!O$1,SMALL(Dong5,ROWS($1:161)),)=$E$7,OFFSET(TH!M$1,SMALL(Dong5,ROWS($1:161)),),0))</f>
        <v>0</v>
      </c>
      <c r="H175" s="413">
        <f t="shared" ca="1" si="15"/>
        <v>208211919</v>
      </c>
      <c r="I175" s="413">
        <f t="shared" ca="1" si="16"/>
        <v>0</v>
      </c>
      <c r="J175" s="18">
        <f t="shared" ca="1" si="17"/>
        <v>1</v>
      </c>
    </row>
    <row r="176" spans="1:10" s="18" customFormat="1" ht="18" customHeight="1">
      <c r="A176" s="329">
        <f ca="1">IF(ROWS($1:162)&gt;COUNT(Dong5),"",OFFSET(TH!C$1,SMALL(Dong5,ROWS($1:162)),))</f>
        <v>42400</v>
      </c>
      <c r="B176" s="329" t="str">
        <f ca="1">IF(ROWS($1:162)&gt;COUNT(Dong5),"",OFFSET(TH!D$1,SMALL(Dong5,ROWS($1:162)),))</f>
        <v>CTGS</v>
      </c>
      <c r="C176" s="329">
        <f ca="1">IF(ROWS($1:162)&gt;COUNT(Dong5),"",OFFSET(TH!E$1,SMALL(Dong5,ROWS($1:162)),))</f>
        <v>42398</v>
      </c>
      <c r="D176" s="411" t="str">
        <f ca="1">IF(ROWS($1:162)&gt;COUNT(Dong5),"",OFFSET(TH!F$1,SMALL(Dong5,ROWS($1:162)),))</f>
        <v>VAT Phí xếp dỡ, niêm chì, chứng từ, điện giao hàng</v>
      </c>
      <c r="E176" s="329" t="str">
        <f ca="1">IF(ROWS($1:162)&gt;COUNT(Dong5),"",IF(OFFSET(TH!N$1,SMALL(Dong5,ROWS($1:162)),)=$E$7,OFFSET(TH!O$1,SMALL(Dong5,ROWS($1:162)),),OFFSET(TH!N$1,SMALL(Dong5,ROWS($1:162)),)))</f>
        <v>331</v>
      </c>
      <c r="F176" s="412">
        <f ca="1">IF(ROWS($1:162)&gt;COUNT(Dong5),0,IF(OFFSET(TH!N$1,SMALL(Dong5,ROWS($1:162)),)=$E$7,OFFSET(TH!M$1,SMALL(Dong5,ROWS($1:162)),),0))</f>
        <v>507756</v>
      </c>
      <c r="G176" s="410">
        <f ca="1">IF(ROWS($1:162)&gt;COUNT(Dong5),0,IF(OFFSET(TH!O$1,SMALL(Dong5,ROWS($1:162)),)=$E$7,OFFSET(TH!M$1,SMALL(Dong5,ROWS($1:162)),),0))</f>
        <v>0</v>
      </c>
      <c r="H176" s="413">
        <f t="shared" ca="1" si="15"/>
        <v>208719675</v>
      </c>
      <c r="I176" s="413">
        <f t="shared" ca="1" si="16"/>
        <v>0</v>
      </c>
      <c r="J176" s="18">
        <f t="shared" ca="1" si="17"/>
        <v>1</v>
      </c>
    </row>
    <row r="177" spans="1:10" s="18" customFormat="1" ht="18" customHeight="1">
      <c r="A177" s="329">
        <f ca="1">IF(ROWS($1:163)&gt;COUNT(Dong5),"",OFFSET(TH!C$1,SMALL(Dong5,ROWS($1:163)),))</f>
        <v>42400</v>
      </c>
      <c r="B177" s="329" t="str">
        <f ca="1">IF(ROWS($1:163)&gt;COUNT(Dong5),"",OFFSET(TH!D$1,SMALL(Dong5,ROWS($1:163)),))</f>
        <v>CTGS</v>
      </c>
      <c r="C177" s="329">
        <f ca="1">IF(ROWS($1:163)&gt;COUNT(Dong5),"",OFFSET(TH!E$1,SMALL(Dong5,ROWS($1:163)),))</f>
        <v>42398</v>
      </c>
      <c r="D177" s="411" t="str">
        <f ca="1">IF(ROWS($1:163)&gt;COUNT(Dong5),"",OFFSET(TH!F$1,SMALL(Dong5,ROWS($1:163)),))</f>
        <v>VAT Phí xếp dỡ, niêm chì, khai hải quan, chứng từ, điện giao hàng</v>
      </c>
      <c r="E177" s="329" t="str">
        <f ca="1">IF(ROWS($1:163)&gt;COUNT(Dong5),"",IF(OFFSET(TH!N$1,SMALL(Dong5,ROWS($1:163)),)=$E$7,OFFSET(TH!O$1,SMALL(Dong5,ROWS($1:163)),),OFFSET(TH!N$1,SMALL(Dong5,ROWS($1:163)),)))</f>
        <v>331</v>
      </c>
      <c r="F177" s="412">
        <f ca="1">IF(ROWS($1:163)&gt;COUNT(Dong5),0,IF(OFFSET(TH!N$1,SMALL(Dong5,ROWS($1:163)),)=$E$7,OFFSET(TH!M$1,SMALL(Dong5,ROWS($1:163)),),0))</f>
        <v>641376</v>
      </c>
      <c r="G177" s="410">
        <f ca="1">IF(ROWS($1:163)&gt;COUNT(Dong5),0,IF(OFFSET(TH!O$1,SMALL(Dong5,ROWS($1:163)),)=$E$7,OFFSET(TH!M$1,SMALL(Dong5,ROWS($1:163)),),0))</f>
        <v>0</v>
      </c>
      <c r="H177" s="413">
        <f t="shared" ca="1" si="15"/>
        <v>209361051</v>
      </c>
      <c r="I177" s="413">
        <f t="shared" ca="1" si="16"/>
        <v>0</v>
      </c>
      <c r="J177" s="18">
        <f t="shared" ca="1" si="17"/>
        <v>1</v>
      </c>
    </row>
    <row r="178" spans="1:10" s="18" customFormat="1" ht="18" customHeight="1">
      <c r="A178" s="329">
        <f ca="1">IF(ROWS($1:164)&gt;COUNT(Dong5),"",OFFSET(TH!C$1,SMALL(Dong5,ROWS($1:164)),))</f>
        <v>42400</v>
      </c>
      <c r="B178" s="329" t="str">
        <f ca="1">IF(ROWS($1:164)&gt;COUNT(Dong5),"",OFFSET(TH!D$1,SMALL(Dong5,ROWS($1:164)),))</f>
        <v>CTGS</v>
      </c>
      <c r="C178" s="329">
        <f ca="1">IF(ROWS($1:164)&gt;COUNT(Dong5),"",OFFSET(TH!E$1,SMALL(Dong5,ROWS($1:164)),))</f>
        <v>42400</v>
      </c>
      <c r="D178" s="411" t="str">
        <f ca="1">IF(ROWS($1:164)&gt;COUNT(Dong5),"",OFFSET(TH!F$1,SMALL(Dong5,ROWS($1:164)),))</f>
        <v>VAT Phí xử lý cá khô</v>
      </c>
      <c r="E178" s="329" t="str">
        <f ca="1">IF(ROWS($1:164)&gt;COUNT(Dong5),"",IF(OFFSET(TH!N$1,SMALL(Dong5,ROWS($1:164)),)=$E$7,OFFSET(TH!O$1,SMALL(Dong5,ROWS($1:164)),),OFFSET(TH!N$1,SMALL(Dong5,ROWS($1:164)),)))</f>
        <v>331</v>
      </c>
      <c r="F178" s="412">
        <f ca="1">IF(ROWS($1:164)&gt;COUNT(Dong5),0,IF(OFFSET(TH!N$1,SMALL(Dong5,ROWS($1:164)),)=$E$7,OFFSET(TH!M$1,SMALL(Dong5,ROWS($1:164)),),0))</f>
        <v>200000</v>
      </c>
      <c r="G178" s="410">
        <f ca="1">IF(ROWS($1:164)&gt;COUNT(Dong5),0,IF(OFFSET(TH!O$1,SMALL(Dong5,ROWS($1:164)),)=$E$7,OFFSET(TH!M$1,SMALL(Dong5,ROWS($1:164)),),0))</f>
        <v>0</v>
      </c>
      <c r="H178" s="413">
        <f t="shared" ca="1" si="15"/>
        <v>209561051</v>
      </c>
      <c r="I178" s="413">
        <f t="shared" ca="1" si="16"/>
        <v>0</v>
      </c>
      <c r="J178" s="18">
        <f t="shared" ca="1" si="17"/>
        <v>1</v>
      </c>
    </row>
    <row r="179" spans="1:10" s="18" customFormat="1" ht="18" customHeight="1">
      <c r="A179" s="329">
        <f ca="1">IF(ROWS($1:165)&gt;COUNT(Dong5),"",OFFSET(TH!C$1,SMALL(Dong5,ROWS($1:165)),))</f>
        <v>42400</v>
      </c>
      <c r="B179" s="329" t="str">
        <f ca="1">IF(ROWS($1:165)&gt;COUNT(Dong5),"",OFFSET(TH!D$1,SMALL(Dong5,ROWS($1:165)),))</f>
        <v>CTGS</v>
      </c>
      <c r="C179" s="329">
        <f ca="1">IF(ROWS($1:165)&gt;COUNT(Dong5),"",OFFSET(TH!E$1,SMALL(Dong5,ROWS($1:165)),))</f>
        <v>42375</v>
      </c>
      <c r="D179" s="411" t="str">
        <f ca="1">IF(ROWS($1:165)&gt;COUNT(Dong5),"",OFFSET(TH!F$1,SMALL(Dong5,ROWS($1:165)),))</f>
        <v>VAT Tiền điện kỳ 1 T1/2016</v>
      </c>
      <c r="E179" s="329" t="str">
        <f ca="1">IF(ROWS($1:165)&gt;COUNT(Dong5),"",IF(OFFSET(TH!N$1,SMALL(Dong5,ROWS($1:165)),)=$E$7,OFFSET(TH!O$1,SMALL(Dong5,ROWS($1:165)),),OFFSET(TH!N$1,SMALL(Dong5,ROWS($1:165)),)))</f>
        <v>331</v>
      </c>
      <c r="F179" s="412">
        <f ca="1">IF(ROWS($1:165)&gt;COUNT(Dong5),0,IF(OFFSET(TH!N$1,SMALL(Dong5,ROWS($1:165)),)=$E$7,OFFSET(TH!M$1,SMALL(Dong5,ROWS($1:165)),),0))</f>
        <v>2465300</v>
      </c>
      <c r="G179" s="410">
        <f ca="1">IF(ROWS($1:165)&gt;COUNT(Dong5),0,IF(OFFSET(TH!O$1,SMALL(Dong5,ROWS($1:165)),)=$E$7,OFFSET(TH!M$1,SMALL(Dong5,ROWS($1:165)),),0))</f>
        <v>0</v>
      </c>
      <c r="H179" s="413">
        <f t="shared" ca="1" si="15"/>
        <v>212026351</v>
      </c>
      <c r="I179" s="413">
        <f t="shared" ca="1" si="16"/>
        <v>0</v>
      </c>
      <c r="J179" s="18">
        <f t="shared" ca="1" si="17"/>
        <v>1</v>
      </c>
    </row>
    <row r="180" spans="1:10" s="18" customFormat="1" ht="18" customHeight="1">
      <c r="A180" s="329">
        <f ca="1">IF(ROWS($1:166)&gt;COUNT(Dong5),"",OFFSET(TH!C$1,SMALL(Dong5,ROWS($1:166)),))</f>
        <v>42400</v>
      </c>
      <c r="B180" s="329" t="str">
        <f ca="1">IF(ROWS($1:166)&gt;COUNT(Dong5),"",OFFSET(TH!D$1,SMALL(Dong5,ROWS($1:166)),))</f>
        <v>CTGS</v>
      </c>
      <c r="C180" s="329">
        <f ca="1">IF(ROWS($1:166)&gt;COUNT(Dong5),"",OFFSET(TH!E$1,SMALL(Dong5,ROWS($1:166)),))</f>
        <v>42385</v>
      </c>
      <c r="D180" s="411" t="str">
        <f ca="1">IF(ROWS($1:166)&gt;COUNT(Dong5),"",OFFSET(TH!F$1,SMALL(Dong5,ROWS($1:166)),))</f>
        <v>VAT Tiền điện kỳ 2 T1/2016</v>
      </c>
      <c r="E180" s="329" t="str">
        <f ca="1">IF(ROWS($1:166)&gt;COUNT(Dong5),"",IF(OFFSET(TH!N$1,SMALL(Dong5,ROWS($1:166)),)=$E$7,OFFSET(TH!O$1,SMALL(Dong5,ROWS($1:166)),),OFFSET(TH!N$1,SMALL(Dong5,ROWS($1:166)),)))</f>
        <v>331</v>
      </c>
      <c r="F180" s="412">
        <f ca="1">IF(ROWS($1:166)&gt;COUNT(Dong5),0,IF(OFFSET(TH!N$1,SMALL(Dong5,ROWS($1:166)),)=$E$7,OFFSET(TH!M$1,SMALL(Dong5,ROWS($1:166)),),0))</f>
        <v>2932740</v>
      </c>
      <c r="G180" s="410">
        <f ca="1">IF(ROWS($1:166)&gt;COUNT(Dong5),0,IF(OFFSET(TH!O$1,SMALL(Dong5,ROWS($1:166)),)=$E$7,OFFSET(TH!M$1,SMALL(Dong5,ROWS($1:166)),),0))</f>
        <v>0</v>
      </c>
      <c r="H180" s="413">
        <f t="shared" ca="1" si="15"/>
        <v>214959091</v>
      </c>
      <c r="I180" s="413">
        <f t="shared" ca="1" si="16"/>
        <v>0</v>
      </c>
      <c r="J180" s="18">
        <f t="shared" ca="1" si="17"/>
        <v>1</v>
      </c>
    </row>
    <row r="181" spans="1:10" s="18" customFormat="1" ht="18" customHeight="1">
      <c r="A181" s="329">
        <f ca="1">IF(ROWS($1:167)&gt;COUNT(Dong5),"",OFFSET(TH!C$1,SMALL(Dong5,ROWS($1:167)),))</f>
        <v>42400</v>
      </c>
      <c r="B181" s="329" t="str">
        <f ca="1">IF(ROWS($1:167)&gt;COUNT(Dong5),"",OFFSET(TH!D$1,SMALL(Dong5,ROWS($1:167)),))</f>
        <v>CTGS</v>
      </c>
      <c r="C181" s="329">
        <f ca="1">IF(ROWS($1:167)&gt;COUNT(Dong5),"",OFFSET(TH!E$1,SMALL(Dong5,ROWS($1:167)),))</f>
        <v>42395</v>
      </c>
      <c r="D181" s="411" t="str">
        <f ca="1">IF(ROWS($1:167)&gt;COUNT(Dong5),"",OFFSET(TH!F$1,SMALL(Dong5,ROWS($1:167)),))</f>
        <v>VAT Tiền điện kỳ 3 T1/2016</v>
      </c>
      <c r="E181" s="329" t="str">
        <f ca="1">IF(ROWS($1:167)&gt;COUNT(Dong5),"",IF(OFFSET(TH!N$1,SMALL(Dong5,ROWS($1:167)),)=$E$7,OFFSET(TH!O$1,SMALL(Dong5,ROWS($1:167)),),OFFSET(TH!N$1,SMALL(Dong5,ROWS($1:167)),)))</f>
        <v>331</v>
      </c>
      <c r="F181" s="412">
        <f ca="1">IF(ROWS($1:167)&gt;COUNT(Dong5),0,IF(OFFSET(TH!N$1,SMALL(Dong5,ROWS($1:167)),)=$E$7,OFFSET(TH!M$1,SMALL(Dong5,ROWS($1:167)),),0))</f>
        <v>2899150</v>
      </c>
      <c r="G181" s="410">
        <f ca="1">IF(ROWS($1:167)&gt;COUNT(Dong5),0,IF(OFFSET(TH!O$1,SMALL(Dong5,ROWS($1:167)),)=$E$7,OFFSET(TH!M$1,SMALL(Dong5,ROWS($1:167)),),0))</f>
        <v>0</v>
      </c>
      <c r="H181" s="413">
        <f t="shared" ca="1" si="15"/>
        <v>217858241</v>
      </c>
      <c r="I181" s="413">
        <f t="shared" ca="1" si="16"/>
        <v>0</v>
      </c>
      <c r="J181" s="18">
        <f t="shared" ca="1" si="17"/>
        <v>1</v>
      </c>
    </row>
    <row r="182" spans="1:10" s="18" customFormat="1" ht="18" customHeight="1">
      <c r="A182" s="329">
        <f ca="1">IF(ROWS($1:168)&gt;COUNT(Dong5),"",OFFSET(TH!C$1,SMALL(Dong5,ROWS($1:168)),))</f>
        <v>42429</v>
      </c>
      <c r="B182" s="329" t="str">
        <f ca="1">IF(ROWS($1:168)&gt;COUNT(Dong5),"",OFFSET(TH!D$1,SMALL(Dong5,ROWS($1:168)),))</f>
        <v>CTGS</v>
      </c>
      <c r="C182" s="329">
        <f ca="1">IF(ROWS($1:168)&gt;COUNT(Dong5),"",OFFSET(TH!E$1,SMALL(Dong5,ROWS($1:168)),))</f>
        <v>42407</v>
      </c>
      <c r="D182" s="411" t="str">
        <f ca="1">IF(ROWS($1:168)&gt;COUNT(Dong5),"",OFFSET(TH!F$1,SMALL(Dong5,ROWS($1:168)),))</f>
        <v>VAT Phí xếp dỡ, niêm chì, điện giao hàng, chứng từ</v>
      </c>
      <c r="E182" s="329" t="str">
        <f ca="1">IF(ROWS($1:168)&gt;COUNT(Dong5),"",IF(OFFSET(TH!N$1,SMALL(Dong5,ROWS($1:168)),)=$E$7,OFFSET(TH!O$1,SMALL(Dong5,ROWS($1:168)),),OFFSET(TH!N$1,SMALL(Dong5,ROWS($1:168)),)))</f>
        <v>331</v>
      </c>
      <c r="F182" s="412">
        <f ca="1">IF(ROWS($1:168)&gt;COUNT(Dong5),0,IF(OFFSET(TH!N$1,SMALL(Dong5,ROWS($1:168)),)=$E$7,OFFSET(TH!M$1,SMALL(Dong5,ROWS($1:168)),),0))</f>
        <v>531930</v>
      </c>
      <c r="G182" s="410">
        <f ca="1">IF(ROWS($1:168)&gt;COUNT(Dong5),0,IF(OFFSET(TH!O$1,SMALL(Dong5,ROWS($1:168)),)=$E$7,OFFSET(TH!M$1,SMALL(Dong5,ROWS($1:168)),),0))</f>
        <v>0</v>
      </c>
      <c r="H182" s="413">
        <f t="shared" ca="1" si="15"/>
        <v>218390171</v>
      </c>
      <c r="I182" s="413">
        <f t="shared" ca="1" si="16"/>
        <v>0</v>
      </c>
      <c r="J182" s="18">
        <f t="shared" ca="1" si="17"/>
        <v>2</v>
      </c>
    </row>
    <row r="183" spans="1:10" s="18" customFormat="1" ht="18" customHeight="1">
      <c r="A183" s="329">
        <f ca="1">IF(ROWS($1:169)&gt;COUNT(Dong5),"",OFFSET(TH!C$1,SMALL(Dong5,ROWS($1:169)),))</f>
        <v>42429</v>
      </c>
      <c r="B183" s="329" t="str">
        <f ca="1">IF(ROWS($1:169)&gt;COUNT(Dong5),"",OFFSET(TH!D$1,SMALL(Dong5,ROWS($1:169)),))</f>
        <v>CTGS</v>
      </c>
      <c r="C183" s="329">
        <f ca="1">IF(ROWS($1:169)&gt;COUNT(Dong5),"",OFFSET(TH!E$1,SMALL(Dong5,ROWS($1:169)),))</f>
        <v>42429</v>
      </c>
      <c r="D183" s="411" t="str">
        <f ca="1">IF(ROWS($1:169)&gt;COUNT(Dong5),"",OFFSET(TH!F$1,SMALL(Dong5,ROWS($1:169)),))</f>
        <v>VAT Phí xử lý cá khô</v>
      </c>
      <c r="E183" s="329" t="str">
        <f ca="1">IF(ROWS($1:169)&gt;COUNT(Dong5),"",IF(OFFSET(TH!N$1,SMALL(Dong5,ROWS($1:169)),)=$E$7,OFFSET(TH!O$1,SMALL(Dong5,ROWS($1:169)),),OFFSET(TH!N$1,SMALL(Dong5,ROWS($1:169)),)))</f>
        <v>331</v>
      </c>
      <c r="F183" s="412">
        <f ca="1">IF(ROWS($1:169)&gt;COUNT(Dong5),0,IF(OFFSET(TH!N$1,SMALL(Dong5,ROWS($1:169)),)=$E$7,OFFSET(TH!M$1,SMALL(Dong5,ROWS($1:169)),),0))</f>
        <v>200000</v>
      </c>
      <c r="G183" s="410">
        <f ca="1">IF(ROWS($1:169)&gt;COUNT(Dong5),0,IF(OFFSET(TH!O$1,SMALL(Dong5,ROWS($1:169)),)=$E$7,OFFSET(TH!M$1,SMALL(Dong5,ROWS($1:169)),),0))</f>
        <v>0</v>
      </c>
      <c r="H183" s="413">
        <f t="shared" ca="1" si="15"/>
        <v>218590171</v>
      </c>
      <c r="I183" s="413">
        <f t="shared" ca="1" si="16"/>
        <v>0</v>
      </c>
      <c r="J183" s="18">
        <f t="shared" ca="1" si="17"/>
        <v>2</v>
      </c>
    </row>
    <row r="184" spans="1:10" s="18" customFormat="1" ht="18" customHeight="1">
      <c r="A184" s="329">
        <f ca="1">IF(ROWS($1:170)&gt;COUNT(Dong5),"",OFFSET(TH!C$1,SMALL(Dong5,ROWS($1:170)),))</f>
        <v>42429</v>
      </c>
      <c r="B184" s="329" t="str">
        <f ca="1">IF(ROWS($1:170)&gt;COUNT(Dong5),"",OFFSET(TH!D$1,SMALL(Dong5,ROWS($1:170)),))</f>
        <v>CTGS</v>
      </c>
      <c r="C184" s="329">
        <f ca="1">IF(ROWS($1:170)&gt;COUNT(Dong5),"",OFFSET(TH!E$1,SMALL(Dong5,ROWS($1:170)),))</f>
        <v>42406</v>
      </c>
      <c r="D184" s="411" t="str">
        <f ca="1">IF(ROWS($1:170)&gt;COUNT(Dong5),"",OFFSET(TH!F$1,SMALL(Dong5,ROWS($1:170)),))</f>
        <v>VAT Tiền điện kỳ 1 T2/2016</v>
      </c>
      <c r="E184" s="329" t="str">
        <f ca="1">IF(ROWS($1:170)&gt;COUNT(Dong5),"",IF(OFFSET(TH!N$1,SMALL(Dong5,ROWS($1:170)),)=$E$7,OFFSET(TH!O$1,SMALL(Dong5,ROWS($1:170)),),OFFSET(TH!N$1,SMALL(Dong5,ROWS($1:170)),)))</f>
        <v>331</v>
      </c>
      <c r="F184" s="412">
        <f ca="1">IF(ROWS($1:170)&gt;COUNT(Dong5),0,IF(OFFSET(TH!N$1,SMALL(Dong5,ROWS($1:170)),)=$E$7,OFFSET(TH!M$1,SMALL(Dong5,ROWS($1:170)),),0))</f>
        <v>2944200</v>
      </c>
      <c r="G184" s="410">
        <f ca="1">IF(ROWS($1:170)&gt;COUNT(Dong5),0,IF(OFFSET(TH!O$1,SMALL(Dong5,ROWS($1:170)),)=$E$7,OFFSET(TH!M$1,SMALL(Dong5,ROWS($1:170)),),0))</f>
        <v>0</v>
      </c>
      <c r="H184" s="413">
        <f t="shared" ca="1" si="15"/>
        <v>221534371</v>
      </c>
      <c r="I184" s="413">
        <f t="shared" ca="1" si="16"/>
        <v>0</v>
      </c>
      <c r="J184" s="18">
        <f t="shared" ca="1" si="17"/>
        <v>2</v>
      </c>
    </row>
    <row r="185" spans="1:10" s="18" customFormat="1" ht="18" customHeight="1">
      <c r="A185" s="329">
        <f ca="1">IF(ROWS($1:171)&gt;COUNT(Dong5),"",OFFSET(TH!C$1,SMALL(Dong5,ROWS($1:171)),))</f>
        <v>42429</v>
      </c>
      <c r="B185" s="329" t="str">
        <f ca="1">IF(ROWS($1:171)&gt;COUNT(Dong5),"",OFFSET(TH!D$1,SMALL(Dong5,ROWS($1:171)),))</f>
        <v>CTGS</v>
      </c>
      <c r="C185" s="329">
        <f ca="1">IF(ROWS($1:171)&gt;COUNT(Dong5),"",OFFSET(TH!E$1,SMALL(Dong5,ROWS($1:171)),))</f>
        <v>42426</v>
      </c>
      <c r="D185" s="411" t="str">
        <f ca="1">IF(ROWS($1:171)&gt;COUNT(Dong5),"",OFFSET(TH!F$1,SMALL(Dong5,ROWS($1:171)),))</f>
        <v>VAT Tiền điện kỳ 3 T2/2016</v>
      </c>
      <c r="E185" s="329" t="str">
        <f ca="1">IF(ROWS($1:171)&gt;COUNT(Dong5),"",IF(OFFSET(TH!N$1,SMALL(Dong5,ROWS($1:171)),)=$E$7,OFFSET(TH!O$1,SMALL(Dong5,ROWS($1:171)),),OFFSET(TH!N$1,SMALL(Dong5,ROWS($1:171)),)))</f>
        <v>331</v>
      </c>
      <c r="F185" s="412">
        <f ca="1">IF(ROWS($1:171)&gt;COUNT(Dong5),0,IF(OFFSET(TH!N$1,SMALL(Dong5,ROWS($1:171)),)=$E$7,OFFSET(TH!M$1,SMALL(Dong5,ROWS($1:171)),),0))</f>
        <v>2110280</v>
      </c>
      <c r="G185" s="410">
        <f ca="1">IF(ROWS($1:171)&gt;COUNT(Dong5),0,IF(OFFSET(TH!O$1,SMALL(Dong5,ROWS($1:171)),)=$E$7,OFFSET(TH!M$1,SMALL(Dong5,ROWS($1:171)),),0))</f>
        <v>0</v>
      </c>
      <c r="H185" s="413">
        <f t="shared" ca="1" si="15"/>
        <v>223644651</v>
      </c>
      <c r="I185" s="413">
        <f t="shared" ca="1" si="16"/>
        <v>0</v>
      </c>
      <c r="J185" s="18">
        <f t="shared" ca="1" si="17"/>
        <v>2</v>
      </c>
    </row>
    <row r="186" spans="1:10" s="18" customFormat="1" ht="18" customHeight="1">
      <c r="A186" s="329">
        <f ca="1">IF(ROWS($1:172)&gt;COUNT(Dong5),"",OFFSET(TH!C$1,SMALL(Dong5,ROWS($1:172)),))</f>
        <v>42429</v>
      </c>
      <c r="B186" s="329" t="str">
        <f ca="1">IF(ROWS($1:172)&gt;COUNT(Dong5),"",OFFSET(TH!D$1,SMALL(Dong5,ROWS($1:172)),))</f>
        <v>CTGS</v>
      </c>
      <c r="C186" s="329">
        <f ca="1">IF(ROWS($1:172)&gt;COUNT(Dong5),"",OFFSET(TH!E$1,SMALL(Dong5,ROWS($1:172)),))</f>
        <v>42384</v>
      </c>
      <c r="D186" s="411" t="str">
        <f ca="1">IF(ROWS($1:172)&gt;COUNT(Dong5),"",OFFSET(TH!F$1,SMALL(Dong5,ROWS($1:172)),))</f>
        <v>HĐTC XD - VAT lắp đặt hoàn chỉnh phần kết cấu thép</v>
      </c>
      <c r="E186" s="329" t="str">
        <f ca="1">IF(ROWS($1:172)&gt;COUNT(Dong5),"",IF(OFFSET(TH!N$1,SMALL(Dong5,ROWS($1:172)),)=$E$7,OFFSET(TH!O$1,SMALL(Dong5,ROWS($1:172)),),OFFSET(TH!N$1,SMALL(Dong5,ROWS($1:172)),)))</f>
        <v>331</v>
      </c>
      <c r="F186" s="412">
        <f ca="1">IF(ROWS($1:172)&gt;COUNT(Dong5),0,IF(OFFSET(TH!N$1,SMALL(Dong5,ROWS($1:172)),)=$E$7,OFFSET(TH!M$1,SMALL(Dong5,ROWS($1:172)),),0))</f>
        <v>12498182</v>
      </c>
      <c r="G186" s="410">
        <f ca="1">IF(ROWS($1:172)&gt;COUNT(Dong5),0,IF(OFFSET(TH!O$1,SMALL(Dong5,ROWS($1:172)),)=$E$7,OFFSET(TH!M$1,SMALL(Dong5,ROWS($1:172)),),0))</f>
        <v>0</v>
      </c>
      <c r="H186" s="413">
        <f t="shared" ca="1" si="15"/>
        <v>236142833</v>
      </c>
      <c r="I186" s="413">
        <f t="shared" ca="1" si="16"/>
        <v>0</v>
      </c>
      <c r="J186" s="18">
        <f t="shared" ca="1" si="17"/>
        <v>2</v>
      </c>
    </row>
    <row r="187" spans="1:10" s="18" customFormat="1" ht="18" customHeight="1">
      <c r="A187" s="329">
        <f ca="1">IF(ROWS($1:173)&gt;COUNT(Dong5),"",OFFSET(TH!C$1,SMALL(Dong5,ROWS($1:173)),))</f>
        <v>42460</v>
      </c>
      <c r="B187" s="329" t="str">
        <f ca="1">IF(ROWS($1:173)&gt;COUNT(Dong5),"",OFFSET(TH!D$1,SMALL(Dong5,ROWS($1:173)),))</f>
        <v>CTGS</v>
      </c>
      <c r="C187" s="329">
        <f ca="1">IF(ROWS($1:173)&gt;COUNT(Dong5),"",OFFSET(TH!E$1,SMALL(Dong5,ROWS($1:173)),))</f>
        <v>42426</v>
      </c>
      <c r="D187" s="411" t="str">
        <f ca="1">IF(ROWS($1:173)&gt;COUNT(Dong5),"",OFFSET(TH!F$1,SMALL(Dong5,ROWS($1:173)),))</f>
        <v>VAT Tiền điện CSPK</v>
      </c>
      <c r="E187" s="329" t="str">
        <f ca="1">IF(ROWS($1:173)&gt;COUNT(Dong5),"",IF(OFFSET(TH!N$1,SMALL(Dong5,ROWS($1:173)),)=$E$7,OFFSET(TH!O$1,SMALL(Dong5,ROWS($1:173)),),OFFSET(TH!N$1,SMALL(Dong5,ROWS($1:173)),)))</f>
        <v>331</v>
      </c>
      <c r="F187" s="412">
        <f ca="1">IF(ROWS($1:173)&gt;COUNT(Dong5),0,IF(OFFSET(TH!N$1,SMALL(Dong5,ROWS($1:173)),)=$E$7,OFFSET(TH!M$1,SMALL(Dong5,ROWS($1:173)),),0))</f>
        <v>23635</v>
      </c>
      <c r="G187" s="410">
        <f ca="1">IF(ROWS($1:173)&gt;COUNT(Dong5),0,IF(OFFSET(TH!O$1,SMALL(Dong5,ROWS($1:173)),)=$E$7,OFFSET(TH!M$1,SMALL(Dong5,ROWS($1:173)),),0))</f>
        <v>0</v>
      </c>
      <c r="H187" s="413">
        <f t="shared" ref="H187:H208" ca="1" si="18">IF(D187&lt;&gt;"",MAX(H186+F187-G187-I186,0),0)</f>
        <v>236166468</v>
      </c>
      <c r="I187" s="413">
        <f t="shared" ref="I187:I208" ca="1" si="19">IF(D187&lt;&gt;"",MAX(I186+G187-H186-F187,0),0)</f>
        <v>0</v>
      </c>
      <c r="J187" s="18">
        <f t="shared" ca="1" si="12"/>
        <v>3</v>
      </c>
    </row>
    <row r="188" spans="1:10" s="18" customFormat="1" ht="18" customHeight="1">
      <c r="A188" s="329">
        <f ca="1">IF(ROWS($1:174)&gt;COUNT(Dong5),"",OFFSET(TH!C$1,SMALL(Dong5,ROWS($1:174)),))</f>
        <v>42460</v>
      </c>
      <c r="B188" s="329" t="str">
        <f ca="1">IF(ROWS($1:174)&gt;COUNT(Dong5),"",OFFSET(TH!D$1,SMALL(Dong5,ROWS($1:174)),))</f>
        <v>CTGS</v>
      </c>
      <c r="C188" s="329">
        <f ca="1">IF(ROWS($1:174)&gt;COUNT(Dong5),"",OFFSET(TH!E$1,SMALL(Dong5,ROWS($1:174)),))</f>
        <v>42436</v>
      </c>
      <c r="D188" s="411" t="str">
        <f ca="1">IF(ROWS($1:174)&gt;COUNT(Dong5),"",OFFSET(TH!F$1,SMALL(Dong5,ROWS($1:174)),))</f>
        <v>VAT Tiền điện kỳ 1 T3/2016</v>
      </c>
      <c r="E188" s="329" t="str">
        <f ca="1">IF(ROWS($1:174)&gt;COUNT(Dong5),"",IF(OFFSET(TH!N$1,SMALL(Dong5,ROWS($1:174)),)=$E$7,OFFSET(TH!O$1,SMALL(Dong5,ROWS($1:174)),),OFFSET(TH!N$1,SMALL(Dong5,ROWS($1:174)),)))</f>
        <v>331</v>
      </c>
      <c r="F188" s="412">
        <f ca="1">IF(ROWS($1:174)&gt;COUNT(Dong5),0,IF(OFFSET(TH!N$1,SMALL(Dong5,ROWS($1:174)),)=$E$7,OFFSET(TH!M$1,SMALL(Dong5,ROWS($1:174)),),0))</f>
        <v>2068130</v>
      </c>
      <c r="G188" s="410">
        <f ca="1">IF(ROWS($1:174)&gt;COUNT(Dong5),0,IF(OFFSET(TH!O$1,SMALL(Dong5,ROWS($1:174)),)=$E$7,OFFSET(TH!M$1,SMALL(Dong5,ROWS($1:174)),),0))</f>
        <v>0</v>
      </c>
      <c r="H188" s="413">
        <f t="shared" ca="1" si="18"/>
        <v>238234598</v>
      </c>
      <c r="I188" s="413">
        <f t="shared" ca="1" si="19"/>
        <v>0</v>
      </c>
      <c r="J188" s="18">
        <f t="shared" ca="1" si="12"/>
        <v>3</v>
      </c>
    </row>
    <row r="189" spans="1:10" s="18" customFormat="1" ht="18" customHeight="1">
      <c r="A189" s="329">
        <f ca="1">IF(ROWS($1:175)&gt;COUNT(Dong5),"",OFFSET(TH!C$1,SMALL(Dong5,ROWS($1:175)),))</f>
        <v>42460</v>
      </c>
      <c r="B189" s="329" t="str">
        <f ca="1">IF(ROWS($1:175)&gt;COUNT(Dong5),"",OFFSET(TH!D$1,SMALL(Dong5,ROWS($1:175)),))</f>
        <v>CTGS</v>
      </c>
      <c r="C189" s="329">
        <f ca="1">IF(ROWS($1:175)&gt;COUNT(Dong5),"",OFFSET(TH!E$1,SMALL(Dong5,ROWS($1:175)),))</f>
        <v>42445</v>
      </c>
      <c r="D189" s="411" t="str">
        <f ca="1">IF(ROWS($1:175)&gt;COUNT(Dong5),"",OFFSET(TH!F$1,SMALL(Dong5,ROWS($1:175)),))</f>
        <v>VAT Tiền điện kỳ 2 T3/2016</v>
      </c>
      <c r="E189" s="329" t="str">
        <f ca="1">IF(ROWS($1:175)&gt;COUNT(Dong5),"",IF(OFFSET(TH!N$1,SMALL(Dong5,ROWS($1:175)),)=$E$7,OFFSET(TH!O$1,SMALL(Dong5,ROWS($1:175)),),OFFSET(TH!N$1,SMALL(Dong5,ROWS($1:175)),)))</f>
        <v>331</v>
      </c>
      <c r="F189" s="412">
        <f ca="1">IF(ROWS($1:175)&gt;COUNT(Dong5),0,IF(OFFSET(TH!N$1,SMALL(Dong5,ROWS($1:175)),)=$E$7,OFFSET(TH!M$1,SMALL(Dong5,ROWS($1:175)),),0))</f>
        <v>2126920</v>
      </c>
      <c r="G189" s="410">
        <f ca="1">IF(ROWS($1:175)&gt;COUNT(Dong5),0,IF(OFFSET(TH!O$1,SMALL(Dong5,ROWS($1:175)),)=$E$7,OFFSET(TH!M$1,SMALL(Dong5,ROWS($1:175)),),0))</f>
        <v>0</v>
      </c>
      <c r="H189" s="413">
        <f t="shared" ca="1" si="18"/>
        <v>240361518</v>
      </c>
      <c r="I189" s="413">
        <f t="shared" ca="1" si="19"/>
        <v>0</v>
      </c>
      <c r="J189" s="18">
        <f t="shared" ca="1" si="12"/>
        <v>3</v>
      </c>
    </row>
    <row r="190" spans="1:10" s="18" customFormat="1" ht="18" customHeight="1">
      <c r="A190" s="329">
        <f ca="1">IF(ROWS($1:176)&gt;COUNT(Dong5),"",OFFSET(TH!C$1,SMALL(Dong5,ROWS($1:176)),))</f>
        <v>42460</v>
      </c>
      <c r="B190" s="329" t="str">
        <f ca="1">IF(ROWS($1:176)&gt;COUNT(Dong5),"",OFFSET(TH!D$1,SMALL(Dong5,ROWS($1:176)),))</f>
        <v>CTGS</v>
      </c>
      <c r="C190" s="329">
        <f ca="1">IF(ROWS($1:176)&gt;COUNT(Dong5),"",OFFSET(TH!E$1,SMALL(Dong5,ROWS($1:176)),))</f>
        <v>42455</v>
      </c>
      <c r="D190" s="411" t="str">
        <f ca="1">IF(ROWS($1:176)&gt;COUNT(Dong5),"",OFFSET(TH!F$1,SMALL(Dong5,ROWS($1:176)),))</f>
        <v>VAT Tiền điện kỳ 3 T3/2016</v>
      </c>
      <c r="E190" s="329" t="str">
        <f ca="1">IF(ROWS($1:176)&gt;COUNT(Dong5),"",IF(OFFSET(TH!N$1,SMALL(Dong5,ROWS($1:176)),)=$E$7,OFFSET(TH!O$1,SMALL(Dong5,ROWS($1:176)),),OFFSET(TH!N$1,SMALL(Dong5,ROWS($1:176)),)))</f>
        <v>331</v>
      </c>
      <c r="F190" s="412">
        <f ca="1">IF(ROWS($1:176)&gt;COUNT(Dong5),0,IF(OFFSET(TH!N$1,SMALL(Dong5,ROWS($1:176)),)=$E$7,OFFSET(TH!M$1,SMALL(Dong5,ROWS($1:176)),),0))</f>
        <v>2016960</v>
      </c>
      <c r="G190" s="410">
        <f ca="1">IF(ROWS($1:176)&gt;COUNT(Dong5),0,IF(OFFSET(TH!O$1,SMALL(Dong5,ROWS($1:176)),)=$E$7,OFFSET(TH!M$1,SMALL(Dong5,ROWS($1:176)),),0))</f>
        <v>0</v>
      </c>
      <c r="H190" s="413">
        <f t="shared" ca="1" si="18"/>
        <v>242378478</v>
      </c>
      <c r="I190" s="413">
        <f t="shared" ca="1" si="19"/>
        <v>0</v>
      </c>
      <c r="J190" s="18">
        <f t="shared" ca="1" si="12"/>
        <v>3</v>
      </c>
    </row>
    <row r="191" spans="1:10" s="18" customFormat="1" ht="18" customHeight="1">
      <c r="A191" s="329">
        <f ca="1">IF(ROWS($1:177)&gt;COUNT(Dong5),"",OFFSET(TH!C$1,SMALL(Dong5,ROWS($1:177)),))</f>
        <v>42460</v>
      </c>
      <c r="B191" s="329" t="str">
        <f ca="1">IF(ROWS($1:177)&gt;COUNT(Dong5),"",OFFSET(TH!D$1,SMALL(Dong5,ROWS($1:177)),))</f>
        <v>CTGS</v>
      </c>
      <c r="C191" s="329">
        <f ca="1">IF(ROWS($1:177)&gt;COUNT(Dong5),"",OFFSET(TH!E$1,SMALL(Dong5,ROWS($1:177)),))</f>
        <v>42447</v>
      </c>
      <c r="D191" s="411" t="str">
        <f ca="1">IF(ROWS($1:177)&gt;COUNT(Dong5),"",OFFSET(TH!F$1,SMALL(Dong5,ROWS($1:177)),))</f>
        <v>VAT Máy điều hoà không khí</v>
      </c>
      <c r="E191" s="329" t="str">
        <f ca="1">IF(ROWS($1:177)&gt;COUNT(Dong5),"",IF(OFFSET(TH!N$1,SMALL(Dong5,ROWS($1:177)),)=$E$7,OFFSET(TH!O$1,SMALL(Dong5,ROWS($1:177)),),OFFSET(TH!N$1,SMALL(Dong5,ROWS($1:177)),)))</f>
        <v>331</v>
      </c>
      <c r="F191" s="412">
        <f ca="1">IF(ROWS($1:177)&gt;COUNT(Dong5),0,IF(OFFSET(TH!N$1,SMALL(Dong5,ROWS($1:177)),)=$E$7,OFFSET(TH!M$1,SMALL(Dong5,ROWS($1:177)),),0))</f>
        <v>3354545</v>
      </c>
      <c r="G191" s="410">
        <f ca="1">IF(ROWS($1:177)&gt;COUNT(Dong5),0,IF(OFFSET(TH!O$1,SMALL(Dong5,ROWS($1:177)),)=$E$7,OFFSET(TH!M$1,SMALL(Dong5,ROWS($1:177)),),0))</f>
        <v>0</v>
      </c>
      <c r="H191" s="413">
        <f t="shared" ca="1" si="18"/>
        <v>245733023</v>
      </c>
      <c r="I191" s="413">
        <f t="shared" ca="1" si="19"/>
        <v>0</v>
      </c>
      <c r="J191" s="18">
        <f t="shared" ca="1" si="12"/>
        <v>3</v>
      </c>
    </row>
    <row r="192" spans="1:10" s="18" customFormat="1" ht="18" customHeight="1">
      <c r="A192" s="329">
        <f ca="1">IF(ROWS($1:178)&gt;COUNT(Dong5),"",OFFSET(TH!C$1,SMALL(Dong5,ROWS($1:178)),))</f>
        <v>42460</v>
      </c>
      <c r="B192" s="329" t="str">
        <f ca="1">IF(ROWS($1:178)&gt;COUNT(Dong5),"",OFFSET(TH!D$1,SMALL(Dong5,ROWS($1:178)),))</f>
        <v>CTGS</v>
      </c>
      <c r="C192" s="329">
        <f ca="1">IF(ROWS($1:178)&gt;COUNT(Dong5),"",OFFSET(TH!E$1,SMALL(Dong5,ROWS($1:178)),))</f>
        <v>42445</v>
      </c>
      <c r="D192" s="411" t="str">
        <f ca="1">IF(ROWS($1:178)&gt;COUNT(Dong5),"",OFFSET(TH!F$1,SMALL(Dong5,ROWS($1:178)),))</f>
        <v>VAT Phí phát hành bill, điện giao hàng, xếp dỡ, niêm chì</v>
      </c>
      <c r="E192" s="329" t="str">
        <f ca="1">IF(ROWS($1:178)&gt;COUNT(Dong5),"",IF(OFFSET(TH!N$1,SMALL(Dong5,ROWS($1:178)),)=$E$7,OFFSET(TH!O$1,SMALL(Dong5,ROWS($1:178)),),OFFSET(TH!N$1,SMALL(Dong5,ROWS($1:178)),)))</f>
        <v>331</v>
      </c>
      <c r="F192" s="412">
        <f ca="1">IF(ROWS($1:178)&gt;COUNT(Dong5),0,IF(OFFSET(TH!N$1,SMALL(Dong5,ROWS($1:178)),)=$E$7,OFFSET(TH!M$1,SMALL(Dong5,ROWS($1:178)),),0))</f>
        <v>521920</v>
      </c>
      <c r="G192" s="410">
        <f ca="1">IF(ROWS($1:178)&gt;COUNT(Dong5),0,IF(OFFSET(TH!O$1,SMALL(Dong5,ROWS($1:178)),)=$E$7,OFFSET(TH!M$1,SMALL(Dong5,ROWS($1:178)),),0))</f>
        <v>0</v>
      </c>
      <c r="H192" s="413">
        <f t="shared" ca="1" si="18"/>
        <v>246254943</v>
      </c>
      <c r="I192" s="413">
        <f t="shared" ca="1" si="19"/>
        <v>0</v>
      </c>
      <c r="J192" s="18">
        <f t="shared" ca="1" si="12"/>
        <v>3</v>
      </c>
    </row>
    <row r="193" spans="1:10" s="18" customFormat="1" ht="18" customHeight="1">
      <c r="A193" s="329">
        <f ca="1">IF(ROWS($1:179)&gt;COUNT(Dong5),"",OFFSET(TH!C$1,SMALL(Dong5,ROWS($1:179)),))</f>
        <v>42429</v>
      </c>
      <c r="B193" s="329" t="str">
        <f ca="1">IF(ROWS($1:179)&gt;COUNT(Dong5),"",OFFSET(TH!D$1,SMALL(Dong5,ROWS($1:179)),))</f>
        <v>C25</v>
      </c>
      <c r="C193" s="329">
        <f ca="1">IF(ROWS($1:179)&gt;COUNT(Dong5),"",OFFSET(TH!E$1,SMALL(Dong5,ROWS($1:179)),))</f>
        <v>42429</v>
      </c>
      <c r="D193" s="411" t="str">
        <f ca="1">IF(ROWS($1:179)&gt;COUNT(Dong5),"",OFFSET(TH!F$1,SMALL(Dong5,ROWS($1:179)),))</f>
        <v>Xét nghiệm nước</v>
      </c>
      <c r="E193" s="329" t="str">
        <f ca="1">IF(ROWS($1:179)&gt;COUNT(Dong5),"",IF(OFFSET(TH!N$1,SMALL(Dong5,ROWS($1:179)),)=$E$7,OFFSET(TH!O$1,SMALL(Dong5,ROWS($1:179)),),OFFSET(TH!N$1,SMALL(Dong5,ROWS($1:179)),)))</f>
        <v>642</v>
      </c>
      <c r="F193" s="412">
        <f ca="1">IF(ROWS($1:179)&gt;COUNT(Dong5),0,IF(OFFSET(TH!N$1,SMALL(Dong5,ROWS($1:179)),)=$E$7,OFFSET(TH!M$1,SMALL(Dong5,ROWS($1:179)),),0))</f>
        <v>0</v>
      </c>
      <c r="G193" s="410">
        <f ca="1">IF(ROWS($1:179)&gt;COUNT(Dong5),0,IF(OFFSET(TH!O$1,SMALL(Dong5,ROWS($1:179)),)=$E$7,OFFSET(TH!M$1,SMALL(Dong5,ROWS($1:179)),),0))</f>
        <v>0</v>
      </c>
      <c r="H193" s="413">
        <f t="shared" ca="1" si="18"/>
        <v>246254943</v>
      </c>
      <c r="I193" s="413">
        <f t="shared" ca="1" si="19"/>
        <v>0</v>
      </c>
      <c r="J193" s="18">
        <f t="shared" ca="1" si="12"/>
        <v>2</v>
      </c>
    </row>
    <row r="194" spans="1:10" s="18" customFormat="1" ht="18" customHeight="1">
      <c r="A194" s="329">
        <f ca="1">IF(ROWS($1:180)&gt;COUNT(Dong5),"",OFFSET(TH!C$1,SMALL(Dong5,ROWS($1:180)),))</f>
        <v>42429</v>
      </c>
      <c r="B194" s="329" t="str">
        <f ca="1">IF(ROWS($1:180)&gt;COUNT(Dong5),"",OFFSET(TH!D$1,SMALL(Dong5,ROWS($1:180)),))</f>
        <v>C26</v>
      </c>
      <c r="C194" s="329">
        <f ca="1">IF(ROWS($1:180)&gt;COUNT(Dong5),"",OFFSET(TH!E$1,SMALL(Dong5,ROWS($1:180)),))</f>
        <v>42429</v>
      </c>
      <c r="D194" s="411" t="str">
        <f ca="1">IF(ROWS($1:180)&gt;COUNT(Dong5),"",OFFSET(TH!F$1,SMALL(Dong5,ROWS($1:180)),))</f>
        <v>Thanh toán lương T2/2016</v>
      </c>
      <c r="E194" s="329" t="str">
        <f ca="1">IF(ROWS($1:180)&gt;COUNT(Dong5),"",IF(OFFSET(TH!N$1,SMALL(Dong5,ROWS($1:180)),)=$E$7,OFFSET(TH!O$1,SMALL(Dong5,ROWS($1:180)),),OFFSET(TH!N$1,SMALL(Dong5,ROWS($1:180)),)))</f>
        <v>3341</v>
      </c>
      <c r="F194" s="412">
        <f ca="1">IF(ROWS($1:180)&gt;COUNT(Dong5),0,IF(OFFSET(TH!N$1,SMALL(Dong5,ROWS($1:180)),)=$E$7,OFFSET(TH!M$1,SMALL(Dong5,ROWS($1:180)),),0))</f>
        <v>0</v>
      </c>
      <c r="G194" s="410">
        <f ca="1">IF(ROWS($1:180)&gt;COUNT(Dong5),0,IF(OFFSET(TH!O$1,SMALL(Dong5,ROWS($1:180)),)=$E$7,OFFSET(TH!M$1,SMALL(Dong5,ROWS($1:180)),),0))</f>
        <v>0</v>
      </c>
      <c r="H194" s="413">
        <f t="shared" ca="1" si="18"/>
        <v>246254943</v>
      </c>
      <c r="I194" s="413">
        <f t="shared" ca="1" si="19"/>
        <v>0</v>
      </c>
      <c r="J194" s="18">
        <f t="shared" ca="1" si="12"/>
        <v>2</v>
      </c>
    </row>
    <row r="195" spans="1:10" s="18" customFormat="1" ht="18" customHeight="1">
      <c r="A195" s="329">
        <f ca="1">IF(ROWS($1:181)&gt;COUNT(Dong5),"",OFFSET(TH!C$1,SMALL(Dong5,ROWS($1:181)),))</f>
        <v>42429</v>
      </c>
      <c r="B195" s="329" t="str">
        <f ca="1">IF(ROWS($1:181)&gt;COUNT(Dong5),"",OFFSET(TH!D$1,SMALL(Dong5,ROWS($1:181)),))</f>
        <v>C27</v>
      </c>
      <c r="C195" s="329">
        <f ca="1">IF(ROWS($1:181)&gt;COUNT(Dong5),"",OFFSET(TH!E$1,SMALL(Dong5,ROWS($1:181)),))</f>
        <v>42416</v>
      </c>
      <c r="D195" s="411" t="str">
        <f ca="1">IF(ROWS($1:181)&gt;COUNT(Dong5),"",OFFSET(TH!F$1,SMALL(Dong5,ROWS($1:181)),))</f>
        <v>VAT Tiền điện kỳ 2 T2/2016</v>
      </c>
      <c r="E195" s="329" t="str">
        <f ca="1">IF(ROWS($1:181)&gt;COUNT(Dong5),"",IF(OFFSET(TH!N$1,SMALL(Dong5,ROWS($1:181)),)=$E$7,OFFSET(TH!O$1,SMALL(Dong5,ROWS($1:181)),),OFFSET(TH!N$1,SMALL(Dong5,ROWS($1:181)),)))</f>
        <v>1111</v>
      </c>
      <c r="F195" s="412">
        <f ca="1">IF(ROWS($1:181)&gt;COUNT(Dong5),0,IF(OFFSET(TH!N$1,SMALL(Dong5,ROWS($1:181)),)=$E$7,OFFSET(TH!M$1,SMALL(Dong5,ROWS($1:181)),),0))</f>
        <v>1603810</v>
      </c>
      <c r="G195" s="410">
        <f ca="1">IF(ROWS($1:181)&gt;COUNT(Dong5),0,IF(OFFSET(TH!O$1,SMALL(Dong5,ROWS($1:181)),)=$E$7,OFFSET(TH!M$1,SMALL(Dong5,ROWS($1:181)),),0))</f>
        <v>0</v>
      </c>
      <c r="H195" s="413">
        <f t="shared" ca="1" si="18"/>
        <v>247858753</v>
      </c>
      <c r="I195" s="413">
        <f t="shared" ca="1" si="19"/>
        <v>0</v>
      </c>
      <c r="J195" s="18">
        <f t="shared" ca="1" si="12"/>
        <v>2</v>
      </c>
    </row>
    <row r="196" spans="1:10" s="18" customFormat="1" ht="18" customHeight="1">
      <c r="A196" s="329">
        <f ca="1">IF(ROWS($1:182)&gt;COUNT(Dong5),"",OFFSET(TH!C$1,SMALL(Dong5,ROWS($1:182)),))</f>
        <v>42460</v>
      </c>
      <c r="B196" s="329" t="str">
        <f ca="1">IF(ROWS($1:182)&gt;COUNT(Dong5),"",OFFSET(TH!D$1,SMALL(Dong5,ROWS($1:182)),))</f>
        <v>C56</v>
      </c>
      <c r="C196" s="329">
        <f ca="1">IF(ROWS($1:182)&gt;COUNT(Dong5),"",OFFSET(TH!E$1,SMALL(Dong5,ROWS($1:182)),))</f>
        <v>42460</v>
      </c>
      <c r="D196" s="411" t="str">
        <f ca="1">IF(ROWS($1:182)&gt;COUNT(Dong5),"",OFFSET(TH!F$1,SMALL(Dong5,ROWS($1:182)),))</f>
        <v>Thanh toán lương T3/2016</v>
      </c>
      <c r="E196" s="329" t="str">
        <f ca="1">IF(ROWS($1:182)&gt;COUNT(Dong5),"",IF(OFFSET(TH!N$1,SMALL(Dong5,ROWS($1:182)),)=$E$7,OFFSET(TH!O$1,SMALL(Dong5,ROWS($1:182)),),OFFSET(TH!N$1,SMALL(Dong5,ROWS($1:182)),)))</f>
        <v>3341</v>
      </c>
      <c r="F196" s="412">
        <f ca="1">IF(ROWS($1:182)&gt;COUNT(Dong5),0,IF(OFFSET(TH!N$1,SMALL(Dong5,ROWS($1:182)),)=$E$7,OFFSET(TH!M$1,SMALL(Dong5,ROWS($1:182)),),0))</f>
        <v>0</v>
      </c>
      <c r="G196" s="410">
        <f ca="1">IF(ROWS($1:182)&gt;COUNT(Dong5),0,IF(OFFSET(TH!O$1,SMALL(Dong5,ROWS($1:182)),)=$E$7,OFFSET(TH!M$1,SMALL(Dong5,ROWS($1:182)),),0))</f>
        <v>0</v>
      </c>
      <c r="H196" s="413">
        <f t="shared" ca="1" si="18"/>
        <v>247858753</v>
      </c>
      <c r="I196" s="413">
        <f t="shared" ca="1" si="19"/>
        <v>0</v>
      </c>
      <c r="J196" s="18">
        <f t="shared" ca="1" si="12"/>
        <v>3</v>
      </c>
    </row>
    <row r="197" spans="1:10" s="18" customFormat="1" ht="18" customHeight="1">
      <c r="A197" s="329">
        <f ca="1">IF(ROWS($1:183)&gt;COUNT(Dong5),"",OFFSET(TH!C$1,SMALL(Dong5,ROWS($1:183)),))</f>
        <v>42494</v>
      </c>
      <c r="B197" s="329" t="str">
        <f ca="1">IF(ROWS($1:183)&gt;COUNT(Dong5),"",OFFSET(TH!D$1,SMALL(Dong5,ROWS($1:183)),))</f>
        <v>C02</v>
      </c>
      <c r="C197" s="329">
        <f ca="1">IF(ROWS($1:183)&gt;COUNT(Dong5),"",OFFSET(TH!E$1,SMALL(Dong5,ROWS($1:183)),))</f>
        <v>42489</v>
      </c>
      <c r="D197" s="411" t="str">
        <f ca="1">IF(ROWS($1:183)&gt;COUNT(Dong5),"",OFFSET(TH!F$1,SMALL(Dong5,ROWS($1:183)),))</f>
        <v>Cước CPN T4/2016</v>
      </c>
      <c r="E197" s="329" t="str">
        <f ca="1">IF(ROWS($1:183)&gt;COUNT(Dong5),"",IF(OFFSET(TH!N$1,SMALL(Dong5,ROWS($1:183)),)=$E$7,OFFSET(TH!O$1,SMALL(Dong5,ROWS($1:183)),),OFFSET(TH!N$1,SMALL(Dong5,ROWS($1:183)),)))</f>
        <v>642</v>
      </c>
      <c r="F197" s="412">
        <f ca="1">IF(ROWS($1:183)&gt;COUNT(Dong5),0,IF(OFFSET(TH!N$1,SMALL(Dong5,ROWS($1:183)),)=$E$7,OFFSET(TH!M$1,SMALL(Dong5,ROWS($1:183)),),0))</f>
        <v>0</v>
      </c>
      <c r="G197" s="410">
        <f ca="1">IF(ROWS($1:183)&gt;COUNT(Dong5),0,IF(OFFSET(TH!O$1,SMALL(Dong5,ROWS($1:183)),)=$E$7,OFFSET(TH!M$1,SMALL(Dong5,ROWS($1:183)),),0))</f>
        <v>0</v>
      </c>
      <c r="H197" s="413">
        <f t="shared" ca="1" si="18"/>
        <v>247858753</v>
      </c>
      <c r="I197" s="413">
        <f t="shared" ca="1" si="19"/>
        <v>0</v>
      </c>
      <c r="J197" s="18">
        <f t="shared" ca="1" si="12"/>
        <v>5</v>
      </c>
    </row>
    <row r="198" spans="1:10" s="18" customFormat="1" ht="18" customHeight="1">
      <c r="A198" s="329">
        <f ca="1">IF(ROWS($1:184)&gt;COUNT(Dong5),"",OFFSET(TH!C$1,SMALL(Dong5,ROWS($1:184)),))</f>
        <v>42495</v>
      </c>
      <c r="B198" s="329" t="str">
        <f ca="1">IF(ROWS($1:184)&gt;COUNT(Dong5),"",OFFSET(TH!D$1,SMALL(Dong5,ROWS($1:184)),))</f>
        <v>C04</v>
      </c>
      <c r="C198" s="329">
        <f ca="1">IF(ROWS($1:184)&gt;COUNT(Dong5),"",OFFSET(TH!E$1,SMALL(Dong5,ROWS($1:184)),))</f>
        <v>42495</v>
      </c>
      <c r="D198" s="411" t="str">
        <f ca="1">IF(ROWS($1:184)&gt;COUNT(Dong5),"",OFFSET(TH!F$1,SMALL(Dong5,ROWS($1:184)),))</f>
        <v>Cước VT - CNTT T4/2016</v>
      </c>
      <c r="E198" s="329" t="str">
        <f ca="1">IF(ROWS($1:184)&gt;COUNT(Dong5),"",IF(OFFSET(TH!N$1,SMALL(Dong5,ROWS($1:184)),)=$E$7,OFFSET(TH!O$1,SMALL(Dong5,ROWS($1:184)),),OFFSET(TH!N$1,SMALL(Dong5,ROWS($1:184)),)))</f>
        <v>642</v>
      </c>
      <c r="F198" s="412">
        <f ca="1">IF(ROWS($1:184)&gt;COUNT(Dong5),0,IF(OFFSET(TH!N$1,SMALL(Dong5,ROWS($1:184)),)=$E$7,OFFSET(TH!M$1,SMALL(Dong5,ROWS($1:184)),),0))</f>
        <v>0</v>
      </c>
      <c r="G198" s="410">
        <f ca="1">IF(ROWS($1:184)&gt;COUNT(Dong5),0,IF(OFFSET(TH!O$1,SMALL(Dong5,ROWS($1:184)),)=$E$7,OFFSET(TH!M$1,SMALL(Dong5,ROWS($1:184)),),0))</f>
        <v>0</v>
      </c>
      <c r="H198" s="413">
        <f t="shared" ca="1" si="18"/>
        <v>247858753</v>
      </c>
      <c r="I198" s="413">
        <f t="shared" ca="1" si="19"/>
        <v>0</v>
      </c>
      <c r="J198" s="18">
        <f t="shared" ca="1" si="12"/>
        <v>5</v>
      </c>
    </row>
    <row r="199" spans="1:10" s="18" customFormat="1" ht="18" customHeight="1">
      <c r="A199" s="329">
        <f ca="1">IF(ROWS($1:185)&gt;COUNT(Dong5),"",OFFSET(TH!C$1,SMALL(Dong5,ROWS($1:185)),))</f>
        <v>42522</v>
      </c>
      <c r="B199" s="329" t="str">
        <f ca="1">IF(ROWS($1:185)&gt;COUNT(Dong5),"",OFFSET(TH!D$1,SMALL(Dong5,ROWS($1:185)),))</f>
        <v>C02</v>
      </c>
      <c r="C199" s="329">
        <f ca="1">IF(ROWS($1:185)&gt;COUNT(Dong5),"",OFFSET(TH!E$1,SMALL(Dong5,ROWS($1:185)),))</f>
        <v>42479</v>
      </c>
      <c r="D199" s="411" t="str">
        <f ca="1">IF(ROWS($1:185)&gt;COUNT(Dong5),"",OFFSET(TH!F$1,SMALL(Dong5,ROWS($1:185)),))</f>
        <v>VAT Phí phân tích chỉ tiêu</v>
      </c>
      <c r="E199" s="329" t="str">
        <f ca="1">IF(ROWS($1:185)&gt;COUNT(Dong5),"",IF(OFFSET(TH!N$1,SMALL(Dong5,ROWS($1:185)),)=$E$7,OFFSET(TH!O$1,SMALL(Dong5,ROWS($1:185)),),OFFSET(TH!N$1,SMALL(Dong5,ROWS($1:185)),)))</f>
        <v>1111</v>
      </c>
      <c r="F199" s="412">
        <f ca="1">IF(ROWS($1:185)&gt;COUNT(Dong5),0,IF(OFFSET(TH!N$1,SMALL(Dong5,ROWS($1:185)),)=$E$7,OFFSET(TH!M$1,SMALL(Dong5,ROWS($1:185)),),0))</f>
        <v>20000</v>
      </c>
      <c r="G199" s="410">
        <f ca="1">IF(ROWS($1:185)&gt;COUNT(Dong5),0,IF(OFFSET(TH!O$1,SMALL(Dong5,ROWS($1:185)),)=$E$7,OFFSET(TH!M$1,SMALL(Dong5,ROWS($1:185)),),0))</f>
        <v>0</v>
      </c>
      <c r="H199" s="413">
        <f t="shared" ca="1" si="18"/>
        <v>247878753</v>
      </c>
      <c r="I199" s="413">
        <f t="shared" ca="1" si="19"/>
        <v>0</v>
      </c>
      <c r="J199" s="18">
        <f t="shared" ca="1" si="12"/>
        <v>6</v>
      </c>
    </row>
    <row r="200" spans="1:10" s="18" customFormat="1" ht="18" customHeight="1">
      <c r="A200" s="329">
        <f ca="1">IF(ROWS($1:186)&gt;COUNT(Dong5),"",OFFSET(TH!C$1,SMALL(Dong5,ROWS($1:186)),))</f>
        <v>42524</v>
      </c>
      <c r="B200" s="329" t="str">
        <f ca="1">IF(ROWS($1:186)&gt;COUNT(Dong5),"",OFFSET(TH!D$1,SMALL(Dong5,ROWS($1:186)),))</f>
        <v>C05</v>
      </c>
      <c r="C200" s="329">
        <f ca="1">IF(ROWS($1:186)&gt;COUNT(Dong5),"",OFFSET(TH!E$1,SMALL(Dong5,ROWS($1:186)),))</f>
        <v>42524</v>
      </c>
      <c r="D200" s="411" t="str">
        <f ca="1">IF(ROWS($1:186)&gt;COUNT(Dong5),"",OFFSET(TH!F$1,SMALL(Dong5,ROWS($1:186)),))</f>
        <v>Xăng 95</v>
      </c>
      <c r="E200" s="329" t="str">
        <f ca="1">IF(ROWS($1:186)&gt;COUNT(Dong5),"",IF(OFFSET(TH!N$1,SMALL(Dong5,ROWS($1:186)),)=$E$7,OFFSET(TH!O$1,SMALL(Dong5,ROWS($1:186)),),OFFSET(TH!N$1,SMALL(Dong5,ROWS($1:186)),)))</f>
        <v>642</v>
      </c>
      <c r="F200" s="412">
        <f ca="1">IF(ROWS($1:186)&gt;COUNT(Dong5),0,IF(OFFSET(TH!N$1,SMALL(Dong5,ROWS($1:186)),)=$E$7,OFFSET(TH!M$1,SMALL(Dong5,ROWS($1:186)),),0))</f>
        <v>0</v>
      </c>
      <c r="G200" s="410">
        <f ca="1">IF(ROWS($1:186)&gt;COUNT(Dong5),0,IF(OFFSET(TH!O$1,SMALL(Dong5,ROWS($1:186)),)=$E$7,OFFSET(TH!M$1,SMALL(Dong5,ROWS($1:186)),),0))</f>
        <v>0</v>
      </c>
      <c r="H200" s="413">
        <f t="shared" ca="1" si="18"/>
        <v>247878753</v>
      </c>
      <c r="I200" s="413">
        <f t="shared" ca="1" si="19"/>
        <v>0</v>
      </c>
      <c r="J200" s="18">
        <f t="shared" ca="1" si="12"/>
        <v>6</v>
      </c>
    </row>
    <row r="201" spans="1:10" s="18" customFormat="1" ht="18" customHeight="1">
      <c r="A201" s="329">
        <f ca="1">IF(ROWS($1:187)&gt;COUNT(Dong5),"",OFFSET(TH!C$1,SMALL(Dong5,ROWS($1:187)),))</f>
        <v>42525</v>
      </c>
      <c r="B201" s="329" t="str">
        <f ca="1">IF(ROWS($1:187)&gt;COUNT(Dong5),"",OFFSET(TH!D$1,SMALL(Dong5,ROWS($1:187)),))</f>
        <v>C06</v>
      </c>
      <c r="C201" s="329">
        <f ca="1">IF(ROWS($1:187)&gt;COUNT(Dong5),"",OFFSET(TH!E$1,SMALL(Dong5,ROWS($1:187)),))</f>
        <v>42525</v>
      </c>
      <c r="D201" s="411" t="str">
        <f ca="1">IF(ROWS($1:187)&gt;COUNT(Dong5),"",OFFSET(TH!F$1,SMALL(Dong5,ROWS($1:187)),))</f>
        <v>Phí, lệ phí</v>
      </c>
      <c r="E201" s="329" t="str">
        <f ca="1">IF(ROWS($1:187)&gt;COUNT(Dong5),"",IF(OFFSET(TH!N$1,SMALL(Dong5,ROWS($1:187)),)=$E$7,OFFSET(TH!O$1,SMALL(Dong5,ROWS($1:187)),),OFFSET(TH!N$1,SMALL(Dong5,ROWS($1:187)),)))</f>
        <v>642</v>
      </c>
      <c r="F201" s="412">
        <f ca="1">IF(ROWS($1:187)&gt;COUNT(Dong5),0,IF(OFFSET(TH!N$1,SMALL(Dong5,ROWS($1:187)),)=$E$7,OFFSET(TH!M$1,SMALL(Dong5,ROWS($1:187)),),0))</f>
        <v>0</v>
      </c>
      <c r="G201" s="410">
        <f ca="1">IF(ROWS($1:187)&gt;COUNT(Dong5),0,IF(OFFSET(TH!O$1,SMALL(Dong5,ROWS($1:187)),)=$E$7,OFFSET(TH!M$1,SMALL(Dong5,ROWS($1:187)),),0))</f>
        <v>0</v>
      </c>
      <c r="H201" s="413">
        <f t="shared" ca="1" si="18"/>
        <v>247878753</v>
      </c>
      <c r="I201" s="413">
        <f t="shared" ca="1" si="19"/>
        <v>0</v>
      </c>
    </row>
    <row r="202" spans="1:10" s="18" customFormat="1" ht="18" customHeight="1">
      <c r="A202" s="329">
        <f ca="1">IF(ROWS($1:188)&gt;COUNT(Dong5),"",OFFSET(TH!C$1,SMALL(Dong5,ROWS($1:188)),))</f>
        <v>42553</v>
      </c>
      <c r="B202" s="329" t="str">
        <f ca="1">IF(ROWS($1:188)&gt;COUNT(Dong5),"",OFFSET(TH!D$1,SMALL(Dong5,ROWS($1:188)),))</f>
        <v>C03</v>
      </c>
      <c r="C202" s="329">
        <f ca="1">IF(ROWS($1:188)&gt;COUNT(Dong5),"",OFFSET(TH!E$1,SMALL(Dong5,ROWS($1:188)),))</f>
        <v>42553</v>
      </c>
      <c r="D202" s="411" t="str">
        <f ca="1">IF(ROWS($1:188)&gt;COUNT(Dong5),"",OFFSET(TH!F$1,SMALL(Dong5,ROWS($1:188)),))</f>
        <v>Nộp tiền mặt vào TK NH</v>
      </c>
      <c r="E202" s="329" t="str">
        <f ca="1">IF(ROWS($1:188)&gt;COUNT(Dong5),"",IF(OFFSET(TH!N$1,SMALL(Dong5,ROWS($1:188)),)=$E$7,OFFSET(TH!O$1,SMALL(Dong5,ROWS($1:188)),),OFFSET(TH!N$1,SMALL(Dong5,ROWS($1:188)),)))</f>
        <v>1121</v>
      </c>
      <c r="F202" s="412">
        <f ca="1">IF(ROWS($1:188)&gt;COUNT(Dong5),0,IF(OFFSET(TH!N$1,SMALL(Dong5,ROWS($1:188)),)=$E$7,OFFSET(TH!M$1,SMALL(Dong5,ROWS($1:188)),),0))</f>
        <v>0</v>
      </c>
      <c r="G202" s="410">
        <f ca="1">IF(ROWS($1:188)&gt;COUNT(Dong5),0,IF(OFFSET(TH!O$1,SMALL(Dong5,ROWS($1:188)),)=$E$7,OFFSET(TH!M$1,SMALL(Dong5,ROWS($1:188)),),0))</f>
        <v>0</v>
      </c>
      <c r="H202" s="413">
        <f t="shared" ca="1" si="18"/>
        <v>247878753</v>
      </c>
      <c r="I202" s="413">
        <f t="shared" ca="1" si="19"/>
        <v>0</v>
      </c>
    </row>
    <row r="203" spans="1:10" s="18" customFormat="1" ht="18" customHeight="1">
      <c r="A203" s="329">
        <f ca="1">IF(ROWS($1:189)&gt;COUNT(Dong5),"",OFFSET(TH!C$1,SMALL(Dong5,ROWS($1:189)),))</f>
        <v>42554</v>
      </c>
      <c r="B203" s="329" t="str">
        <f ca="1">IF(ROWS($1:189)&gt;COUNT(Dong5),"",OFFSET(TH!D$1,SMALL(Dong5,ROWS($1:189)),))</f>
        <v>C04</v>
      </c>
      <c r="C203" s="329">
        <f ca="1">IF(ROWS($1:189)&gt;COUNT(Dong5),"",OFFSET(TH!E$1,SMALL(Dong5,ROWS($1:189)),))</f>
        <v>42554</v>
      </c>
      <c r="D203" s="411" t="str">
        <f ca="1">IF(ROWS($1:189)&gt;COUNT(Dong5),"",OFFSET(TH!F$1,SMALL(Dong5,ROWS($1:189)),))</f>
        <v xml:space="preserve">VAT Xăng, dầu </v>
      </c>
      <c r="E203" s="329" t="str">
        <f ca="1">IF(ROWS($1:189)&gt;COUNT(Dong5),"",IF(OFFSET(TH!N$1,SMALL(Dong5,ROWS($1:189)),)=$E$7,OFFSET(TH!O$1,SMALL(Dong5,ROWS($1:189)),),OFFSET(TH!N$1,SMALL(Dong5,ROWS($1:189)),)))</f>
        <v>1111</v>
      </c>
      <c r="F203" s="412">
        <f ca="1">IF(ROWS($1:189)&gt;COUNT(Dong5),0,IF(OFFSET(TH!N$1,SMALL(Dong5,ROWS($1:189)),)=$E$7,OFFSET(TH!M$1,SMALL(Dong5,ROWS($1:189)),),0))</f>
        <v>154244</v>
      </c>
      <c r="G203" s="410">
        <f ca="1">IF(ROWS($1:189)&gt;COUNT(Dong5),0,IF(OFFSET(TH!O$1,SMALL(Dong5,ROWS($1:189)),)=$E$7,OFFSET(TH!M$1,SMALL(Dong5,ROWS($1:189)),),0))</f>
        <v>0</v>
      </c>
      <c r="H203" s="413">
        <f t="shared" ca="1" si="18"/>
        <v>248032997</v>
      </c>
      <c r="I203" s="413">
        <f t="shared" ca="1" si="19"/>
        <v>0</v>
      </c>
    </row>
    <row r="204" spans="1:10" s="18" customFormat="1" ht="18" customHeight="1">
      <c r="A204" s="329">
        <f ca="1">IF(ROWS($1:190)&gt;COUNT(Dong5),"",OFFSET(TH!C$1,SMALL(Dong5,ROWS($1:190)),))</f>
        <v>42585</v>
      </c>
      <c r="B204" s="329" t="str">
        <f ca="1">IF(ROWS($1:190)&gt;COUNT(Dong5),"",OFFSET(TH!D$1,SMALL(Dong5,ROWS($1:190)),))</f>
        <v>C02</v>
      </c>
      <c r="C204" s="329">
        <f ca="1">IF(ROWS($1:190)&gt;COUNT(Dong5),"",OFFSET(TH!E$1,SMALL(Dong5,ROWS($1:190)),))</f>
        <v>42585</v>
      </c>
      <c r="D204" s="411" t="str">
        <f ca="1">IF(ROWS($1:190)&gt;COUNT(Dong5),"",OFFSET(TH!F$1,SMALL(Dong5,ROWS($1:190)),))</f>
        <v>Dầu DO</v>
      </c>
      <c r="E204" s="329" t="str">
        <f ca="1">IF(ROWS($1:190)&gt;COUNT(Dong5),"",IF(OFFSET(TH!N$1,SMALL(Dong5,ROWS($1:190)),)=$E$7,OFFSET(TH!O$1,SMALL(Dong5,ROWS($1:190)),),OFFSET(TH!N$1,SMALL(Dong5,ROWS($1:190)),)))</f>
        <v>642</v>
      </c>
      <c r="F204" s="412">
        <f ca="1">IF(ROWS($1:190)&gt;COUNT(Dong5),0,IF(OFFSET(TH!N$1,SMALL(Dong5,ROWS($1:190)),)=$E$7,OFFSET(TH!M$1,SMALL(Dong5,ROWS($1:190)),),0))</f>
        <v>0</v>
      </c>
      <c r="G204" s="410">
        <f ca="1">IF(ROWS($1:190)&gt;COUNT(Dong5),0,IF(OFFSET(TH!O$1,SMALL(Dong5,ROWS($1:190)),)=$E$7,OFFSET(TH!M$1,SMALL(Dong5,ROWS($1:190)),),0))</f>
        <v>0</v>
      </c>
      <c r="H204" s="413">
        <f t="shared" ca="1" si="18"/>
        <v>248032997</v>
      </c>
      <c r="I204" s="413">
        <f t="shared" ca="1" si="19"/>
        <v>0</v>
      </c>
    </row>
    <row r="205" spans="1:10" s="18" customFormat="1" ht="18" customHeight="1">
      <c r="A205" s="329">
        <f ca="1">IF(ROWS($1:191)&gt;COUNT(Dong5),"",OFFSET(TH!C$1,SMALL(Dong5,ROWS($1:191)),))</f>
        <v>42464</v>
      </c>
      <c r="B205" s="329" t="str">
        <f ca="1">IF(ROWS($1:191)&gt;COUNT(Dong5),"",OFFSET(TH!D$1,SMALL(Dong5,ROWS($1:191)),))</f>
        <v>C04</v>
      </c>
      <c r="C205" s="329">
        <f ca="1">IF(ROWS($1:191)&gt;COUNT(Dong5),"",OFFSET(TH!E$1,SMALL(Dong5,ROWS($1:191)),))</f>
        <v>42464</v>
      </c>
      <c r="D205" s="411" t="str">
        <f ca="1">IF(ROWS($1:191)&gt;COUNT(Dong5),"",OFFSET(TH!F$1,SMALL(Dong5,ROWS($1:191)),))</f>
        <v>Gas R22</v>
      </c>
      <c r="E205" s="329" t="str">
        <f ca="1">IF(ROWS($1:191)&gt;COUNT(Dong5),"",IF(OFFSET(TH!N$1,SMALL(Dong5,ROWS($1:191)),)=$E$7,OFFSET(TH!O$1,SMALL(Dong5,ROWS($1:191)),),OFFSET(TH!N$1,SMALL(Dong5,ROWS($1:191)),)))</f>
        <v>642</v>
      </c>
      <c r="F205" s="412">
        <f ca="1">IF(ROWS($1:191)&gt;COUNT(Dong5),0,IF(OFFSET(TH!N$1,SMALL(Dong5,ROWS($1:191)),)=$E$7,OFFSET(TH!M$1,SMALL(Dong5,ROWS($1:191)),),0))</f>
        <v>0</v>
      </c>
      <c r="G205" s="410">
        <f ca="1">IF(ROWS($1:191)&gt;COUNT(Dong5),0,IF(OFFSET(TH!O$1,SMALL(Dong5,ROWS($1:191)),)=$E$7,OFFSET(TH!M$1,SMALL(Dong5,ROWS($1:191)),),0))</f>
        <v>0</v>
      </c>
      <c r="H205" s="413">
        <f t="shared" ca="1" si="18"/>
        <v>248032997</v>
      </c>
      <c r="I205" s="413">
        <f t="shared" ca="1" si="19"/>
        <v>0</v>
      </c>
    </row>
    <row r="206" spans="1:10" s="18" customFormat="1" ht="18" customHeight="1">
      <c r="A206" s="329">
        <f ca="1">IF(ROWS($1:192)&gt;COUNT(Dong5),"",OFFSET(TH!C$1,SMALL(Dong5,ROWS($1:192)),))</f>
        <v>42464</v>
      </c>
      <c r="B206" s="329" t="str">
        <f ca="1">IF(ROWS($1:192)&gt;COUNT(Dong5),"",OFFSET(TH!D$1,SMALL(Dong5,ROWS($1:192)),))</f>
        <v>C05</v>
      </c>
      <c r="C206" s="329">
        <f ca="1">IF(ROWS($1:192)&gt;COUNT(Dong5),"",OFFSET(TH!E$1,SMALL(Dong5,ROWS($1:192)),))</f>
        <v>42464</v>
      </c>
      <c r="D206" s="411" t="str">
        <f ca="1">IF(ROWS($1:192)&gt;COUNT(Dong5),"",OFFSET(TH!F$1,SMALL(Dong5,ROWS($1:192)),))</f>
        <v>VAT Xăng</v>
      </c>
      <c r="E206" s="329" t="str">
        <f ca="1">IF(ROWS($1:192)&gt;COUNT(Dong5),"",IF(OFFSET(TH!N$1,SMALL(Dong5,ROWS($1:192)),)=$E$7,OFFSET(TH!O$1,SMALL(Dong5,ROWS($1:192)),),OFFSET(TH!N$1,SMALL(Dong5,ROWS($1:192)),)))</f>
        <v>1111</v>
      </c>
      <c r="F206" s="412">
        <f ca="1">IF(ROWS($1:192)&gt;COUNT(Dong5),0,IF(OFFSET(TH!N$1,SMALL(Dong5,ROWS($1:192)),)=$E$7,OFFSET(TH!M$1,SMALL(Dong5,ROWS($1:192)),),0))</f>
        <v>64604</v>
      </c>
      <c r="G206" s="410">
        <f ca="1">IF(ROWS($1:192)&gt;COUNT(Dong5),0,IF(OFFSET(TH!O$1,SMALL(Dong5,ROWS($1:192)),)=$E$7,OFFSET(TH!M$1,SMALL(Dong5,ROWS($1:192)),),0))</f>
        <v>0</v>
      </c>
      <c r="H206" s="413">
        <f t="shared" ca="1" si="18"/>
        <v>248097601</v>
      </c>
      <c r="I206" s="413">
        <f t="shared" ca="1" si="19"/>
        <v>0</v>
      </c>
    </row>
    <row r="207" spans="1:10" s="18" customFormat="1" ht="18" customHeight="1">
      <c r="A207" s="329">
        <f ca="1">IF(ROWS($1:193)&gt;COUNT(Dong5),"",OFFSET(TH!C$1,SMALL(Dong5,ROWS($1:193)),))</f>
        <v>42471</v>
      </c>
      <c r="B207" s="329" t="str">
        <f ca="1">IF(ROWS($1:193)&gt;COUNT(Dong5),"",OFFSET(TH!D$1,SMALL(Dong5,ROWS($1:193)),))</f>
        <v>C08</v>
      </c>
      <c r="C207" s="329">
        <f ca="1">IF(ROWS($1:193)&gt;COUNT(Dong5),"",OFFSET(TH!E$1,SMALL(Dong5,ROWS($1:193)),))</f>
        <v>42471</v>
      </c>
      <c r="D207" s="411" t="str">
        <f ca="1">IF(ROWS($1:193)&gt;COUNT(Dong5),"",OFFSET(TH!F$1,SMALL(Dong5,ROWS($1:193)),))</f>
        <v>Thanh toán tiền tinh bột bắp</v>
      </c>
      <c r="E207" s="329" t="str">
        <f ca="1">IF(ROWS($1:193)&gt;COUNT(Dong5),"",IF(OFFSET(TH!N$1,SMALL(Dong5,ROWS($1:193)),)=$E$7,OFFSET(TH!O$1,SMALL(Dong5,ROWS($1:193)),),OFFSET(TH!N$1,SMALL(Dong5,ROWS($1:193)),)))</f>
        <v>331</v>
      </c>
      <c r="F207" s="412">
        <f ca="1">IF(ROWS($1:193)&gt;COUNT(Dong5),0,IF(OFFSET(TH!N$1,SMALL(Dong5,ROWS($1:193)),)=$E$7,OFFSET(TH!M$1,SMALL(Dong5,ROWS($1:193)),),0))</f>
        <v>0</v>
      </c>
      <c r="G207" s="410">
        <f ca="1">IF(ROWS($1:193)&gt;COUNT(Dong5),0,IF(OFFSET(TH!O$1,SMALL(Dong5,ROWS($1:193)),)=$E$7,OFFSET(TH!M$1,SMALL(Dong5,ROWS($1:193)),),0))</f>
        <v>0</v>
      </c>
      <c r="H207" s="413">
        <f t="shared" ca="1" si="18"/>
        <v>248097601</v>
      </c>
      <c r="I207" s="413">
        <f t="shared" ca="1" si="19"/>
        <v>0</v>
      </c>
    </row>
    <row r="208" spans="1:10" s="18" customFormat="1" ht="18" customHeight="1">
      <c r="A208" s="329">
        <f ca="1">IF(ROWS($1:194)&gt;COUNT(Dong5),"",OFFSET(TH!C$1,SMALL(Dong5,ROWS($1:194)),))</f>
        <v>42475</v>
      </c>
      <c r="B208" s="329" t="str">
        <f ca="1">IF(ROWS($1:194)&gt;COUNT(Dong5),"",OFFSET(TH!D$1,SMALL(Dong5,ROWS($1:194)),))</f>
        <v>C10</v>
      </c>
      <c r="C208" s="329">
        <f ca="1">IF(ROWS($1:194)&gt;COUNT(Dong5),"",OFFSET(TH!E$1,SMALL(Dong5,ROWS($1:194)),))</f>
        <v>42475</v>
      </c>
      <c r="D208" s="411" t="str">
        <f ca="1">IF(ROWS($1:194)&gt;COUNT(Dong5),"",OFFSET(TH!F$1,SMALL(Dong5,ROWS($1:194)),))</f>
        <v>Khám sức khoẻ HĐKSK 2016</v>
      </c>
      <c r="E208" s="329" t="str">
        <f ca="1">IF(ROWS($1:194)&gt;COUNT(Dong5),"",IF(OFFSET(TH!N$1,SMALL(Dong5,ROWS($1:194)),)=$E$7,OFFSET(TH!O$1,SMALL(Dong5,ROWS($1:194)),),OFFSET(TH!N$1,SMALL(Dong5,ROWS($1:194)),)))</f>
        <v>642</v>
      </c>
      <c r="F208" s="412">
        <f ca="1">IF(ROWS($1:194)&gt;COUNT(Dong5),0,IF(OFFSET(TH!N$1,SMALL(Dong5,ROWS($1:194)),)=$E$7,OFFSET(TH!M$1,SMALL(Dong5,ROWS($1:194)),),0))</f>
        <v>0</v>
      </c>
      <c r="G208" s="410">
        <f ca="1">IF(ROWS($1:194)&gt;COUNT(Dong5),0,IF(OFFSET(TH!O$1,SMALL(Dong5,ROWS($1:194)),)=$E$7,OFFSET(TH!M$1,SMALL(Dong5,ROWS($1:194)),),0))</f>
        <v>0</v>
      </c>
      <c r="H208" s="413">
        <f t="shared" ca="1" si="18"/>
        <v>248097601</v>
      </c>
      <c r="I208" s="413">
        <f t="shared" ca="1" si="19"/>
        <v>0</v>
      </c>
    </row>
    <row r="209" spans="1:9" s="18" customFormat="1" ht="18" customHeight="1">
      <c r="A209" s="329"/>
      <c r="B209" s="330"/>
      <c r="C209" s="329"/>
      <c r="D209" s="398" t="s">
        <v>158</v>
      </c>
      <c r="E209" s="330" t="s">
        <v>21</v>
      </c>
      <c r="F209" s="414">
        <f ca="1">SUM(F15:F207)</f>
        <v>135642100</v>
      </c>
      <c r="G209" s="414">
        <f ca="1">SUM(G15:G207)</f>
        <v>49965435</v>
      </c>
      <c r="H209" s="414" t="s">
        <v>21</v>
      </c>
      <c r="I209" s="414" t="s">
        <v>21</v>
      </c>
    </row>
    <row r="210" spans="1:9" s="18" customFormat="1" ht="18" customHeight="1">
      <c r="A210" s="415"/>
      <c r="B210" s="403"/>
      <c r="C210" s="415"/>
      <c r="D210" s="402" t="s">
        <v>10</v>
      </c>
      <c r="E210" s="403" t="s">
        <v>21</v>
      </c>
      <c r="F210" s="416" t="s">
        <v>21</v>
      </c>
      <c r="G210" s="416" t="s">
        <v>21</v>
      </c>
      <c r="H210" s="417">
        <f ca="1">MAX(H14+F209-G209-I14,0)</f>
        <v>248097601</v>
      </c>
      <c r="I210" s="417">
        <f ca="1">MAX(I14+G209-F209-H14,0)</f>
        <v>0</v>
      </c>
    </row>
    <row r="211" spans="1:9" s="18" customFormat="1" ht="9.75" customHeight="1">
      <c r="A211" s="354"/>
      <c r="B211" s="354"/>
      <c r="C211" s="354"/>
      <c r="E211" s="354"/>
    </row>
    <row r="212" spans="1:9" s="18" customFormat="1" ht="12.75">
      <c r="A212" s="354"/>
      <c r="B212" s="354"/>
      <c r="C212" s="418" t="s">
        <v>252</v>
      </c>
      <c r="E212" s="354"/>
    </row>
    <row r="213" spans="1:9" s="18" customFormat="1" ht="12.75">
      <c r="A213" s="354"/>
      <c r="B213" s="354"/>
      <c r="C213" s="28" t="s">
        <v>188</v>
      </c>
      <c r="E213" s="354"/>
    </row>
    <row r="214" spans="1:9" s="18" customFormat="1" ht="13.5" customHeight="1">
      <c r="A214" s="354"/>
      <c r="B214" s="354"/>
      <c r="C214" s="354"/>
      <c r="E214" s="1266" t="s">
        <v>189</v>
      </c>
      <c r="F214" s="1266"/>
      <c r="G214" s="1266"/>
      <c r="H214" s="1266"/>
      <c r="I214" s="1266"/>
    </row>
    <row r="215" spans="1:9" s="18" customFormat="1" ht="12.75">
      <c r="A215" s="1266" t="s">
        <v>11</v>
      </c>
      <c r="B215" s="1266"/>
      <c r="C215" s="1266"/>
      <c r="D215" s="1266"/>
      <c r="E215" s="1266" t="s">
        <v>12</v>
      </c>
      <c r="F215" s="1266"/>
      <c r="G215" s="1266"/>
      <c r="H215" s="1266"/>
      <c r="I215" s="1266"/>
    </row>
    <row r="216" spans="1:9" s="18" customFormat="1" ht="12.75">
      <c r="A216" s="1266" t="s">
        <v>13</v>
      </c>
      <c r="B216" s="1266"/>
      <c r="C216" s="1266"/>
      <c r="D216" s="1266"/>
      <c r="E216" s="1266" t="s">
        <v>13</v>
      </c>
      <c r="F216" s="1266"/>
      <c r="G216" s="1266"/>
      <c r="H216" s="1266"/>
      <c r="I216" s="1266"/>
    </row>
    <row r="217" spans="1:9" s="18" customFormat="1" ht="12.75">
      <c r="A217" s="354"/>
      <c r="B217" s="354"/>
      <c r="C217" s="354"/>
      <c r="E217" s="354"/>
    </row>
    <row r="218" spans="1:9">
      <c r="D218" s="247"/>
      <c r="F218" s="248"/>
    </row>
    <row r="223" spans="1:9">
      <c r="A223" s="1319" t="s">
        <v>229</v>
      </c>
      <c r="B223" s="1319"/>
      <c r="C223" s="1319"/>
      <c r="D223" s="1319"/>
    </row>
  </sheetData>
  <autoFilter ref="A14:J210"/>
  <sortState ref="A15:I164">
    <sortCondition ref="A15:A164"/>
  </sortState>
  <mergeCells count="18">
    <mergeCell ref="E214:I214"/>
    <mergeCell ref="H11:I11"/>
    <mergeCell ref="G2:I2"/>
    <mergeCell ref="G3:I4"/>
    <mergeCell ref="A5:I5"/>
    <mergeCell ref="A6:I6"/>
    <mergeCell ref="A9:I9"/>
    <mergeCell ref="C10:I10"/>
    <mergeCell ref="A11:A12"/>
    <mergeCell ref="B11:C11"/>
    <mergeCell ref="D11:D12"/>
    <mergeCell ref="E11:E12"/>
    <mergeCell ref="F11:G11"/>
    <mergeCell ref="A215:D215"/>
    <mergeCell ref="E215:I215"/>
    <mergeCell ref="A216:D216"/>
    <mergeCell ref="E216:I216"/>
    <mergeCell ref="A223:D223"/>
  </mergeCells>
  <dataValidations count="1">
    <dataValidation type="list" allowBlank="1" showInputMessage="1" showErrorMessage="1" sqref="E7">
      <formula1>"3341,1331,1388,141,2412,3334,33382,3388,4211,4212,515,635,642,711,811,821,911"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9" customWidth="1"/>
    <col min="2" max="2" width="5.28515625" style="99" customWidth="1"/>
    <col min="3" max="3" width="15.140625" style="99" customWidth="1"/>
    <col min="4" max="4" width="16" style="99" customWidth="1"/>
    <col min="5" max="5" width="3.85546875" style="99" customWidth="1"/>
    <col min="6" max="6" width="6" style="99" customWidth="1"/>
    <col min="7" max="8" width="6.7109375" style="99" customWidth="1"/>
    <col min="9" max="9" width="10.42578125" style="99" customWidth="1"/>
    <col min="10" max="10" width="5.85546875" style="99" customWidth="1"/>
    <col min="11" max="11" width="8.28515625" style="99" customWidth="1"/>
    <col min="12" max="12" width="5" style="99" customWidth="1"/>
    <col min="13" max="13" width="6.42578125" style="99" customWidth="1"/>
    <col min="14" max="14" width="3.140625" style="99" customWidth="1"/>
    <col min="15" max="15" width="6.42578125" style="99" customWidth="1"/>
    <col min="16" max="16" width="5" style="135" customWidth="1"/>
    <col min="17" max="17" width="6.7109375" style="99" customWidth="1"/>
    <col min="18" max="18" width="1.5703125" style="99" customWidth="1"/>
    <col min="19" max="19" width="5.7109375" style="99" customWidth="1"/>
    <col min="20" max="20" width="1.5703125" style="99" customWidth="1"/>
    <col min="21" max="21" width="5" style="99" customWidth="1"/>
    <col min="22" max="22" width="1.5703125" style="99" customWidth="1"/>
    <col min="23" max="23" width="5.5703125" style="99" customWidth="1"/>
  </cols>
  <sheetData>
    <row r="1" spans="1:23" ht="13.5" customHeight="1">
      <c r="B1" s="97" t="s">
        <v>181</v>
      </c>
      <c r="C1" s="108"/>
      <c r="D1" s="98"/>
      <c r="E1" s="98"/>
      <c r="F1" s="98"/>
      <c r="G1" s="98"/>
      <c r="I1" s="100"/>
      <c r="L1" s="101" t="str">
        <f>+IF(LEFT($U$4,1)="T","Mẫu số 01 - TT","Mẫu số 02 - TT")</f>
        <v>Mẫu số 02 - TT</v>
      </c>
      <c r="N1" s="102"/>
      <c r="O1" s="102"/>
      <c r="P1" s="103"/>
      <c r="Q1" s="104"/>
      <c r="R1" s="104"/>
      <c r="S1" s="104"/>
      <c r="T1" s="104"/>
      <c r="U1" s="104"/>
      <c r="V1" s="105"/>
      <c r="W1" s="104"/>
    </row>
    <row r="2" spans="1:23" ht="13.5" customHeight="1">
      <c r="B2" s="108" t="s">
        <v>318</v>
      </c>
      <c r="C2" s="108"/>
      <c r="D2" s="98"/>
      <c r="E2" s="98"/>
      <c r="F2" s="98"/>
      <c r="G2" s="98"/>
      <c r="H2" s="100"/>
      <c r="I2" s="100"/>
      <c r="L2" s="109" t="str">
        <f>IF($Q$4&gt;=2015,"(Ban hành theo Thông tư số 200/2014/TT-BTC ","(Ban hành kèm theo QĐ 48/2006/QĐ-BTC")</f>
        <v>(Ban hành kèm theo QĐ 48/2006/QĐ-BTC</v>
      </c>
      <c r="N2" s="110"/>
      <c r="O2" s="110"/>
      <c r="P2" s="103"/>
      <c r="Q2" s="104"/>
      <c r="R2" s="104"/>
      <c r="S2" s="104"/>
      <c r="T2" s="104"/>
      <c r="U2" s="104"/>
      <c r="V2" s="111"/>
      <c r="W2" s="112" t="s">
        <v>126</v>
      </c>
    </row>
    <row r="3" spans="1:23" ht="13.5" customHeight="1" thickBot="1">
      <c r="B3" s="108"/>
      <c r="C3" s="98"/>
      <c r="D3" s="98"/>
      <c r="E3" s="98"/>
      <c r="G3" s="98"/>
      <c r="I3" s="113"/>
      <c r="L3" s="109" t="str">
        <f>IF($Q$4=2015,"Ngày 22/12/2014 của Bộ Tài chính)","ngày 24/09/2006 của Bộ trưởng BTC)")</f>
        <v>ngày 24/09/2006 của Bộ trưởng BTC)</v>
      </c>
      <c r="N3" s="110"/>
      <c r="O3" s="110"/>
      <c r="P3" s="114"/>
      <c r="Q3" s="987"/>
      <c r="R3" s="321"/>
      <c r="S3" s="322" t="s">
        <v>464</v>
      </c>
      <c r="T3" s="321"/>
      <c r="U3" s="322" t="s">
        <v>127</v>
      </c>
      <c r="V3" s="111"/>
      <c r="W3" s="112" t="s">
        <v>127</v>
      </c>
    </row>
    <row r="4" spans="1:23" ht="22.5" thickBot="1">
      <c r="B4" s="108"/>
      <c r="C4" s="98"/>
      <c r="D4" s="98"/>
      <c r="E4" s="98"/>
      <c r="G4" s="115"/>
      <c r="H4" s="116" t="str">
        <f>IF(LEFT($U$4,1)="T","PHIẾU THU","PHIẾU CHI")</f>
        <v>PHIẾU CHI</v>
      </c>
      <c r="J4" s="115"/>
      <c r="K4" s="117"/>
      <c r="M4" s="117"/>
      <c r="N4" s="117"/>
      <c r="O4" s="117"/>
      <c r="P4" s="118"/>
      <c r="Q4" s="988"/>
      <c r="R4" s="119"/>
      <c r="S4" s="221">
        <v>2</v>
      </c>
      <c r="T4" s="119"/>
      <c r="U4" s="989" t="s">
        <v>4</v>
      </c>
      <c r="V4" s="145"/>
      <c r="W4" s="990">
        <v>1</v>
      </c>
    </row>
    <row r="5" spans="1:23">
      <c r="B5" s="108"/>
      <c r="C5" s="98"/>
      <c r="D5" s="98"/>
      <c r="E5" s="98"/>
      <c r="G5" s="115"/>
      <c r="H5" s="120" t="str">
        <f>IF(ISNA(VLOOKUP($M$7,TM,3,0)),"","Ngày  "&amp;DAY(VLOOKUP($M$7,TM,3,0))&amp;"  tháng  "&amp;MONTH(VLOOKUP($M$7,TM,3,0))&amp;"  năm  "&amp;YEAR(VLOOKUP($M$7,TM,3,0)))</f>
        <v>Ngày  1  tháng  2  năm  2016</v>
      </c>
      <c r="J5" s="115"/>
      <c r="K5" s="117"/>
      <c r="M5" s="117"/>
      <c r="N5" s="117"/>
      <c r="O5" s="117"/>
      <c r="P5" s="118"/>
      <c r="Q5" s="987"/>
      <c r="V5" s="107"/>
      <c r="W5" s="112"/>
    </row>
    <row r="6" spans="1:23" ht="13.5">
      <c r="A6" s="123"/>
      <c r="B6" s="121"/>
      <c r="C6" s="122"/>
      <c r="D6" s="122"/>
      <c r="E6" s="122"/>
      <c r="F6" s="123"/>
      <c r="G6" s="124"/>
      <c r="H6" s="124"/>
      <c r="I6" s="124"/>
      <c r="J6" s="123"/>
      <c r="K6" s="123"/>
      <c r="L6" s="125" t="str">
        <f>"Quyển số: 0"&amp;$S$4</f>
        <v>Quyển số: 02</v>
      </c>
      <c r="M6" s="123"/>
      <c r="N6" s="123"/>
      <c r="O6" s="126"/>
      <c r="P6" s="127"/>
      <c r="Q6" s="123"/>
      <c r="R6" s="123"/>
      <c r="S6" s="123"/>
      <c r="T6" s="123"/>
      <c r="U6" s="123"/>
      <c r="V6" s="128"/>
      <c r="W6" s="112"/>
    </row>
    <row r="7" spans="1:23" ht="13.5" customHeight="1">
      <c r="A7" s="123"/>
      <c r="B7" s="123"/>
      <c r="C7" s="123"/>
      <c r="D7" s="123"/>
      <c r="E7" s="121"/>
      <c r="F7" s="124"/>
      <c r="G7" s="124"/>
      <c r="H7" s="124"/>
      <c r="I7" s="124"/>
      <c r="J7" s="123"/>
      <c r="K7" s="123"/>
      <c r="L7" s="129" t="str">
        <f>"Số :    "</f>
        <v xml:space="preserve">Số :    </v>
      </c>
      <c r="M7" s="130" t="str">
        <f>$U$4&amp;IF($W$4&gt;=10,$W$4,"0"&amp;$W$4)</f>
        <v>C01</v>
      </c>
      <c r="N7" s="126"/>
      <c r="O7" s="126"/>
      <c r="P7" s="127"/>
      <c r="Q7" s="123"/>
      <c r="R7" s="123"/>
      <c r="S7" s="123"/>
      <c r="T7" s="123"/>
      <c r="U7" s="123"/>
      <c r="V7" s="123"/>
      <c r="W7" s="123"/>
    </row>
    <row r="8" spans="1:23" ht="13.5">
      <c r="A8" s="123"/>
      <c r="B8" s="123"/>
      <c r="C8" s="123"/>
      <c r="D8" s="123"/>
      <c r="E8" s="121"/>
      <c r="F8" s="121"/>
      <c r="G8" s="121"/>
      <c r="H8" s="121"/>
      <c r="I8" s="121"/>
      <c r="J8" s="123"/>
      <c r="K8" s="131"/>
      <c r="L8" s="125" t="s">
        <v>128</v>
      </c>
      <c r="M8" s="132" t="str">
        <f>IF($U$4="T","1111",IF($U$4="C",IF(ISNA(VLOOKUP($M$7,TM,15,0)),"",VLOOKUP($M$7,TM,14,0)),""))</f>
        <v>642</v>
      </c>
      <c r="N8" s="126"/>
      <c r="O8" s="126"/>
      <c r="P8" s="133"/>
      <c r="Q8" s="123"/>
      <c r="R8" s="123"/>
      <c r="S8" s="123"/>
      <c r="T8" s="123"/>
      <c r="U8" s="123"/>
      <c r="V8" s="123"/>
      <c r="W8" s="123"/>
    </row>
    <row r="9" spans="1:23" ht="13.5">
      <c r="A9" s="123"/>
      <c r="B9" s="123"/>
      <c r="C9" s="123"/>
      <c r="D9" s="123"/>
      <c r="E9" s="121"/>
      <c r="F9" s="121"/>
      <c r="G9" s="121"/>
      <c r="H9" s="121"/>
      <c r="I9" s="121"/>
      <c r="J9" s="123"/>
      <c r="K9" s="131"/>
      <c r="L9" s="129" t="s">
        <v>129</v>
      </c>
      <c r="M9" s="132" t="str">
        <f>IF($U$4="C","1111",IF($U$4="T",IF(ISNA(VLOOKUP($M$7,TM,10,0)),"",VLOOKUP($M$7,TM,11,0)),""))</f>
        <v>1111</v>
      </c>
      <c r="N9" s="126"/>
      <c r="O9" s="126"/>
      <c r="P9" s="133"/>
      <c r="Q9" s="123"/>
      <c r="R9" s="123"/>
      <c r="S9" s="123"/>
      <c r="T9" s="123"/>
      <c r="U9" s="123"/>
      <c r="V9" s="123"/>
      <c r="W9" s="123"/>
    </row>
    <row r="10" spans="1:23">
      <c r="A10" s="123"/>
      <c r="B10" s="123"/>
      <c r="C10" s="134" t="str">
        <f>IF($U$4="T","Họ tên người nộp tiền :","Họ và tên người nhận tiền :")&amp;" "&amp;IF(ISNA(VLOOKUP($M$7,TM,8,0)),"",VLOOKUP($M$7,TM,8,0))</f>
        <v>Họ và tên người nhận tiền : Cty TNHH Nhựa Duy Tân</v>
      </c>
      <c r="D10" s="121"/>
      <c r="E10" s="123"/>
      <c r="F10" s="121"/>
      <c r="G10" s="121"/>
      <c r="H10" s="121"/>
      <c r="I10" s="121"/>
      <c r="J10" s="123"/>
      <c r="K10" s="121"/>
      <c r="L10" s="129"/>
      <c r="M10" s="132"/>
      <c r="N10" s="126"/>
      <c r="O10" s="121"/>
      <c r="P10" s="127"/>
      <c r="Q10" s="123"/>
      <c r="R10" s="123"/>
      <c r="S10" s="123"/>
      <c r="T10" s="123"/>
      <c r="U10" s="123"/>
      <c r="V10" s="123"/>
      <c r="W10" s="123"/>
    </row>
    <row r="11" spans="1:23">
      <c r="C11" s="134" t="str">
        <f>"Địa chỉ :"</f>
        <v>Địa chỉ :</v>
      </c>
      <c r="E11" s="134"/>
      <c r="F11" s="134"/>
      <c r="G11" s="134"/>
      <c r="H11" s="134"/>
      <c r="I11" s="134"/>
      <c r="J11" s="134"/>
      <c r="K11" s="134"/>
      <c r="L11" s="134"/>
      <c r="M11" s="134"/>
      <c r="N11" s="134"/>
      <c r="O11" s="134"/>
      <c r="P11" s="114"/>
    </row>
    <row r="12" spans="1:23">
      <c r="C12" s="134" t="str">
        <f>IF($U$4="T","Lý do nộp :","Lý do chi :")&amp;" "&amp;IF(ISNA(VLOOKUP($M$7,TM,6,0)),"",VLOOKUP($M$7,TM,6,0))</f>
        <v>Lý do chi : Hũ ly trung</v>
      </c>
      <c r="E12" s="134"/>
      <c r="F12" s="134"/>
      <c r="G12" s="134"/>
      <c r="H12" s="134"/>
      <c r="I12" s="134"/>
      <c r="J12" s="134"/>
      <c r="K12" s="134"/>
      <c r="L12" s="134"/>
      <c r="M12" s="134"/>
      <c r="N12" s="134"/>
      <c r="O12" s="134"/>
    </row>
    <row r="13" spans="1:23">
      <c r="C13" s="99" t="s">
        <v>142</v>
      </c>
      <c r="D13" s="136">
        <f ca="1">SUMIF(TM,$M$7,TH)</f>
        <v>4668125</v>
      </c>
      <c r="E13" s="99" t="s">
        <v>130</v>
      </c>
      <c r="F13" s="136"/>
      <c r="G13" s="136"/>
      <c r="P13" s="99"/>
    </row>
    <row r="14" spans="1:23">
      <c r="C14" s="99" t="e">
        <f ca="1">"Viết bằng chữ: " &amp;[3]!VND('IN-TC'!D13, TRUE)</f>
        <v>#NAME?</v>
      </c>
      <c r="P14" s="114"/>
    </row>
    <row r="15" spans="1:23">
      <c r="C15" s="134" t="str">
        <f>"Kèm theo :     " &amp;IF(OR(ISNA(VLOOKUP($M$7,TM,7,0)),VLOOKUP($M$7,TM,7,0)=""),"                           ",IF(VLOOKUP($M$7,TM,7,0)&lt;&gt;"","    HĐ  "&amp;(VLOOKUP($M$7,TM,7,0)))) &amp; "     chứng từ gốc. "</f>
        <v xml:space="preserve">Kèm theo :         HĐ  0006129     chứng từ gốc. </v>
      </c>
      <c r="D15" s="134"/>
      <c r="F15" s="134"/>
      <c r="G15" s="134"/>
      <c r="H15" s="134"/>
      <c r="I15" s="134"/>
      <c r="J15" s="134"/>
      <c r="K15" s="134"/>
      <c r="L15" s="134"/>
      <c r="M15" s="134"/>
      <c r="N15" s="134"/>
      <c r="O15" s="134"/>
      <c r="P15" s="137"/>
    </row>
    <row r="16" spans="1:23">
      <c r="K16" s="138"/>
      <c r="L16" s="138"/>
      <c r="M16" s="150" t="str">
        <f>H5</f>
        <v>Ngày  1  tháng  2  năm  2016</v>
      </c>
      <c r="N16" s="138"/>
      <c r="O16" s="138"/>
      <c r="P16" s="99"/>
    </row>
    <row r="17" spans="1:23">
      <c r="C17" s="139" t="s">
        <v>131</v>
      </c>
      <c r="D17" s="140"/>
      <c r="E17" s="139" t="s">
        <v>12</v>
      </c>
      <c r="F17" s="140"/>
      <c r="G17" s="140"/>
      <c r="H17" s="139" t="str">
        <f>IF($U$4="C","Thủ quỹ","Người nộp tiền")</f>
        <v>Thủ quỹ</v>
      </c>
      <c r="J17" s="139" t="s">
        <v>132</v>
      </c>
      <c r="K17" s="140"/>
      <c r="M17" s="141" t="str">
        <f>IF($U$4="T","Thủ quỹ","Người nhận tiền")</f>
        <v>Người nhận tiền</v>
      </c>
      <c r="N17" s="142"/>
      <c r="O17" s="142"/>
      <c r="P17" s="99"/>
    </row>
    <row r="18" spans="1:23">
      <c r="A18" s="140"/>
      <c r="B18" s="140"/>
      <c r="C18" s="143" t="s">
        <v>133</v>
      </c>
      <c r="E18" s="143" t="s">
        <v>134</v>
      </c>
      <c r="H18" s="143" t="s">
        <v>134</v>
      </c>
      <c r="I18" s="140"/>
      <c r="J18" s="143" t="s">
        <v>134</v>
      </c>
      <c r="L18" s="140"/>
      <c r="M18" s="143" t="s">
        <v>134</v>
      </c>
      <c r="P18" s="140"/>
      <c r="Q18" s="140"/>
      <c r="R18" s="140"/>
      <c r="S18" s="140"/>
      <c r="T18" s="140"/>
      <c r="U18" s="140"/>
      <c r="V18" s="140"/>
      <c r="W18" s="140"/>
    </row>
    <row r="19" spans="1:23">
      <c r="P19" s="99"/>
    </row>
    <row r="20" spans="1:23">
      <c r="P20" s="99"/>
    </row>
    <row r="21" spans="1:23">
      <c r="P21" s="99"/>
    </row>
    <row r="22" spans="1:23">
      <c r="P22" s="99"/>
    </row>
    <row r="23" spans="1:23">
      <c r="I23" s="106"/>
      <c r="P23" s="99"/>
    </row>
    <row r="24" spans="1:23">
      <c r="C24" s="351" t="s">
        <v>125</v>
      </c>
      <c r="H24" s="351" t="str">
        <f>IF($U$4="T","","Phạm Thị Đông")</f>
        <v>Phạm Thị Đông</v>
      </c>
      <c r="J24" s="351" t="s">
        <v>229</v>
      </c>
      <c r="M24" s="351" t="str">
        <f>IF($U$4="C","","Phạm Thị Đông")</f>
        <v/>
      </c>
      <c r="P24" s="99"/>
    </row>
    <row r="25" spans="1:23">
      <c r="B25" s="99" t="s">
        <v>135</v>
      </c>
      <c r="P25" s="99"/>
    </row>
    <row r="26" spans="1:23">
      <c r="B26" s="134"/>
      <c r="C26" s="134" t="s">
        <v>136</v>
      </c>
      <c r="D26" s="134"/>
      <c r="E26" s="134"/>
      <c r="F26" s="134"/>
      <c r="G26" s="134"/>
      <c r="H26" s="134"/>
      <c r="I26" s="134"/>
      <c r="J26" s="134"/>
      <c r="K26" s="134"/>
      <c r="L26" s="134"/>
      <c r="M26" s="134"/>
      <c r="N26" s="134"/>
      <c r="O26" s="134"/>
      <c r="P26" s="99"/>
    </row>
    <row r="27" spans="1:23">
      <c r="B27" s="134"/>
      <c r="C27" s="134" t="s">
        <v>137</v>
      </c>
      <c r="D27" s="134"/>
      <c r="E27" s="134"/>
      <c r="F27" s="134"/>
      <c r="G27" s="134"/>
      <c r="H27" s="134"/>
      <c r="I27" s="134"/>
      <c r="J27" s="134"/>
      <c r="K27" s="134"/>
      <c r="L27" s="134"/>
      <c r="M27" s="134"/>
      <c r="N27" s="134"/>
      <c r="O27" s="134"/>
      <c r="P27" s="99"/>
    </row>
    <row r="46" spans="5:5">
      <c r="E46" s="144"/>
    </row>
    <row r="47" spans="5:5">
      <c r="E47" s="144"/>
    </row>
    <row r="48" spans="5:5">
      <c r="E48" s="144"/>
    </row>
    <row r="49" spans="5:5">
      <c r="E49" s="144"/>
    </row>
    <row r="50" spans="5:5">
      <c r="E50" s="144"/>
    </row>
    <row r="51" spans="5:5">
      <c r="E51" s="144"/>
    </row>
    <row r="52" spans="5:5">
      <c r="E52" s="144"/>
    </row>
    <row r="53" spans="5:5">
      <c r="E53" s="144"/>
    </row>
    <row r="54" spans="5:5">
      <c r="E54" s="144"/>
    </row>
    <row r="55" spans="5:5">
      <c r="E55" s="144"/>
    </row>
    <row r="56" spans="5:5">
      <c r="E56" s="144"/>
    </row>
    <row r="57" spans="5:5">
      <c r="E57" s="144"/>
    </row>
    <row r="58" spans="5:5">
      <c r="E58" s="144"/>
    </row>
    <row r="59" spans="5:5">
      <c r="E59" s="144"/>
    </row>
    <row r="60" spans="5:5">
      <c r="E60" s="144"/>
    </row>
    <row r="61" spans="5:5">
      <c r="E61" s="14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10.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L12" sqref="L12"/>
    </sheetView>
  </sheetViews>
  <sheetFormatPr defaultRowHeight="15"/>
  <cols>
    <col min="1" max="2" width="8.7109375" style="153" customWidth="1"/>
    <col min="3" max="4" width="6.5703125" style="153" customWidth="1"/>
    <col min="5" max="5" width="34.5703125" style="153" customWidth="1"/>
    <col min="6" max="6" width="6.28515625" style="153" customWidth="1"/>
    <col min="7" max="8" width="14.42578125" style="153" customWidth="1"/>
    <col min="9" max="9" width="15.7109375" style="153" customWidth="1"/>
    <col min="10" max="10" width="6.28515625" style="153" customWidth="1"/>
    <col min="11" max="11" width="2.140625" style="153" customWidth="1"/>
    <col min="12" max="12" width="10" style="153" customWidth="1"/>
    <col min="13" max="13" width="3.28515625" style="153" customWidth="1"/>
    <col min="14" max="14" width="9.140625" style="153" customWidth="1"/>
    <col min="15" max="16384" width="9.140625" style="153"/>
  </cols>
  <sheetData>
    <row r="1" spans="1:12" s="3" customFormat="1" ht="16.5" customHeight="1">
      <c r="A1" s="179" t="s">
        <v>138</v>
      </c>
      <c r="B1" s="2"/>
      <c r="C1" s="2"/>
      <c r="D1" s="2"/>
      <c r="E1" s="2"/>
      <c r="G1" s="1322" t="s">
        <v>143</v>
      </c>
      <c r="H1" s="1322"/>
      <c r="I1" s="1322"/>
      <c r="J1" s="1322"/>
    </row>
    <row r="2" spans="1:12" s="3" customFormat="1" ht="16.5" customHeight="1">
      <c r="A2" s="134" t="s">
        <v>139</v>
      </c>
      <c r="B2" s="16"/>
      <c r="C2" s="16"/>
      <c r="D2" s="16"/>
      <c r="E2" s="16"/>
      <c r="G2" s="1323" t="s">
        <v>144</v>
      </c>
      <c r="H2" s="1323"/>
      <c r="I2" s="1323"/>
      <c r="J2" s="1323"/>
    </row>
    <row r="3" spans="1:12" s="3" customFormat="1" ht="16.5" customHeight="1">
      <c r="A3" s="4"/>
      <c r="B3" s="16"/>
      <c r="C3" s="151"/>
      <c r="D3" s="151"/>
      <c r="E3" s="16"/>
      <c r="G3" s="1323"/>
      <c r="H3" s="1323"/>
      <c r="I3" s="1323"/>
      <c r="J3" s="1323"/>
    </row>
    <row r="4" spans="1:12" s="3" customFormat="1" ht="6.75" customHeight="1">
      <c r="A4" s="16"/>
      <c r="B4" s="16"/>
      <c r="C4" s="16"/>
      <c r="D4" s="16"/>
      <c r="E4" s="16"/>
      <c r="G4" s="152"/>
      <c r="H4" s="152"/>
      <c r="I4" s="152"/>
      <c r="J4" s="152"/>
    </row>
    <row r="5" spans="1:12" ht="24.75" customHeight="1">
      <c r="A5" s="1332" t="s">
        <v>145</v>
      </c>
      <c r="B5" s="1332"/>
      <c r="C5" s="1332"/>
      <c r="D5" s="1332"/>
      <c r="E5" s="1332"/>
      <c r="F5" s="1332"/>
      <c r="G5" s="1332"/>
      <c r="H5" s="1332"/>
      <c r="I5" s="1332"/>
      <c r="J5" s="1332"/>
    </row>
    <row r="6" spans="1:12" ht="14.25" customHeight="1">
      <c r="A6" s="1334" t="str">
        <f>$L$11&amp;" / 2015"</f>
        <v>9 / 2015</v>
      </c>
      <c r="B6" s="1334"/>
      <c r="C6" s="1334"/>
      <c r="D6" s="1334"/>
      <c r="E6" s="1334"/>
      <c r="F6" s="1334"/>
      <c r="G6" s="1334"/>
      <c r="H6" s="1334"/>
      <c r="I6" s="1334"/>
      <c r="J6" s="1334"/>
    </row>
    <row r="7" spans="1:12">
      <c r="A7" s="1333" t="s">
        <v>146</v>
      </c>
      <c r="B7" s="1333"/>
      <c r="C7" s="1333"/>
      <c r="D7" s="1333"/>
      <c r="E7" s="1333"/>
      <c r="F7" s="1333"/>
      <c r="G7" s="1333"/>
      <c r="H7" s="1333"/>
      <c r="I7" s="1333"/>
      <c r="J7" s="1333"/>
    </row>
    <row r="8" spans="1:12">
      <c r="A8" s="1333" t="s">
        <v>147</v>
      </c>
      <c r="B8" s="1333"/>
      <c r="C8" s="1333"/>
      <c r="D8" s="1333"/>
      <c r="E8" s="1333"/>
      <c r="F8" s="1333"/>
      <c r="G8" s="1333"/>
      <c r="H8" s="1333"/>
      <c r="I8" s="1333"/>
      <c r="J8" s="1333"/>
    </row>
    <row r="9" spans="1:12">
      <c r="A9" s="154"/>
      <c r="I9" s="154" t="s">
        <v>148</v>
      </c>
    </row>
    <row r="10" spans="1:12" ht="33" customHeight="1" thickBot="1">
      <c r="A10" s="1336" t="s">
        <v>22</v>
      </c>
      <c r="B10" s="1336" t="s">
        <v>149</v>
      </c>
      <c r="C10" s="1335" t="s">
        <v>150</v>
      </c>
      <c r="D10" s="1335"/>
      <c r="E10" s="1335" t="s">
        <v>0</v>
      </c>
      <c r="F10" s="1336" t="s">
        <v>16</v>
      </c>
      <c r="G10" s="1335" t="s">
        <v>23</v>
      </c>
      <c r="H10" s="1335"/>
      <c r="I10" s="1335" t="s">
        <v>151</v>
      </c>
      <c r="J10" s="1335" t="s">
        <v>152</v>
      </c>
      <c r="L10" s="180"/>
    </row>
    <row r="11" spans="1:12" ht="24" customHeight="1" thickBot="1">
      <c r="A11" s="1337"/>
      <c r="B11" s="1337"/>
      <c r="C11" s="155" t="s">
        <v>153</v>
      </c>
      <c r="D11" s="155" t="s">
        <v>154</v>
      </c>
      <c r="E11" s="1335"/>
      <c r="F11" s="1337"/>
      <c r="G11" s="155" t="s">
        <v>24</v>
      </c>
      <c r="H11" s="155" t="s">
        <v>25</v>
      </c>
      <c r="I11" s="1335"/>
      <c r="J11" s="1335"/>
      <c r="L11" s="221">
        <v>9</v>
      </c>
    </row>
    <row r="12" spans="1:12" s="156" customFormat="1" ht="11.25" customHeight="1">
      <c r="A12" s="157" t="s">
        <v>2</v>
      </c>
      <c r="B12" s="157" t="s">
        <v>3</v>
      </c>
      <c r="C12" s="157" t="s">
        <v>4</v>
      </c>
      <c r="D12" s="157" t="s">
        <v>5</v>
      </c>
      <c r="E12" s="157" t="s">
        <v>6</v>
      </c>
      <c r="F12" s="157" t="s">
        <v>155</v>
      </c>
      <c r="G12" s="157">
        <v>1</v>
      </c>
      <c r="H12" s="157">
        <v>2</v>
      </c>
      <c r="I12" s="157">
        <v>3</v>
      </c>
      <c r="J12" s="157" t="s">
        <v>156</v>
      </c>
    </row>
    <row r="13" spans="1:12" s="158" customFormat="1" ht="19.5" customHeight="1">
      <c r="A13" s="159"/>
      <c r="B13" s="159"/>
      <c r="C13" s="159"/>
      <c r="D13" s="159"/>
      <c r="E13" s="159" t="s">
        <v>157</v>
      </c>
      <c r="F13" s="160"/>
      <c r="G13" s="161"/>
      <c r="H13" s="159"/>
      <c r="I13" s="181">
        <f>IF($L$11="All",CDPS!$C$10,CDPS!$C$10+SUMIF(_N111,"x",TH)-SUMIF(_C111,"x",TH))</f>
        <v>8502188733</v>
      </c>
      <c r="J13" s="159"/>
    </row>
    <row r="14" spans="1:12" ht="19.5" customHeight="1">
      <c r="A14" s="162">
        <f ca="1">IF(ROWS($1:1)&gt;COUNT(Dong1),"",OFFSET(TH!C$1,SMALL(Dong1,ROWS($1:1)),))</f>
        <v>42614</v>
      </c>
      <c r="B14" s="162">
        <f ca="1">IF(ROWS($1:1)&gt;COUNT(Dong1),"",OFFSET(TH!E$1,SMALL(Dong1,ROWS($1:1)),))</f>
        <v>42614</v>
      </c>
      <c r="C14" s="163" t="str">
        <f ca="1">IF(ROWS($1:1)&gt;COUNT(Dong1),"",IF(OFFSET(TH!N$1,SMALL(Dong1,ROWS($1:1)),)="1111",OFFSET(TH!D$1,SMALL(Dong1,ROWS($1:1)),),""))</f>
        <v/>
      </c>
      <c r="D14" s="164" t="str">
        <f ca="1">IF(ROWS($1:1)&gt;COUNT(Dong1),"",IF(OFFSET(TH!O$1,SMALL(Dong1,ROWS($1:1)),)="1111",OFFSET(TH!D$1,SMALL(Dong1,ROWS($1:1)),),""))</f>
        <v>C01</v>
      </c>
      <c r="E14" s="373" t="str">
        <f ca="1">IF(ROWS($1:1)&gt;COUNT(Dong1),"",OFFSET(TH!F$1,SMALL(Dong1,ROWS($1:1)),))</f>
        <v>Phí hiệu chuẩn cân</v>
      </c>
      <c r="F14" s="166" t="str">
        <f ca="1">IF(ROWS($1:1)&gt;COUNT(Dong1),"",IF(OFFSET(TH!O$1,SMALL(Dong1,ROWS($1:1)),)="1111",OFFSET(TH!N$1,SMALL(Dong1,ROWS($1:1)),),OFFSET(TH!O$1,SMALL(Dong1,ROWS($1:1)),)))</f>
        <v>642</v>
      </c>
      <c r="G14" s="167">
        <f ca="1">IF(ROWS($1:1)&gt;COUNT(Dong1),"",IF(OFFSET(TH!N$1,SMALL(Dong1,ROWS($1:1)),)="1111",OFFSET(TH!M$1,SMALL(Dong1,ROWS($1:1)),),0))</f>
        <v>0</v>
      </c>
      <c r="H14" s="165">
        <f ca="1">IF(ROWS($1:1)&gt;COUNT(Dong1),"",IF(OFFSET(TH!O$1,SMALL(Dong1,ROWS($1:1)),)="1111",OFFSET(TH!M$1,SMALL(Dong1,ROWS($1:1)),),0))</f>
        <v>380000</v>
      </c>
      <c r="I14" s="163">
        <f t="shared" ref="I14:I45" ca="1" si="0">IF(E14&lt;&gt;"",I13+G14-H14,0)</f>
        <v>8501808733</v>
      </c>
      <c r="J14" s="168"/>
    </row>
    <row r="15" spans="1:12" ht="19.5" customHeight="1">
      <c r="A15" s="162">
        <f ca="1">IF(ROWS($1:2)&gt;COUNT(Dong1),"",OFFSET(TH!C$1,SMALL(Dong1,ROWS($1:2)),))</f>
        <v>42614</v>
      </c>
      <c r="B15" s="162">
        <f ca="1">IF(ROWS($1:2)&gt;COUNT(Dong1),"",OFFSET(TH!E$1,SMALL(Dong1,ROWS($1:2)),))</f>
        <v>42614</v>
      </c>
      <c r="C15" s="163" t="str">
        <f ca="1">IF(ROWS($1:2)&gt;COUNT(Dong1),"",IF(OFFSET(TH!N$1,SMALL(Dong1,ROWS($1:2)),)="1111",OFFSET(TH!D$1,SMALL(Dong1,ROWS($1:2)),),""))</f>
        <v/>
      </c>
      <c r="D15" s="164" t="str">
        <f ca="1">IF(ROWS($1:2)&gt;COUNT(Dong1),"",IF(OFFSET(TH!O$1,SMALL(Dong1,ROWS($1:2)),)="1111",OFFSET(TH!D$1,SMALL(Dong1,ROWS($1:2)),),""))</f>
        <v>C01</v>
      </c>
      <c r="E15" s="373" t="str">
        <f ca="1">IF(ROWS($1:2)&gt;COUNT(Dong1),"",OFFSET(TH!F$1,SMALL(Dong1,ROWS($1:2)),))</f>
        <v>VAT Phí hiệu chuẩn cân</v>
      </c>
      <c r="F15" s="166" t="str">
        <f ca="1">IF(ROWS($1:2)&gt;COUNT(Dong1),"",IF(OFFSET(TH!O$1,SMALL(Dong1,ROWS($1:2)),)="1111",OFFSET(TH!N$1,SMALL(Dong1,ROWS($1:2)),),OFFSET(TH!O$1,SMALL(Dong1,ROWS($1:2)),)))</f>
        <v>1331</v>
      </c>
      <c r="G15" s="167">
        <f ca="1">IF(ROWS($1:2)&gt;COUNT(Dong1),"",IF(OFFSET(TH!N$1,SMALL(Dong1,ROWS($1:2)),)="1111",OFFSET(TH!M$1,SMALL(Dong1,ROWS($1:2)),),0))</f>
        <v>0</v>
      </c>
      <c r="H15" s="165">
        <f ca="1">IF(ROWS($1:2)&gt;COUNT(Dong1),"",IF(OFFSET(TH!O$1,SMALL(Dong1,ROWS($1:2)),)="1111",OFFSET(TH!M$1,SMALL(Dong1,ROWS($1:2)),),0))</f>
        <v>19000</v>
      </c>
      <c r="I15" s="163">
        <f t="shared" ca="1" si="0"/>
        <v>8501789733</v>
      </c>
      <c r="J15" s="168"/>
    </row>
    <row r="16" spans="1:12" ht="19.5" customHeight="1">
      <c r="A16" s="162">
        <f ca="1">IF(ROWS($1:3)&gt;COUNT(Dong1),"",OFFSET(TH!C$1,SMALL(Dong1,ROWS($1:3)),))</f>
        <v>42622</v>
      </c>
      <c r="B16" s="162">
        <f ca="1">IF(ROWS($1:3)&gt;COUNT(Dong1),"",OFFSET(TH!E$1,SMALL(Dong1,ROWS($1:3)),))</f>
        <v>42622</v>
      </c>
      <c r="C16" s="163" t="str">
        <f ca="1">IF(ROWS($1:3)&gt;COUNT(Dong1),"",IF(OFFSET(TH!N$1,SMALL(Dong1,ROWS($1:3)),)="1111",OFFSET(TH!D$1,SMALL(Dong1,ROWS($1:3)),),""))</f>
        <v>T01</v>
      </c>
      <c r="D16" s="164" t="str">
        <f ca="1">IF(ROWS($1:3)&gt;COUNT(Dong1),"",IF(OFFSET(TH!O$1,SMALL(Dong1,ROWS($1:3)),)="1111",OFFSET(TH!D$1,SMALL(Dong1,ROWS($1:3)),),""))</f>
        <v/>
      </c>
      <c r="E16" s="373" t="str">
        <f ca="1">IF(ROWS($1:3)&gt;COUNT(Dong1),"",OFFSET(TH!F$1,SMALL(Dong1,ROWS($1:3)),))</f>
        <v>Rút tiền gửi NH nhập quỹ TM</v>
      </c>
      <c r="F16" s="166" t="str">
        <f ca="1">IF(ROWS($1:3)&gt;COUNT(Dong1),"",IF(OFFSET(TH!O$1,SMALL(Dong1,ROWS($1:3)),)="1111",OFFSET(TH!N$1,SMALL(Dong1,ROWS($1:3)),),OFFSET(TH!O$1,SMALL(Dong1,ROWS($1:3)),)))</f>
        <v>1121</v>
      </c>
      <c r="G16" s="167">
        <f ca="1">IF(ROWS($1:3)&gt;COUNT(Dong1),"",IF(OFFSET(TH!N$1,SMALL(Dong1,ROWS($1:3)),)="1111",OFFSET(TH!M$1,SMALL(Dong1,ROWS($1:3)),),0))</f>
        <v>1850000000</v>
      </c>
      <c r="H16" s="165">
        <f ca="1">IF(ROWS($1:3)&gt;COUNT(Dong1),"",IF(OFFSET(TH!O$1,SMALL(Dong1,ROWS($1:3)),)="1111",OFFSET(TH!M$1,SMALL(Dong1,ROWS($1:3)),),0))</f>
        <v>0</v>
      </c>
      <c r="I16" s="163">
        <f t="shared" ca="1" si="0"/>
        <v>10351789733</v>
      </c>
      <c r="J16" s="168"/>
    </row>
    <row r="17" spans="1:10" ht="19.5" customHeight="1">
      <c r="A17" s="162">
        <f ca="1">IF(ROWS($1:4)&gt;COUNT(Dong1),"",OFFSET(TH!C$1,SMALL(Dong1,ROWS($1:4)),))</f>
        <v>42622</v>
      </c>
      <c r="B17" s="162">
        <f ca="1">IF(ROWS($1:4)&gt;COUNT(Dong1),"",OFFSET(TH!E$1,SMALL(Dong1,ROWS($1:4)),))</f>
        <v>42622</v>
      </c>
      <c r="C17" s="163" t="str">
        <f ca="1">IF(ROWS($1:4)&gt;COUNT(Dong1),"",IF(OFFSET(TH!N$1,SMALL(Dong1,ROWS($1:4)),)="1111",OFFSET(TH!D$1,SMALL(Dong1,ROWS($1:4)),),""))</f>
        <v>T02</v>
      </c>
      <c r="D17" s="164" t="str">
        <f ca="1">IF(ROWS($1:4)&gt;COUNT(Dong1),"",IF(OFFSET(TH!O$1,SMALL(Dong1,ROWS($1:4)),)="1111",OFFSET(TH!D$1,SMALL(Dong1,ROWS($1:4)),),""))</f>
        <v/>
      </c>
      <c r="E17" s="373" t="str">
        <f ca="1">IF(ROWS($1:4)&gt;COUNT(Dong1),"",OFFSET(TH!F$1,SMALL(Dong1,ROWS($1:4)),))</f>
        <v>Rút tiền gửi NH nhập quỹ TM</v>
      </c>
      <c r="F17" s="166" t="str">
        <f ca="1">IF(ROWS($1:4)&gt;COUNT(Dong1),"",IF(OFFSET(TH!O$1,SMALL(Dong1,ROWS($1:4)),)="1111",OFFSET(TH!N$1,SMALL(Dong1,ROWS($1:4)),),OFFSET(TH!O$1,SMALL(Dong1,ROWS($1:4)),)))</f>
        <v>1121</v>
      </c>
      <c r="G17" s="167">
        <f ca="1">IF(ROWS($1:4)&gt;COUNT(Dong1),"",IF(OFFSET(TH!N$1,SMALL(Dong1,ROWS($1:4)),)="1111",OFFSET(TH!M$1,SMALL(Dong1,ROWS($1:4)),),0))</f>
        <v>100000000</v>
      </c>
      <c r="H17" s="165">
        <f ca="1">IF(ROWS($1:4)&gt;COUNT(Dong1),"",IF(OFFSET(TH!O$1,SMALL(Dong1,ROWS($1:4)),)="1111",OFFSET(TH!M$1,SMALL(Dong1,ROWS($1:4)),),0))</f>
        <v>0</v>
      </c>
      <c r="I17" s="163">
        <f t="shared" ca="1" si="0"/>
        <v>10451789733</v>
      </c>
      <c r="J17" s="168"/>
    </row>
    <row r="18" spans="1:10" ht="19.5" customHeight="1">
      <c r="A18" s="162">
        <f ca="1">IF(ROWS($1:5)&gt;COUNT(Dong1),"",OFFSET(TH!C$1,SMALL(Dong1,ROWS($1:5)),))</f>
        <v>42627</v>
      </c>
      <c r="B18" s="162">
        <f ca="1">IF(ROWS($1:5)&gt;COUNT(Dong1),"",OFFSET(TH!E$1,SMALL(Dong1,ROWS($1:5)),))</f>
        <v>42627</v>
      </c>
      <c r="C18" s="163" t="str">
        <f ca="1">IF(ROWS($1:5)&gt;COUNT(Dong1),"",IF(OFFSET(TH!N$1,SMALL(Dong1,ROWS($1:5)),)="1111",OFFSET(TH!D$1,SMALL(Dong1,ROWS($1:5)),),""))</f>
        <v>T03</v>
      </c>
      <c r="D18" s="164" t="str">
        <f ca="1">IF(ROWS($1:5)&gt;COUNT(Dong1),"",IF(OFFSET(TH!O$1,SMALL(Dong1,ROWS($1:5)),)="1111",OFFSET(TH!D$1,SMALL(Dong1,ROWS($1:5)),),""))</f>
        <v/>
      </c>
      <c r="E18" s="373" t="str">
        <f ca="1">IF(ROWS($1:5)&gt;COUNT(Dong1),"",OFFSET(TH!F$1,SMALL(Dong1,ROWS($1:5)),))</f>
        <v>Rút tiền gửi NH nhập quỹ TM</v>
      </c>
      <c r="F18" s="166" t="str">
        <f ca="1">IF(ROWS($1:5)&gt;COUNT(Dong1),"",IF(OFFSET(TH!O$1,SMALL(Dong1,ROWS($1:5)),)="1111",OFFSET(TH!N$1,SMALL(Dong1,ROWS($1:5)),),OFFSET(TH!O$1,SMALL(Dong1,ROWS($1:5)),)))</f>
        <v>1121</v>
      </c>
      <c r="G18" s="167">
        <f ca="1">IF(ROWS($1:5)&gt;COUNT(Dong1),"",IF(OFFSET(TH!N$1,SMALL(Dong1,ROWS($1:5)),)="1111",OFFSET(TH!M$1,SMALL(Dong1,ROWS($1:5)),),0))</f>
        <v>3300000000</v>
      </c>
      <c r="H18" s="165">
        <f ca="1">IF(ROWS($1:5)&gt;COUNT(Dong1),"",IF(OFFSET(TH!O$1,SMALL(Dong1,ROWS($1:5)),)="1111",OFFSET(TH!M$1,SMALL(Dong1,ROWS($1:5)),),0))</f>
        <v>0</v>
      </c>
      <c r="I18" s="163">
        <f t="shared" ca="1" si="0"/>
        <v>13751789733</v>
      </c>
      <c r="J18" s="168"/>
    </row>
    <row r="19" spans="1:10" ht="19.5" customHeight="1">
      <c r="A19" s="162">
        <f ca="1">IF(ROWS($1:6)&gt;COUNT(Dong1),"",OFFSET(TH!C$1,SMALL(Dong1,ROWS($1:6)),))</f>
        <v>42634</v>
      </c>
      <c r="B19" s="162">
        <f ca="1">IF(ROWS($1:6)&gt;COUNT(Dong1),"",OFFSET(TH!E$1,SMALL(Dong1,ROWS($1:6)),))</f>
        <v>42634</v>
      </c>
      <c r="C19" s="163" t="str">
        <f ca="1">IF(ROWS($1:6)&gt;COUNT(Dong1),"",IF(OFFSET(TH!N$1,SMALL(Dong1,ROWS($1:6)),)="1111",OFFSET(TH!D$1,SMALL(Dong1,ROWS($1:6)),),""))</f>
        <v>T04</v>
      </c>
      <c r="D19" s="164" t="str">
        <f ca="1">IF(ROWS($1:6)&gt;COUNT(Dong1),"",IF(OFFSET(TH!O$1,SMALL(Dong1,ROWS($1:6)),)="1111",OFFSET(TH!D$1,SMALL(Dong1,ROWS($1:6)),),""))</f>
        <v/>
      </c>
      <c r="E19" s="373" t="str">
        <f ca="1">IF(ROWS($1:6)&gt;COUNT(Dong1),"",OFFSET(TH!F$1,SMALL(Dong1,ROWS($1:6)),))</f>
        <v>Rút tiền gửi NH nhập quỹ TM</v>
      </c>
      <c r="F19" s="166" t="str">
        <f ca="1">IF(ROWS($1:6)&gt;COUNT(Dong1),"",IF(OFFSET(TH!O$1,SMALL(Dong1,ROWS($1:6)),)="1111",OFFSET(TH!N$1,SMALL(Dong1,ROWS($1:6)),),OFFSET(TH!O$1,SMALL(Dong1,ROWS($1:6)),)))</f>
        <v>1121</v>
      </c>
      <c r="G19" s="167">
        <f ca="1">IF(ROWS($1:6)&gt;COUNT(Dong1),"",IF(OFFSET(TH!N$1,SMALL(Dong1,ROWS($1:6)),)="1111",OFFSET(TH!M$1,SMALL(Dong1,ROWS($1:6)),),0))</f>
        <v>3300000000</v>
      </c>
      <c r="H19" s="165">
        <f ca="1">IF(ROWS($1:6)&gt;COUNT(Dong1),"",IF(OFFSET(TH!O$1,SMALL(Dong1,ROWS($1:6)),)="1111",OFFSET(TH!M$1,SMALL(Dong1,ROWS($1:6)),),0))</f>
        <v>0</v>
      </c>
      <c r="I19" s="163">
        <f t="shared" ca="1" si="0"/>
        <v>17051789733</v>
      </c>
      <c r="J19" s="168"/>
    </row>
    <row r="20" spans="1:10" ht="19.5" customHeight="1">
      <c r="A20" s="162">
        <f ca="1">IF(ROWS($1:7)&gt;COUNT(Dong1),"",OFFSET(TH!C$1,SMALL(Dong1,ROWS($1:7)),))</f>
        <v>42643</v>
      </c>
      <c r="B20" s="162">
        <f ca="1">IF(ROWS($1:7)&gt;COUNT(Dong1),"",OFFSET(TH!E$1,SMALL(Dong1,ROWS($1:7)),))</f>
        <v>42643</v>
      </c>
      <c r="C20" s="163" t="str">
        <f ca="1">IF(ROWS($1:7)&gt;COUNT(Dong1),"",IF(OFFSET(TH!N$1,SMALL(Dong1,ROWS($1:7)),)="1111",OFFSET(TH!D$1,SMALL(Dong1,ROWS($1:7)),),""))</f>
        <v>T05</v>
      </c>
      <c r="D20" s="164" t="str">
        <f ca="1">IF(ROWS($1:7)&gt;COUNT(Dong1),"",IF(OFFSET(TH!O$1,SMALL(Dong1,ROWS($1:7)),)="1111",OFFSET(TH!D$1,SMALL(Dong1,ROWS($1:7)),),""))</f>
        <v/>
      </c>
      <c r="E20" s="373" t="str">
        <f ca="1">IF(ROWS($1:7)&gt;COUNT(Dong1),"",OFFSET(TH!F$1,SMALL(Dong1,ROWS($1:7)),))</f>
        <v>An Lạc TV - Hoàn vốn</v>
      </c>
      <c r="F20" s="166" t="str">
        <f ca="1">IF(ROWS($1:7)&gt;COUNT(Dong1),"",IF(OFFSET(TH!O$1,SMALL(Dong1,ROWS($1:7)),)="1111",OFFSET(TH!N$1,SMALL(Dong1,ROWS($1:7)),),OFFSET(TH!O$1,SMALL(Dong1,ROWS($1:7)),)))</f>
        <v>1388</v>
      </c>
      <c r="G20" s="167">
        <f ca="1">IF(ROWS($1:7)&gt;COUNT(Dong1),"",IF(OFFSET(TH!N$1,SMALL(Dong1,ROWS($1:7)),)="1111",OFFSET(TH!M$1,SMALL(Dong1,ROWS($1:7)),),0))</f>
        <v>60000000</v>
      </c>
      <c r="H20" s="165">
        <f ca="1">IF(ROWS($1:7)&gt;COUNT(Dong1),"",IF(OFFSET(TH!O$1,SMALL(Dong1,ROWS($1:7)),)="1111",OFFSET(TH!M$1,SMALL(Dong1,ROWS($1:7)),),0))</f>
        <v>0</v>
      </c>
      <c r="I20" s="163">
        <f t="shared" ca="1" si="0"/>
        <v>17111789733</v>
      </c>
      <c r="J20" s="168"/>
    </row>
    <row r="21" spans="1:10" ht="19.5" customHeight="1">
      <c r="A21" s="162">
        <f ca="1">IF(ROWS($1:8)&gt;COUNT(Dong1),"",OFFSET(TH!C$1,SMALL(Dong1,ROWS($1:8)),))</f>
        <v>42614</v>
      </c>
      <c r="B21" s="162">
        <f ca="1">IF(ROWS($1:8)&gt;COUNT(Dong1),"",OFFSET(TH!E$1,SMALL(Dong1,ROWS($1:8)),))</f>
        <v>42590</v>
      </c>
      <c r="C21" s="163" t="str">
        <f ca="1">IF(ROWS($1:8)&gt;COUNT(Dong1),"",IF(OFFSET(TH!N$1,SMALL(Dong1,ROWS($1:8)),)="1111",OFFSET(TH!D$1,SMALL(Dong1,ROWS($1:8)),),""))</f>
        <v/>
      </c>
      <c r="D21" s="164" t="str">
        <f ca="1">IF(ROWS($1:8)&gt;COUNT(Dong1),"",IF(OFFSET(TH!O$1,SMALL(Dong1,ROWS($1:8)),)="1111",OFFSET(TH!D$1,SMALL(Dong1,ROWS($1:8)),),""))</f>
        <v>C02</v>
      </c>
      <c r="E21" s="373" t="str">
        <f ca="1">IF(ROWS($1:8)&gt;COUNT(Dong1),"",OFFSET(TH!F$1,SMALL(Dong1,ROWS($1:8)),))</f>
        <v>Thử nghiệm nước thải</v>
      </c>
      <c r="F21" s="166" t="str">
        <f ca="1">IF(ROWS($1:8)&gt;COUNT(Dong1),"",IF(OFFSET(TH!O$1,SMALL(Dong1,ROWS($1:8)),)="1111",OFFSET(TH!N$1,SMALL(Dong1,ROWS($1:8)),),OFFSET(TH!O$1,SMALL(Dong1,ROWS($1:8)),)))</f>
        <v>642</v>
      </c>
      <c r="G21" s="167">
        <f ca="1">IF(ROWS($1:8)&gt;COUNT(Dong1),"",IF(OFFSET(TH!N$1,SMALL(Dong1,ROWS($1:8)),)="1111",OFFSET(TH!M$1,SMALL(Dong1,ROWS($1:8)),),0))</f>
        <v>0</v>
      </c>
      <c r="H21" s="165">
        <f ca="1">IF(ROWS($1:8)&gt;COUNT(Dong1),"",IF(OFFSET(TH!O$1,SMALL(Dong1,ROWS($1:8)),)="1111",OFFSET(TH!M$1,SMALL(Dong1,ROWS($1:8)),),0))</f>
        <v>140000</v>
      </c>
      <c r="I21" s="163">
        <f t="shared" ca="1" si="0"/>
        <v>17111649733</v>
      </c>
      <c r="J21" s="168"/>
    </row>
    <row r="22" spans="1:10" ht="19.5" customHeight="1">
      <c r="A22" s="162">
        <f ca="1">IF(ROWS($1:9)&gt;COUNT(Dong1),"",OFFSET(TH!C$1,SMALL(Dong1,ROWS($1:9)),))</f>
        <v>42614</v>
      </c>
      <c r="B22" s="162">
        <f ca="1">IF(ROWS($1:9)&gt;COUNT(Dong1),"",OFFSET(TH!E$1,SMALL(Dong1,ROWS($1:9)),))</f>
        <v>42590</v>
      </c>
      <c r="C22" s="163" t="str">
        <f ca="1">IF(ROWS($1:9)&gt;COUNT(Dong1),"",IF(OFFSET(TH!N$1,SMALL(Dong1,ROWS($1:9)),)="1111",OFFSET(TH!D$1,SMALL(Dong1,ROWS($1:9)),),""))</f>
        <v/>
      </c>
      <c r="D22" s="164" t="str">
        <f ca="1">IF(ROWS($1:9)&gt;COUNT(Dong1),"",IF(OFFSET(TH!O$1,SMALL(Dong1,ROWS($1:9)),)="1111",OFFSET(TH!D$1,SMALL(Dong1,ROWS($1:9)),),""))</f>
        <v>C02</v>
      </c>
      <c r="E22" s="373" t="str">
        <f ca="1">IF(ROWS($1:9)&gt;COUNT(Dong1),"",OFFSET(TH!F$1,SMALL(Dong1,ROWS($1:9)),))</f>
        <v>VAT Thử nghiệm nước thải</v>
      </c>
      <c r="F22" s="166" t="str">
        <f ca="1">IF(ROWS($1:9)&gt;COUNT(Dong1),"",IF(OFFSET(TH!O$1,SMALL(Dong1,ROWS($1:9)),)="1111",OFFSET(TH!N$1,SMALL(Dong1,ROWS($1:9)),),OFFSET(TH!O$1,SMALL(Dong1,ROWS($1:9)),)))</f>
        <v>1331</v>
      </c>
      <c r="G22" s="167">
        <f ca="1">IF(ROWS($1:9)&gt;COUNT(Dong1),"",IF(OFFSET(TH!N$1,SMALL(Dong1,ROWS($1:9)),)="1111",OFFSET(TH!M$1,SMALL(Dong1,ROWS($1:9)),),0))</f>
        <v>0</v>
      </c>
      <c r="H22" s="165">
        <f ca="1">IF(ROWS($1:9)&gt;COUNT(Dong1),"",IF(OFFSET(TH!O$1,SMALL(Dong1,ROWS($1:9)),)="1111",OFFSET(TH!M$1,SMALL(Dong1,ROWS($1:9)),),0))</f>
        <v>7000</v>
      </c>
      <c r="I22" s="163">
        <f t="shared" ca="1" si="0"/>
        <v>17111642733</v>
      </c>
      <c r="J22" s="168"/>
    </row>
    <row r="23" spans="1:10" ht="19.5" customHeight="1">
      <c r="A23" s="162">
        <f ca="1">IF(ROWS($1:10)&gt;COUNT(Dong1),"",OFFSET(TH!C$1,SMALL(Dong1,ROWS($1:10)),))</f>
        <v>42614</v>
      </c>
      <c r="B23" s="162">
        <f ca="1">IF(ROWS($1:10)&gt;COUNT(Dong1),"",OFFSET(TH!E$1,SMALL(Dong1,ROWS($1:10)),))</f>
        <v>42597</v>
      </c>
      <c r="C23" s="163" t="str">
        <f ca="1">IF(ROWS($1:10)&gt;COUNT(Dong1),"",IF(OFFSET(TH!N$1,SMALL(Dong1,ROWS($1:10)),)="1111",OFFSET(TH!D$1,SMALL(Dong1,ROWS($1:10)),),""))</f>
        <v/>
      </c>
      <c r="D23" s="164" t="str">
        <f ca="1">IF(ROWS($1:10)&gt;COUNT(Dong1),"",IF(OFFSET(TH!O$1,SMALL(Dong1,ROWS($1:10)),)="1111",OFFSET(TH!D$1,SMALL(Dong1,ROWS($1:10)),),""))</f>
        <v>C03</v>
      </c>
      <c r="E23" s="373" t="str">
        <f ca="1">IF(ROWS($1:10)&gt;COUNT(Dong1),"",OFFSET(TH!F$1,SMALL(Dong1,ROWS($1:10)),))</f>
        <v>Phân tích hoạt động phóng xa mẫu cá</v>
      </c>
      <c r="F23" s="166" t="str">
        <f ca="1">IF(ROWS($1:10)&gt;COUNT(Dong1),"",IF(OFFSET(TH!O$1,SMALL(Dong1,ROWS($1:10)),)="1111",OFFSET(TH!N$1,SMALL(Dong1,ROWS($1:10)),),OFFSET(TH!O$1,SMALL(Dong1,ROWS($1:10)),)))</f>
        <v>642</v>
      </c>
      <c r="G23" s="167">
        <f ca="1">IF(ROWS($1:10)&gt;COUNT(Dong1),"",IF(OFFSET(TH!N$1,SMALL(Dong1,ROWS($1:10)),)="1111",OFFSET(TH!M$1,SMALL(Dong1,ROWS($1:10)),),0))</f>
        <v>0</v>
      </c>
      <c r="H23" s="165">
        <f ca="1">IF(ROWS($1:10)&gt;COUNT(Dong1),"",IF(OFFSET(TH!O$1,SMALL(Dong1,ROWS($1:10)),)="1111",OFFSET(TH!M$1,SMALL(Dong1,ROWS($1:10)),),0))</f>
        <v>2000000</v>
      </c>
      <c r="I23" s="163">
        <f t="shared" ca="1" si="0"/>
        <v>17109642733</v>
      </c>
      <c r="J23" s="168"/>
    </row>
    <row r="24" spans="1:10" ht="19.5" customHeight="1">
      <c r="A24" s="162">
        <f ca="1">IF(ROWS($1:11)&gt;COUNT(Dong1),"",OFFSET(TH!C$1,SMALL(Dong1,ROWS($1:11)),))</f>
        <v>42614</v>
      </c>
      <c r="B24" s="162">
        <f ca="1">IF(ROWS($1:11)&gt;COUNT(Dong1),"",OFFSET(TH!E$1,SMALL(Dong1,ROWS($1:11)),))</f>
        <v>42597</v>
      </c>
      <c r="C24" s="163" t="str">
        <f ca="1">IF(ROWS($1:11)&gt;COUNT(Dong1),"",IF(OFFSET(TH!N$1,SMALL(Dong1,ROWS($1:11)),)="1111",OFFSET(TH!D$1,SMALL(Dong1,ROWS($1:11)),),""))</f>
        <v/>
      </c>
      <c r="D24" s="164" t="str">
        <f ca="1">IF(ROWS($1:11)&gt;COUNT(Dong1),"",IF(OFFSET(TH!O$1,SMALL(Dong1,ROWS($1:11)),)="1111",OFFSET(TH!D$1,SMALL(Dong1,ROWS($1:11)),),""))</f>
        <v>C03</v>
      </c>
      <c r="E24" s="373" t="str">
        <f ca="1">IF(ROWS($1:11)&gt;COUNT(Dong1),"",OFFSET(TH!F$1,SMALL(Dong1,ROWS($1:11)),))</f>
        <v>VAT Phân tích hoạt động phóng xa mẫu cá</v>
      </c>
      <c r="F24" s="166" t="str">
        <f ca="1">IF(ROWS($1:11)&gt;COUNT(Dong1),"",IF(OFFSET(TH!O$1,SMALL(Dong1,ROWS($1:11)),)="1111",OFFSET(TH!N$1,SMALL(Dong1,ROWS($1:11)),),OFFSET(TH!O$1,SMALL(Dong1,ROWS($1:11)),)))</f>
        <v>1331</v>
      </c>
      <c r="G24" s="167">
        <f ca="1">IF(ROWS($1:11)&gt;COUNT(Dong1),"",IF(OFFSET(TH!N$1,SMALL(Dong1,ROWS($1:11)),)="1111",OFFSET(TH!M$1,SMALL(Dong1,ROWS($1:11)),),0))</f>
        <v>0</v>
      </c>
      <c r="H24" s="165">
        <f ca="1">IF(ROWS($1:11)&gt;COUNT(Dong1),"",IF(OFFSET(TH!O$1,SMALL(Dong1,ROWS($1:11)),)="1111",OFFSET(TH!M$1,SMALL(Dong1,ROWS($1:11)),),0))</f>
        <v>100000</v>
      </c>
      <c r="I24" s="163">
        <f t="shared" ca="1" si="0"/>
        <v>17109542733</v>
      </c>
      <c r="J24" s="168"/>
    </row>
    <row r="25" spans="1:10" ht="19.5" customHeight="1">
      <c r="A25" s="162">
        <f ca="1">IF(ROWS($1:12)&gt;COUNT(Dong1),"",OFFSET(TH!C$1,SMALL(Dong1,ROWS($1:12)),))</f>
        <v>42616</v>
      </c>
      <c r="B25" s="162">
        <f ca="1">IF(ROWS($1:12)&gt;COUNT(Dong1),"",OFFSET(TH!E$1,SMALL(Dong1,ROWS($1:12)),))</f>
        <v>42616</v>
      </c>
      <c r="C25" s="163" t="str">
        <f ca="1">IF(ROWS($1:12)&gt;COUNT(Dong1),"",IF(OFFSET(TH!N$1,SMALL(Dong1,ROWS($1:12)),)="1111",OFFSET(TH!D$1,SMALL(Dong1,ROWS($1:12)),),""))</f>
        <v/>
      </c>
      <c r="D25" s="164" t="str">
        <f ca="1">IF(ROWS($1:12)&gt;COUNT(Dong1),"",IF(OFFSET(TH!O$1,SMALL(Dong1,ROWS($1:12)),)="1111",OFFSET(TH!D$1,SMALL(Dong1,ROWS($1:12)),),""))</f>
        <v>C04</v>
      </c>
      <c r="E25" s="373" t="str">
        <f ca="1">IF(ROWS($1:12)&gt;COUNT(Dong1),"",OFFSET(TH!F$1,SMALL(Dong1,ROWS($1:12)),))</f>
        <v>Tạm ứng mua NL</v>
      </c>
      <c r="F25" s="166" t="str">
        <f ca="1">IF(ROWS($1:12)&gt;COUNT(Dong1),"",IF(OFFSET(TH!O$1,SMALL(Dong1,ROWS($1:12)),)="1111",OFFSET(TH!N$1,SMALL(Dong1,ROWS($1:12)),),OFFSET(TH!O$1,SMALL(Dong1,ROWS($1:12)),)))</f>
        <v>141</v>
      </c>
      <c r="G25" s="167">
        <f ca="1">IF(ROWS($1:12)&gt;COUNT(Dong1),"",IF(OFFSET(TH!N$1,SMALL(Dong1,ROWS($1:12)),)="1111",OFFSET(TH!M$1,SMALL(Dong1,ROWS($1:12)),),0))</f>
        <v>0</v>
      </c>
      <c r="H25" s="165">
        <f ca="1">IF(ROWS($1:12)&gt;COUNT(Dong1),"",IF(OFFSET(TH!O$1,SMALL(Dong1,ROWS($1:12)),)="1111",OFFSET(TH!M$1,SMALL(Dong1,ROWS($1:12)),),0))</f>
        <v>500000000</v>
      </c>
      <c r="I25" s="163">
        <f t="shared" ca="1" si="0"/>
        <v>16609542733</v>
      </c>
      <c r="J25" s="168"/>
    </row>
    <row r="26" spans="1:10" ht="19.5" customHeight="1">
      <c r="A26" s="162">
        <f ca="1">IF(ROWS($1:13)&gt;COUNT(Dong1),"",OFFSET(TH!C$1,SMALL(Dong1,ROWS($1:13)),))</f>
        <v>42616</v>
      </c>
      <c r="B26" s="162">
        <f ca="1">IF(ROWS($1:13)&gt;COUNT(Dong1),"",OFFSET(TH!E$1,SMALL(Dong1,ROWS($1:13)),))</f>
        <v>42616</v>
      </c>
      <c r="C26" s="163" t="str">
        <f ca="1">IF(ROWS($1:13)&gt;COUNT(Dong1),"",IF(OFFSET(TH!N$1,SMALL(Dong1,ROWS($1:13)),)="1111",OFFSET(TH!D$1,SMALL(Dong1,ROWS($1:13)),),""))</f>
        <v/>
      </c>
      <c r="D26" s="164" t="str">
        <f ca="1">IF(ROWS($1:13)&gt;COUNT(Dong1),"",IF(OFFSET(TH!O$1,SMALL(Dong1,ROWS($1:13)),)="1111",OFFSET(TH!D$1,SMALL(Dong1,ROWS($1:13)),),""))</f>
        <v>C05</v>
      </c>
      <c r="E26" s="373" t="str">
        <f ca="1">IF(ROWS($1:13)&gt;COUNT(Dong1),"",OFFSET(TH!F$1,SMALL(Dong1,ROWS($1:13)),))</f>
        <v>Tạm ứng mua NL</v>
      </c>
      <c r="F26" s="166" t="str">
        <f ca="1">IF(ROWS($1:13)&gt;COUNT(Dong1),"",IF(OFFSET(TH!O$1,SMALL(Dong1,ROWS($1:13)),)="1111",OFFSET(TH!N$1,SMALL(Dong1,ROWS($1:13)),),OFFSET(TH!O$1,SMALL(Dong1,ROWS($1:13)),)))</f>
        <v>141</v>
      </c>
      <c r="G26" s="167">
        <f ca="1">IF(ROWS($1:13)&gt;COUNT(Dong1),"",IF(OFFSET(TH!N$1,SMALL(Dong1,ROWS($1:13)),)="1111",OFFSET(TH!M$1,SMALL(Dong1,ROWS($1:13)),),0))</f>
        <v>0</v>
      </c>
      <c r="H26" s="165">
        <f ca="1">IF(ROWS($1:13)&gt;COUNT(Dong1),"",IF(OFFSET(TH!O$1,SMALL(Dong1,ROWS($1:13)),)="1111",OFFSET(TH!M$1,SMALL(Dong1,ROWS($1:13)),),0))</f>
        <v>500000000</v>
      </c>
      <c r="I26" s="163">
        <f t="shared" ca="1" si="0"/>
        <v>16109542733</v>
      </c>
      <c r="J26" s="168"/>
    </row>
    <row r="27" spans="1:10" ht="19.5" customHeight="1">
      <c r="A27" s="162">
        <f ca="1">IF(ROWS($1:14)&gt;COUNT(Dong1),"",OFFSET(TH!C$1,SMALL(Dong1,ROWS($1:14)),))</f>
        <v>42617</v>
      </c>
      <c r="B27" s="162">
        <f ca="1">IF(ROWS($1:14)&gt;COUNT(Dong1),"",OFFSET(TH!E$1,SMALL(Dong1,ROWS($1:14)),))</f>
        <v>42617</v>
      </c>
      <c r="C27" s="163" t="str">
        <f ca="1">IF(ROWS($1:14)&gt;COUNT(Dong1),"",IF(OFFSET(TH!N$1,SMALL(Dong1,ROWS($1:14)),)="1111",OFFSET(TH!D$1,SMALL(Dong1,ROWS($1:14)),),""))</f>
        <v/>
      </c>
      <c r="D27" s="164" t="str">
        <f ca="1">IF(ROWS($1:14)&gt;COUNT(Dong1),"",IF(OFFSET(TH!O$1,SMALL(Dong1,ROWS($1:14)),)="1111",OFFSET(TH!D$1,SMALL(Dong1,ROWS($1:14)),),""))</f>
        <v>C06</v>
      </c>
      <c r="E27" s="373" t="str">
        <f ca="1">IF(ROWS($1:14)&gt;COUNT(Dong1),"",OFFSET(TH!F$1,SMALL(Dong1,ROWS($1:14)),))</f>
        <v>Xăng 95</v>
      </c>
      <c r="F27" s="166" t="str">
        <f ca="1">IF(ROWS($1:14)&gt;COUNT(Dong1),"",IF(OFFSET(TH!O$1,SMALL(Dong1,ROWS($1:14)),)="1111",OFFSET(TH!N$1,SMALL(Dong1,ROWS($1:14)),),OFFSET(TH!O$1,SMALL(Dong1,ROWS($1:14)),)))</f>
        <v>642</v>
      </c>
      <c r="G27" s="167">
        <f ca="1">IF(ROWS($1:14)&gt;COUNT(Dong1),"",IF(OFFSET(TH!N$1,SMALL(Dong1,ROWS($1:14)),)="1111",OFFSET(TH!M$1,SMALL(Dong1,ROWS($1:14)),),0))</f>
        <v>0</v>
      </c>
      <c r="H27" s="165">
        <f ca="1">IF(ROWS($1:14)&gt;COUNT(Dong1),"",IF(OFFSET(TH!O$1,SMALL(Dong1,ROWS($1:14)),)="1111",OFFSET(TH!M$1,SMALL(Dong1,ROWS($1:14)),),0))</f>
        <v>584364</v>
      </c>
      <c r="I27" s="163">
        <f t="shared" ca="1" si="0"/>
        <v>16108958369</v>
      </c>
      <c r="J27" s="168"/>
    </row>
    <row r="28" spans="1:10" ht="19.5" customHeight="1">
      <c r="A28" s="162">
        <f ca="1">IF(ROWS($1:15)&gt;COUNT(Dong1),"",OFFSET(TH!C$1,SMALL(Dong1,ROWS($1:15)),))</f>
        <v>42617</v>
      </c>
      <c r="B28" s="162">
        <f ca="1">IF(ROWS($1:15)&gt;COUNT(Dong1),"",OFFSET(TH!E$1,SMALL(Dong1,ROWS($1:15)),))</f>
        <v>42617</v>
      </c>
      <c r="C28" s="163" t="str">
        <f ca="1">IF(ROWS($1:15)&gt;COUNT(Dong1),"",IF(OFFSET(TH!N$1,SMALL(Dong1,ROWS($1:15)),)="1111",OFFSET(TH!D$1,SMALL(Dong1,ROWS($1:15)),),""))</f>
        <v/>
      </c>
      <c r="D28" s="164" t="str">
        <f ca="1">IF(ROWS($1:15)&gt;COUNT(Dong1),"",IF(OFFSET(TH!O$1,SMALL(Dong1,ROWS($1:15)),)="1111",OFFSET(TH!D$1,SMALL(Dong1,ROWS($1:15)),),""))</f>
        <v>C06</v>
      </c>
      <c r="E28" s="373" t="str">
        <f ca="1">IF(ROWS($1:15)&gt;COUNT(Dong1),"",OFFSET(TH!F$1,SMALL(Dong1,ROWS($1:15)),))</f>
        <v>VAT Xăng 95</v>
      </c>
      <c r="F28" s="166" t="str">
        <f ca="1">IF(ROWS($1:15)&gt;COUNT(Dong1),"",IF(OFFSET(TH!O$1,SMALL(Dong1,ROWS($1:15)),)="1111",OFFSET(TH!N$1,SMALL(Dong1,ROWS($1:15)),),OFFSET(TH!O$1,SMALL(Dong1,ROWS($1:15)),)))</f>
        <v>1331</v>
      </c>
      <c r="G28" s="167">
        <f ca="1">IF(ROWS($1:15)&gt;COUNT(Dong1),"",IF(OFFSET(TH!N$1,SMALL(Dong1,ROWS($1:15)),)="1111",OFFSET(TH!M$1,SMALL(Dong1,ROWS($1:15)),),0))</f>
        <v>0</v>
      </c>
      <c r="H28" s="165">
        <f ca="1">IF(ROWS($1:15)&gt;COUNT(Dong1),"",IF(OFFSET(TH!O$1,SMALL(Dong1,ROWS($1:15)),)="1111",OFFSET(TH!M$1,SMALL(Dong1,ROWS($1:15)),),0))</f>
        <v>58436</v>
      </c>
      <c r="I28" s="163">
        <f t="shared" ca="1" si="0"/>
        <v>16108899933</v>
      </c>
      <c r="J28" s="168"/>
    </row>
    <row r="29" spans="1:10" ht="19.5" customHeight="1">
      <c r="A29" s="162">
        <f ca="1">IF(ROWS($1:16)&gt;COUNT(Dong1),"",OFFSET(TH!C$1,SMALL(Dong1,ROWS($1:16)),))</f>
        <v>42618</v>
      </c>
      <c r="B29" s="162">
        <f ca="1">IF(ROWS($1:16)&gt;COUNT(Dong1),"",OFFSET(TH!E$1,SMALL(Dong1,ROWS($1:16)),))</f>
        <v>42618</v>
      </c>
      <c r="C29" s="163" t="str">
        <f ca="1">IF(ROWS($1:16)&gt;COUNT(Dong1),"",IF(OFFSET(TH!N$1,SMALL(Dong1,ROWS($1:16)),)="1111",OFFSET(TH!D$1,SMALL(Dong1,ROWS($1:16)),),""))</f>
        <v/>
      </c>
      <c r="D29" s="164" t="str">
        <f ca="1">IF(ROWS($1:16)&gt;COUNT(Dong1),"",IF(OFFSET(TH!O$1,SMALL(Dong1,ROWS($1:16)),)="1111",OFFSET(TH!D$1,SMALL(Dong1,ROWS($1:16)),),""))</f>
        <v>C07</v>
      </c>
      <c r="E29" s="373" t="str">
        <f ca="1">IF(ROWS($1:16)&gt;COUNT(Dong1),"",OFFSET(TH!F$1,SMALL(Dong1,ROWS($1:16)),))</f>
        <v>Xăng 95</v>
      </c>
      <c r="F29" s="166" t="str">
        <f ca="1">IF(ROWS($1:16)&gt;COUNT(Dong1),"",IF(OFFSET(TH!O$1,SMALL(Dong1,ROWS($1:16)),)="1111",OFFSET(TH!N$1,SMALL(Dong1,ROWS($1:16)),),OFFSET(TH!O$1,SMALL(Dong1,ROWS($1:16)),)))</f>
        <v>642</v>
      </c>
      <c r="G29" s="167">
        <f ca="1">IF(ROWS($1:16)&gt;COUNT(Dong1),"",IF(OFFSET(TH!N$1,SMALL(Dong1,ROWS($1:16)),)="1111",OFFSET(TH!M$1,SMALL(Dong1,ROWS($1:16)),),0))</f>
        <v>0</v>
      </c>
      <c r="H29" s="165">
        <f ca="1">IF(ROWS($1:16)&gt;COUNT(Dong1),"",IF(OFFSET(TH!O$1,SMALL(Dong1,ROWS($1:16)),)="1111",OFFSET(TH!M$1,SMALL(Dong1,ROWS($1:16)),),0))</f>
        <v>613582</v>
      </c>
      <c r="I29" s="163">
        <f t="shared" ca="1" si="0"/>
        <v>16108286351</v>
      </c>
      <c r="J29" s="168"/>
    </row>
    <row r="30" spans="1:10" ht="19.5" customHeight="1">
      <c r="A30" s="162">
        <f ca="1">IF(ROWS($1:17)&gt;COUNT(Dong1),"",OFFSET(TH!C$1,SMALL(Dong1,ROWS($1:17)),))</f>
        <v>42618</v>
      </c>
      <c r="B30" s="162">
        <f ca="1">IF(ROWS($1:17)&gt;COUNT(Dong1),"",OFFSET(TH!E$1,SMALL(Dong1,ROWS($1:17)),))</f>
        <v>42618</v>
      </c>
      <c r="C30" s="163" t="str">
        <f ca="1">IF(ROWS($1:17)&gt;COUNT(Dong1),"",IF(OFFSET(TH!N$1,SMALL(Dong1,ROWS($1:17)),)="1111",OFFSET(TH!D$1,SMALL(Dong1,ROWS($1:17)),),""))</f>
        <v/>
      </c>
      <c r="D30" s="164" t="str">
        <f ca="1">IF(ROWS($1:17)&gt;COUNT(Dong1),"",IF(OFFSET(TH!O$1,SMALL(Dong1,ROWS($1:17)),)="1111",OFFSET(TH!D$1,SMALL(Dong1,ROWS($1:17)),),""))</f>
        <v>C07</v>
      </c>
      <c r="E30" s="373" t="str">
        <f ca="1">IF(ROWS($1:17)&gt;COUNT(Dong1),"",OFFSET(TH!F$1,SMALL(Dong1,ROWS($1:17)),))</f>
        <v>VAT Xăng 95</v>
      </c>
      <c r="F30" s="166" t="str">
        <f ca="1">IF(ROWS($1:17)&gt;COUNT(Dong1),"",IF(OFFSET(TH!O$1,SMALL(Dong1,ROWS($1:17)),)="1111",OFFSET(TH!N$1,SMALL(Dong1,ROWS($1:17)),),OFFSET(TH!O$1,SMALL(Dong1,ROWS($1:17)),)))</f>
        <v>1331</v>
      </c>
      <c r="G30" s="167">
        <f ca="1">IF(ROWS($1:17)&gt;COUNT(Dong1),"",IF(OFFSET(TH!N$1,SMALL(Dong1,ROWS($1:17)),)="1111",OFFSET(TH!M$1,SMALL(Dong1,ROWS($1:17)),),0))</f>
        <v>0</v>
      </c>
      <c r="H30" s="165">
        <f ca="1">IF(ROWS($1:17)&gt;COUNT(Dong1),"",IF(OFFSET(TH!O$1,SMALL(Dong1,ROWS($1:17)),)="1111",OFFSET(TH!M$1,SMALL(Dong1,ROWS($1:17)),),0))</f>
        <v>61358</v>
      </c>
      <c r="I30" s="163">
        <f t="shared" ca="1" si="0"/>
        <v>16108224993</v>
      </c>
      <c r="J30" s="168"/>
    </row>
    <row r="31" spans="1:10" ht="19.5" customHeight="1">
      <c r="A31" s="162">
        <f ca="1">IF(ROWS($1:18)&gt;COUNT(Dong1),"",OFFSET(TH!C$1,SMALL(Dong1,ROWS($1:18)),))</f>
        <v>42618</v>
      </c>
      <c r="B31" s="162">
        <f ca="1">IF(ROWS($1:18)&gt;COUNT(Dong1),"",OFFSET(TH!E$1,SMALL(Dong1,ROWS($1:18)),))</f>
        <v>42618</v>
      </c>
      <c r="C31" s="163" t="str">
        <f ca="1">IF(ROWS($1:18)&gt;COUNT(Dong1),"",IF(OFFSET(TH!N$1,SMALL(Dong1,ROWS($1:18)),)="1111",OFFSET(TH!D$1,SMALL(Dong1,ROWS($1:18)),),""))</f>
        <v/>
      </c>
      <c r="D31" s="164" t="str">
        <f ca="1">IF(ROWS($1:18)&gt;COUNT(Dong1),"",IF(OFFSET(TH!O$1,SMALL(Dong1,ROWS($1:18)),)="1111",OFFSET(TH!D$1,SMALL(Dong1,ROWS($1:18)),),""))</f>
        <v>C08</v>
      </c>
      <c r="E31" s="373" t="str">
        <f ca="1">IF(ROWS($1:18)&gt;COUNT(Dong1),"",OFFSET(TH!F$1,SMALL(Dong1,ROWS($1:18)),))</f>
        <v>Cước VT - CNTT T8/2016</v>
      </c>
      <c r="F31" s="166" t="str">
        <f ca="1">IF(ROWS($1:18)&gt;COUNT(Dong1),"",IF(OFFSET(TH!O$1,SMALL(Dong1,ROWS($1:18)),)="1111",OFFSET(TH!N$1,SMALL(Dong1,ROWS($1:18)),),OFFSET(TH!O$1,SMALL(Dong1,ROWS($1:18)),)))</f>
        <v>642</v>
      </c>
      <c r="G31" s="167">
        <f ca="1">IF(ROWS($1:18)&gt;COUNT(Dong1),"",IF(OFFSET(TH!N$1,SMALL(Dong1,ROWS($1:18)),)="1111",OFFSET(TH!M$1,SMALL(Dong1,ROWS($1:18)),),0))</f>
        <v>0</v>
      </c>
      <c r="H31" s="165">
        <f ca="1">IF(ROWS($1:18)&gt;COUNT(Dong1),"",IF(OFFSET(TH!O$1,SMALL(Dong1,ROWS($1:18)),)="1111",OFFSET(TH!M$1,SMALL(Dong1,ROWS($1:18)),),0))</f>
        <v>2015864</v>
      </c>
      <c r="I31" s="163">
        <f t="shared" ca="1" si="0"/>
        <v>16106209129</v>
      </c>
      <c r="J31" s="168"/>
    </row>
    <row r="32" spans="1:10" ht="19.5" customHeight="1">
      <c r="A32" s="162">
        <f ca="1">IF(ROWS($1:19)&gt;COUNT(Dong1),"",OFFSET(TH!C$1,SMALL(Dong1,ROWS($1:19)),))</f>
        <v>42618</v>
      </c>
      <c r="B32" s="162">
        <f ca="1">IF(ROWS($1:19)&gt;COUNT(Dong1),"",OFFSET(TH!E$1,SMALL(Dong1,ROWS($1:19)),))</f>
        <v>42618</v>
      </c>
      <c r="C32" s="163" t="str">
        <f ca="1">IF(ROWS($1:19)&gt;COUNT(Dong1),"",IF(OFFSET(TH!N$1,SMALL(Dong1,ROWS($1:19)),)="1111",OFFSET(TH!D$1,SMALL(Dong1,ROWS($1:19)),),""))</f>
        <v/>
      </c>
      <c r="D32" s="164" t="str">
        <f ca="1">IF(ROWS($1:19)&gt;COUNT(Dong1),"",IF(OFFSET(TH!O$1,SMALL(Dong1,ROWS($1:19)),)="1111",OFFSET(TH!D$1,SMALL(Dong1,ROWS($1:19)),),""))</f>
        <v>C08</v>
      </c>
      <c r="E32" s="373" t="str">
        <f ca="1">IF(ROWS($1:19)&gt;COUNT(Dong1),"",OFFSET(TH!F$1,SMALL(Dong1,ROWS($1:19)),))</f>
        <v>VAT Cước VT - CNTT T8/2016</v>
      </c>
      <c r="F32" s="166" t="str">
        <f ca="1">IF(ROWS($1:19)&gt;COUNT(Dong1),"",IF(OFFSET(TH!O$1,SMALL(Dong1,ROWS($1:19)),)="1111",OFFSET(TH!N$1,SMALL(Dong1,ROWS($1:19)),),OFFSET(TH!O$1,SMALL(Dong1,ROWS($1:19)),)))</f>
        <v>1331</v>
      </c>
      <c r="G32" s="167">
        <f ca="1">IF(ROWS($1:19)&gt;COUNT(Dong1),"",IF(OFFSET(TH!N$1,SMALL(Dong1,ROWS($1:19)),)="1111",OFFSET(TH!M$1,SMALL(Dong1,ROWS($1:19)),),0))</f>
        <v>0</v>
      </c>
      <c r="H32" s="165">
        <f ca="1">IF(ROWS($1:19)&gt;COUNT(Dong1),"",IF(OFFSET(TH!O$1,SMALL(Dong1,ROWS($1:19)),)="1111",OFFSET(TH!M$1,SMALL(Dong1,ROWS($1:19)),),0))</f>
        <v>201586</v>
      </c>
      <c r="I32" s="163">
        <f t="shared" ca="1" si="0"/>
        <v>16106007543</v>
      </c>
      <c r="J32" s="168"/>
    </row>
    <row r="33" spans="1:10" ht="19.5" customHeight="1">
      <c r="A33" s="162">
        <f ca="1">IF(ROWS($1:20)&gt;COUNT(Dong1),"",OFFSET(TH!C$1,SMALL(Dong1,ROWS($1:20)),))</f>
        <v>42619</v>
      </c>
      <c r="B33" s="162">
        <f ca="1">IF(ROWS($1:20)&gt;COUNT(Dong1),"",OFFSET(TH!E$1,SMALL(Dong1,ROWS($1:20)),))</f>
        <v>42619</v>
      </c>
      <c r="C33" s="163" t="str">
        <f ca="1">IF(ROWS($1:20)&gt;COUNT(Dong1),"",IF(OFFSET(TH!N$1,SMALL(Dong1,ROWS($1:20)),)="1111",OFFSET(TH!D$1,SMALL(Dong1,ROWS($1:20)),),""))</f>
        <v/>
      </c>
      <c r="D33" s="164" t="str">
        <f ca="1">IF(ROWS($1:20)&gt;COUNT(Dong1),"",IF(OFFSET(TH!O$1,SMALL(Dong1,ROWS($1:20)),)="1111",OFFSET(TH!D$1,SMALL(Dong1,ROWS($1:20)),),""))</f>
        <v>C09</v>
      </c>
      <c r="E33" s="373" t="str">
        <f ca="1">IF(ROWS($1:20)&gt;COUNT(Dong1),"",OFFSET(TH!F$1,SMALL(Dong1,ROWS($1:20)),))</f>
        <v>Tạm ứng mua NL</v>
      </c>
      <c r="F33" s="166" t="str">
        <f ca="1">IF(ROWS($1:20)&gt;COUNT(Dong1),"",IF(OFFSET(TH!O$1,SMALL(Dong1,ROWS($1:20)),)="1111",OFFSET(TH!N$1,SMALL(Dong1,ROWS($1:20)),),OFFSET(TH!O$1,SMALL(Dong1,ROWS($1:20)),)))</f>
        <v>141</v>
      </c>
      <c r="G33" s="167">
        <f ca="1">IF(ROWS($1:20)&gt;COUNT(Dong1),"",IF(OFFSET(TH!N$1,SMALL(Dong1,ROWS($1:20)),)="1111",OFFSET(TH!M$1,SMALL(Dong1,ROWS($1:20)),),0))</f>
        <v>0</v>
      </c>
      <c r="H33" s="165">
        <f ca="1">IF(ROWS($1:20)&gt;COUNT(Dong1),"",IF(OFFSET(TH!O$1,SMALL(Dong1,ROWS($1:20)),)="1111",OFFSET(TH!M$1,SMALL(Dong1,ROWS($1:20)),),0))</f>
        <v>450000000</v>
      </c>
      <c r="I33" s="163">
        <f t="shared" ca="1" si="0"/>
        <v>15656007543</v>
      </c>
      <c r="J33" s="168"/>
    </row>
    <row r="34" spans="1:10" ht="19.5" customHeight="1">
      <c r="A34" s="162">
        <f ca="1">IF(ROWS($1:21)&gt;COUNT(Dong1),"",OFFSET(TH!C$1,SMALL(Dong1,ROWS($1:21)),))</f>
        <v>42623</v>
      </c>
      <c r="B34" s="162">
        <f ca="1">IF(ROWS($1:21)&gt;COUNT(Dong1),"",OFFSET(TH!E$1,SMALL(Dong1,ROWS($1:21)),))</f>
        <v>42623</v>
      </c>
      <c r="C34" s="163" t="str">
        <f ca="1">IF(ROWS($1:21)&gt;COUNT(Dong1),"",IF(OFFSET(TH!N$1,SMALL(Dong1,ROWS($1:21)),)="1111",OFFSET(TH!D$1,SMALL(Dong1,ROWS($1:21)),),""))</f>
        <v/>
      </c>
      <c r="D34" s="164" t="str">
        <f ca="1">IF(ROWS($1:21)&gt;COUNT(Dong1),"",IF(OFFSET(TH!O$1,SMALL(Dong1,ROWS($1:21)),)="1111",OFFSET(TH!D$1,SMALL(Dong1,ROWS($1:21)),),""))</f>
        <v>C10</v>
      </c>
      <c r="E34" s="373" t="str">
        <f ca="1">IF(ROWS($1:21)&gt;COUNT(Dong1),"",OFFSET(TH!F$1,SMALL(Dong1,ROWS($1:21)),))</f>
        <v>Tạm ứng mua NL</v>
      </c>
      <c r="F34" s="166" t="str">
        <f ca="1">IF(ROWS($1:21)&gt;COUNT(Dong1),"",IF(OFFSET(TH!O$1,SMALL(Dong1,ROWS($1:21)),)="1111",OFFSET(TH!N$1,SMALL(Dong1,ROWS($1:21)),),OFFSET(TH!O$1,SMALL(Dong1,ROWS($1:21)),)))</f>
        <v>141</v>
      </c>
      <c r="G34" s="167">
        <f ca="1">IF(ROWS($1:21)&gt;COUNT(Dong1),"",IF(OFFSET(TH!N$1,SMALL(Dong1,ROWS($1:21)),)="1111",OFFSET(TH!M$1,SMALL(Dong1,ROWS($1:21)),),0))</f>
        <v>0</v>
      </c>
      <c r="H34" s="165">
        <f ca="1">IF(ROWS($1:21)&gt;COUNT(Dong1),"",IF(OFFSET(TH!O$1,SMALL(Dong1,ROWS($1:21)),)="1111",OFFSET(TH!M$1,SMALL(Dong1,ROWS($1:21)),),0))</f>
        <v>500000000</v>
      </c>
      <c r="I34" s="163">
        <f t="shared" ca="1" si="0"/>
        <v>15156007543</v>
      </c>
      <c r="J34" s="168"/>
    </row>
    <row r="35" spans="1:10" ht="19.5" customHeight="1">
      <c r="A35" s="162">
        <f ca="1">IF(ROWS($1:22)&gt;COUNT(Dong1),"",OFFSET(TH!C$1,SMALL(Dong1,ROWS($1:22)),))</f>
        <v>42624</v>
      </c>
      <c r="B35" s="162">
        <f ca="1">IF(ROWS($1:22)&gt;COUNT(Dong1),"",OFFSET(TH!E$1,SMALL(Dong1,ROWS($1:22)),))</f>
        <v>42618</v>
      </c>
      <c r="C35" s="163" t="str">
        <f ca="1">IF(ROWS($1:22)&gt;COUNT(Dong1),"",IF(OFFSET(TH!N$1,SMALL(Dong1,ROWS($1:22)),)="1111",OFFSET(TH!D$1,SMALL(Dong1,ROWS($1:22)),),""))</f>
        <v/>
      </c>
      <c r="D35" s="164" t="str">
        <f ca="1">IF(ROWS($1:22)&gt;COUNT(Dong1),"",IF(OFFSET(TH!O$1,SMALL(Dong1,ROWS($1:22)),)="1111",OFFSET(TH!D$1,SMALL(Dong1,ROWS($1:22)),),""))</f>
        <v>C11</v>
      </c>
      <c r="E35" s="373" t="str">
        <f ca="1">IF(ROWS($1:22)&gt;COUNT(Dong1),"",OFFSET(TH!F$1,SMALL(Dong1,ROWS($1:22)),))</f>
        <v>Dầu DO</v>
      </c>
      <c r="F35" s="166" t="str">
        <f ca="1">IF(ROWS($1:22)&gt;COUNT(Dong1),"",IF(OFFSET(TH!O$1,SMALL(Dong1,ROWS($1:22)),)="1111",OFFSET(TH!N$1,SMALL(Dong1,ROWS($1:22)),),OFFSET(TH!O$1,SMALL(Dong1,ROWS($1:22)),)))</f>
        <v>642</v>
      </c>
      <c r="G35" s="167">
        <f ca="1">IF(ROWS($1:22)&gt;COUNT(Dong1),"",IF(OFFSET(TH!N$1,SMALL(Dong1,ROWS($1:22)),)="1111",OFFSET(TH!M$1,SMALL(Dong1,ROWS($1:22)),),0))</f>
        <v>0</v>
      </c>
      <c r="H35" s="165">
        <f ca="1">IF(ROWS($1:22)&gt;COUNT(Dong1),"",IF(OFFSET(TH!O$1,SMALL(Dong1,ROWS($1:22)),)="1111",OFFSET(TH!M$1,SMALL(Dong1,ROWS($1:22)),),0))</f>
        <v>1271764</v>
      </c>
      <c r="I35" s="163">
        <f t="shared" ca="1" si="0"/>
        <v>15154735779</v>
      </c>
      <c r="J35" s="168"/>
    </row>
    <row r="36" spans="1:10" ht="19.5" customHeight="1">
      <c r="A36" s="162">
        <f ca="1">IF(ROWS($1:23)&gt;COUNT(Dong1),"",OFFSET(TH!C$1,SMALL(Dong1,ROWS($1:23)),))</f>
        <v>42624</v>
      </c>
      <c r="B36" s="162">
        <f ca="1">IF(ROWS($1:23)&gt;COUNT(Dong1),"",OFFSET(TH!E$1,SMALL(Dong1,ROWS($1:23)),))</f>
        <v>42618</v>
      </c>
      <c r="C36" s="163" t="str">
        <f ca="1">IF(ROWS($1:23)&gt;COUNT(Dong1),"",IF(OFFSET(TH!N$1,SMALL(Dong1,ROWS($1:23)),)="1111",OFFSET(TH!D$1,SMALL(Dong1,ROWS($1:23)),),""))</f>
        <v/>
      </c>
      <c r="D36" s="164" t="str">
        <f ca="1">IF(ROWS($1:23)&gt;COUNT(Dong1),"",IF(OFFSET(TH!O$1,SMALL(Dong1,ROWS($1:23)),)="1111",OFFSET(TH!D$1,SMALL(Dong1,ROWS($1:23)),),""))</f>
        <v>C11</v>
      </c>
      <c r="E36" s="373" t="str">
        <f ca="1">IF(ROWS($1:23)&gt;COUNT(Dong1),"",OFFSET(TH!F$1,SMALL(Dong1,ROWS($1:23)),))</f>
        <v>VAT Dầu DO</v>
      </c>
      <c r="F36" s="166" t="str">
        <f ca="1">IF(ROWS($1:23)&gt;COUNT(Dong1),"",IF(OFFSET(TH!O$1,SMALL(Dong1,ROWS($1:23)),)="1111",OFFSET(TH!N$1,SMALL(Dong1,ROWS($1:23)),),OFFSET(TH!O$1,SMALL(Dong1,ROWS($1:23)),)))</f>
        <v>1331</v>
      </c>
      <c r="G36" s="167">
        <f ca="1">IF(ROWS($1:23)&gt;COUNT(Dong1),"",IF(OFFSET(TH!N$1,SMALL(Dong1,ROWS($1:23)),)="1111",OFFSET(TH!M$1,SMALL(Dong1,ROWS($1:23)),),0))</f>
        <v>0</v>
      </c>
      <c r="H36" s="165">
        <f ca="1">IF(ROWS($1:23)&gt;COUNT(Dong1),"",IF(OFFSET(TH!O$1,SMALL(Dong1,ROWS($1:23)),)="1111",OFFSET(TH!M$1,SMALL(Dong1,ROWS($1:23)),),0))</f>
        <v>127176</v>
      </c>
      <c r="I36" s="163">
        <f t="shared" ca="1" si="0"/>
        <v>15154608603</v>
      </c>
      <c r="J36" s="168"/>
    </row>
    <row r="37" spans="1:10" ht="19.5" customHeight="1">
      <c r="A37" s="162">
        <f ca="1">IF(ROWS($1:24)&gt;COUNT(Dong1),"",OFFSET(TH!C$1,SMALL(Dong1,ROWS($1:24)),))</f>
        <v>42626</v>
      </c>
      <c r="B37" s="162">
        <f ca="1">IF(ROWS($1:24)&gt;COUNT(Dong1),"",OFFSET(TH!E$1,SMALL(Dong1,ROWS($1:24)),))</f>
        <v>42626</v>
      </c>
      <c r="C37" s="163" t="str">
        <f ca="1">IF(ROWS($1:24)&gt;COUNT(Dong1),"",IF(OFFSET(TH!N$1,SMALL(Dong1,ROWS($1:24)),)="1111",OFFSET(TH!D$1,SMALL(Dong1,ROWS($1:24)),),""))</f>
        <v/>
      </c>
      <c r="D37" s="164" t="str">
        <f ca="1">IF(ROWS($1:24)&gt;COUNT(Dong1),"",IF(OFFSET(TH!O$1,SMALL(Dong1,ROWS($1:24)),)="1111",OFFSET(TH!D$1,SMALL(Dong1,ROWS($1:24)),),""))</f>
        <v>C12</v>
      </c>
      <c r="E37" s="373" t="str">
        <f ca="1">IF(ROWS($1:24)&gt;COUNT(Dong1),"",OFFSET(TH!F$1,SMALL(Dong1,ROWS($1:24)),))</f>
        <v>Xăng, dầu DO</v>
      </c>
      <c r="F37" s="166" t="str">
        <f ca="1">IF(ROWS($1:24)&gt;COUNT(Dong1),"",IF(OFFSET(TH!O$1,SMALL(Dong1,ROWS($1:24)),)="1111",OFFSET(TH!N$1,SMALL(Dong1,ROWS($1:24)),),OFFSET(TH!O$1,SMALL(Dong1,ROWS($1:24)),)))</f>
        <v>642</v>
      </c>
      <c r="G37" s="167">
        <f ca="1">IF(ROWS($1:24)&gt;COUNT(Dong1),"",IF(OFFSET(TH!N$1,SMALL(Dong1,ROWS($1:24)),)="1111",OFFSET(TH!M$1,SMALL(Dong1,ROWS($1:24)),),0))</f>
        <v>0</v>
      </c>
      <c r="H37" s="165">
        <f ca="1">IF(ROWS($1:24)&gt;COUNT(Dong1),"",IF(OFFSET(TH!O$1,SMALL(Dong1,ROWS($1:24)),)="1111",OFFSET(TH!M$1,SMALL(Dong1,ROWS($1:24)),),0))</f>
        <v>1403782</v>
      </c>
      <c r="I37" s="163">
        <f t="shared" ca="1" si="0"/>
        <v>15153204821</v>
      </c>
      <c r="J37" s="168"/>
    </row>
    <row r="38" spans="1:10" ht="19.5" customHeight="1">
      <c r="A38" s="162">
        <f ca="1">IF(ROWS($1:25)&gt;COUNT(Dong1),"",OFFSET(TH!C$1,SMALL(Dong1,ROWS($1:25)),))</f>
        <v>42626</v>
      </c>
      <c r="B38" s="162">
        <f ca="1">IF(ROWS($1:25)&gt;COUNT(Dong1),"",OFFSET(TH!E$1,SMALL(Dong1,ROWS($1:25)),))</f>
        <v>42626</v>
      </c>
      <c r="C38" s="163" t="str">
        <f ca="1">IF(ROWS($1:25)&gt;COUNT(Dong1),"",IF(OFFSET(TH!N$1,SMALL(Dong1,ROWS($1:25)),)="1111",OFFSET(TH!D$1,SMALL(Dong1,ROWS($1:25)),),""))</f>
        <v/>
      </c>
      <c r="D38" s="164" t="str">
        <f ca="1">IF(ROWS($1:25)&gt;COUNT(Dong1),"",IF(OFFSET(TH!O$1,SMALL(Dong1,ROWS($1:25)),)="1111",OFFSET(TH!D$1,SMALL(Dong1,ROWS($1:25)),),""))</f>
        <v>C12</v>
      </c>
      <c r="E38" s="373" t="str">
        <f ca="1">IF(ROWS($1:25)&gt;COUNT(Dong1),"",OFFSET(TH!F$1,SMALL(Dong1,ROWS($1:25)),))</f>
        <v>VAT Xăng, dầu DO</v>
      </c>
      <c r="F38" s="166" t="str">
        <f ca="1">IF(ROWS($1:25)&gt;COUNT(Dong1),"",IF(OFFSET(TH!O$1,SMALL(Dong1,ROWS($1:25)),)="1111",OFFSET(TH!N$1,SMALL(Dong1,ROWS($1:25)),),OFFSET(TH!O$1,SMALL(Dong1,ROWS($1:25)),)))</f>
        <v>1331</v>
      </c>
      <c r="G38" s="167">
        <f ca="1">IF(ROWS($1:25)&gt;COUNT(Dong1),"",IF(OFFSET(TH!N$1,SMALL(Dong1,ROWS($1:25)),)="1111",OFFSET(TH!M$1,SMALL(Dong1,ROWS($1:25)),),0))</f>
        <v>0</v>
      </c>
      <c r="H38" s="165">
        <f ca="1">IF(ROWS($1:25)&gt;COUNT(Dong1),"",IF(OFFSET(TH!O$1,SMALL(Dong1,ROWS($1:25)),)="1111",OFFSET(TH!M$1,SMALL(Dong1,ROWS($1:25)),),0))</f>
        <v>140378</v>
      </c>
      <c r="I38" s="163">
        <f t="shared" ca="1" si="0"/>
        <v>15153064443</v>
      </c>
      <c r="J38" s="168"/>
    </row>
    <row r="39" spans="1:10" ht="19.5" customHeight="1">
      <c r="A39" s="162">
        <f ca="1">IF(ROWS($1:26)&gt;COUNT(Dong1),"",OFFSET(TH!C$1,SMALL(Dong1,ROWS($1:26)),))</f>
        <v>42627</v>
      </c>
      <c r="B39" s="162">
        <f ca="1">IF(ROWS($1:26)&gt;COUNT(Dong1),"",OFFSET(TH!E$1,SMALL(Dong1,ROWS($1:26)),))</f>
        <v>42627</v>
      </c>
      <c r="C39" s="163" t="str">
        <f ca="1">IF(ROWS($1:26)&gt;COUNT(Dong1),"",IF(OFFSET(TH!N$1,SMALL(Dong1,ROWS($1:26)),)="1111",OFFSET(TH!D$1,SMALL(Dong1,ROWS($1:26)),),""))</f>
        <v/>
      </c>
      <c r="D39" s="164" t="str">
        <f ca="1">IF(ROWS($1:26)&gt;COUNT(Dong1),"",IF(OFFSET(TH!O$1,SMALL(Dong1,ROWS($1:26)),)="1111",OFFSET(TH!D$1,SMALL(Dong1,ROWS($1:26)),),""))</f>
        <v>C13</v>
      </c>
      <c r="E39" s="373" t="str">
        <f ca="1">IF(ROWS($1:26)&gt;COUNT(Dong1),"",OFFSET(TH!F$1,SMALL(Dong1,ROWS($1:26)),))</f>
        <v>Tạm ứng mua NL</v>
      </c>
      <c r="F39" s="166" t="str">
        <f ca="1">IF(ROWS($1:26)&gt;COUNT(Dong1),"",IF(OFFSET(TH!O$1,SMALL(Dong1,ROWS($1:26)),)="1111",OFFSET(TH!N$1,SMALL(Dong1,ROWS($1:26)),),OFFSET(TH!O$1,SMALL(Dong1,ROWS($1:26)),)))</f>
        <v>141</v>
      </c>
      <c r="G39" s="167">
        <f ca="1">IF(ROWS($1:26)&gt;COUNT(Dong1),"",IF(OFFSET(TH!N$1,SMALL(Dong1,ROWS($1:26)),)="1111",OFFSET(TH!M$1,SMALL(Dong1,ROWS($1:26)),),0))</f>
        <v>0</v>
      </c>
      <c r="H39" s="165">
        <f ca="1">IF(ROWS($1:26)&gt;COUNT(Dong1),"",IF(OFFSET(TH!O$1,SMALL(Dong1,ROWS($1:26)),)="1111",OFFSET(TH!M$1,SMALL(Dong1,ROWS($1:26)),),0))</f>
        <v>500000000</v>
      </c>
      <c r="I39" s="163">
        <f t="shared" ca="1" si="0"/>
        <v>14653064443</v>
      </c>
      <c r="J39" s="168"/>
    </row>
    <row r="40" spans="1:10" ht="19.5" customHeight="1">
      <c r="A40" s="162">
        <f ca="1">IF(ROWS($1:27)&gt;COUNT(Dong1),"",OFFSET(TH!C$1,SMALL(Dong1,ROWS($1:27)),))</f>
        <v>42627</v>
      </c>
      <c r="B40" s="162">
        <f ca="1">IF(ROWS($1:27)&gt;COUNT(Dong1),"",OFFSET(TH!E$1,SMALL(Dong1,ROWS($1:27)),))</f>
        <v>42627</v>
      </c>
      <c r="C40" s="163" t="str">
        <f ca="1">IF(ROWS($1:27)&gt;COUNT(Dong1),"",IF(OFFSET(TH!N$1,SMALL(Dong1,ROWS($1:27)),)="1111",OFFSET(TH!D$1,SMALL(Dong1,ROWS($1:27)),),""))</f>
        <v/>
      </c>
      <c r="D40" s="164" t="str">
        <f ca="1">IF(ROWS($1:27)&gt;COUNT(Dong1),"",IF(OFFSET(TH!O$1,SMALL(Dong1,ROWS($1:27)),)="1111",OFFSET(TH!D$1,SMALL(Dong1,ROWS($1:27)),),""))</f>
        <v>C14</v>
      </c>
      <c r="E40" s="373" t="str">
        <f ca="1">IF(ROWS($1:27)&gt;COUNT(Dong1),"",OFFSET(TH!F$1,SMALL(Dong1,ROWS($1:27)),))</f>
        <v>Tạm ứng mua NL</v>
      </c>
      <c r="F40" s="166" t="str">
        <f ca="1">IF(ROWS($1:27)&gt;COUNT(Dong1),"",IF(OFFSET(TH!O$1,SMALL(Dong1,ROWS($1:27)),)="1111",OFFSET(TH!N$1,SMALL(Dong1,ROWS($1:27)),),OFFSET(TH!O$1,SMALL(Dong1,ROWS($1:27)),)))</f>
        <v>141</v>
      </c>
      <c r="G40" s="167">
        <f ca="1">IF(ROWS($1:27)&gt;COUNT(Dong1),"",IF(OFFSET(TH!N$1,SMALL(Dong1,ROWS($1:27)),)="1111",OFFSET(TH!M$1,SMALL(Dong1,ROWS($1:27)),),0))</f>
        <v>0</v>
      </c>
      <c r="H40" s="165">
        <f ca="1">IF(ROWS($1:27)&gt;COUNT(Dong1),"",IF(OFFSET(TH!O$1,SMALL(Dong1,ROWS($1:27)),)="1111",OFFSET(TH!M$1,SMALL(Dong1,ROWS($1:27)),),0))</f>
        <v>400000000</v>
      </c>
      <c r="I40" s="163">
        <f t="shared" ca="1" si="0"/>
        <v>14253064443</v>
      </c>
      <c r="J40" s="168"/>
    </row>
    <row r="41" spans="1:10" ht="19.5" customHeight="1">
      <c r="A41" s="162">
        <f ca="1">IF(ROWS($1:28)&gt;COUNT(Dong1),"",OFFSET(TH!C$1,SMALL(Dong1,ROWS($1:28)),))</f>
        <v>42628</v>
      </c>
      <c r="B41" s="162">
        <f ca="1">IF(ROWS($1:28)&gt;COUNT(Dong1),"",OFFSET(TH!E$1,SMALL(Dong1,ROWS($1:28)),))</f>
        <v>42628</v>
      </c>
      <c r="C41" s="163" t="str">
        <f ca="1">IF(ROWS($1:28)&gt;COUNT(Dong1),"",IF(OFFSET(TH!N$1,SMALL(Dong1,ROWS($1:28)),)="1111",OFFSET(TH!D$1,SMALL(Dong1,ROWS($1:28)),),""))</f>
        <v/>
      </c>
      <c r="D41" s="164" t="str">
        <f ca="1">IF(ROWS($1:28)&gt;COUNT(Dong1),"",IF(OFFSET(TH!O$1,SMALL(Dong1,ROWS($1:28)),)="1111",OFFSET(TH!D$1,SMALL(Dong1,ROWS($1:28)),),""))</f>
        <v>C15</v>
      </c>
      <c r="E41" s="373" t="str">
        <f ca="1">IF(ROWS($1:28)&gt;COUNT(Dong1),"",OFFSET(TH!F$1,SMALL(Dong1,ROWS($1:28)),))</f>
        <v>Bảo dưỡng xe ô tô</v>
      </c>
      <c r="F41" s="166" t="str">
        <f ca="1">IF(ROWS($1:28)&gt;COUNT(Dong1),"",IF(OFFSET(TH!O$1,SMALL(Dong1,ROWS($1:28)),)="1111",OFFSET(TH!N$1,SMALL(Dong1,ROWS($1:28)),),OFFSET(TH!O$1,SMALL(Dong1,ROWS($1:28)),)))</f>
        <v>642</v>
      </c>
      <c r="G41" s="167">
        <f ca="1">IF(ROWS($1:28)&gt;COUNT(Dong1),"",IF(OFFSET(TH!N$1,SMALL(Dong1,ROWS($1:28)),)="1111",OFFSET(TH!M$1,SMALL(Dong1,ROWS($1:28)),),0))</f>
        <v>0</v>
      </c>
      <c r="H41" s="165">
        <f ca="1">IF(ROWS($1:28)&gt;COUNT(Dong1),"",IF(OFFSET(TH!O$1,SMALL(Dong1,ROWS($1:28)),)="1111",OFFSET(TH!M$1,SMALL(Dong1,ROWS($1:28)),),0))</f>
        <v>1673000</v>
      </c>
      <c r="I41" s="163">
        <f t="shared" ca="1" si="0"/>
        <v>14251391443</v>
      </c>
      <c r="J41" s="168"/>
    </row>
    <row r="42" spans="1:10" ht="19.5" customHeight="1">
      <c r="A42" s="162">
        <f ca="1">IF(ROWS($1:29)&gt;COUNT(Dong1),"",OFFSET(TH!C$1,SMALL(Dong1,ROWS($1:29)),))</f>
        <v>42628</v>
      </c>
      <c r="B42" s="162">
        <f ca="1">IF(ROWS($1:29)&gt;COUNT(Dong1),"",OFFSET(TH!E$1,SMALL(Dong1,ROWS($1:29)),))</f>
        <v>42628</v>
      </c>
      <c r="C42" s="163" t="str">
        <f ca="1">IF(ROWS($1:29)&gt;COUNT(Dong1),"",IF(OFFSET(TH!N$1,SMALL(Dong1,ROWS($1:29)),)="1111",OFFSET(TH!D$1,SMALL(Dong1,ROWS($1:29)),),""))</f>
        <v/>
      </c>
      <c r="D42" s="164" t="str">
        <f ca="1">IF(ROWS($1:29)&gt;COUNT(Dong1),"",IF(OFFSET(TH!O$1,SMALL(Dong1,ROWS($1:29)),)="1111",OFFSET(TH!D$1,SMALL(Dong1,ROWS($1:29)),),""))</f>
        <v>C15</v>
      </c>
      <c r="E42" s="373" t="str">
        <f ca="1">IF(ROWS($1:29)&gt;COUNT(Dong1),"",OFFSET(TH!F$1,SMALL(Dong1,ROWS($1:29)),))</f>
        <v>VAT Bảo dưỡng xe ô tô</v>
      </c>
      <c r="F42" s="166" t="str">
        <f ca="1">IF(ROWS($1:29)&gt;COUNT(Dong1),"",IF(OFFSET(TH!O$1,SMALL(Dong1,ROWS($1:29)),)="1111",OFFSET(TH!N$1,SMALL(Dong1,ROWS($1:29)),),OFFSET(TH!O$1,SMALL(Dong1,ROWS($1:29)),)))</f>
        <v>1331</v>
      </c>
      <c r="G42" s="167">
        <f ca="1">IF(ROWS($1:29)&gt;COUNT(Dong1),"",IF(OFFSET(TH!N$1,SMALL(Dong1,ROWS($1:29)),)="1111",OFFSET(TH!M$1,SMALL(Dong1,ROWS($1:29)),),0))</f>
        <v>0</v>
      </c>
      <c r="H42" s="165">
        <f ca="1">IF(ROWS($1:29)&gt;COUNT(Dong1),"",IF(OFFSET(TH!O$1,SMALL(Dong1,ROWS($1:29)),)="1111",OFFSET(TH!M$1,SMALL(Dong1,ROWS($1:29)),),0))</f>
        <v>167300</v>
      </c>
      <c r="I42" s="163">
        <f t="shared" ca="1" si="0"/>
        <v>14251224143</v>
      </c>
      <c r="J42" s="168"/>
    </row>
    <row r="43" spans="1:10" ht="19.5" customHeight="1">
      <c r="A43" s="162">
        <f ca="1">IF(ROWS($1:30)&gt;COUNT(Dong1),"",OFFSET(TH!C$1,SMALL(Dong1,ROWS($1:30)),))</f>
        <v>42632</v>
      </c>
      <c r="B43" s="162">
        <f ca="1">IF(ROWS($1:30)&gt;COUNT(Dong1),"",OFFSET(TH!E$1,SMALL(Dong1,ROWS($1:30)),))</f>
        <v>42632</v>
      </c>
      <c r="C43" s="163" t="str">
        <f ca="1">IF(ROWS($1:30)&gt;COUNT(Dong1),"",IF(OFFSET(TH!N$1,SMALL(Dong1,ROWS($1:30)),)="1111",OFFSET(TH!D$1,SMALL(Dong1,ROWS($1:30)),),""))</f>
        <v/>
      </c>
      <c r="D43" s="164" t="str">
        <f ca="1">IF(ROWS($1:30)&gt;COUNT(Dong1),"",IF(OFFSET(TH!O$1,SMALL(Dong1,ROWS($1:30)),)="1111",OFFSET(TH!D$1,SMALL(Dong1,ROWS($1:30)),),""))</f>
        <v>C16</v>
      </c>
      <c r="E43" s="373" t="str">
        <f ca="1">IF(ROWS($1:30)&gt;COUNT(Dong1),"",OFFSET(TH!F$1,SMALL(Dong1,ROWS($1:30)),))</f>
        <v>Xăng 95</v>
      </c>
      <c r="F43" s="166" t="str">
        <f ca="1">IF(ROWS($1:30)&gt;COUNT(Dong1),"",IF(OFFSET(TH!O$1,SMALL(Dong1,ROWS($1:30)),)="1111",OFFSET(TH!N$1,SMALL(Dong1,ROWS($1:30)),),OFFSET(TH!O$1,SMALL(Dong1,ROWS($1:30)),)))</f>
        <v>642</v>
      </c>
      <c r="G43" s="167">
        <f ca="1">IF(ROWS($1:30)&gt;COUNT(Dong1),"",IF(OFFSET(TH!N$1,SMALL(Dong1,ROWS($1:30)),)="1111",OFFSET(TH!M$1,SMALL(Dong1,ROWS($1:30)),),0))</f>
        <v>0</v>
      </c>
      <c r="H43" s="165">
        <f ca="1">IF(ROWS($1:30)&gt;COUNT(Dong1),"",IF(OFFSET(TH!O$1,SMALL(Dong1,ROWS($1:30)),)="1111",OFFSET(TH!M$1,SMALL(Dong1,ROWS($1:30)),),0))</f>
        <v>876545</v>
      </c>
      <c r="I43" s="163">
        <f t="shared" ca="1" si="0"/>
        <v>14250347598</v>
      </c>
      <c r="J43" s="168"/>
    </row>
    <row r="44" spans="1:10" ht="19.5" customHeight="1">
      <c r="A44" s="162">
        <f ca="1">IF(ROWS($1:31)&gt;COUNT(Dong1),"",OFFSET(TH!C$1,SMALL(Dong1,ROWS($1:31)),))</f>
        <v>42632</v>
      </c>
      <c r="B44" s="162">
        <f ca="1">IF(ROWS($1:31)&gt;COUNT(Dong1),"",OFFSET(TH!E$1,SMALL(Dong1,ROWS($1:31)),))</f>
        <v>42632</v>
      </c>
      <c r="C44" s="163" t="str">
        <f ca="1">IF(ROWS($1:31)&gt;COUNT(Dong1),"",IF(OFFSET(TH!N$1,SMALL(Dong1,ROWS($1:31)),)="1111",OFFSET(TH!D$1,SMALL(Dong1,ROWS($1:31)),),""))</f>
        <v/>
      </c>
      <c r="D44" s="164" t="str">
        <f ca="1">IF(ROWS($1:31)&gt;COUNT(Dong1),"",IF(OFFSET(TH!O$1,SMALL(Dong1,ROWS($1:31)),)="1111",OFFSET(TH!D$1,SMALL(Dong1,ROWS($1:31)),),""))</f>
        <v>C16</v>
      </c>
      <c r="E44" s="373" t="str">
        <f ca="1">IF(ROWS($1:31)&gt;COUNT(Dong1),"",OFFSET(TH!F$1,SMALL(Dong1,ROWS($1:31)),))</f>
        <v>VAT Xăng 95</v>
      </c>
      <c r="F44" s="166" t="str">
        <f ca="1">IF(ROWS($1:31)&gt;COUNT(Dong1),"",IF(OFFSET(TH!O$1,SMALL(Dong1,ROWS($1:31)),)="1111",OFFSET(TH!N$1,SMALL(Dong1,ROWS($1:31)),),OFFSET(TH!O$1,SMALL(Dong1,ROWS($1:31)),)))</f>
        <v>1331</v>
      </c>
      <c r="G44" s="167">
        <f ca="1">IF(ROWS($1:31)&gt;COUNT(Dong1),"",IF(OFFSET(TH!N$1,SMALL(Dong1,ROWS($1:31)),)="1111",OFFSET(TH!M$1,SMALL(Dong1,ROWS($1:31)),),0))</f>
        <v>0</v>
      </c>
      <c r="H44" s="165">
        <f ca="1">IF(ROWS($1:31)&gt;COUNT(Dong1),"",IF(OFFSET(TH!O$1,SMALL(Dong1,ROWS($1:31)),)="1111",OFFSET(TH!M$1,SMALL(Dong1,ROWS($1:31)),),0))</f>
        <v>87655</v>
      </c>
      <c r="I44" s="163">
        <f t="shared" ca="1" si="0"/>
        <v>14250259943</v>
      </c>
      <c r="J44" s="168"/>
    </row>
    <row r="45" spans="1:10" ht="19.5" customHeight="1">
      <c r="A45" s="162">
        <f ca="1">IF(ROWS($1:32)&gt;COUNT(Dong1),"",OFFSET(TH!C$1,SMALL(Dong1,ROWS($1:32)),))</f>
        <v>42635</v>
      </c>
      <c r="B45" s="162">
        <f ca="1">IF(ROWS($1:32)&gt;COUNT(Dong1),"",OFFSET(TH!E$1,SMALL(Dong1,ROWS($1:32)),))</f>
        <v>42635</v>
      </c>
      <c r="C45" s="163" t="str">
        <f ca="1">IF(ROWS($1:32)&gt;COUNT(Dong1),"",IF(OFFSET(TH!N$1,SMALL(Dong1,ROWS($1:32)),)="1111",OFFSET(TH!D$1,SMALL(Dong1,ROWS($1:32)),),""))</f>
        <v/>
      </c>
      <c r="D45" s="164" t="str">
        <f ca="1">IF(ROWS($1:32)&gt;COUNT(Dong1),"",IF(OFFSET(TH!O$1,SMALL(Dong1,ROWS($1:32)),)="1111",OFFSET(TH!D$1,SMALL(Dong1,ROWS($1:32)),),""))</f>
        <v>C17</v>
      </c>
      <c r="E45" s="373" t="str">
        <f ca="1">IF(ROWS($1:32)&gt;COUNT(Dong1),"",OFFSET(TH!F$1,SMALL(Dong1,ROWS($1:32)),))</f>
        <v>Gas</v>
      </c>
      <c r="F45" s="166" t="str">
        <f ca="1">IF(ROWS($1:32)&gt;COUNT(Dong1),"",IF(OFFSET(TH!O$1,SMALL(Dong1,ROWS($1:32)),)="1111",OFFSET(TH!N$1,SMALL(Dong1,ROWS($1:32)),),OFFSET(TH!O$1,SMALL(Dong1,ROWS($1:32)),)))</f>
        <v>154</v>
      </c>
      <c r="G45" s="167">
        <f ca="1">IF(ROWS($1:32)&gt;COUNT(Dong1),"",IF(OFFSET(TH!N$1,SMALL(Dong1,ROWS($1:32)),)="1111",OFFSET(TH!M$1,SMALL(Dong1,ROWS($1:32)),),0))</f>
        <v>0</v>
      </c>
      <c r="H45" s="165">
        <f ca="1">IF(ROWS($1:32)&gt;COUNT(Dong1),"",IF(OFFSET(TH!O$1,SMALL(Dong1,ROWS($1:32)),)="1111",OFFSET(TH!M$1,SMALL(Dong1,ROWS($1:32)),),0))</f>
        <v>8331818.3999999994</v>
      </c>
      <c r="I45" s="163">
        <f t="shared" ca="1" si="0"/>
        <v>14241928124.6</v>
      </c>
      <c r="J45" s="168"/>
    </row>
    <row r="46" spans="1:10" ht="19.5" customHeight="1">
      <c r="A46" s="162">
        <f ca="1">IF(ROWS($1:33)&gt;COUNT(Dong1),"",OFFSET(TH!C$1,SMALL(Dong1,ROWS($1:33)),))</f>
        <v>42635</v>
      </c>
      <c r="B46" s="162">
        <f ca="1">IF(ROWS($1:33)&gt;COUNT(Dong1),"",OFFSET(TH!E$1,SMALL(Dong1,ROWS($1:33)),))</f>
        <v>42635</v>
      </c>
      <c r="C46" s="163" t="str">
        <f ca="1">IF(ROWS($1:33)&gt;COUNT(Dong1),"",IF(OFFSET(TH!N$1,SMALL(Dong1,ROWS($1:33)),)="1111",OFFSET(TH!D$1,SMALL(Dong1,ROWS($1:33)),),""))</f>
        <v/>
      </c>
      <c r="D46" s="164" t="str">
        <f ca="1">IF(ROWS($1:33)&gt;COUNT(Dong1),"",IF(OFFSET(TH!O$1,SMALL(Dong1,ROWS($1:33)),)="1111",OFFSET(TH!D$1,SMALL(Dong1,ROWS($1:33)),),""))</f>
        <v>C18</v>
      </c>
      <c r="E46" s="373" t="str">
        <f ca="1">IF(ROWS($1:33)&gt;COUNT(Dong1),"",OFFSET(TH!F$1,SMALL(Dong1,ROWS($1:33)),))</f>
        <v>VAT Gas</v>
      </c>
      <c r="F46" s="166" t="str">
        <f ca="1">IF(ROWS($1:33)&gt;COUNT(Dong1),"",IF(OFFSET(TH!O$1,SMALL(Dong1,ROWS($1:33)),)="1111",OFFSET(TH!N$1,SMALL(Dong1,ROWS($1:33)),),OFFSET(TH!O$1,SMALL(Dong1,ROWS($1:33)),)))</f>
        <v>1331</v>
      </c>
      <c r="G46" s="167">
        <f ca="1">IF(ROWS($1:33)&gt;COUNT(Dong1),"",IF(OFFSET(TH!N$1,SMALL(Dong1,ROWS($1:33)),)="1111",OFFSET(TH!M$1,SMALL(Dong1,ROWS($1:33)),),0))</f>
        <v>0</v>
      </c>
      <c r="H46" s="165">
        <f ca="1">IF(ROWS($1:33)&gt;COUNT(Dong1),"",IF(OFFSET(TH!O$1,SMALL(Dong1,ROWS($1:33)),)="1111",OFFSET(TH!M$1,SMALL(Dong1,ROWS($1:33)),),0))</f>
        <v>833182</v>
      </c>
      <c r="I46" s="163">
        <f t="shared" ref="I46:I77" ca="1" si="1">IF(E46&lt;&gt;"",I45+G46-H46,0)</f>
        <v>14241094942.6</v>
      </c>
      <c r="J46" s="168"/>
    </row>
    <row r="47" spans="1:10" ht="19.5" customHeight="1">
      <c r="A47" s="162">
        <f ca="1">IF(ROWS($1:34)&gt;COUNT(Dong1),"",OFFSET(TH!C$1,SMALL(Dong1,ROWS($1:34)),))</f>
        <v>42635</v>
      </c>
      <c r="B47" s="162">
        <f ca="1">IF(ROWS($1:34)&gt;COUNT(Dong1),"",OFFSET(TH!E$1,SMALL(Dong1,ROWS($1:34)),))</f>
        <v>42635</v>
      </c>
      <c r="C47" s="163" t="str">
        <f ca="1">IF(ROWS($1:34)&gt;COUNT(Dong1),"",IF(OFFSET(TH!N$1,SMALL(Dong1,ROWS($1:34)),)="1111",OFFSET(TH!D$1,SMALL(Dong1,ROWS($1:34)),),""))</f>
        <v/>
      </c>
      <c r="D47" s="164" t="str">
        <f ca="1">IF(ROWS($1:34)&gt;COUNT(Dong1),"",IF(OFFSET(TH!O$1,SMALL(Dong1,ROWS($1:34)),)="1111",OFFSET(TH!D$1,SMALL(Dong1,ROWS($1:34)),),""))</f>
        <v>C19</v>
      </c>
      <c r="E47" s="373" t="str">
        <f ca="1">IF(ROWS($1:34)&gt;COUNT(Dong1),"",OFFSET(TH!F$1,SMALL(Dong1,ROWS($1:34)),))</f>
        <v>Hoàn vốn</v>
      </c>
      <c r="F47" s="166" t="str">
        <f ca="1">IF(ROWS($1:34)&gt;COUNT(Dong1),"",IF(OFFSET(TH!O$1,SMALL(Dong1,ROWS($1:34)),)="1111",OFFSET(TH!N$1,SMALL(Dong1,ROWS($1:34)),),OFFSET(TH!O$1,SMALL(Dong1,ROWS($1:34)),)))</f>
        <v>3388</v>
      </c>
      <c r="G47" s="167">
        <f ca="1">IF(ROWS($1:34)&gt;COUNT(Dong1),"",IF(OFFSET(TH!N$1,SMALL(Dong1,ROWS($1:34)),)="1111",OFFSET(TH!M$1,SMALL(Dong1,ROWS($1:34)),),0))</f>
        <v>0</v>
      </c>
      <c r="H47" s="165">
        <f ca="1">IF(ROWS($1:34)&gt;COUNT(Dong1),"",IF(OFFSET(TH!O$1,SMALL(Dong1,ROWS($1:34)),)="1111",OFFSET(TH!M$1,SMALL(Dong1,ROWS($1:34)),),0))</f>
        <v>50000000</v>
      </c>
      <c r="I47" s="163">
        <f t="shared" ca="1" si="1"/>
        <v>14191094942.6</v>
      </c>
      <c r="J47" s="168"/>
    </row>
    <row r="48" spans="1:10" ht="19.5" customHeight="1">
      <c r="A48" s="162">
        <f ca="1">IF(ROWS($1:35)&gt;COUNT(Dong1),"",OFFSET(TH!C$1,SMALL(Dong1,ROWS($1:35)),))</f>
        <v>42636</v>
      </c>
      <c r="B48" s="162">
        <f ca="1">IF(ROWS($1:35)&gt;COUNT(Dong1),"",OFFSET(TH!E$1,SMALL(Dong1,ROWS($1:35)),))</f>
        <v>42636</v>
      </c>
      <c r="C48" s="163" t="str">
        <f ca="1">IF(ROWS($1:35)&gt;COUNT(Dong1),"",IF(OFFSET(TH!N$1,SMALL(Dong1,ROWS($1:35)),)="1111",OFFSET(TH!D$1,SMALL(Dong1,ROWS($1:35)),),""))</f>
        <v/>
      </c>
      <c r="D48" s="164" t="str">
        <f ca="1">IF(ROWS($1:35)&gt;COUNT(Dong1),"",IF(OFFSET(TH!O$1,SMALL(Dong1,ROWS($1:35)),)="1111",OFFSET(TH!D$1,SMALL(Dong1,ROWS($1:35)),),""))</f>
        <v>C20</v>
      </c>
      <c r="E48" s="373" t="str">
        <f ca="1">IF(ROWS($1:35)&gt;COUNT(Dong1),"",OFFSET(TH!F$1,SMALL(Dong1,ROWS($1:35)),))</f>
        <v>Tạm ứng mua NL</v>
      </c>
      <c r="F48" s="166" t="str">
        <f ca="1">IF(ROWS($1:35)&gt;COUNT(Dong1),"",IF(OFFSET(TH!O$1,SMALL(Dong1,ROWS($1:35)),)="1111",OFFSET(TH!N$1,SMALL(Dong1,ROWS($1:35)),),OFFSET(TH!O$1,SMALL(Dong1,ROWS($1:35)),)))</f>
        <v>141</v>
      </c>
      <c r="G48" s="167">
        <f ca="1">IF(ROWS($1:35)&gt;COUNT(Dong1),"",IF(OFFSET(TH!N$1,SMALL(Dong1,ROWS($1:35)),)="1111",OFFSET(TH!M$1,SMALL(Dong1,ROWS($1:35)),),0))</f>
        <v>0</v>
      </c>
      <c r="H48" s="165">
        <f ca="1">IF(ROWS($1:35)&gt;COUNT(Dong1),"",IF(OFFSET(TH!O$1,SMALL(Dong1,ROWS($1:35)),)="1111",OFFSET(TH!M$1,SMALL(Dong1,ROWS($1:35)),),0))</f>
        <v>500000000</v>
      </c>
      <c r="I48" s="163">
        <f t="shared" ca="1" si="1"/>
        <v>13691094942.6</v>
      </c>
      <c r="J48" s="168"/>
    </row>
    <row r="49" spans="1:10" ht="19.5" customHeight="1">
      <c r="A49" s="162">
        <f ca="1">IF(ROWS($1:36)&gt;COUNT(Dong1),"",OFFSET(TH!C$1,SMALL(Dong1,ROWS($1:36)),))</f>
        <v>42637</v>
      </c>
      <c r="B49" s="162">
        <f ca="1">IF(ROWS($1:36)&gt;COUNT(Dong1),"",OFFSET(TH!E$1,SMALL(Dong1,ROWS($1:36)),))</f>
        <v>42637</v>
      </c>
      <c r="C49" s="163" t="str">
        <f ca="1">IF(ROWS($1:36)&gt;COUNT(Dong1),"",IF(OFFSET(TH!N$1,SMALL(Dong1,ROWS($1:36)),)="1111",OFFSET(TH!D$1,SMALL(Dong1,ROWS($1:36)),),""))</f>
        <v/>
      </c>
      <c r="D49" s="164" t="str">
        <f ca="1">IF(ROWS($1:36)&gt;COUNT(Dong1),"",IF(OFFSET(TH!O$1,SMALL(Dong1,ROWS($1:36)),)="1111",OFFSET(TH!D$1,SMALL(Dong1,ROWS($1:36)),),""))</f>
        <v>C21</v>
      </c>
      <c r="E49" s="373" t="str">
        <f ca="1">IF(ROWS($1:36)&gt;COUNT(Dong1),"",OFFSET(TH!F$1,SMALL(Dong1,ROWS($1:36)),))</f>
        <v>Nộp tiền mặt vào TK NH</v>
      </c>
      <c r="F49" s="166" t="str">
        <f ca="1">IF(ROWS($1:36)&gt;COUNT(Dong1),"",IF(OFFSET(TH!O$1,SMALL(Dong1,ROWS($1:36)),)="1111",OFFSET(TH!N$1,SMALL(Dong1,ROWS($1:36)),),OFFSET(TH!O$1,SMALL(Dong1,ROWS($1:36)),)))</f>
        <v>1121</v>
      </c>
      <c r="G49" s="167">
        <f ca="1">IF(ROWS($1:36)&gt;COUNT(Dong1),"",IF(OFFSET(TH!N$1,SMALL(Dong1,ROWS($1:36)),)="1111",OFFSET(TH!M$1,SMALL(Dong1,ROWS($1:36)),),0))</f>
        <v>0</v>
      </c>
      <c r="H49" s="165">
        <f ca="1">IF(ROWS($1:36)&gt;COUNT(Dong1),"",IF(OFFSET(TH!O$1,SMALL(Dong1,ROWS($1:36)),)="1111",OFFSET(TH!M$1,SMALL(Dong1,ROWS($1:36)),),0))</f>
        <v>20000000</v>
      </c>
      <c r="I49" s="163">
        <f t="shared" ca="1" si="1"/>
        <v>13671094942.6</v>
      </c>
      <c r="J49" s="168"/>
    </row>
    <row r="50" spans="1:10" ht="19.5" customHeight="1">
      <c r="A50" s="162">
        <f ca="1">IF(ROWS($1:37)&gt;COUNT(Dong1),"",OFFSET(TH!C$1,SMALL(Dong1,ROWS($1:37)),))</f>
        <v>42638</v>
      </c>
      <c r="B50" s="162">
        <f ca="1">IF(ROWS($1:37)&gt;COUNT(Dong1),"",OFFSET(TH!E$1,SMALL(Dong1,ROWS($1:37)),))</f>
        <v>42638</v>
      </c>
      <c r="C50" s="163" t="str">
        <f ca="1">IF(ROWS($1:37)&gt;COUNT(Dong1),"",IF(OFFSET(TH!N$1,SMALL(Dong1,ROWS($1:37)),)="1111",OFFSET(TH!D$1,SMALL(Dong1,ROWS($1:37)),),""))</f>
        <v/>
      </c>
      <c r="D50" s="164" t="str">
        <f ca="1">IF(ROWS($1:37)&gt;COUNT(Dong1),"",IF(OFFSET(TH!O$1,SMALL(Dong1,ROWS($1:37)),)="1111",OFFSET(TH!D$1,SMALL(Dong1,ROWS($1:37)),),""))</f>
        <v>C22</v>
      </c>
      <c r="E50" s="373" t="str">
        <f ca="1">IF(ROWS($1:37)&gt;COUNT(Dong1),"",OFFSET(TH!F$1,SMALL(Dong1,ROWS($1:37)),))</f>
        <v>Tạm ứng mua NL</v>
      </c>
      <c r="F50" s="166" t="str">
        <f ca="1">IF(ROWS($1:37)&gt;COUNT(Dong1),"",IF(OFFSET(TH!O$1,SMALL(Dong1,ROWS($1:37)),)="1111",OFFSET(TH!N$1,SMALL(Dong1,ROWS($1:37)),),OFFSET(TH!O$1,SMALL(Dong1,ROWS($1:37)),)))</f>
        <v>141</v>
      </c>
      <c r="G50" s="167">
        <f ca="1">IF(ROWS($1:37)&gt;COUNT(Dong1),"",IF(OFFSET(TH!N$1,SMALL(Dong1,ROWS($1:37)),)="1111",OFFSET(TH!M$1,SMALL(Dong1,ROWS($1:37)),),0))</f>
        <v>0</v>
      </c>
      <c r="H50" s="165">
        <f ca="1">IF(ROWS($1:37)&gt;COUNT(Dong1),"",IF(OFFSET(TH!O$1,SMALL(Dong1,ROWS($1:37)),)="1111",OFFSET(TH!M$1,SMALL(Dong1,ROWS($1:37)),),0))</f>
        <v>450000000</v>
      </c>
      <c r="I50" s="163">
        <f t="shared" ca="1" si="1"/>
        <v>13221094942.6</v>
      </c>
      <c r="J50" s="168"/>
    </row>
    <row r="51" spans="1:10" ht="19.5" customHeight="1">
      <c r="A51" s="162">
        <f ca="1">IF(ROWS($1:38)&gt;COUNT(Dong1),"",OFFSET(TH!C$1,SMALL(Dong1,ROWS($1:38)),))</f>
        <v>42638</v>
      </c>
      <c r="B51" s="162">
        <f ca="1">IF(ROWS($1:38)&gt;COUNT(Dong1),"",OFFSET(TH!E$1,SMALL(Dong1,ROWS($1:38)),))</f>
        <v>42638</v>
      </c>
      <c r="C51" s="163" t="str">
        <f ca="1">IF(ROWS($1:38)&gt;COUNT(Dong1),"",IF(OFFSET(TH!N$1,SMALL(Dong1,ROWS($1:38)),)="1111",OFFSET(TH!D$1,SMALL(Dong1,ROWS($1:38)),),""))</f>
        <v/>
      </c>
      <c r="D51" s="164" t="str">
        <f ca="1">IF(ROWS($1:38)&gt;COUNT(Dong1),"",IF(OFFSET(TH!O$1,SMALL(Dong1,ROWS($1:38)),)="1111",OFFSET(TH!D$1,SMALL(Dong1,ROWS($1:38)),),""))</f>
        <v>C23</v>
      </c>
      <c r="E51" s="373" t="str">
        <f ca="1">IF(ROWS($1:38)&gt;COUNT(Dong1),"",OFFSET(TH!F$1,SMALL(Dong1,ROWS($1:38)),))</f>
        <v>Xăng, dầu DO</v>
      </c>
      <c r="F51" s="166" t="str">
        <f ca="1">IF(ROWS($1:38)&gt;COUNT(Dong1),"",IF(OFFSET(TH!O$1,SMALL(Dong1,ROWS($1:38)),)="1111",OFFSET(TH!N$1,SMALL(Dong1,ROWS($1:38)),),OFFSET(TH!O$1,SMALL(Dong1,ROWS($1:38)),)))</f>
        <v>642</v>
      </c>
      <c r="G51" s="167">
        <f ca="1">IF(ROWS($1:38)&gt;COUNT(Dong1),"",IF(OFFSET(TH!N$1,SMALL(Dong1,ROWS($1:38)),)="1111",OFFSET(TH!M$1,SMALL(Dong1,ROWS($1:38)),),0))</f>
        <v>0</v>
      </c>
      <c r="H51" s="165">
        <f ca="1">IF(ROWS($1:38)&gt;COUNT(Dong1),"",IF(OFFSET(TH!O$1,SMALL(Dong1,ROWS($1:38)),)="1111",OFFSET(TH!M$1,SMALL(Dong1,ROWS($1:38)),),0))</f>
        <v>1693491</v>
      </c>
      <c r="I51" s="163">
        <f t="shared" ca="1" si="1"/>
        <v>13219401451.6</v>
      </c>
      <c r="J51" s="168"/>
    </row>
    <row r="52" spans="1:10" ht="19.5" customHeight="1">
      <c r="A52" s="162">
        <f ca="1">IF(ROWS($1:39)&gt;COUNT(Dong1),"",OFFSET(TH!C$1,SMALL(Dong1,ROWS($1:39)),))</f>
        <v>42638</v>
      </c>
      <c r="B52" s="162">
        <f ca="1">IF(ROWS($1:39)&gt;COUNT(Dong1),"",OFFSET(TH!E$1,SMALL(Dong1,ROWS($1:39)),))</f>
        <v>42638</v>
      </c>
      <c r="C52" s="163" t="str">
        <f ca="1">IF(ROWS($1:39)&gt;COUNT(Dong1),"",IF(OFFSET(TH!N$1,SMALL(Dong1,ROWS($1:39)),)="1111",OFFSET(TH!D$1,SMALL(Dong1,ROWS($1:39)),),""))</f>
        <v/>
      </c>
      <c r="D52" s="164" t="str">
        <f ca="1">IF(ROWS($1:39)&gt;COUNT(Dong1),"",IF(OFFSET(TH!O$1,SMALL(Dong1,ROWS($1:39)),)="1111",OFFSET(TH!D$1,SMALL(Dong1,ROWS($1:39)),),""))</f>
        <v>C23</v>
      </c>
      <c r="E52" s="373" t="str">
        <f ca="1">IF(ROWS($1:39)&gt;COUNT(Dong1),"",OFFSET(TH!F$1,SMALL(Dong1,ROWS($1:39)),))</f>
        <v>VAT Xăng, dầu DO</v>
      </c>
      <c r="F52" s="166" t="str">
        <f ca="1">IF(ROWS($1:39)&gt;COUNT(Dong1),"",IF(OFFSET(TH!O$1,SMALL(Dong1,ROWS($1:39)),)="1111",OFFSET(TH!N$1,SMALL(Dong1,ROWS($1:39)),),OFFSET(TH!O$1,SMALL(Dong1,ROWS($1:39)),)))</f>
        <v>1331</v>
      </c>
      <c r="G52" s="167">
        <f ca="1">IF(ROWS($1:39)&gt;COUNT(Dong1),"",IF(OFFSET(TH!N$1,SMALL(Dong1,ROWS($1:39)),)="1111",OFFSET(TH!M$1,SMALL(Dong1,ROWS($1:39)),),0))</f>
        <v>0</v>
      </c>
      <c r="H52" s="165">
        <f ca="1">IF(ROWS($1:39)&gt;COUNT(Dong1),"",IF(OFFSET(TH!O$1,SMALL(Dong1,ROWS($1:39)),)="1111",OFFSET(TH!M$1,SMALL(Dong1,ROWS($1:39)),),0))</f>
        <v>169349</v>
      </c>
      <c r="I52" s="163">
        <f t="shared" ca="1" si="1"/>
        <v>13219232102.6</v>
      </c>
      <c r="J52" s="168"/>
    </row>
    <row r="53" spans="1:10" ht="19.5" customHeight="1">
      <c r="A53" s="162">
        <f ca="1">IF(ROWS($1:40)&gt;COUNT(Dong1),"",OFFSET(TH!C$1,SMALL(Dong1,ROWS($1:40)),))</f>
        <v>42640</v>
      </c>
      <c r="B53" s="162">
        <f ca="1">IF(ROWS($1:40)&gt;COUNT(Dong1),"",OFFSET(TH!E$1,SMALL(Dong1,ROWS($1:40)),))</f>
        <v>42640</v>
      </c>
      <c r="C53" s="163" t="str">
        <f ca="1">IF(ROWS($1:40)&gt;COUNT(Dong1),"",IF(OFFSET(TH!N$1,SMALL(Dong1,ROWS($1:40)),)="1111",OFFSET(TH!D$1,SMALL(Dong1,ROWS($1:40)),),""))</f>
        <v/>
      </c>
      <c r="D53" s="164" t="str">
        <f ca="1">IF(ROWS($1:40)&gt;COUNT(Dong1),"",IF(OFFSET(TH!O$1,SMALL(Dong1,ROWS($1:40)),)="1111",OFFSET(TH!D$1,SMALL(Dong1,ROWS($1:40)),),""))</f>
        <v>C24</v>
      </c>
      <c r="E53" s="373" t="str">
        <f ca="1">IF(ROWS($1:40)&gt;COUNT(Dong1),"",OFFSET(TH!F$1,SMALL(Dong1,ROWS($1:40)),))</f>
        <v>Phí dịch vụ bảo vệ T9/2016</v>
      </c>
      <c r="F53" s="166" t="str">
        <f ca="1">IF(ROWS($1:40)&gt;COUNT(Dong1),"",IF(OFFSET(TH!O$1,SMALL(Dong1,ROWS($1:40)),)="1111",OFFSET(TH!N$1,SMALL(Dong1,ROWS($1:40)),),OFFSET(TH!O$1,SMALL(Dong1,ROWS($1:40)),)))</f>
        <v>642</v>
      </c>
      <c r="G53" s="167">
        <f ca="1">IF(ROWS($1:40)&gt;COUNT(Dong1),"",IF(OFFSET(TH!N$1,SMALL(Dong1,ROWS($1:40)),)="1111",OFFSET(TH!M$1,SMALL(Dong1,ROWS($1:40)),),0))</f>
        <v>0</v>
      </c>
      <c r="H53" s="165">
        <f ca="1">IF(ROWS($1:40)&gt;COUNT(Dong1),"",IF(OFFSET(TH!O$1,SMALL(Dong1,ROWS($1:40)),)="1111",OFFSET(TH!M$1,SMALL(Dong1,ROWS($1:40)),),0))</f>
        <v>16050000</v>
      </c>
      <c r="I53" s="163">
        <f t="shared" ca="1" si="1"/>
        <v>13203182102.6</v>
      </c>
      <c r="J53" s="168"/>
    </row>
    <row r="54" spans="1:10" ht="19.5" customHeight="1">
      <c r="A54" s="162">
        <f ca="1">IF(ROWS($1:41)&gt;COUNT(Dong1),"",OFFSET(TH!C$1,SMALL(Dong1,ROWS($1:41)),))</f>
        <v>42640</v>
      </c>
      <c r="B54" s="162">
        <f ca="1">IF(ROWS($1:41)&gt;COUNT(Dong1),"",OFFSET(TH!E$1,SMALL(Dong1,ROWS($1:41)),))</f>
        <v>42640</v>
      </c>
      <c r="C54" s="163" t="str">
        <f ca="1">IF(ROWS($1:41)&gt;COUNT(Dong1),"",IF(OFFSET(TH!N$1,SMALL(Dong1,ROWS($1:41)),)="1111",OFFSET(TH!D$1,SMALL(Dong1,ROWS($1:41)),),""))</f>
        <v/>
      </c>
      <c r="D54" s="164" t="str">
        <f ca="1">IF(ROWS($1:41)&gt;COUNT(Dong1),"",IF(OFFSET(TH!O$1,SMALL(Dong1,ROWS($1:41)),)="1111",OFFSET(TH!D$1,SMALL(Dong1,ROWS($1:41)),),""))</f>
        <v>C24</v>
      </c>
      <c r="E54" s="373" t="str">
        <f ca="1">IF(ROWS($1:41)&gt;COUNT(Dong1),"",OFFSET(TH!F$1,SMALL(Dong1,ROWS($1:41)),))</f>
        <v>VAT Phí dịch vụ bảo vệ T9/2016</v>
      </c>
      <c r="F54" s="166" t="str">
        <f ca="1">IF(ROWS($1:41)&gt;COUNT(Dong1),"",IF(OFFSET(TH!O$1,SMALL(Dong1,ROWS($1:41)),)="1111",OFFSET(TH!N$1,SMALL(Dong1,ROWS($1:41)),),OFFSET(TH!O$1,SMALL(Dong1,ROWS($1:41)),)))</f>
        <v>1331</v>
      </c>
      <c r="G54" s="167">
        <f ca="1">IF(ROWS($1:41)&gt;COUNT(Dong1),"",IF(OFFSET(TH!N$1,SMALL(Dong1,ROWS($1:41)),)="1111",OFFSET(TH!M$1,SMALL(Dong1,ROWS($1:41)),),0))</f>
        <v>0</v>
      </c>
      <c r="H54" s="165">
        <f ca="1">IF(ROWS($1:41)&gt;COUNT(Dong1),"",IF(OFFSET(TH!O$1,SMALL(Dong1,ROWS($1:41)),)="1111",OFFSET(TH!M$1,SMALL(Dong1,ROWS($1:41)),),0))</f>
        <v>1605000</v>
      </c>
      <c r="I54" s="163">
        <f t="shared" ca="1" si="1"/>
        <v>13201577102.6</v>
      </c>
      <c r="J54" s="168"/>
    </row>
    <row r="55" spans="1:10" ht="19.5" customHeight="1">
      <c r="A55" s="162">
        <f ca="1">IF(ROWS($1:42)&gt;COUNT(Dong1),"",OFFSET(TH!C$1,SMALL(Dong1,ROWS($1:42)),))</f>
        <v>42640</v>
      </c>
      <c r="B55" s="162">
        <f ca="1">IF(ROWS($1:42)&gt;COUNT(Dong1),"",OFFSET(TH!E$1,SMALL(Dong1,ROWS($1:42)),))</f>
        <v>42640</v>
      </c>
      <c r="C55" s="163" t="str">
        <f ca="1">IF(ROWS($1:42)&gt;COUNT(Dong1),"",IF(OFFSET(TH!N$1,SMALL(Dong1,ROWS($1:42)),)="1111",OFFSET(TH!D$1,SMALL(Dong1,ROWS($1:42)),),""))</f>
        <v/>
      </c>
      <c r="D55" s="164" t="str">
        <f ca="1">IF(ROWS($1:42)&gt;COUNT(Dong1),"",IF(OFFSET(TH!O$1,SMALL(Dong1,ROWS($1:42)),)="1111",OFFSET(TH!D$1,SMALL(Dong1,ROWS($1:42)),),""))</f>
        <v>C25</v>
      </c>
      <c r="E55" s="373" t="str">
        <f ca="1">IF(ROWS($1:42)&gt;COUNT(Dong1),"",OFFSET(TH!F$1,SMALL(Dong1,ROWS($1:42)),))</f>
        <v>Phí xét nghiệm mẫu</v>
      </c>
      <c r="F55" s="166" t="str">
        <f ca="1">IF(ROWS($1:42)&gt;COUNT(Dong1),"",IF(OFFSET(TH!O$1,SMALL(Dong1,ROWS($1:42)),)="1111",OFFSET(TH!N$1,SMALL(Dong1,ROWS($1:42)),),OFFSET(TH!O$1,SMALL(Dong1,ROWS($1:42)),)))</f>
        <v>642</v>
      </c>
      <c r="G55" s="167">
        <f ca="1">IF(ROWS($1:42)&gt;COUNT(Dong1),"",IF(OFFSET(TH!N$1,SMALL(Dong1,ROWS($1:42)),)="1111",OFFSET(TH!M$1,SMALL(Dong1,ROWS($1:42)),),0))</f>
        <v>0</v>
      </c>
      <c r="H55" s="165">
        <f ca="1">IF(ROWS($1:42)&gt;COUNT(Dong1),"",IF(OFFSET(TH!O$1,SMALL(Dong1,ROWS($1:42)),)="1111",OFFSET(TH!M$1,SMALL(Dong1,ROWS($1:42)),),0))</f>
        <v>998182</v>
      </c>
      <c r="I55" s="163">
        <f t="shared" ca="1" si="1"/>
        <v>13200578920.6</v>
      </c>
      <c r="J55" s="168"/>
    </row>
    <row r="56" spans="1:10" ht="19.5" customHeight="1">
      <c r="A56" s="162">
        <f ca="1">IF(ROWS($1:43)&gt;COUNT(Dong1),"",OFFSET(TH!C$1,SMALL(Dong1,ROWS($1:43)),))</f>
        <v>42640</v>
      </c>
      <c r="B56" s="162">
        <f ca="1">IF(ROWS($1:43)&gt;COUNT(Dong1),"",OFFSET(TH!E$1,SMALL(Dong1,ROWS($1:43)),))</f>
        <v>42640</v>
      </c>
      <c r="C56" s="163" t="str">
        <f ca="1">IF(ROWS($1:43)&gt;COUNT(Dong1),"",IF(OFFSET(TH!N$1,SMALL(Dong1,ROWS($1:43)),)="1111",OFFSET(TH!D$1,SMALL(Dong1,ROWS($1:43)),),""))</f>
        <v/>
      </c>
      <c r="D56" s="164" t="str">
        <f ca="1">IF(ROWS($1:43)&gt;COUNT(Dong1),"",IF(OFFSET(TH!O$1,SMALL(Dong1,ROWS($1:43)),)="1111",OFFSET(TH!D$1,SMALL(Dong1,ROWS($1:43)),),""))</f>
        <v>C25</v>
      </c>
      <c r="E56" s="373" t="str">
        <f ca="1">IF(ROWS($1:43)&gt;COUNT(Dong1),"",OFFSET(TH!F$1,SMALL(Dong1,ROWS($1:43)),))</f>
        <v>VAT Phí xét nghiệm mẫu</v>
      </c>
      <c r="F56" s="166" t="str">
        <f ca="1">IF(ROWS($1:43)&gt;COUNT(Dong1),"",IF(OFFSET(TH!O$1,SMALL(Dong1,ROWS($1:43)),)="1111",OFFSET(TH!N$1,SMALL(Dong1,ROWS($1:43)),),OFFSET(TH!O$1,SMALL(Dong1,ROWS($1:43)),)))</f>
        <v>1331</v>
      </c>
      <c r="G56" s="167">
        <f ca="1">IF(ROWS($1:43)&gt;COUNT(Dong1),"",IF(OFFSET(TH!N$1,SMALL(Dong1,ROWS($1:43)),)="1111",OFFSET(TH!M$1,SMALL(Dong1,ROWS($1:43)),),0))</f>
        <v>0</v>
      </c>
      <c r="H56" s="165">
        <f ca="1">IF(ROWS($1:43)&gt;COUNT(Dong1),"",IF(OFFSET(TH!O$1,SMALL(Dong1,ROWS($1:43)),)="1111",OFFSET(TH!M$1,SMALL(Dong1,ROWS($1:43)),),0))</f>
        <v>99818</v>
      </c>
      <c r="I56" s="163">
        <f t="shared" ca="1" si="1"/>
        <v>13200479102.6</v>
      </c>
      <c r="J56" s="168"/>
    </row>
    <row r="57" spans="1:10" ht="19.5" customHeight="1">
      <c r="A57" s="162">
        <f ca="1">IF(ROWS($1:44)&gt;COUNT(Dong1),"",OFFSET(TH!C$1,SMALL(Dong1,ROWS($1:44)),))</f>
        <v>42641</v>
      </c>
      <c r="B57" s="162">
        <f ca="1">IF(ROWS($1:44)&gt;COUNT(Dong1),"",OFFSET(TH!E$1,SMALL(Dong1,ROWS($1:44)),))</f>
        <v>42641</v>
      </c>
      <c r="C57" s="163" t="str">
        <f ca="1">IF(ROWS($1:44)&gt;COUNT(Dong1),"",IF(OFFSET(TH!N$1,SMALL(Dong1,ROWS($1:44)),)="1111",OFFSET(TH!D$1,SMALL(Dong1,ROWS($1:44)),),""))</f>
        <v/>
      </c>
      <c r="D57" s="164" t="str">
        <f ca="1">IF(ROWS($1:44)&gt;COUNT(Dong1),"",IF(OFFSET(TH!O$1,SMALL(Dong1,ROWS($1:44)),)="1111",OFFSET(TH!D$1,SMALL(Dong1,ROWS($1:44)),),""))</f>
        <v>C26</v>
      </c>
      <c r="E57" s="373" t="str">
        <f ca="1">IF(ROWS($1:44)&gt;COUNT(Dong1),"",OFFSET(TH!F$1,SMALL(Dong1,ROWS($1:44)),))</f>
        <v>Nộp tiền mặt vào TK NH</v>
      </c>
      <c r="F57" s="166" t="str">
        <f ca="1">IF(ROWS($1:44)&gt;COUNT(Dong1),"",IF(OFFSET(TH!O$1,SMALL(Dong1,ROWS($1:44)),)="1111",OFFSET(TH!N$1,SMALL(Dong1,ROWS($1:44)),),OFFSET(TH!O$1,SMALL(Dong1,ROWS($1:44)),)))</f>
        <v>1121</v>
      </c>
      <c r="G57" s="167">
        <f ca="1">IF(ROWS($1:44)&gt;COUNT(Dong1),"",IF(OFFSET(TH!N$1,SMALL(Dong1,ROWS($1:44)),)="1111",OFFSET(TH!M$1,SMALL(Dong1,ROWS($1:44)),),0))</f>
        <v>0</v>
      </c>
      <c r="H57" s="165">
        <f ca="1">IF(ROWS($1:44)&gt;COUNT(Dong1),"",IF(OFFSET(TH!O$1,SMALL(Dong1,ROWS($1:44)),)="1111",OFFSET(TH!M$1,SMALL(Dong1,ROWS($1:44)),),0))</f>
        <v>100000000</v>
      </c>
      <c r="I57" s="163">
        <f t="shared" ca="1" si="1"/>
        <v>13100479102.6</v>
      </c>
      <c r="J57" s="168"/>
    </row>
    <row r="58" spans="1:10" ht="19.5" customHeight="1">
      <c r="A58" s="162">
        <f ca="1">IF(ROWS($1:45)&gt;COUNT(Dong1),"",OFFSET(TH!C$1,SMALL(Dong1,ROWS($1:45)),))</f>
        <v>42643</v>
      </c>
      <c r="B58" s="162">
        <f ca="1">IF(ROWS($1:45)&gt;COUNT(Dong1),"",OFFSET(TH!E$1,SMALL(Dong1,ROWS($1:45)),))</f>
        <v>42643</v>
      </c>
      <c r="C58" s="163" t="str">
        <f ca="1">IF(ROWS($1:45)&gt;COUNT(Dong1),"",IF(OFFSET(TH!N$1,SMALL(Dong1,ROWS($1:45)),)="1111",OFFSET(TH!D$1,SMALL(Dong1,ROWS($1:45)),),""))</f>
        <v/>
      </c>
      <c r="D58" s="164" t="str">
        <f ca="1">IF(ROWS($1:45)&gt;COUNT(Dong1),"",IF(OFFSET(TH!O$1,SMALL(Dong1,ROWS($1:45)),)="1111",OFFSET(TH!D$1,SMALL(Dong1,ROWS($1:45)),),""))</f>
        <v>C27</v>
      </c>
      <c r="E58" s="373" t="str">
        <f ca="1">IF(ROWS($1:45)&gt;COUNT(Dong1),"",OFFSET(TH!F$1,SMALL(Dong1,ROWS($1:45)),))</f>
        <v>Tạm ứng mua NL</v>
      </c>
      <c r="F58" s="166" t="str">
        <f ca="1">IF(ROWS($1:45)&gt;COUNT(Dong1),"",IF(OFFSET(TH!O$1,SMALL(Dong1,ROWS($1:45)),)="1111",OFFSET(TH!N$1,SMALL(Dong1,ROWS($1:45)),),OFFSET(TH!O$1,SMALL(Dong1,ROWS($1:45)),)))</f>
        <v>141</v>
      </c>
      <c r="G58" s="167">
        <f ca="1">IF(ROWS($1:45)&gt;COUNT(Dong1),"",IF(OFFSET(TH!N$1,SMALL(Dong1,ROWS($1:45)),)="1111",OFFSET(TH!M$1,SMALL(Dong1,ROWS($1:45)),),0))</f>
        <v>0</v>
      </c>
      <c r="H58" s="165">
        <f ca="1">IF(ROWS($1:45)&gt;COUNT(Dong1),"",IF(OFFSET(TH!O$1,SMALL(Dong1,ROWS($1:45)),)="1111",OFFSET(TH!M$1,SMALL(Dong1,ROWS($1:45)),),0))</f>
        <v>528522500</v>
      </c>
      <c r="I58" s="163">
        <f t="shared" ca="1" si="1"/>
        <v>12571956602.6</v>
      </c>
      <c r="J58" s="168"/>
    </row>
    <row r="59" spans="1:10" ht="19.5" customHeight="1">
      <c r="A59" s="162">
        <f ca="1">IF(ROWS($1:46)&gt;COUNT(Dong1),"",OFFSET(TH!C$1,SMALL(Dong1,ROWS($1:46)),))</f>
        <v>42643</v>
      </c>
      <c r="B59" s="162">
        <f ca="1">IF(ROWS($1:46)&gt;COUNT(Dong1),"",OFFSET(TH!E$1,SMALL(Dong1,ROWS($1:46)),))</f>
        <v>42643</v>
      </c>
      <c r="C59" s="163" t="str">
        <f ca="1">IF(ROWS($1:46)&gt;COUNT(Dong1),"",IF(OFFSET(TH!N$1,SMALL(Dong1,ROWS($1:46)),)="1111",OFFSET(TH!D$1,SMALL(Dong1,ROWS($1:46)),),""))</f>
        <v/>
      </c>
      <c r="D59" s="164" t="str">
        <f ca="1">IF(ROWS($1:46)&gt;COUNT(Dong1),"",IF(OFFSET(TH!O$1,SMALL(Dong1,ROWS($1:46)),)="1111",OFFSET(TH!D$1,SMALL(Dong1,ROWS($1:46)),),""))</f>
        <v>C28</v>
      </c>
      <c r="E59" s="373" t="str">
        <f ca="1">IF(ROWS($1:46)&gt;COUNT(Dong1),"",OFFSET(TH!F$1,SMALL(Dong1,ROWS($1:46)),))</f>
        <v>Tạm ứng mua NL</v>
      </c>
      <c r="F59" s="166" t="str">
        <f ca="1">IF(ROWS($1:46)&gt;COUNT(Dong1),"",IF(OFFSET(TH!O$1,SMALL(Dong1,ROWS($1:46)),)="1111",OFFSET(TH!N$1,SMALL(Dong1,ROWS($1:46)),),OFFSET(TH!O$1,SMALL(Dong1,ROWS($1:46)),)))</f>
        <v>141</v>
      </c>
      <c r="G59" s="167">
        <f ca="1">IF(ROWS($1:46)&gt;COUNT(Dong1),"",IF(OFFSET(TH!N$1,SMALL(Dong1,ROWS($1:46)),)="1111",OFFSET(TH!M$1,SMALL(Dong1,ROWS($1:46)),),0))</f>
        <v>0</v>
      </c>
      <c r="H59" s="165">
        <f ca="1">IF(ROWS($1:46)&gt;COUNT(Dong1),"",IF(OFFSET(TH!O$1,SMALL(Dong1,ROWS($1:46)),)="1111",OFFSET(TH!M$1,SMALL(Dong1,ROWS($1:46)),),0))</f>
        <v>347379000</v>
      </c>
      <c r="I59" s="163">
        <f t="shared" ca="1" si="1"/>
        <v>12224577602.6</v>
      </c>
      <c r="J59" s="168"/>
    </row>
    <row r="60" spans="1:10" ht="19.5" customHeight="1">
      <c r="A60" s="162">
        <f ca="1">IF(ROWS($1:47)&gt;COUNT(Dong1),"",OFFSET(TH!C$1,SMALL(Dong1,ROWS($1:47)),))</f>
        <v>42643</v>
      </c>
      <c r="B60" s="162">
        <f ca="1">IF(ROWS($1:47)&gt;COUNT(Dong1),"",OFFSET(TH!E$1,SMALL(Dong1,ROWS($1:47)),))</f>
        <v>42643</v>
      </c>
      <c r="C60" s="163" t="str">
        <f ca="1">IF(ROWS($1:47)&gt;COUNT(Dong1),"",IF(OFFSET(TH!N$1,SMALL(Dong1,ROWS($1:47)),)="1111",OFFSET(TH!D$1,SMALL(Dong1,ROWS($1:47)),),""))</f>
        <v/>
      </c>
      <c r="D60" s="164" t="str">
        <f ca="1">IF(ROWS($1:47)&gt;COUNT(Dong1),"",IF(OFFSET(TH!O$1,SMALL(Dong1,ROWS($1:47)),)="1111",OFFSET(TH!D$1,SMALL(Dong1,ROWS($1:47)),),""))</f>
        <v>C29</v>
      </c>
      <c r="E60" s="373" t="str">
        <f ca="1">IF(ROWS($1:47)&gt;COUNT(Dong1),"",OFFSET(TH!F$1,SMALL(Dong1,ROWS($1:47)),))</f>
        <v>Phí giao thông</v>
      </c>
      <c r="F60" s="166" t="str">
        <f ca="1">IF(ROWS($1:47)&gt;COUNT(Dong1),"",IF(OFFSET(TH!O$1,SMALL(Dong1,ROWS($1:47)),)="1111",OFFSET(TH!N$1,SMALL(Dong1,ROWS($1:47)),),OFFSET(TH!O$1,SMALL(Dong1,ROWS($1:47)),)))</f>
        <v>642</v>
      </c>
      <c r="G60" s="167">
        <f ca="1">IF(ROWS($1:47)&gt;COUNT(Dong1),"",IF(OFFSET(TH!N$1,SMALL(Dong1,ROWS($1:47)),)="1111",OFFSET(TH!M$1,SMALL(Dong1,ROWS($1:47)),),0))</f>
        <v>0</v>
      </c>
      <c r="H60" s="165">
        <f ca="1">IF(ROWS($1:47)&gt;COUNT(Dong1),"",IF(OFFSET(TH!O$1,SMALL(Dong1,ROWS($1:47)),)="1111",OFFSET(TH!M$1,SMALL(Dong1,ROWS($1:47)),),0))</f>
        <v>2381818</v>
      </c>
      <c r="I60" s="163">
        <f t="shared" ca="1" si="1"/>
        <v>12222195784.6</v>
      </c>
      <c r="J60" s="168"/>
    </row>
    <row r="61" spans="1:10" ht="19.5" customHeight="1">
      <c r="A61" s="162">
        <f ca="1">IF(ROWS($1:48)&gt;COUNT(Dong1),"",OFFSET(TH!C$1,SMALL(Dong1,ROWS($1:48)),))</f>
        <v>42643</v>
      </c>
      <c r="B61" s="162">
        <f ca="1">IF(ROWS($1:48)&gt;COUNT(Dong1),"",OFFSET(TH!E$1,SMALL(Dong1,ROWS($1:48)),))</f>
        <v>42643</v>
      </c>
      <c r="C61" s="163" t="str">
        <f ca="1">IF(ROWS($1:48)&gt;COUNT(Dong1),"",IF(OFFSET(TH!N$1,SMALL(Dong1,ROWS($1:48)),)="1111",OFFSET(TH!D$1,SMALL(Dong1,ROWS($1:48)),),""))</f>
        <v/>
      </c>
      <c r="D61" s="164" t="str">
        <f ca="1">IF(ROWS($1:48)&gt;COUNT(Dong1),"",IF(OFFSET(TH!O$1,SMALL(Dong1,ROWS($1:48)),)="1111",OFFSET(TH!D$1,SMALL(Dong1,ROWS($1:48)),),""))</f>
        <v>C29</v>
      </c>
      <c r="E61" s="373" t="str">
        <f ca="1">IF(ROWS($1:48)&gt;COUNT(Dong1),"",OFFSET(TH!F$1,SMALL(Dong1,ROWS($1:48)),))</f>
        <v>VAT Phí giao thông</v>
      </c>
      <c r="F61" s="166" t="str">
        <f ca="1">IF(ROWS($1:48)&gt;COUNT(Dong1),"",IF(OFFSET(TH!O$1,SMALL(Dong1,ROWS($1:48)),)="1111",OFFSET(TH!N$1,SMALL(Dong1,ROWS($1:48)),),OFFSET(TH!O$1,SMALL(Dong1,ROWS($1:48)),)))</f>
        <v>1331</v>
      </c>
      <c r="G61" s="167">
        <f ca="1">IF(ROWS($1:48)&gt;COUNT(Dong1),"",IF(OFFSET(TH!N$1,SMALL(Dong1,ROWS($1:48)),)="1111",OFFSET(TH!M$1,SMALL(Dong1,ROWS($1:48)),),0))</f>
        <v>0</v>
      </c>
      <c r="H61" s="165">
        <f ca="1">IF(ROWS($1:48)&gt;COUNT(Dong1),"",IF(OFFSET(TH!O$1,SMALL(Dong1,ROWS($1:48)),)="1111",OFFSET(TH!M$1,SMALL(Dong1,ROWS($1:48)),),0))</f>
        <v>238182</v>
      </c>
      <c r="I61" s="163">
        <f t="shared" ca="1" si="1"/>
        <v>12221957602.6</v>
      </c>
      <c r="J61" s="168"/>
    </row>
    <row r="62" spans="1:10" ht="19.5" customHeight="1">
      <c r="A62" s="162">
        <f ca="1">IF(ROWS($1:49)&gt;COUNT(Dong1),"",OFFSET(TH!C$1,SMALL(Dong1,ROWS($1:49)),))</f>
        <v>42643</v>
      </c>
      <c r="B62" s="162">
        <f ca="1">IF(ROWS($1:49)&gt;COUNT(Dong1),"",OFFSET(TH!E$1,SMALL(Dong1,ROWS($1:49)),))</f>
        <v>42643</v>
      </c>
      <c r="C62" s="163" t="str">
        <f ca="1">IF(ROWS($1:49)&gt;COUNT(Dong1),"",IF(OFFSET(TH!N$1,SMALL(Dong1,ROWS($1:49)),)="1111",OFFSET(TH!D$1,SMALL(Dong1,ROWS($1:49)),),""))</f>
        <v/>
      </c>
      <c r="D62" s="164" t="str">
        <f ca="1">IF(ROWS($1:49)&gt;COUNT(Dong1),"",IF(OFFSET(TH!O$1,SMALL(Dong1,ROWS($1:49)),)="1111",OFFSET(TH!D$1,SMALL(Dong1,ROWS($1:49)),),""))</f>
        <v>C30</v>
      </c>
      <c r="E62" s="373" t="str">
        <f ca="1">IF(ROWS($1:49)&gt;COUNT(Dong1),"",OFFSET(TH!F$1,SMALL(Dong1,ROWS($1:49)),))</f>
        <v>Thanh toán lương T9/2016</v>
      </c>
      <c r="F62" s="166" t="str">
        <f ca="1">IF(ROWS($1:49)&gt;COUNT(Dong1),"",IF(OFFSET(TH!O$1,SMALL(Dong1,ROWS($1:49)),)="1111",OFFSET(TH!N$1,SMALL(Dong1,ROWS($1:49)),),OFFSET(TH!O$1,SMALL(Dong1,ROWS($1:49)),)))</f>
        <v>3341</v>
      </c>
      <c r="G62" s="167">
        <f ca="1">IF(ROWS($1:49)&gt;COUNT(Dong1),"",IF(OFFSET(TH!N$1,SMALL(Dong1,ROWS($1:49)),)="1111",OFFSET(TH!M$1,SMALL(Dong1,ROWS($1:49)),),0))</f>
        <v>0</v>
      </c>
      <c r="H62" s="165">
        <f ca="1">IF(ROWS($1:49)&gt;COUNT(Dong1),"",IF(OFFSET(TH!O$1,SMALL(Dong1,ROWS($1:49)),)="1111",OFFSET(TH!M$1,SMALL(Dong1,ROWS($1:49)),),0))</f>
        <v>0</v>
      </c>
      <c r="I62" s="163">
        <f t="shared" ca="1" si="1"/>
        <v>12221957602.6</v>
      </c>
      <c r="J62" s="168"/>
    </row>
    <row r="63" spans="1:10" ht="19.5" customHeight="1">
      <c r="A63" s="162" t="str">
        <f ca="1">IF(ROWS($1:50)&gt;COUNT(Dong1),"",OFFSET(TH!C$1,SMALL(Dong1,ROWS($1:50)),))</f>
        <v/>
      </c>
      <c r="B63" s="162" t="str">
        <f ca="1">IF(ROWS($1:50)&gt;COUNT(Dong1),"",OFFSET(TH!E$1,SMALL(Dong1,ROWS($1:50)),))</f>
        <v/>
      </c>
      <c r="C63" s="163" t="str">
        <f ca="1">IF(ROWS($1:50)&gt;COUNT(Dong1),"",IF(OFFSET(TH!N$1,SMALL(Dong1,ROWS($1:50)),)="1111",OFFSET(TH!D$1,SMALL(Dong1,ROWS($1:50)),),""))</f>
        <v/>
      </c>
      <c r="D63" s="164" t="str">
        <f ca="1">IF(ROWS($1:50)&gt;COUNT(Dong1),"",IF(OFFSET(TH!O$1,SMALL(Dong1,ROWS($1:50)),)="1111",OFFSET(TH!D$1,SMALL(Dong1,ROWS($1:50)),),""))</f>
        <v/>
      </c>
      <c r="E63" s="373" t="str">
        <f ca="1">IF(ROWS($1:50)&gt;COUNT(Dong1),"",OFFSET(TH!F$1,SMALL(Dong1,ROWS($1:50)),))</f>
        <v/>
      </c>
      <c r="F63" s="166" t="str">
        <f ca="1">IF(ROWS($1:50)&gt;COUNT(Dong1),"",IF(OFFSET(TH!O$1,SMALL(Dong1,ROWS($1:50)),)="1111",OFFSET(TH!N$1,SMALL(Dong1,ROWS($1:50)),),OFFSET(TH!O$1,SMALL(Dong1,ROWS($1:50)),)))</f>
        <v/>
      </c>
      <c r="G63" s="167" t="str">
        <f ca="1">IF(ROWS($1:50)&gt;COUNT(Dong1),"",IF(OFFSET(TH!N$1,SMALL(Dong1,ROWS($1:50)),)="1111",OFFSET(TH!M$1,SMALL(Dong1,ROWS($1:50)),),0))</f>
        <v/>
      </c>
      <c r="H63" s="165" t="str">
        <f ca="1">IF(ROWS($1:50)&gt;COUNT(Dong1),"",IF(OFFSET(TH!O$1,SMALL(Dong1,ROWS($1:50)),)="1111",OFFSET(TH!M$1,SMALL(Dong1,ROWS($1:50)),),0))</f>
        <v/>
      </c>
      <c r="I63" s="163">
        <f t="shared" ca="1" si="1"/>
        <v>0</v>
      </c>
      <c r="J63" s="168"/>
    </row>
    <row r="64" spans="1:10" ht="19.5" customHeight="1">
      <c r="A64" s="162" t="str">
        <f ca="1">IF(ROWS($1:51)&gt;COUNT(Dong1),"",OFFSET(TH!C$1,SMALL(Dong1,ROWS($1:51)),))</f>
        <v/>
      </c>
      <c r="B64" s="162" t="str">
        <f ca="1">IF(ROWS($1:51)&gt;COUNT(Dong1),"",OFFSET(TH!E$1,SMALL(Dong1,ROWS($1:51)),))</f>
        <v/>
      </c>
      <c r="C64" s="163" t="str">
        <f ca="1">IF(ROWS($1:51)&gt;COUNT(Dong1),"",IF(OFFSET(TH!N$1,SMALL(Dong1,ROWS($1:51)),)="1111",OFFSET(TH!D$1,SMALL(Dong1,ROWS($1:51)),),""))</f>
        <v/>
      </c>
      <c r="D64" s="164" t="str">
        <f ca="1">IF(ROWS($1:51)&gt;COUNT(Dong1),"",IF(OFFSET(TH!O$1,SMALL(Dong1,ROWS($1:51)),)="1111",OFFSET(TH!D$1,SMALL(Dong1,ROWS($1:51)),),""))</f>
        <v/>
      </c>
      <c r="E64" s="373" t="str">
        <f ca="1">IF(ROWS($1:51)&gt;COUNT(Dong1),"",OFFSET(TH!F$1,SMALL(Dong1,ROWS($1:51)),))</f>
        <v/>
      </c>
      <c r="F64" s="166" t="str">
        <f ca="1">IF(ROWS($1:51)&gt;COUNT(Dong1),"",IF(OFFSET(TH!O$1,SMALL(Dong1,ROWS($1:51)),)="1111",OFFSET(TH!N$1,SMALL(Dong1,ROWS($1:51)),),OFFSET(TH!O$1,SMALL(Dong1,ROWS($1:51)),)))</f>
        <v/>
      </c>
      <c r="G64" s="167" t="str">
        <f ca="1">IF(ROWS($1:51)&gt;COUNT(Dong1),"",IF(OFFSET(TH!N$1,SMALL(Dong1,ROWS($1:51)),)="1111",OFFSET(TH!M$1,SMALL(Dong1,ROWS($1:51)),),0))</f>
        <v/>
      </c>
      <c r="H64" s="165" t="str">
        <f ca="1">IF(ROWS($1:51)&gt;COUNT(Dong1),"",IF(OFFSET(TH!O$1,SMALL(Dong1,ROWS($1:51)),)="1111",OFFSET(TH!M$1,SMALL(Dong1,ROWS($1:51)),),0))</f>
        <v/>
      </c>
      <c r="I64" s="163">
        <f t="shared" ca="1" si="1"/>
        <v>0</v>
      </c>
      <c r="J64" s="168"/>
    </row>
    <row r="65" spans="1:10" ht="19.5" customHeight="1">
      <c r="A65" s="162" t="str">
        <f ca="1">IF(ROWS($1:52)&gt;COUNT(Dong1),"",OFFSET(TH!C$1,SMALL(Dong1,ROWS($1:52)),))</f>
        <v/>
      </c>
      <c r="B65" s="162" t="str">
        <f ca="1">IF(ROWS($1:52)&gt;COUNT(Dong1),"",OFFSET(TH!E$1,SMALL(Dong1,ROWS($1:52)),))</f>
        <v/>
      </c>
      <c r="C65" s="163" t="str">
        <f ca="1">IF(ROWS($1:52)&gt;COUNT(Dong1),"",IF(OFFSET(TH!N$1,SMALL(Dong1,ROWS($1:52)),)="1111",OFFSET(TH!D$1,SMALL(Dong1,ROWS($1:52)),),""))</f>
        <v/>
      </c>
      <c r="D65" s="164" t="str">
        <f ca="1">IF(ROWS($1:52)&gt;COUNT(Dong1),"",IF(OFFSET(TH!O$1,SMALL(Dong1,ROWS($1:52)),)="1111",OFFSET(TH!D$1,SMALL(Dong1,ROWS($1:52)),),""))</f>
        <v/>
      </c>
      <c r="E65" s="373" t="str">
        <f ca="1">IF(ROWS($1:52)&gt;COUNT(Dong1),"",OFFSET(TH!F$1,SMALL(Dong1,ROWS($1:52)),))</f>
        <v/>
      </c>
      <c r="F65" s="166" t="str">
        <f ca="1">IF(ROWS($1:52)&gt;COUNT(Dong1),"",IF(OFFSET(TH!O$1,SMALL(Dong1,ROWS($1:52)),)="1111",OFFSET(TH!N$1,SMALL(Dong1,ROWS($1:52)),),OFFSET(TH!O$1,SMALL(Dong1,ROWS($1:52)),)))</f>
        <v/>
      </c>
      <c r="G65" s="167" t="str">
        <f ca="1">IF(ROWS($1:52)&gt;COUNT(Dong1),"",IF(OFFSET(TH!N$1,SMALL(Dong1,ROWS($1:52)),)="1111",OFFSET(TH!M$1,SMALL(Dong1,ROWS($1:52)),),0))</f>
        <v/>
      </c>
      <c r="H65" s="165" t="str">
        <f ca="1">IF(ROWS($1:52)&gt;COUNT(Dong1),"",IF(OFFSET(TH!O$1,SMALL(Dong1,ROWS($1:52)),)="1111",OFFSET(TH!M$1,SMALL(Dong1,ROWS($1:52)),),0))</f>
        <v/>
      </c>
      <c r="I65" s="163">
        <f t="shared" ca="1" si="1"/>
        <v>0</v>
      </c>
      <c r="J65" s="168"/>
    </row>
    <row r="66" spans="1:10" ht="19.5" customHeight="1">
      <c r="A66" s="162" t="str">
        <f ca="1">IF(ROWS($1:53)&gt;COUNT(Dong1),"",OFFSET(TH!C$1,SMALL(Dong1,ROWS($1:53)),))</f>
        <v/>
      </c>
      <c r="B66" s="162" t="str">
        <f ca="1">IF(ROWS($1:53)&gt;COUNT(Dong1),"",OFFSET(TH!E$1,SMALL(Dong1,ROWS($1:53)),))</f>
        <v/>
      </c>
      <c r="C66" s="163" t="str">
        <f ca="1">IF(ROWS($1:53)&gt;COUNT(Dong1),"",IF(OFFSET(TH!N$1,SMALL(Dong1,ROWS($1:53)),)="1111",OFFSET(TH!D$1,SMALL(Dong1,ROWS($1:53)),),""))</f>
        <v/>
      </c>
      <c r="D66" s="164" t="str">
        <f ca="1">IF(ROWS($1:53)&gt;COUNT(Dong1),"",IF(OFFSET(TH!O$1,SMALL(Dong1,ROWS($1:53)),)="1111",OFFSET(TH!D$1,SMALL(Dong1,ROWS($1:53)),),""))</f>
        <v/>
      </c>
      <c r="E66" s="373" t="str">
        <f ca="1">IF(ROWS($1:53)&gt;COUNT(Dong1),"",OFFSET(TH!F$1,SMALL(Dong1,ROWS($1:53)),))</f>
        <v/>
      </c>
      <c r="F66" s="166" t="str">
        <f ca="1">IF(ROWS($1:53)&gt;COUNT(Dong1),"",IF(OFFSET(TH!O$1,SMALL(Dong1,ROWS($1:53)),)="1111",OFFSET(TH!N$1,SMALL(Dong1,ROWS($1:53)),),OFFSET(TH!O$1,SMALL(Dong1,ROWS($1:53)),)))</f>
        <v/>
      </c>
      <c r="G66" s="167" t="str">
        <f ca="1">IF(ROWS($1:53)&gt;COUNT(Dong1),"",IF(OFFSET(TH!N$1,SMALL(Dong1,ROWS($1:53)),)="1111",OFFSET(TH!M$1,SMALL(Dong1,ROWS($1:53)),),0))</f>
        <v/>
      </c>
      <c r="H66" s="165" t="str">
        <f ca="1">IF(ROWS($1:53)&gt;COUNT(Dong1),"",IF(OFFSET(TH!O$1,SMALL(Dong1,ROWS($1:53)),)="1111",OFFSET(TH!M$1,SMALL(Dong1,ROWS($1:53)),),0))</f>
        <v/>
      </c>
      <c r="I66" s="163">
        <f t="shared" ca="1" si="1"/>
        <v>0</v>
      </c>
      <c r="J66" s="168"/>
    </row>
    <row r="67" spans="1:10" ht="19.5" customHeight="1">
      <c r="A67" s="162" t="str">
        <f ca="1">IF(ROWS($1:54)&gt;COUNT(Dong1),"",OFFSET(TH!C$1,SMALL(Dong1,ROWS($1:54)),))</f>
        <v/>
      </c>
      <c r="B67" s="162" t="str">
        <f ca="1">IF(ROWS($1:54)&gt;COUNT(Dong1),"",OFFSET(TH!E$1,SMALL(Dong1,ROWS($1:54)),))</f>
        <v/>
      </c>
      <c r="C67" s="163" t="str">
        <f ca="1">IF(ROWS($1:54)&gt;COUNT(Dong1),"",IF(OFFSET(TH!N$1,SMALL(Dong1,ROWS($1:54)),)="1111",OFFSET(TH!D$1,SMALL(Dong1,ROWS($1:54)),),""))</f>
        <v/>
      </c>
      <c r="D67" s="164" t="str">
        <f ca="1">IF(ROWS($1:54)&gt;COUNT(Dong1),"",IF(OFFSET(TH!O$1,SMALL(Dong1,ROWS($1:54)),)="1111",OFFSET(TH!D$1,SMALL(Dong1,ROWS($1:54)),),""))</f>
        <v/>
      </c>
      <c r="E67" s="373" t="str">
        <f ca="1">IF(ROWS($1:54)&gt;COUNT(Dong1),"",OFFSET(TH!F$1,SMALL(Dong1,ROWS($1:54)),))</f>
        <v/>
      </c>
      <c r="F67" s="166" t="str">
        <f ca="1">IF(ROWS($1:54)&gt;COUNT(Dong1),"",IF(OFFSET(TH!O$1,SMALL(Dong1,ROWS($1:54)),)="1111",OFFSET(TH!N$1,SMALL(Dong1,ROWS($1:54)),),OFFSET(TH!O$1,SMALL(Dong1,ROWS($1:54)),)))</f>
        <v/>
      </c>
      <c r="G67" s="167" t="str">
        <f ca="1">IF(ROWS($1:54)&gt;COUNT(Dong1),"",IF(OFFSET(TH!N$1,SMALL(Dong1,ROWS($1:54)),)="1111",OFFSET(TH!M$1,SMALL(Dong1,ROWS($1:54)),),0))</f>
        <v/>
      </c>
      <c r="H67" s="165" t="str">
        <f ca="1">IF(ROWS($1:54)&gt;COUNT(Dong1),"",IF(OFFSET(TH!O$1,SMALL(Dong1,ROWS($1:54)),)="1111",OFFSET(TH!M$1,SMALL(Dong1,ROWS($1:54)),),0))</f>
        <v/>
      </c>
      <c r="I67" s="163">
        <f t="shared" ca="1" si="1"/>
        <v>0</v>
      </c>
      <c r="J67" s="168"/>
    </row>
    <row r="68" spans="1:10" ht="19.5" customHeight="1">
      <c r="A68" s="162" t="str">
        <f ca="1">IF(ROWS($1:55)&gt;COUNT(Dong1),"",OFFSET(TH!C$1,SMALL(Dong1,ROWS($1:55)),))</f>
        <v/>
      </c>
      <c r="B68" s="162" t="str">
        <f ca="1">IF(ROWS($1:55)&gt;COUNT(Dong1),"",OFFSET(TH!E$1,SMALL(Dong1,ROWS($1:55)),))</f>
        <v/>
      </c>
      <c r="C68" s="163" t="str">
        <f ca="1">IF(ROWS($1:55)&gt;COUNT(Dong1),"",IF(OFFSET(TH!N$1,SMALL(Dong1,ROWS($1:55)),)="1111",OFFSET(TH!D$1,SMALL(Dong1,ROWS($1:55)),),""))</f>
        <v/>
      </c>
      <c r="D68" s="164" t="str">
        <f ca="1">IF(ROWS($1:55)&gt;COUNT(Dong1),"",IF(OFFSET(TH!O$1,SMALL(Dong1,ROWS($1:55)),)="1111",OFFSET(TH!D$1,SMALL(Dong1,ROWS($1:55)),),""))</f>
        <v/>
      </c>
      <c r="E68" s="373" t="str">
        <f ca="1">IF(ROWS($1:55)&gt;COUNT(Dong1),"",OFFSET(TH!F$1,SMALL(Dong1,ROWS($1:55)),))</f>
        <v/>
      </c>
      <c r="F68" s="166" t="str">
        <f ca="1">IF(ROWS($1:55)&gt;COUNT(Dong1),"",IF(OFFSET(TH!O$1,SMALL(Dong1,ROWS($1:55)),)="1111",OFFSET(TH!N$1,SMALL(Dong1,ROWS($1:55)),),OFFSET(TH!O$1,SMALL(Dong1,ROWS($1:55)),)))</f>
        <v/>
      </c>
      <c r="G68" s="167" t="str">
        <f ca="1">IF(ROWS($1:55)&gt;COUNT(Dong1),"",IF(OFFSET(TH!N$1,SMALL(Dong1,ROWS($1:55)),)="1111",OFFSET(TH!M$1,SMALL(Dong1,ROWS($1:55)),),0))</f>
        <v/>
      </c>
      <c r="H68" s="165" t="str">
        <f ca="1">IF(ROWS($1:55)&gt;COUNT(Dong1),"",IF(OFFSET(TH!O$1,SMALL(Dong1,ROWS($1:55)),)="1111",OFFSET(TH!M$1,SMALL(Dong1,ROWS($1:55)),),0))</f>
        <v/>
      </c>
      <c r="I68" s="163">
        <f t="shared" ca="1" si="1"/>
        <v>0</v>
      </c>
      <c r="J68" s="168"/>
    </row>
    <row r="69" spans="1:10" ht="19.5" customHeight="1">
      <c r="A69" s="162" t="str">
        <f ca="1">IF(ROWS($1:56)&gt;COUNT(Dong1),"",OFFSET(TH!C$1,SMALL(Dong1,ROWS($1:56)),))</f>
        <v/>
      </c>
      <c r="B69" s="162" t="str">
        <f ca="1">IF(ROWS($1:56)&gt;COUNT(Dong1),"",OFFSET(TH!E$1,SMALL(Dong1,ROWS($1:56)),))</f>
        <v/>
      </c>
      <c r="C69" s="163" t="str">
        <f ca="1">IF(ROWS($1:56)&gt;COUNT(Dong1),"",IF(OFFSET(TH!N$1,SMALL(Dong1,ROWS($1:56)),)="1111",OFFSET(TH!D$1,SMALL(Dong1,ROWS($1:56)),),""))</f>
        <v/>
      </c>
      <c r="D69" s="164" t="str">
        <f ca="1">IF(ROWS($1:56)&gt;COUNT(Dong1),"",IF(OFFSET(TH!O$1,SMALL(Dong1,ROWS($1:56)),)="1111",OFFSET(TH!D$1,SMALL(Dong1,ROWS($1:56)),),""))</f>
        <v/>
      </c>
      <c r="E69" s="373" t="str">
        <f ca="1">IF(ROWS($1:56)&gt;COUNT(Dong1),"",OFFSET(TH!F$1,SMALL(Dong1,ROWS($1:56)),))</f>
        <v/>
      </c>
      <c r="F69" s="166" t="str">
        <f ca="1">IF(ROWS($1:56)&gt;COUNT(Dong1),"",IF(OFFSET(TH!O$1,SMALL(Dong1,ROWS($1:56)),)="1111",OFFSET(TH!N$1,SMALL(Dong1,ROWS($1:56)),),OFFSET(TH!O$1,SMALL(Dong1,ROWS($1:56)),)))</f>
        <v/>
      </c>
      <c r="G69" s="167" t="str">
        <f ca="1">IF(ROWS($1:56)&gt;COUNT(Dong1),"",IF(OFFSET(TH!N$1,SMALL(Dong1,ROWS($1:56)),)="1111",OFFSET(TH!M$1,SMALL(Dong1,ROWS($1:56)),),0))</f>
        <v/>
      </c>
      <c r="H69" s="165" t="str">
        <f ca="1">IF(ROWS($1:56)&gt;COUNT(Dong1),"",IF(OFFSET(TH!O$1,SMALL(Dong1,ROWS($1:56)),)="1111",OFFSET(TH!M$1,SMALL(Dong1,ROWS($1:56)),),0))</f>
        <v/>
      </c>
      <c r="I69" s="163">
        <f t="shared" ca="1" si="1"/>
        <v>0</v>
      </c>
      <c r="J69" s="168"/>
    </row>
    <row r="70" spans="1:10" ht="19.5" customHeight="1">
      <c r="A70" s="162" t="str">
        <f ca="1">IF(ROWS($1:57)&gt;COUNT(Dong1),"",OFFSET(TH!C$1,SMALL(Dong1,ROWS($1:57)),))</f>
        <v/>
      </c>
      <c r="B70" s="162" t="str">
        <f ca="1">IF(ROWS($1:57)&gt;COUNT(Dong1),"",OFFSET(TH!E$1,SMALL(Dong1,ROWS($1:57)),))</f>
        <v/>
      </c>
      <c r="C70" s="163" t="str">
        <f ca="1">IF(ROWS($1:57)&gt;COUNT(Dong1),"",IF(OFFSET(TH!N$1,SMALL(Dong1,ROWS($1:57)),)="1111",OFFSET(TH!D$1,SMALL(Dong1,ROWS($1:57)),),""))</f>
        <v/>
      </c>
      <c r="D70" s="164" t="str">
        <f ca="1">IF(ROWS($1:57)&gt;COUNT(Dong1),"",IF(OFFSET(TH!O$1,SMALL(Dong1,ROWS($1:57)),)="1111",OFFSET(TH!D$1,SMALL(Dong1,ROWS($1:57)),),""))</f>
        <v/>
      </c>
      <c r="E70" s="373" t="str">
        <f ca="1">IF(ROWS($1:57)&gt;COUNT(Dong1),"",OFFSET(TH!F$1,SMALL(Dong1,ROWS($1:57)),))</f>
        <v/>
      </c>
      <c r="F70" s="166" t="str">
        <f ca="1">IF(ROWS($1:57)&gt;COUNT(Dong1),"",IF(OFFSET(TH!O$1,SMALL(Dong1,ROWS($1:57)),)="1111",OFFSET(TH!N$1,SMALL(Dong1,ROWS($1:57)),),OFFSET(TH!O$1,SMALL(Dong1,ROWS($1:57)),)))</f>
        <v/>
      </c>
      <c r="G70" s="167" t="str">
        <f ca="1">IF(ROWS($1:57)&gt;COUNT(Dong1),"",IF(OFFSET(TH!N$1,SMALL(Dong1,ROWS($1:57)),)="1111",OFFSET(TH!M$1,SMALL(Dong1,ROWS($1:57)),),0))</f>
        <v/>
      </c>
      <c r="H70" s="165" t="str">
        <f ca="1">IF(ROWS($1:57)&gt;COUNT(Dong1),"",IF(OFFSET(TH!O$1,SMALL(Dong1,ROWS($1:57)),)="1111",OFFSET(TH!M$1,SMALL(Dong1,ROWS($1:57)),),0))</f>
        <v/>
      </c>
      <c r="I70" s="163">
        <f t="shared" ca="1" si="1"/>
        <v>0</v>
      </c>
      <c r="J70" s="168"/>
    </row>
    <row r="71" spans="1:10" ht="19.5" customHeight="1">
      <c r="A71" s="162" t="str">
        <f ca="1">IF(ROWS($1:58)&gt;COUNT(Dong1),"",OFFSET(TH!C$1,SMALL(Dong1,ROWS($1:58)),))</f>
        <v/>
      </c>
      <c r="B71" s="162" t="str">
        <f ca="1">IF(ROWS($1:58)&gt;COUNT(Dong1),"",OFFSET(TH!E$1,SMALL(Dong1,ROWS($1:58)),))</f>
        <v/>
      </c>
      <c r="C71" s="163" t="str">
        <f ca="1">IF(ROWS($1:58)&gt;COUNT(Dong1),"",IF(OFFSET(TH!N$1,SMALL(Dong1,ROWS($1:58)),)="1111",OFFSET(TH!D$1,SMALL(Dong1,ROWS($1:58)),),""))</f>
        <v/>
      </c>
      <c r="D71" s="164" t="str">
        <f ca="1">IF(ROWS($1:58)&gt;COUNT(Dong1),"",IF(OFFSET(TH!O$1,SMALL(Dong1,ROWS($1:58)),)="1111",OFFSET(TH!D$1,SMALL(Dong1,ROWS($1:58)),),""))</f>
        <v/>
      </c>
      <c r="E71" s="373" t="str">
        <f ca="1">IF(ROWS($1:58)&gt;COUNT(Dong1),"",OFFSET(TH!F$1,SMALL(Dong1,ROWS($1:58)),))</f>
        <v/>
      </c>
      <c r="F71" s="166" t="str">
        <f ca="1">IF(ROWS($1:58)&gt;COUNT(Dong1),"",IF(OFFSET(TH!O$1,SMALL(Dong1,ROWS($1:58)),)="1111",OFFSET(TH!N$1,SMALL(Dong1,ROWS($1:58)),),OFFSET(TH!O$1,SMALL(Dong1,ROWS($1:58)),)))</f>
        <v/>
      </c>
      <c r="G71" s="167" t="str">
        <f ca="1">IF(ROWS($1:58)&gt;COUNT(Dong1),"",IF(OFFSET(TH!N$1,SMALL(Dong1,ROWS($1:58)),)="1111",OFFSET(TH!M$1,SMALL(Dong1,ROWS($1:58)),),0))</f>
        <v/>
      </c>
      <c r="H71" s="165" t="str">
        <f ca="1">IF(ROWS($1:58)&gt;COUNT(Dong1),"",IF(OFFSET(TH!O$1,SMALL(Dong1,ROWS($1:58)),)="1111",OFFSET(TH!M$1,SMALL(Dong1,ROWS($1:58)),),0))</f>
        <v/>
      </c>
      <c r="I71" s="163">
        <f t="shared" ca="1" si="1"/>
        <v>0</v>
      </c>
      <c r="J71" s="168"/>
    </row>
    <row r="72" spans="1:10" ht="19.5" customHeight="1">
      <c r="A72" s="162" t="str">
        <f ca="1">IF(ROWS($1:59)&gt;COUNT(Dong1),"",OFFSET(TH!C$1,SMALL(Dong1,ROWS($1:59)),))</f>
        <v/>
      </c>
      <c r="B72" s="162" t="str">
        <f ca="1">IF(ROWS($1:59)&gt;COUNT(Dong1),"",OFFSET(TH!E$1,SMALL(Dong1,ROWS($1:59)),))</f>
        <v/>
      </c>
      <c r="C72" s="163" t="str">
        <f ca="1">IF(ROWS($1:59)&gt;COUNT(Dong1),"",IF(OFFSET(TH!N$1,SMALL(Dong1,ROWS($1:59)),)="1111",OFFSET(TH!D$1,SMALL(Dong1,ROWS($1:59)),),""))</f>
        <v/>
      </c>
      <c r="D72" s="164" t="str">
        <f ca="1">IF(ROWS($1:59)&gt;COUNT(Dong1),"",IF(OFFSET(TH!O$1,SMALL(Dong1,ROWS($1:59)),)="1111",OFFSET(TH!D$1,SMALL(Dong1,ROWS($1:59)),),""))</f>
        <v/>
      </c>
      <c r="E72" s="373" t="str">
        <f ca="1">IF(ROWS($1:59)&gt;COUNT(Dong1),"",OFFSET(TH!F$1,SMALL(Dong1,ROWS($1:59)),))</f>
        <v/>
      </c>
      <c r="F72" s="166" t="str">
        <f ca="1">IF(ROWS($1:59)&gt;COUNT(Dong1),"",IF(OFFSET(TH!O$1,SMALL(Dong1,ROWS($1:59)),)="1111",OFFSET(TH!N$1,SMALL(Dong1,ROWS($1:59)),),OFFSET(TH!O$1,SMALL(Dong1,ROWS($1:59)),)))</f>
        <v/>
      </c>
      <c r="G72" s="167" t="str">
        <f ca="1">IF(ROWS($1:59)&gt;COUNT(Dong1),"",IF(OFFSET(TH!N$1,SMALL(Dong1,ROWS($1:59)),)="1111",OFFSET(TH!M$1,SMALL(Dong1,ROWS($1:59)),),0))</f>
        <v/>
      </c>
      <c r="H72" s="165" t="str">
        <f ca="1">IF(ROWS($1:59)&gt;COUNT(Dong1),"",IF(OFFSET(TH!O$1,SMALL(Dong1,ROWS($1:59)),)="1111",OFFSET(TH!M$1,SMALL(Dong1,ROWS($1:59)),),0))</f>
        <v/>
      </c>
      <c r="I72" s="163">
        <f t="shared" ca="1" si="1"/>
        <v>0</v>
      </c>
      <c r="J72" s="168"/>
    </row>
    <row r="73" spans="1:10" ht="19.5" customHeight="1">
      <c r="A73" s="162" t="str">
        <f ca="1">IF(ROWS($1:60)&gt;COUNT(Dong1),"",OFFSET(TH!C$1,SMALL(Dong1,ROWS($1:60)),))</f>
        <v/>
      </c>
      <c r="B73" s="162" t="str">
        <f ca="1">IF(ROWS($1:60)&gt;COUNT(Dong1),"",OFFSET(TH!E$1,SMALL(Dong1,ROWS($1:60)),))</f>
        <v/>
      </c>
      <c r="C73" s="163" t="str">
        <f ca="1">IF(ROWS($1:60)&gt;COUNT(Dong1),"",IF(OFFSET(TH!N$1,SMALL(Dong1,ROWS($1:60)),)="1111",OFFSET(TH!D$1,SMALL(Dong1,ROWS($1:60)),),""))</f>
        <v/>
      </c>
      <c r="D73" s="164" t="str">
        <f ca="1">IF(ROWS($1:60)&gt;COUNT(Dong1),"",IF(OFFSET(TH!O$1,SMALL(Dong1,ROWS($1:60)),)="1111",OFFSET(TH!D$1,SMALL(Dong1,ROWS($1:60)),),""))</f>
        <v/>
      </c>
      <c r="E73" s="373" t="str">
        <f ca="1">IF(ROWS($1:60)&gt;COUNT(Dong1),"",OFFSET(TH!F$1,SMALL(Dong1,ROWS($1:60)),))</f>
        <v/>
      </c>
      <c r="F73" s="166" t="str">
        <f ca="1">IF(ROWS($1:60)&gt;COUNT(Dong1),"",IF(OFFSET(TH!O$1,SMALL(Dong1,ROWS($1:60)),)="1111",OFFSET(TH!N$1,SMALL(Dong1,ROWS($1:60)),),OFFSET(TH!O$1,SMALL(Dong1,ROWS($1:60)),)))</f>
        <v/>
      </c>
      <c r="G73" s="167" t="str">
        <f ca="1">IF(ROWS($1:60)&gt;COUNT(Dong1),"",IF(OFFSET(TH!N$1,SMALL(Dong1,ROWS($1:60)),)="1111",OFFSET(TH!M$1,SMALL(Dong1,ROWS($1:60)),),0))</f>
        <v/>
      </c>
      <c r="H73" s="165" t="str">
        <f ca="1">IF(ROWS($1:60)&gt;COUNT(Dong1),"",IF(OFFSET(TH!O$1,SMALL(Dong1,ROWS($1:60)),)="1111",OFFSET(TH!M$1,SMALL(Dong1,ROWS($1:60)),),0))</f>
        <v/>
      </c>
      <c r="I73" s="163">
        <f t="shared" ca="1" si="1"/>
        <v>0</v>
      </c>
      <c r="J73" s="168"/>
    </row>
    <row r="74" spans="1:10" ht="19.5" customHeight="1">
      <c r="A74" s="162" t="str">
        <f ca="1">IF(ROWS($1:61)&gt;COUNT(Dong1),"",OFFSET(TH!C$1,SMALL(Dong1,ROWS($1:61)),))</f>
        <v/>
      </c>
      <c r="B74" s="162" t="str">
        <f ca="1">IF(ROWS($1:61)&gt;COUNT(Dong1),"",OFFSET(TH!E$1,SMALL(Dong1,ROWS($1:61)),))</f>
        <v/>
      </c>
      <c r="C74" s="163" t="str">
        <f ca="1">IF(ROWS($1:61)&gt;COUNT(Dong1),"",IF(OFFSET(TH!N$1,SMALL(Dong1,ROWS($1:61)),)="1111",OFFSET(TH!D$1,SMALL(Dong1,ROWS($1:61)),),""))</f>
        <v/>
      </c>
      <c r="D74" s="164" t="str">
        <f ca="1">IF(ROWS($1:61)&gt;COUNT(Dong1),"",IF(OFFSET(TH!O$1,SMALL(Dong1,ROWS($1:61)),)="1111",OFFSET(TH!D$1,SMALL(Dong1,ROWS($1:61)),),""))</f>
        <v/>
      </c>
      <c r="E74" s="373" t="str">
        <f ca="1">IF(ROWS($1:61)&gt;COUNT(Dong1),"",OFFSET(TH!F$1,SMALL(Dong1,ROWS($1:61)),))</f>
        <v/>
      </c>
      <c r="F74" s="166" t="str">
        <f ca="1">IF(ROWS($1:61)&gt;COUNT(Dong1),"",IF(OFFSET(TH!O$1,SMALL(Dong1,ROWS($1:61)),)="1111",OFFSET(TH!N$1,SMALL(Dong1,ROWS($1:61)),),OFFSET(TH!O$1,SMALL(Dong1,ROWS($1:61)),)))</f>
        <v/>
      </c>
      <c r="G74" s="167" t="str">
        <f ca="1">IF(ROWS($1:61)&gt;COUNT(Dong1),"",IF(OFFSET(TH!N$1,SMALL(Dong1,ROWS($1:61)),)="1111",OFFSET(TH!M$1,SMALL(Dong1,ROWS($1:61)),),0))</f>
        <v/>
      </c>
      <c r="H74" s="165" t="str">
        <f ca="1">IF(ROWS($1:61)&gt;COUNT(Dong1),"",IF(OFFSET(TH!O$1,SMALL(Dong1,ROWS($1:61)),)="1111",OFFSET(TH!M$1,SMALL(Dong1,ROWS($1:61)),),0))</f>
        <v/>
      </c>
      <c r="I74" s="163">
        <f t="shared" ca="1" si="1"/>
        <v>0</v>
      </c>
      <c r="J74" s="168"/>
    </row>
    <row r="75" spans="1:10" ht="19.5" customHeight="1">
      <c r="A75" s="162" t="str">
        <f ca="1">IF(ROWS($1:62)&gt;COUNT(Dong1),"",OFFSET(TH!C$1,SMALL(Dong1,ROWS($1:62)),))</f>
        <v/>
      </c>
      <c r="B75" s="162" t="str">
        <f ca="1">IF(ROWS($1:62)&gt;COUNT(Dong1),"",OFFSET(TH!E$1,SMALL(Dong1,ROWS($1:62)),))</f>
        <v/>
      </c>
      <c r="C75" s="163" t="str">
        <f ca="1">IF(ROWS($1:62)&gt;COUNT(Dong1),"",IF(OFFSET(TH!N$1,SMALL(Dong1,ROWS($1:62)),)="1111",OFFSET(TH!D$1,SMALL(Dong1,ROWS($1:62)),),""))</f>
        <v/>
      </c>
      <c r="D75" s="164" t="str">
        <f ca="1">IF(ROWS($1:62)&gt;COUNT(Dong1),"",IF(OFFSET(TH!O$1,SMALL(Dong1,ROWS($1:62)),)="1111",OFFSET(TH!D$1,SMALL(Dong1,ROWS($1:62)),),""))</f>
        <v/>
      </c>
      <c r="E75" s="373" t="str">
        <f ca="1">IF(ROWS($1:62)&gt;COUNT(Dong1),"",OFFSET(TH!F$1,SMALL(Dong1,ROWS($1:62)),))</f>
        <v/>
      </c>
      <c r="F75" s="166" t="str">
        <f ca="1">IF(ROWS($1:62)&gt;COUNT(Dong1),"",IF(OFFSET(TH!O$1,SMALL(Dong1,ROWS($1:62)),)="1111",OFFSET(TH!N$1,SMALL(Dong1,ROWS($1:62)),),OFFSET(TH!O$1,SMALL(Dong1,ROWS($1:62)),)))</f>
        <v/>
      </c>
      <c r="G75" s="167" t="str">
        <f ca="1">IF(ROWS($1:62)&gt;COUNT(Dong1),"",IF(OFFSET(TH!N$1,SMALL(Dong1,ROWS($1:62)),)="1111",OFFSET(TH!M$1,SMALL(Dong1,ROWS($1:62)),),0))</f>
        <v/>
      </c>
      <c r="H75" s="165" t="str">
        <f ca="1">IF(ROWS($1:62)&gt;COUNT(Dong1),"",IF(OFFSET(TH!O$1,SMALL(Dong1,ROWS($1:62)),)="1111",OFFSET(TH!M$1,SMALL(Dong1,ROWS($1:62)),),0))</f>
        <v/>
      </c>
      <c r="I75" s="163">
        <f t="shared" ca="1" si="1"/>
        <v>0</v>
      </c>
      <c r="J75" s="168"/>
    </row>
    <row r="76" spans="1:10" ht="19.5" customHeight="1">
      <c r="A76" s="162" t="str">
        <f ca="1">IF(ROWS($1:63)&gt;COUNT(Dong1),"",OFFSET(TH!C$1,SMALL(Dong1,ROWS($1:63)),))</f>
        <v/>
      </c>
      <c r="B76" s="162" t="str">
        <f ca="1">IF(ROWS($1:63)&gt;COUNT(Dong1),"",OFFSET(TH!E$1,SMALL(Dong1,ROWS($1:63)),))</f>
        <v/>
      </c>
      <c r="C76" s="163" t="str">
        <f ca="1">IF(ROWS($1:63)&gt;COUNT(Dong1),"",IF(OFFSET(TH!N$1,SMALL(Dong1,ROWS($1:63)),)="1111",OFFSET(TH!D$1,SMALL(Dong1,ROWS($1:63)),),""))</f>
        <v/>
      </c>
      <c r="D76" s="164" t="str">
        <f ca="1">IF(ROWS($1:63)&gt;COUNT(Dong1),"",IF(OFFSET(TH!O$1,SMALL(Dong1,ROWS($1:63)),)="1111",OFFSET(TH!D$1,SMALL(Dong1,ROWS($1:63)),),""))</f>
        <v/>
      </c>
      <c r="E76" s="373" t="str">
        <f ca="1">IF(ROWS($1:63)&gt;COUNT(Dong1),"",OFFSET(TH!F$1,SMALL(Dong1,ROWS($1:63)),))</f>
        <v/>
      </c>
      <c r="F76" s="166" t="str">
        <f ca="1">IF(ROWS($1:63)&gt;COUNT(Dong1),"",IF(OFFSET(TH!O$1,SMALL(Dong1,ROWS($1:63)),)="1111",OFFSET(TH!N$1,SMALL(Dong1,ROWS($1:63)),),OFFSET(TH!O$1,SMALL(Dong1,ROWS($1:63)),)))</f>
        <v/>
      </c>
      <c r="G76" s="167" t="str">
        <f ca="1">IF(ROWS($1:63)&gt;COUNT(Dong1),"",IF(OFFSET(TH!N$1,SMALL(Dong1,ROWS($1:63)),)="1111",OFFSET(TH!M$1,SMALL(Dong1,ROWS($1:63)),),0))</f>
        <v/>
      </c>
      <c r="H76" s="165" t="str">
        <f ca="1">IF(ROWS($1:63)&gt;COUNT(Dong1),"",IF(OFFSET(TH!O$1,SMALL(Dong1,ROWS($1:63)),)="1111",OFFSET(TH!M$1,SMALL(Dong1,ROWS($1:63)),),0))</f>
        <v/>
      </c>
      <c r="I76" s="163">
        <f t="shared" ca="1" si="1"/>
        <v>0</v>
      </c>
      <c r="J76" s="168"/>
    </row>
    <row r="77" spans="1:10" ht="19.5" customHeight="1">
      <c r="A77" s="162" t="str">
        <f ca="1">IF(ROWS($1:64)&gt;COUNT(Dong1),"",OFFSET(TH!C$1,SMALL(Dong1,ROWS($1:64)),))</f>
        <v/>
      </c>
      <c r="B77" s="162" t="str">
        <f ca="1">IF(ROWS($1:64)&gt;COUNT(Dong1),"",OFFSET(TH!E$1,SMALL(Dong1,ROWS($1:64)),))</f>
        <v/>
      </c>
      <c r="C77" s="163" t="str">
        <f ca="1">IF(ROWS($1:64)&gt;COUNT(Dong1),"",IF(OFFSET(TH!N$1,SMALL(Dong1,ROWS($1:64)),)="1111",OFFSET(TH!D$1,SMALL(Dong1,ROWS($1:64)),),""))</f>
        <v/>
      </c>
      <c r="D77" s="164" t="str">
        <f ca="1">IF(ROWS($1:64)&gt;COUNT(Dong1),"",IF(OFFSET(TH!O$1,SMALL(Dong1,ROWS($1:64)),)="1111",OFFSET(TH!D$1,SMALL(Dong1,ROWS($1:64)),),""))</f>
        <v/>
      </c>
      <c r="E77" s="373" t="str">
        <f ca="1">IF(ROWS($1:64)&gt;COUNT(Dong1),"",OFFSET(TH!F$1,SMALL(Dong1,ROWS($1:64)),))</f>
        <v/>
      </c>
      <c r="F77" s="166" t="str">
        <f ca="1">IF(ROWS($1:64)&gt;COUNT(Dong1),"",IF(OFFSET(TH!O$1,SMALL(Dong1,ROWS($1:64)),)="1111",OFFSET(TH!N$1,SMALL(Dong1,ROWS($1:64)),),OFFSET(TH!O$1,SMALL(Dong1,ROWS($1:64)),)))</f>
        <v/>
      </c>
      <c r="G77" s="167" t="str">
        <f ca="1">IF(ROWS($1:64)&gt;COUNT(Dong1),"",IF(OFFSET(TH!N$1,SMALL(Dong1,ROWS($1:64)),)="1111",OFFSET(TH!M$1,SMALL(Dong1,ROWS($1:64)),),0))</f>
        <v/>
      </c>
      <c r="H77" s="165" t="str">
        <f ca="1">IF(ROWS($1:64)&gt;COUNT(Dong1),"",IF(OFFSET(TH!O$1,SMALL(Dong1,ROWS($1:64)),)="1111",OFFSET(TH!M$1,SMALL(Dong1,ROWS($1:64)),),0))</f>
        <v/>
      </c>
      <c r="I77" s="163">
        <f t="shared" ca="1" si="1"/>
        <v>0</v>
      </c>
      <c r="J77" s="168"/>
    </row>
    <row r="78" spans="1:10" ht="19.5" customHeight="1">
      <c r="A78" s="162" t="str">
        <f ca="1">IF(ROWS($1:65)&gt;COUNT(Dong1),"",OFFSET(TH!C$1,SMALL(Dong1,ROWS($1:65)),))</f>
        <v/>
      </c>
      <c r="B78" s="162" t="str">
        <f ca="1">IF(ROWS($1:65)&gt;COUNT(Dong1),"",OFFSET(TH!E$1,SMALL(Dong1,ROWS($1:65)),))</f>
        <v/>
      </c>
      <c r="C78" s="163" t="str">
        <f ca="1">IF(ROWS($1:65)&gt;COUNT(Dong1),"",IF(OFFSET(TH!N$1,SMALL(Dong1,ROWS($1:65)),)="1111",OFFSET(TH!D$1,SMALL(Dong1,ROWS($1:65)),),""))</f>
        <v/>
      </c>
      <c r="D78" s="164" t="str">
        <f ca="1">IF(ROWS($1:65)&gt;COUNT(Dong1),"",IF(OFFSET(TH!O$1,SMALL(Dong1,ROWS($1:65)),)="1111",OFFSET(TH!D$1,SMALL(Dong1,ROWS($1:65)),),""))</f>
        <v/>
      </c>
      <c r="E78" s="373" t="str">
        <f ca="1">IF(ROWS($1:65)&gt;COUNT(Dong1),"",OFFSET(TH!F$1,SMALL(Dong1,ROWS($1:65)),))</f>
        <v/>
      </c>
      <c r="F78" s="166" t="str">
        <f ca="1">IF(ROWS($1:65)&gt;COUNT(Dong1),"",IF(OFFSET(TH!O$1,SMALL(Dong1,ROWS($1:65)),)="1111",OFFSET(TH!N$1,SMALL(Dong1,ROWS($1:65)),),OFFSET(TH!O$1,SMALL(Dong1,ROWS($1:65)),)))</f>
        <v/>
      </c>
      <c r="G78" s="167" t="str">
        <f ca="1">IF(ROWS($1:65)&gt;COUNT(Dong1),"",IF(OFFSET(TH!N$1,SMALL(Dong1,ROWS($1:65)),)="1111",OFFSET(TH!M$1,SMALL(Dong1,ROWS($1:65)),),0))</f>
        <v/>
      </c>
      <c r="H78" s="165" t="str">
        <f ca="1">IF(ROWS($1:65)&gt;COUNT(Dong1),"",IF(OFFSET(TH!O$1,SMALL(Dong1,ROWS($1:65)),)="1111",OFFSET(TH!M$1,SMALL(Dong1,ROWS($1:65)),),0))</f>
        <v/>
      </c>
      <c r="I78" s="163">
        <f t="shared" ref="I78:I109" ca="1" si="2">IF(E78&lt;&gt;"",I77+G78-H78,0)</f>
        <v>0</v>
      </c>
      <c r="J78" s="168"/>
    </row>
    <row r="79" spans="1:10" ht="19.5" customHeight="1">
      <c r="A79" s="162" t="str">
        <f ca="1">IF(ROWS($1:66)&gt;COUNT(Dong1),"",OFFSET(TH!C$1,SMALL(Dong1,ROWS($1:66)),))</f>
        <v/>
      </c>
      <c r="B79" s="162" t="str">
        <f ca="1">IF(ROWS($1:66)&gt;COUNT(Dong1),"",OFFSET(TH!E$1,SMALL(Dong1,ROWS($1:66)),))</f>
        <v/>
      </c>
      <c r="C79" s="163" t="str">
        <f ca="1">IF(ROWS($1:66)&gt;COUNT(Dong1),"",IF(OFFSET(TH!N$1,SMALL(Dong1,ROWS($1:66)),)="1111",OFFSET(TH!D$1,SMALL(Dong1,ROWS($1:66)),),""))</f>
        <v/>
      </c>
      <c r="D79" s="164" t="str">
        <f ca="1">IF(ROWS($1:66)&gt;COUNT(Dong1),"",IF(OFFSET(TH!O$1,SMALL(Dong1,ROWS($1:66)),)="1111",OFFSET(TH!D$1,SMALL(Dong1,ROWS($1:66)),),""))</f>
        <v/>
      </c>
      <c r="E79" s="373" t="str">
        <f ca="1">IF(ROWS($1:66)&gt;COUNT(Dong1),"",OFFSET(TH!F$1,SMALL(Dong1,ROWS($1:66)),))</f>
        <v/>
      </c>
      <c r="F79" s="166" t="str">
        <f ca="1">IF(ROWS($1:66)&gt;COUNT(Dong1),"",IF(OFFSET(TH!O$1,SMALL(Dong1,ROWS($1:66)),)="1111",OFFSET(TH!N$1,SMALL(Dong1,ROWS($1:66)),),OFFSET(TH!O$1,SMALL(Dong1,ROWS($1:66)),)))</f>
        <v/>
      </c>
      <c r="G79" s="167" t="str">
        <f ca="1">IF(ROWS($1:66)&gt;COUNT(Dong1),"",IF(OFFSET(TH!N$1,SMALL(Dong1,ROWS($1:66)),)="1111",OFFSET(TH!M$1,SMALL(Dong1,ROWS($1:66)),),0))</f>
        <v/>
      </c>
      <c r="H79" s="165" t="str">
        <f ca="1">IF(ROWS($1:66)&gt;COUNT(Dong1),"",IF(OFFSET(TH!O$1,SMALL(Dong1,ROWS($1:66)),)="1111",OFFSET(TH!M$1,SMALL(Dong1,ROWS($1:66)),),0))</f>
        <v/>
      </c>
      <c r="I79" s="163">
        <f t="shared" ca="1" si="2"/>
        <v>0</v>
      </c>
      <c r="J79" s="168"/>
    </row>
    <row r="80" spans="1:10" ht="19.5" customHeight="1">
      <c r="A80" s="162" t="str">
        <f ca="1">IF(ROWS($1:67)&gt;COUNT(Dong1),"",OFFSET(TH!C$1,SMALL(Dong1,ROWS($1:67)),))</f>
        <v/>
      </c>
      <c r="B80" s="162" t="str">
        <f ca="1">IF(ROWS($1:67)&gt;COUNT(Dong1),"",OFFSET(TH!E$1,SMALL(Dong1,ROWS($1:67)),))</f>
        <v/>
      </c>
      <c r="C80" s="163" t="str">
        <f ca="1">IF(ROWS($1:67)&gt;COUNT(Dong1),"",IF(OFFSET(TH!N$1,SMALL(Dong1,ROWS($1:67)),)="1111",OFFSET(TH!D$1,SMALL(Dong1,ROWS($1:67)),),""))</f>
        <v/>
      </c>
      <c r="D80" s="164" t="str">
        <f ca="1">IF(ROWS($1:67)&gt;COUNT(Dong1),"",IF(OFFSET(TH!O$1,SMALL(Dong1,ROWS($1:67)),)="1111",OFFSET(TH!D$1,SMALL(Dong1,ROWS($1:67)),),""))</f>
        <v/>
      </c>
      <c r="E80" s="373" t="str">
        <f ca="1">IF(ROWS($1:67)&gt;COUNT(Dong1),"",OFFSET(TH!F$1,SMALL(Dong1,ROWS($1:67)),))</f>
        <v/>
      </c>
      <c r="F80" s="166" t="str">
        <f ca="1">IF(ROWS($1:67)&gt;COUNT(Dong1),"",IF(OFFSET(TH!O$1,SMALL(Dong1,ROWS($1:67)),)="1111",OFFSET(TH!N$1,SMALL(Dong1,ROWS($1:67)),),OFFSET(TH!O$1,SMALL(Dong1,ROWS($1:67)),)))</f>
        <v/>
      </c>
      <c r="G80" s="167" t="str">
        <f ca="1">IF(ROWS($1:67)&gt;COUNT(Dong1),"",IF(OFFSET(TH!N$1,SMALL(Dong1,ROWS($1:67)),)="1111",OFFSET(TH!M$1,SMALL(Dong1,ROWS($1:67)),),0))</f>
        <v/>
      </c>
      <c r="H80" s="165" t="str">
        <f ca="1">IF(ROWS($1:67)&gt;COUNT(Dong1),"",IF(OFFSET(TH!O$1,SMALL(Dong1,ROWS($1:67)),)="1111",OFFSET(TH!M$1,SMALL(Dong1,ROWS($1:67)),),0))</f>
        <v/>
      </c>
      <c r="I80" s="163">
        <f t="shared" ca="1" si="2"/>
        <v>0</v>
      </c>
      <c r="J80" s="168"/>
    </row>
    <row r="81" spans="1:10" ht="19.5" customHeight="1">
      <c r="A81" s="162" t="str">
        <f ca="1">IF(ROWS($1:68)&gt;COUNT(Dong1),"",OFFSET(TH!C$1,SMALL(Dong1,ROWS($1:68)),))</f>
        <v/>
      </c>
      <c r="B81" s="162" t="str">
        <f ca="1">IF(ROWS($1:68)&gt;COUNT(Dong1),"",OFFSET(TH!E$1,SMALL(Dong1,ROWS($1:68)),))</f>
        <v/>
      </c>
      <c r="C81" s="163" t="str">
        <f ca="1">IF(ROWS($1:68)&gt;COUNT(Dong1),"",IF(OFFSET(TH!N$1,SMALL(Dong1,ROWS($1:68)),)="1111",OFFSET(TH!D$1,SMALL(Dong1,ROWS($1:68)),),""))</f>
        <v/>
      </c>
      <c r="D81" s="164" t="str">
        <f ca="1">IF(ROWS($1:68)&gt;COUNT(Dong1),"",IF(OFFSET(TH!O$1,SMALL(Dong1,ROWS($1:68)),)="1111",OFFSET(TH!D$1,SMALL(Dong1,ROWS($1:68)),),""))</f>
        <v/>
      </c>
      <c r="E81" s="373" t="str">
        <f ca="1">IF(ROWS($1:68)&gt;COUNT(Dong1),"",OFFSET(TH!F$1,SMALL(Dong1,ROWS($1:68)),))</f>
        <v/>
      </c>
      <c r="F81" s="166" t="str">
        <f ca="1">IF(ROWS($1:68)&gt;COUNT(Dong1),"",IF(OFFSET(TH!O$1,SMALL(Dong1,ROWS($1:68)),)="1111",OFFSET(TH!N$1,SMALL(Dong1,ROWS($1:68)),),OFFSET(TH!O$1,SMALL(Dong1,ROWS($1:68)),)))</f>
        <v/>
      </c>
      <c r="G81" s="167" t="str">
        <f ca="1">IF(ROWS($1:68)&gt;COUNT(Dong1),"",IF(OFFSET(TH!N$1,SMALL(Dong1,ROWS($1:68)),)="1111",OFFSET(TH!M$1,SMALL(Dong1,ROWS($1:68)),),0))</f>
        <v/>
      </c>
      <c r="H81" s="165" t="str">
        <f ca="1">IF(ROWS($1:68)&gt;COUNT(Dong1),"",IF(OFFSET(TH!O$1,SMALL(Dong1,ROWS($1:68)),)="1111",OFFSET(TH!M$1,SMALL(Dong1,ROWS($1:68)),),0))</f>
        <v/>
      </c>
      <c r="I81" s="163">
        <f t="shared" ca="1" si="2"/>
        <v>0</v>
      </c>
      <c r="J81" s="168"/>
    </row>
    <row r="82" spans="1:10" ht="19.5" customHeight="1">
      <c r="A82" s="162" t="str">
        <f ca="1">IF(ROWS($1:69)&gt;COUNT(Dong1),"",OFFSET(TH!C$1,SMALL(Dong1,ROWS($1:69)),))</f>
        <v/>
      </c>
      <c r="B82" s="162" t="str">
        <f ca="1">IF(ROWS($1:69)&gt;COUNT(Dong1),"",OFFSET(TH!E$1,SMALL(Dong1,ROWS($1:69)),))</f>
        <v/>
      </c>
      <c r="C82" s="163" t="str">
        <f ca="1">IF(ROWS($1:69)&gt;COUNT(Dong1),"",IF(OFFSET(TH!N$1,SMALL(Dong1,ROWS($1:69)),)="1111",OFFSET(TH!D$1,SMALL(Dong1,ROWS($1:69)),),""))</f>
        <v/>
      </c>
      <c r="D82" s="164" t="str">
        <f ca="1">IF(ROWS($1:69)&gt;COUNT(Dong1),"",IF(OFFSET(TH!O$1,SMALL(Dong1,ROWS($1:69)),)="1111",OFFSET(TH!D$1,SMALL(Dong1,ROWS($1:69)),),""))</f>
        <v/>
      </c>
      <c r="E82" s="373" t="str">
        <f ca="1">IF(ROWS($1:69)&gt;COUNT(Dong1),"",OFFSET(TH!F$1,SMALL(Dong1,ROWS($1:69)),))</f>
        <v/>
      </c>
      <c r="F82" s="166" t="str">
        <f ca="1">IF(ROWS($1:69)&gt;COUNT(Dong1),"",IF(OFFSET(TH!O$1,SMALL(Dong1,ROWS($1:69)),)="1111",OFFSET(TH!N$1,SMALL(Dong1,ROWS($1:69)),),OFFSET(TH!O$1,SMALL(Dong1,ROWS($1:69)),)))</f>
        <v/>
      </c>
      <c r="G82" s="167" t="str">
        <f ca="1">IF(ROWS($1:69)&gt;COUNT(Dong1),"",IF(OFFSET(TH!N$1,SMALL(Dong1,ROWS($1:69)),)="1111",OFFSET(TH!M$1,SMALL(Dong1,ROWS($1:69)),),0))</f>
        <v/>
      </c>
      <c r="H82" s="165" t="str">
        <f ca="1">IF(ROWS($1:69)&gt;COUNT(Dong1),"",IF(OFFSET(TH!O$1,SMALL(Dong1,ROWS($1:69)),)="1111",OFFSET(TH!M$1,SMALL(Dong1,ROWS($1:69)),),0))</f>
        <v/>
      </c>
      <c r="I82" s="163">
        <f t="shared" ca="1" si="2"/>
        <v>0</v>
      </c>
      <c r="J82" s="168"/>
    </row>
    <row r="83" spans="1:10" ht="19.5" customHeight="1">
      <c r="A83" s="162" t="str">
        <f ca="1">IF(ROWS($1:70)&gt;COUNT(Dong1),"",OFFSET(TH!C$1,SMALL(Dong1,ROWS($1:70)),))</f>
        <v/>
      </c>
      <c r="B83" s="162" t="str">
        <f ca="1">IF(ROWS($1:70)&gt;COUNT(Dong1),"",OFFSET(TH!E$1,SMALL(Dong1,ROWS($1:70)),))</f>
        <v/>
      </c>
      <c r="C83" s="163" t="str">
        <f ca="1">IF(ROWS($1:70)&gt;COUNT(Dong1),"",IF(OFFSET(TH!N$1,SMALL(Dong1,ROWS($1:70)),)="1111",OFFSET(TH!D$1,SMALL(Dong1,ROWS($1:70)),),""))</f>
        <v/>
      </c>
      <c r="D83" s="164" t="str">
        <f ca="1">IF(ROWS($1:70)&gt;COUNT(Dong1),"",IF(OFFSET(TH!O$1,SMALL(Dong1,ROWS($1:70)),)="1111",OFFSET(TH!D$1,SMALL(Dong1,ROWS($1:70)),),""))</f>
        <v/>
      </c>
      <c r="E83" s="373" t="str">
        <f ca="1">IF(ROWS($1:70)&gt;COUNT(Dong1),"",OFFSET(TH!F$1,SMALL(Dong1,ROWS($1:70)),))</f>
        <v/>
      </c>
      <c r="F83" s="166" t="str">
        <f ca="1">IF(ROWS($1:70)&gt;COUNT(Dong1),"",IF(OFFSET(TH!O$1,SMALL(Dong1,ROWS($1:70)),)="1111",OFFSET(TH!N$1,SMALL(Dong1,ROWS($1:70)),),OFFSET(TH!O$1,SMALL(Dong1,ROWS($1:70)),)))</f>
        <v/>
      </c>
      <c r="G83" s="167" t="str">
        <f ca="1">IF(ROWS($1:70)&gt;COUNT(Dong1),"",IF(OFFSET(TH!N$1,SMALL(Dong1,ROWS($1:70)),)="1111",OFFSET(TH!M$1,SMALL(Dong1,ROWS($1:70)),),0))</f>
        <v/>
      </c>
      <c r="H83" s="165" t="str">
        <f ca="1">IF(ROWS($1:70)&gt;COUNT(Dong1),"",IF(OFFSET(TH!O$1,SMALL(Dong1,ROWS($1:70)),)="1111",OFFSET(TH!M$1,SMALL(Dong1,ROWS($1:70)),),0))</f>
        <v/>
      </c>
      <c r="I83" s="163">
        <f t="shared" ca="1" si="2"/>
        <v>0</v>
      </c>
      <c r="J83" s="168"/>
    </row>
    <row r="84" spans="1:10" ht="19.5" customHeight="1">
      <c r="A84" s="162" t="str">
        <f ca="1">IF(ROWS($1:71)&gt;COUNT(Dong1),"",OFFSET(TH!C$1,SMALL(Dong1,ROWS($1:71)),))</f>
        <v/>
      </c>
      <c r="B84" s="162" t="str">
        <f ca="1">IF(ROWS($1:71)&gt;COUNT(Dong1),"",OFFSET(TH!E$1,SMALL(Dong1,ROWS($1:71)),))</f>
        <v/>
      </c>
      <c r="C84" s="163" t="str">
        <f ca="1">IF(ROWS($1:71)&gt;COUNT(Dong1),"",IF(OFFSET(TH!N$1,SMALL(Dong1,ROWS($1:71)),)="1111",OFFSET(TH!D$1,SMALL(Dong1,ROWS($1:71)),),""))</f>
        <v/>
      </c>
      <c r="D84" s="164" t="str">
        <f ca="1">IF(ROWS($1:71)&gt;COUNT(Dong1),"",IF(OFFSET(TH!O$1,SMALL(Dong1,ROWS($1:71)),)="1111",OFFSET(TH!D$1,SMALL(Dong1,ROWS($1:71)),),""))</f>
        <v/>
      </c>
      <c r="E84" s="373" t="str">
        <f ca="1">IF(ROWS($1:71)&gt;COUNT(Dong1),"",OFFSET(TH!F$1,SMALL(Dong1,ROWS($1:71)),))</f>
        <v/>
      </c>
      <c r="F84" s="166" t="str">
        <f ca="1">IF(ROWS($1:71)&gt;COUNT(Dong1),"",IF(OFFSET(TH!O$1,SMALL(Dong1,ROWS($1:71)),)="1111",OFFSET(TH!N$1,SMALL(Dong1,ROWS($1:71)),),OFFSET(TH!O$1,SMALL(Dong1,ROWS($1:71)),)))</f>
        <v/>
      </c>
      <c r="G84" s="167" t="str">
        <f ca="1">IF(ROWS($1:71)&gt;COUNT(Dong1),"",IF(OFFSET(TH!N$1,SMALL(Dong1,ROWS($1:71)),)="1111",OFFSET(TH!M$1,SMALL(Dong1,ROWS($1:71)),),0))</f>
        <v/>
      </c>
      <c r="H84" s="165" t="str">
        <f ca="1">IF(ROWS($1:71)&gt;COUNT(Dong1),"",IF(OFFSET(TH!O$1,SMALL(Dong1,ROWS($1:71)),)="1111",OFFSET(TH!M$1,SMALL(Dong1,ROWS($1:71)),),0))</f>
        <v/>
      </c>
      <c r="I84" s="163">
        <f t="shared" ca="1" si="2"/>
        <v>0</v>
      </c>
      <c r="J84" s="168"/>
    </row>
    <row r="85" spans="1:10" ht="19.5" customHeight="1">
      <c r="A85" s="162" t="str">
        <f ca="1">IF(ROWS($1:72)&gt;COUNT(Dong1),"",OFFSET(TH!C$1,SMALL(Dong1,ROWS($1:72)),))</f>
        <v/>
      </c>
      <c r="B85" s="162" t="str">
        <f ca="1">IF(ROWS($1:72)&gt;COUNT(Dong1),"",OFFSET(TH!E$1,SMALL(Dong1,ROWS($1:72)),))</f>
        <v/>
      </c>
      <c r="C85" s="163" t="str">
        <f ca="1">IF(ROWS($1:72)&gt;COUNT(Dong1),"",IF(OFFSET(TH!N$1,SMALL(Dong1,ROWS($1:72)),)="1111",OFFSET(TH!D$1,SMALL(Dong1,ROWS($1:72)),),""))</f>
        <v/>
      </c>
      <c r="D85" s="164" t="str">
        <f ca="1">IF(ROWS($1:72)&gt;COUNT(Dong1),"",IF(OFFSET(TH!O$1,SMALL(Dong1,ROWS($1:72)),)="1111",OFFSET(TH!D$1,SMALL(Dong1,ROWS($1:72)),),""))</f>
        <v/>
      </c>
      <c r="E85" s="373" t="str">
        <f ca="1">IF(ROWS($1:72)&gt;COUNT(Dong1),"",OFFSET(TH!F$1,SMALL(Dong1,ROWS($1:72)),))</f>
        <v/>
      </c>
      <c r="F85" s="166" t="str">
        <f ca="1">IF(ROWS($1:72)&gt;COUNT(Dong1),"",IF(OFFSET(TH!O$1,SMALL(Dong1,ROWS($1:72)),)="1111",OFFSET(TH!N$1,SMALL(Dong1,ROWS($1:72)),),OFFSET(TH!O$1,SMALL(Dong1,ROWS($1:72)),)))</f>
        <v/>
      </c>
      <c r="G85" s="167" t="str">
        <f ca="1">IF(ROWS($1:72)&gt;COUNT(Dong1),"",IF(OFFSET(TH!N$1,SMALL(Dong1,ROWS($1:72)),)="1111",OFFSET(TH!M$1,SMALL(Dong1,ROWS($1:72)),),0))</f>
        <v/>
      </c>
      <c r="H85" s="165" t="str">
        <f ca="1">IF(ROWS($1:72)&gt;COUNT(Dong1),"",IF(OFFSET(TH!O$1,SMALL(Dong1,ROWS($1:72)),)="1111",OFFSET(TH!M$1,SMALL(Dong1,ROWS($1:72)),),0))</f>
        <v/>
      </c>
      <c r="I85" s="163">
        <f t="shared" ca="1" si="2"/>
        <v>0</v>
      </c>
      <c r="J85" s="168"/>
    </row>
    <row r="86" spans="1:10" ht="19.5" customHeight="1">
      <c r="A86" s="162" t="str">
        <f ca="1">IF(ROWS($1:73)&gt;COUNT(Dong1),"",OFFSET(TH!C$1,SMALL(Dong1,ROWS($1:73)),))</f>
        <v/>
      </c>
      <c r="B86" s="162" t="str">
        <f ca="1">IF(ROWS($1:73)&gt;COUNT(Dong1),"",OFFSET(TH!E$1,SMALL(Dong1,ROWS($1:73)),))</f>
        <v/>
      </c>
      <c r="C86" s="163" t="str">
        <f ca="1">IF(ROWS($1:73)&gt;COUNT(Dong1),"",IF(OFFSET(TH!N$1,SMALL(Dong1,ROWS($1:73)),)="1111",OFFSET(TH!D$1,SMALL(Dong1,ROWS($1:73)),),""))</f>
        <v/>
      </c>
      <c r="D86" s="164" t="str">
        <f ca="1">IF(ROWS($1:73)&gt;COUNT(Dong1),"",IF(OFFSET(TH!O$1,SMALL(Dong1,ROWS($1:73)),)="1111",OFFSET(TH!D$1,SMALL(Dong1,ROWS($1:73)),),""))</f>
        <v/>
      </c>
      <c r="E86" s="373" t="str">
        <f ca="1">IF(ROWS($1:73)&gt;COUNT(Dong1),"",OFFSET(TH!F$1,SMALL(Dong1,ROWS($1:73)),))</f>
        <v/>
      </c>
      <c r="F86" s="166" t="str">
        <f ca="1">IF(ROWS($1:73)&gt;COUNT(Dong1),"",IF(OFFSET(TH!O$1,SMALL(Dong1,ROWS($1:73)),)="1111",OFFSET(TH!N$1,SMALL(Dong1,ROWS($1:73)),),OFFSET(TH!O$1,SMALL(Dong1,ROWS($1:73)),)))</f>
        <v/>
      </c>
      <c r="G86" s="167" t="str">
        <f ca="1">IF(ROWS($1:73)&gt;COUNT(Dong1),"",IF(OFFSET(TH!N$1,SMALL(Dong1,ROWS($1:73)),)="1111",OFFSET(TH!M$1,SMALL(Dong1,ROWS($1:73)),),0))</f>
        <v/>
      </c>
      <c r="H86" s="165" t="str">
        <f ca="1">IF(ROWS($1:73)&gt;COUNT(Dong1),"",IF(OFFSET(TH!O$1,SMALL(Dong1,ROWS($1:73)),)="1111",OFFSET(TH!M$1,SMALL(Dong1,ROWS($1:73)),),0))</f>
        <v/>
      </c>
      <c r="I86" s="163">
        <f t="shared" ca="1" si="2"/>
        <v>0</v>
      </c>
      <c r="J86" s="168"/>
    </row>
    <row r="87" spans="1:10" ht="19.5" customHeight="1">
      <c r="A87" s="162" t="str">
        <f ca="1">IF(ROWS($1:74)&gt;COUNT(Dong1),"",OFFSET(TH!C$1,SMALL(Dong1,ROWS($1:74)),))</f>
        <v/>
      </c>
      <c r="B87" s="162" t="str">
        <f ca="1">IF(ROWS($1:74)&gt;COUNT(Dong1),"",OFFSET(TH!E$1,SMALL(Dong1,ROWS($1:74)),))</f>
        <v/>
      </c>
      <c r="C87" s="163" t="str">
        <f ca="1">IF(ROWS($1:74)&gt;COUNT(Dong1),"",IF(OFFSET(TH!N$1,SMALL(Dong1,ROWS($1:74)),)="1111",OFFSET(TH!D$1,SMALL(Dong1,ROWS($1:74)),),""))</f>
        <v/>
      </c>
      <c r="D87" s="164" t="str">
        <f ca="1">IF(ROWS($1:74)&gt;COUNT(Dong1),"",IF(OFFSET(TH!O$1,SMALL(Dong1,ROWS($1:74)),)="1111",OFFSET(TH!D$1,SMALL(Dong1,ROWS($1:74)),),""))</f>
        <v/>
      </c>
      <c r="E87" s="373" t="str">
        <f ca="1">IF(ROWS($1:74)&gt;COUNT(Dong1),"",OFFSET(TH!F$1,SMALL(Dong1,ROWS($1:74)),))</f>
        <v/>
      </c>
      <c r="F87" s="166" t="str">
        <f ca="1">IF(ROWS($1:74)&gt;COUNT(Dong1),"",IF(OFFSET(TH!O$1,SMALL(Dong1,ROWS($1:74)),)="1111",OFFSET(TH!N$1,SMALL(Dong1,ROWS($1:74)),),OFFSET(TH!O$1,SMALL(Dong1,ROWS($1:74)),)))</f>
        <v/>
      </c>
      <c r="G87" s="167" t="str">
        <f ca="1">IF(ROWS($1:74)&gt;COUNT(Dong1),"",IF(OFFSET(TH!N$1,SMALL(Dong1,ROWS($1:74)),)="1111",OFFSET(TH!M$1,SMALL(Dong1,ROWS($1:74)),),0))</f>
        <v/>
      </c>
      <c r="H87" s="165" t="str">
        <f ca="1">IF(ROWS($1:74)&gt;COUNT(Dong1),"",IF(OFFSET(TH!O$1,SMALL(Dong1,ROWS($1:74)),)="1111",OFFSET(TH!M$1,SMALL(Dong1,ROWS($1:74)),),0))</f>
        <v/>
      </c>
      <c r="I87" s="163">
        <f t="shared" ca="1" si="2"/>
        <v>0</v>
      </c>
      <c r="J87" s="168"/>
    </row>
    <row r="88" spans="1:10" ht="19.5" customHeight="1">
      <c r="A88" s="162" t="str">
        <f ca="1">IF(ROWS($1:75)&gt;COUNT(Dong1),"",OFFSET(TH!C$1,SMALL(Dong1,ROWS($1:75)),))</f>
        <v/>
      </c>
      <c r="B88" s="162" t="str">
        <f ca="1">IF(ROWS($1:75)&gt;COUNT(Dong1),"",OFFSET(TH!E$1,SMALL(Dong1,ROWS($1:75)),))</f>
        <v/>
      </c>
      <c r="C88" s="163" t="str">
        <f ca="1">IF(ROWS($1:75)&gt;COUNT(Dong1),"",IF(OFFSET(TH!N$1,SMALL(Dong1,ROWS($1:75)),)="1111",OFFSET(TH!D$1,SMALL(Dong1,ROWS($1:75)),),""))</f>
        <v/>
      </c>
      <c r="D88" s="164" t="str">
        <f ca="1">IF(ROWS($1:75)&gt;COUNT(Dong1),"",IF(OFFSET(TH!O$1,SMALL(Dong1,ROWS($1:75)),)="1111",OFFSET(TH!D$1,SMALL(Dong1,ROWS($1:75)),),""))</f>
        <v/>
      </c>
      <c r="E88" s="373" t="str">
        <f ca="1">IF(ROWS($1:75)&gt;COUNT(Dong1),"",OFFSET(TH!F$1,SMALL(Dong1,ROWS($1:75)),))</f>
        <v/>
      </c>
      <c r="F88" s="166" t="str">
        <f ca="1">IF(ROWS($1:75)&gt;COUNT(Dong1),"",IF(OFFSET(TH!O$1,SMALL(Dong1,ROWS($1:75)),)="1111",OFFSET(TH!N$1,SMALL(Dong1,ROWS($1:75)),),OFFSET(TH!O$1,SMALL(Dong1,ROWS($1:75)),)))</f>
        <v/>
      </c>
      <c r="G88" s="167" t="str">
        <f ca="1">IF(ROWS($1:75)&gt;COUNT(Dong1),"",IF(OFFSET(TH!N$1,SMALL(Dong1,ROWS($1:75)),)="1111",OFFSET(TH!M$1,SMALL(Dong1,ROWS($1:75)),),0))</f>
        <v/>
      </c>
      <c r="H88" s="165" t="str">
        <f ca="1">IF(ROWS($1:75)&gt;COUNT(Dong1),"",IF(OFFSET(TH!O$1,SMALL(Dong1,ROWS($1:75)),)="1111",OFFSET(TH!M$1,SMALL(Dong1,ROWS($1:75)),),0))</f>
        <v/>
      </c>
      <c r="I88" s="163">
        <f t="shared" ca="1" si="2"/>
        <v>0</v>
      </c>
      <c r="J88" s="168"/>
    </row>
    <row r="89" spans="1:10" ht="19.5" customHeight="1">
      <c r="A89" s="162" t="str">
        <f ca="1">IF(ROWS($1:76)&gt;COUNT(Dong1),"",OFFSET(TH!C$1,SMALL(Dong1,ROWS($1:76)),))</f>
        <v/>
      </c>
      <c r="B89" s="162" t="str">
        <f ca="1">IF(ROWS($1:76)&gt;COUNT(Dong1),"",OFFSET(TH!E$1,SMALL(Dong1,ROWS($1:76)),))</f>
        <v/>
      </c>
      <c r="C89" s="163" t="str">
        <f ca="1">IF(ROWS($1:76)&gt;COUNT(Dong1),"",IF(OFFSET(TH!N$1,SMALL(Dong1,ROWS($1:76)),)="1111",OFFSET(TH!D$1,SMALL(Dong1,ROWS($1:76)),),""))</f>
        <v/>
      </c>
      <c r="D89" s="164" t="str">
        <f ca="1">IF(ROWS($1:76)&gt;COUNT(Dong1),"",IF(OFFSET(TH!O$1,SMALL(Dong1,ROWS($1:76)),)="1111",OFFSET(TH!D$1,SMALL(Dong1,ROWS($1:76)),),""))</f>
        <v/>
      </c>
      <c r="E89" s="373" t="str">
        <f ca="1">IF(ROWS($1:76)&gt;COUNT(Dong1),"",OFFSET(TH!F$1,SMALL(Dong1,ROWS($1:76)),))</f>
        <v/>
      </c>
      <c r="F89" s="166" t="str">
        <f ca="1">IF(ROWS($1:76)&gt;COUNT(Dong1),"",IF(OFFSET(TH!O$1,SMALL(Dong1,ROWS($1:76)),)="1111",OFFSET(TH!N$1,SMALL(Dong1,ROWS($1:76)),),OFFSET(TH!O$1,SMALL(Dong1,ROWS($1:76)),)))</f>
        <v/>
      </c>
      <c r="G89" s="167" t="str">
        <f ca="1">IF(ROWS($1:76)&gt;COUNT(Dong1),"",IF(OFFSET(TH!N$1,SMALL(Dong1,ROWS($1:76)),)="1111",OFFSET(TH!M$1,SMALL(Dong1,ROWS($1:76)),),0))</f>
        <v/>
      </c>
      <c r="H89" s="165" t="str">
        <f ca="1">IF(ROWS($1:76)&gt;COUNT(Dong1),"",IF(OFFSET(TH!O$1,SMALL(Dong1,ROWS($1:76)),)="1111",OFFSET(TH!M$1,SMALL(Dong1,ROWS($1:76)),),0))</f>
        <v/>
      </c>
      <c r="I89" s="163">
        <f t="shared" ca="1" si="2"/>
        <v>0</v>
      </c>
      <c r="J89" s="168"/>
    </row>
    <row r="90" spans="1:10" ht="19.5" customHeight="1">
      <c r="A90" s="162" t="str">
        <f ca="1">IF(ROWS($1:77)&gt;COUNT(Dong1),"",OFFSET(TH!C$1,SMALL(Dong1,ROWS($1:77)),))</f>
        <v/>
      </c>
      <c r="B90" s="162" t="str">
        <f ca="1">IF(ROWS($1:77)&gt;COUNT(Dong1),"",OFFSET(TH!E$1,SMALL(Dong1,ROWS($1:77)),))</f>
        <v/>
      </c>
      <c r="C90" s="163" t="str">
        <f ca="1">IF(ROWS($1:77)&gt;COUNT(Dong1),"",IF(OFFSET(TH!N$1,SMALL(Dong1,ROWS($1:77)),)="1111",OFFSET(TH!D$1,SMALL(Dong1,ROWS($1:77)),),""))</f>
        <v/>
      </c>
      <c r="D90" s="164" t="str">
        <f ca="1">IF(ROWS($1:77)&gt;COUNT(Dong1),"",IF(OFFSET(TH!O$1,SMALL(Dong1,ROWS($1:77)),)="1111",OFFSET(TH!D$1,SMALL(Dong1,ROWS($1:77)),),""))</f>
        <v/>
      </c>
      <c r="E90" s="373" t="str">
        <f ca="1">IF(ROWS($1:77)&gt;COUNT(Dong1),"",OFFSET(TH!F$1,SMALL(Dong1,ROWS($1:77)),))</f>
        <v/>
      </c>
      <c r="F90" s="166" t="str">
        <f ca="1">IF(ROWS($1:77)&gt;COUNT(Dong1),"",IF(OFFSET(TH!O$1,SMALL(Dong1,ROWS($1:77)),)="1111",OFFSET(TH!N$1,SMALL(Dong1,ROWS($1:77)),),OFFSET(TH!O$1,SMALL(Dong1,ROWS($1:77)),)))</f>
        <v/>
      </c>
      <c r="G90" s="167" t="str">
        <f ca="1">IF(ROWS($1:77)&gt;COUNT(Dong1),"",IF(OFFSET(TH!N$1,SMALL(Dong1,ROWS($1:77)),)="1111",OFFSET(TH!M$1,SMALL(Dong1,ROWS($1:77)),),0))</f>
        <v/>
      </c>
      <c r="H90" s="165" t="str">
        <f ca="1">IF(ROWS($1:77)&gt;COUNT(Dong1),"",IF(OFFSET(TH!O$1,SMALL(Dong1,ROWS($1:77)),)="1111",OFFSET(TH!M$1,SMALL(Dong1,ROWS($1:77)),),0))</f>
        <v/>
      </c>
      <c r="I90" s="163">
        <f t="shared" ca="1" si="2"/>
        <v>0</v>
      </c>
      <c r="J90" s="168"/>
    </row>
    <row r="91" spans="1:10" ht="19.5" customHeight="1">
      <c r="A91" s="162" t="str">
        <f ca="1">IF(ROWS($1:78)&gt;COUNT(Dong1),"",OFFSET(TH!C$1,SMALL(Dong1,ROWS($1:78)),))</f>
        <v/>
      </c>
      <c r="B91" s="162" t="str">
        <f ca="1">IF(ROWS($1:78)&gt;COUNT(Dong1),"",OFFSET(TH!E$1,SMALL(Dong1,ROWS($1:78)),))</f>
        <v/>
      </c>
      <c r="C91" s="163" t="str">
        <f ca="1">IF(ROWS($1:78)&gt;COUNT(Dong1),"",IF(OFFSET(TH!N$1,SMALL(Dong1,ROWS($1:78)),)="1111",OFFSET(TH!D$1,SMALL(Dong1,ROWS($1:78)),),""))</f>
        <v/>
      </c>
      <c r="D91" s="164" t="str">
        <f ca="1">IF(ROWS($1:78)&gt;COUNT(Dong1),"",IF(OFFSET(TH!O$1,SMALL(Dong1,ROWS($1:78)),)="1111",OFFSET(TH!D$1,SMALL(Dong1,ROWS($1:78)),),""))</f>
        <v/>
      </c>
      <c r="E91" s="373" t="str">
        <f ca="1">IF(ROWS($1:78)&gt;COUNT(Dong1),"",OFFSET(TH!F$1,SMALL(Dong1,ROWS($1:78)),))</f>
        <v/>
      </c>
      <c r="F91" s="166" t="str">
        <f ca="1">IF(ROWS($1:78)&gt;COUNT(Dong1),"",IF(OFFSET(TH!O$1,SMALL(Dong1,ROWS($1:78)),)="1111",OFFSET(TH!N$1,SMALL(Dong1,ROWS($1:78)),),OFFSET(TH!O$1,SMALL(Dong1,ROWS($1:78)),)))</f>
        <v/>
      </c>
      <c r="G91" s="167" t="str">
        <f ca="1">IF(ROWS($1:78)&gt;COUNT(Dong1),"",IF(OFFSET(TH!N$1,SMALL(Dong1,ROWS($1:78)),)="1111",OFFSET(TH!M$1,SMALL(Dong1,ROWS($1:78)),),0))</f>
        <v/>
      </c>
      <c r="H91" s="165" t="str">
        <f ca="1">IF(ROWS($1:78)&gt;COUNT(Dong1),"",IF(OFFSET(TH!O$1,SMALL(Dong1,ROWS($1:78)),)="1111",OFFSET(TH!M$1,SMALL(Dong1,ROWS($1:78)),),0))</f>
        <v/>
      </c>
      <c r="I91" s="163">
        <f t="shared" ca="1" si="2"/>
        <v>0</v>
      </c>
      <c r="J91" s="168"/>
    </row>
    <row r="92" spans="1:10" ht="19.5" customHeight="1">
      <c r="A92" s="162" t="str">
        <f ca="1">IF(ROWS($1:79)&gt;COUNT(Dong1),"",OFFSET(TH!C$1,SMALL(Dong1,ROWS($1:79)),))</f>
        <v/>
      </c>
      <c r="B92" s="162" t="str">
        <f ca="1">IF(ROWS($1:79)&gt;COUNT(Dong1),"",OFFSET(TH!E$1,SMALL(Dong1,ROWS($1:79)),))</f>
        <v/>
      </c>
      <c r="C92" s="163" t="str">
        <f ca="1">IF(ROWS($1:79)&gt;COUNT(Dong1),"",IF(OFFSET(TH!N$1,SMALL(Dong1,ROWS($1:79)),)="1111",OFFSET(TH!D$1,SMALL(Dong1,ROWS($1:79)),),""))</f>
        <v/>
      </c>
      <c r="D92" s="164" t="str">
        <f ca="1">IF(ROWS($1:79)&gt;COUNT(Dong1),"",IF(OFFSET(TH!O$1,SMALL(Dong1,ROWS($1:79)),)="1111",OFFSET(TH!D$1,SMALL(Dong1,ROWS($1:79)),),""))</f>
        <v/>
      </c>
      <c r="E92" s="373" t="str">
        <f ca="1">IF(ROWS($1:79)&gt;COUNT(Dong1),"",OFFSET(TH!F$1,SMALL(Dong1,ROWS($1:79)),))</f>
        <v/>
      </c>
      <c r="F92" s="166" t="str">
        <f ca="1">IF(ROWS($1:79)&gt;COUNT(Dong1),"",IF(OFFSET(TH!O$1,SMALL(Dong1,ROWS($1:79)),)="1111",OFFSET(TH!N$1,SMALL(Dong1,ROWS($1:79)),),OFFSET(TH!O$1,SMALL(Dong1,ROWS($1:79)),)))</f>
        <v/>
      </c>
      <c r="G92" s="167" t="str">
        <f ca="1">IF(ROWS($1:79)&gt;COUNT(Dong1),"",IF(OFFSET(TH!N$1,SMALL(Dong1,ROWS($1:79)),)="1111",OFFSET(TH!M$1,SMALL(Dong1,ROWS($1:79)),),0))</f>
        <v/>
      </c>
      <c r="H92" s="165" t="str">
        <f ca="1">IF(ROWS($1:79)&gt;COUNT(Dong1),"",IF(OFFSET(TH!O$1,SMALL(Dong1,ROWS($1:79)),)="1111",OFFSET(TH!M$1,SMALL(Dong1,ROWS($1:79)),),0))</f>
        <v/>
      </c>
      <c r="I92" s="163">
        <f t="shared" ca="1" si="2"/>
        <v>0</v>
      </c>
      <c r="J92" s="168"/>
    </row>
    <row r="93" spans="1:10" ht="19.5" customHeight="1">
      <c r="A93" s="162" t="str">
        <f ca="1">IF(ROWS($1:80)&gt;COUNT(Dong1),"",OFFSET(TH!C$1,SMALL(Dong1,ROWS($1:80)),))</f>
        <v/>
      </c>
      <c r="B93" s="162" t="str">
        <f ca="1">IF(ROWS($1:80)&gt;COUNT(Dong1),"",OFFSET(TH!E$1,SMALL(Dong1,ROWS($1:80)),))</f>
        <v/>
      </c>
      <c r="C93" s="163" t="str">
        <f ca="1">IF(ROWS($1:80)&gt;COUNT(Dong1),"",IF(OFFSET(TH!N$1,SMALL(Dong1,ROWS($1:80)),)="1111",OFFSET(TH!D$1,SMALL(Dong1,ROWS($1:80)),),""))</f>
        <v/>
      </c>
      <c r="D93" s="164" t="str">
        <f ca="1">IF(ROWS($1:80)&gt;COUNT(Dong1),"",IF(OFFSET(TH!O$1,SMALL(Dong1,ROWS($1:80)),)="1111",OFFSET(TH!D$1,SMALL(Dong1,ROWS($1:80)),),""))</f>
        <v/>
      </c>
      <c r="E93" s="373" t="str">
        <f ca="1">IF(ROWS($1:80)&gt;COUNT(Dong1),"",OFFSET(TH!F$1,SMALL(Dong1,ROWS($1:80)),))</f>
        <v/>
      </c>
      <c r="F93" s="166" t="str">
        <f ca="1">IF(ROWS($1:80)&gt;COUNT(Dong1),"",IF(OFFSET(TH!O$1,SMALL(Dong1,ROWS($1:80)),)="1111",OFFSET(TH!N$1,SMALL(Dong1,ROWS($1:80)),),OFFSET(TH!O$1,SMALL(Dong1,ROWS($1:80)),)))</f>
        <v/>
      </c>
      <c r="G93" s="167" t="str">
        <f ca="1">IF(ROWS($1:80)&gt;COUNT(Dong1),"",IF(OFFSET(TH!N$1,SMALL(Dong1,ROWS($1:80)),)="1111",OFFSET(TH!M$1,SMALL(Dong1,ROWS($1:80)),),0))</f>
        <v/>
      </c>
      <c r="H93" s="165" t="str">
        <f ca="1">IF(ROWS($1:80)&gt;COUNT(Dong1),"",IF(OFFSET(TH!O$1,SMALL(Dong1,ROWS($1:80)),)="1111",OFFSET(TH!M$1,SMALL(Dong1,ROWS($1:80)),),0))</f>
        <v/>
      </c>
      <c r="I93" s="163">
        <f t="shared" ca="1" si="2"/>
        <v>0</v>
      </c>
      <c r="J93" s="168"/>
    </row>
    <row r="94" spans="1:10" ht="19.5" customHeight="1">
      <c r="A94" s="162" t="str">
        <f ca="1">IF(ROWS($1:81)&gt;COUNT(Dong1),"",OFFSET(TH!C$1,SMALL(Dong1,ROWS($1:81)),))</f>
        <v/>
      </c>
      <c r="B94" s="162" t="str">
        <f ca="1">IF(ROWS($1:81)&gt;COUNT(Dong1),"",OFFSET(TH!E$1,SMALL(Dong1,ROWS($1:81)),))</f>
        <v/>
      </c>
      <c r="C94" s="163" t="str">
        <f ca="1">IF(ROWS($1:81)&gt;COUNT(Dong1),"",IF(OFFSET(TH!N$1,SMALL(Dong1,ROWS($1:81)),)="1111",OFFSET(TH!D$1,SMALL(Dong1,ROWS($1:81)),),""))</f>
        <v/>
      </c>
      <c r="D94" s="164" t="str">
        <f ca="1">IF(ROWS($1:81)&gt;COUNT(Dong1),"",IF(OFFSET(TH!O$1,SMALL(Dong1,ROWS($1:81)),)="1111",OFFSET(TH!D$1,SMALL(Dong1,ROWS($1:81)),),""))</f>
        <v/>
      </c>
      <c r="E94" s="373" t="str">
        <f ca="1">IF(ROWS($1:81)&gt;COUNT(Dong1),"",OFFSET(TH!F$1,SMALL(Dong1,ROWS($1:81)),))</f>
        <v/>
      </c>
      <c r="F94" s="166" t="str">
        <f ca="1">IF(ROWS($1:81)&gt;COUNT(Dong1),"",IF(OFFSET(TH!O$1,SMALL(Dong1,ROWS($1:81)),)="1111",OFFSET(TH!N$1,SMALL(Dong1,ROWS($1:81)),),OFFSET(TH!O$1,SMALL(Dong1,ROWS($1:81)),)))</f>
        <v/>
      </c>
      <c r="G94" s="167" t="str">
        <f ca="1">IF(ROWS($1:81)&gt;COUNT(Dong1),"",IF(OFFSET(TH!N$1,SMALL(Dong1,ROWS($1:81)),)="1111",OFFSET(TH!M$1,SMALL(Dong1,ROWS($1:81)),),0))</f>
        <v/>
      </c>
      <c r="H94" s="165" t="str">
        <f ca="1">IF(ROWS($1:81)&gt;COUNT(Dong1),"",IF(OFFSET(TH!O$1,SMALL(Dong1,ROWS($1:81)),)="1111",OFFSET(TH!M$1,SMALL(Dong1,ROWS($1:81)),),0))</f>
        <v/>
      </c>
      <c r="I94" s="163">
        <f t="shared" ca="1" si="2"/>
        <v>0</v>
      </c>
      <c r="J94" s="168"/>
    </row>
    <row r="95" spans="1:10" ht="19.5" customHeight="1">
      <c r="A95" s="162" t="str">
        <f ca="1">IF(ROWS($1:82)&gt;COUNT(Dong1),"",OFFSET(TH!C$1,SMALL(Dong1,ROWS($1:82)),))</f>
        <v/>
      </c>
      <c r="B95" s="162" t="str">
        <f ca="1">IF(ROWS($1:82)&gt;COUNT(Dong1),"",OFFSET(TH!E$1,SMALL(Dong1,ROWS($1:82)),))</f>
        <v/>
      </c>
      <c r="C95" s="163" t="str">
        <f ca="1">IF(ROWS($1:82)&gt;COUNT(Dong1),"",IF(OFFSET(TH!N$1,SMALL(Dong1,ROWS($1:82)),)="1111",OFFSET(TH!D$1,SMALL(Dong1,ROWS($1:82)),),""))</f>
        <v/>
      </c>
      <c r="D95" s="164" t="str">
        <f ca="1">IF(ROWS($1:82)&gt;COUNT(Dong1),"",IF(OFFSET(TH!O$1,SMALL(Dong1,ROWS($1:82)),)="1111",OFFSET(TH!D$1,SMALL(Dong1,ROWS($1:82)),),""))</f>
        <v/>
      </c>
      <c r="E95" s="373" t="str">
        <f ca="1">IF(ROWS($1:82)&gt;COUNT(Dong1),"",OFFSET(TH!F$1,SMALL(Dong1,ROWS($1:82)),))</f>
        <v/>
      </c>
      <c r="F95" s="166" t="str">
        <f ca="1">IF(ROWS($1:82)&gt;COUNT(Dong1),"",IF(OFFSET(TH!O$1,SMALL(Dong1,ROWS($1:82)),)="1111",OFFSET(TH!N$1,SMALL(Dong1,ROWS($1:82)),),OFFSET(TH!O$1,SMALL(Dong1,ROWS($1:82)),)))</f>
        <v/>
      </c>
      <c r="G95" s="167" t="str">
        <f ca="1">IF(ROWS($1:82)&gt;COUNT(Dong1),"",IF(OFFSET(TH!N$1,SMALL(Dong1,ROWS($1:82)),)="1111",OFFSET(TH!M$1,SMALL(Dong1,ROWS($1:82)),),0))</f>
        <v/>
      </c>
      <c r="H95" s="165" t="str">
        <f ca="1">IF(ROWS($1:82)&gt;COUNT(Dong1),"",IF(OFFSET(TH!O$1,SMALL(Dong1,ROWS($1:82)),)="1111",OFFSET(TH!M$1,SMALL(Dong1,ROWS($1:82)),),0))</f>
        <v/>
      </c>
      <c r="I95" s="163">
        <f t="shared" ca="1" si="2"/>
        <v>0</v>
      </c>
      <c r="J95" s="168"/>
    </row>
    <row r="96" spans="1:10" ht="19.5" customHeight="1">
      <c r="A96" s="162" t="str">
        <f ca="1">IF(ROWS($1:83)&gt;COUNT(Dong1),"",OFFSET(TH!C$1,SMALL(Dong1,ROWS($1:83)),))</f>
        <v/>
      </c>
      <c r="B96" s="162" t="str">
        <f ca="1">IF(ROWS($1:83)&gt;COUNT(Dong1),"",OFFSET(TH!E$1,SMALL(Dong1,ROWS($1:83)),))</f>
        <v/>
      </c>
      <c r="C96" s="163" t="str">
        <f ca="1">IF(ROWS($1:83)&gt;COUNT(Dong1),"",IF(OFFSET(TH!N$1,SMALL(Dong1,ROWS($1:83)),)="1111",OFFSET(TH!D$1,SMALL(Dong1,ROWS($1:83)),),""))</f>
        <v/>
      </c>
      <c r="D96" s="164" t="str">
        <f ca="1">IF(ROWS($1:83)&gt;COUNT(Dong1),"",IF(OFFSET(TH!O$1,SMALL(Dong1,ROWS($1:83)),)="1111",OFFSET(TH!D$1,SMALL(Dong1,ROWS($1:83)),),""))</f>
        <v/>
      </c>
      <c r="E96" s="373" t="str">
        <f ca="1">IF(ROWS($1:83)&gt;COUNT(Dong1),"",OFFSET(TH!F$1,SMALL(Dong1,ROWS($1:83)),))</f>
        <v/>
      </c>
      <c r="F96" s="166" t="str">
        <f ca="1">IF(ROWS($1:83)&gt;COUNT(Dong1),"",IF(OFFSET(TH!O$1,SMALL(Dong1,ROWS($1:83)),)="1111",OFFSET(TH!N$1,SMALL(Dong1,ROWS($1:83)),),OFFSET(TH!O$1,SMALL(Dong1,ROWS($1:83)),)))</f>
        <v/>
      </c>
      <c r="G96" s="167" t="str">
        <f ca="1">IF(ROWS($1:83)&gt;COUNT(Dong1),"",IF(OFFSET(TH!N$1,SMALL(Dong1,ROWS($1:83)),)="1111",OFFSET(TH!M$1,SMALL(Dong1,ROWS($1:83)),),0))</f>
        <v/>
      </c>
      <c r="H96" s="165" t="str">
        <f ca="1">IF(ROWS($1:83)&gt;COUNT(Dong1),"",IF(OFFSET(TH!O$1,SMALL(Dong1,ROWS($1:83)),)="1111",OFFSET(TH!M$1,SMALL(Dong1,ROWS($1:83)),),0))</f>
        <v/>
      </c>
      <c r="I96" s="163">
        <f t="shared" ca="1" si="2"/>
        <v>0</v>
      </c>
      <c r="J96" s="168"/>
    </row>
    <row r="97" spans="1:10" ht="19.5" customHeight="1">
      <c r="A97" s="162" t="str">
        <f ca="1">IF(ROWS($1:84)&gt;COUNT(Dong1),"",OFFSET(TH!C$1,SMALL(Dong1,ROWS($1:84)),))</f>
        <v/>
      </c>
      <c r="B97" s="162" t="str">
        <f ca="1">IF(ROWS($1:84)&gt;COUNT(Dong1),"",OFFSET(TH!E$1,SMALL(Dong1,ROWS($1:84)),))</f>
        <v/>
      </c>
      <c r="C97" s="163" t="str">
        <f ca="1">IF(ROWS($1:84)&gt;COUNT(Dong1),"",IF(OFFSET(TH!N$1,SMALL(Dong1,ROWS($1:84)),)="1111",OFFSET(TH!D$1,SMALL(Dong1,ROWS($1:84)),),""))</f>
        <v/>
      </c>
      <c r="D97" s="164" t="str">
        <f ca="1">IF(ROWS($1:84)&gt;COUNT(Dong1),"",IF(OFFSET(TH!O$1,SMALL(Dong1,ROWS($1:84)),)="1111",OFFSET(TH!D$1,SMALL(Dong1,ROWS($1:84)),),""))</f>
        <v/>
      </c>
      <c r="E97" s="373" t="str">
        <f ca="1">IF(ROWS($1:84)&gt;COUNT(Dong1),"",OFFSET(TH!F$1,SMALL(Dong1,ROWS($1:84)),))</f>
        <v/>
      </c>
      <c r="F97" s="166" t="str">
        <f ca="1">IF(ROWS($1:84)&gt;COUNT(Dong1),"",IF(OFFSET(TH!O$1,SMALL(Dong1,ROWS($1:84)),)="1111",OFFSET(TH!N$1,SMALL(Dong1,ROWS($1:84)),),OFFSET(TH!O$1,SMALL(Dong1,ROWS($1:84)),)))</f>
        <v/>
      </c>
      <c r="G97" s="167" t="str">
        <f ca="1">IF(ROWS($1:84)&gt;COUNT(Dong1),"",IF(OFFSET(TH!N$1,SMALL(Dong1,ROWS($1:84)),)="1111",OFFSET(TH!M$1,SMALL(Dong1,ROWS($1:84)),),0))</f>
        <v/>
      </c>
      <c r="H97" s="165" t="str">
        <f ca="1">IF(ROWS($1:84)&gt;COUNT(Dong1),"",IF(OFFSET(TH!O$1,SMALL(Dong1,ROWS($1:84)),)="1111",OFFSET(TH!M$1,SMALL(Dong1,ROWS($1:84)),),0))</f>
        <v/>
      </c>
      <c r="I97" s="163">
        <f t="shared" ca="1" si="2"/>
        <v>0</v>
      </c>
      <c r="J97" s="168"/>
    </row>
    <row r="98" spans="1:10" ht="19.5" customHeight="1">
      <c r="A98" s="162" t="str">
        <f ca="1">IF(ROWS($1:85)&gt;COUNT(Dong1),"",OFFSET(TH!C$1,SMALL(Dong1,ROWS($1:85)),))</f>
        <v/>
      </c>
      <c r="B98" s="162" t="str">
        <f ca="1">IF(ROWS($1:85)&gt;COUNT(Dong1),"",OFFSET(TH!E$1,SMALL(Dong1,ROWS($1:85)),))</f>
        <v/>
      </c>
      <c r="C98" s="163" t="str">
        <f ca="1">IF(ROWS($1:85)&gt;COUNT(Dong1),"",IF(OFFSET(TH!N$1,SMALL(Dong1,ROWS($1:85)),)="1111",OFFSET(TH!D$1,SMALL(Dong1,ROWS($1:85)),),""))</f>
        <v/>
      </c>
      <c r="D98" s="164" t="str">
        <f ca="1">IF(ROWS($1:85)&gt;COUNT(Dong1),"",IF(OFFSET(TH!O$1,SMALL(Dong1,ROWS($1:85)),)="1111",OFFSET(TH!D$1,SMALL(Dong1,ROWS($1:85)),),""))</f>
        <v/>
      </c>
      <c r="E98" s="373" t="str">
        <f ca="1">IF(ROWS($1:85)&gt;COUNT(Dong1),"",OFFSET(TH!F$1,SMALL(Dong1,ROWS($1:85)),))</f>
        <v/>
      </c>
      <c r="F98" s="166" t="str">
        <f ca="1">IF(ROWS($1:85)&gt;COUNT(Dong1),"",IF(OFFSET(TH!O$1,SMALL(Dong1,ROWS($1:85)),)="1111",OFFSET(TH!N$1,SMALL(Dong1,ROWS($1:85)),),OFFSET(TH!O$1,SMALL(Dong1,ROWS($1:85)),)))</f>
        <v/>
      </c>
      <c r="G98" s="167" t="str">
        <f ca="1">IF(ROWS($1:85)&gt;COUNT(Dong1),"",IF(OFFSET(TH!N$1,SMALL(Dong1,ROWS($1:85)),)="1111",OFFSET(TH!M$1,SMALL(Dong1,ROWS($1:85)),),0))</f>
        <v/>
      </c>
      <c r="H98" s="165" t="str">
        <f ca="1">IF(ROWS($1:85)&gt;COUNT(Dong1),"",IF(OFFSET(TH!O$1,SMALL(Dong1,ROWS($1:85)),)="1111",OFFSET(TH!M$1,SMALL(Dong1,ROWS($1:85)),),0))</f>
        <v/>
      </c>
      <c r="I98" s="163">
        <f t="shared" ca="1" si="2"/>
        <v>0</v>
      </c>
      <c r="J98" s="168"/>
    </row>
    <row r="99" spans="1:10" ht="19.5" customHeight="1">
      <c r="A99" s="162" t="str">
        <f ca="1">IF(ROWS($1:86)&gt;COUNT(Dong1),"",OFFSET(TH!C$1,SMALL(Dong1,ROWS($1:86)),))</f>
        <v/>
      </c>
      <c r="B99" s="162" t="str">
        <f ca="1">IF(ROWS($1:86)&gt;COUNT(Dong1),"",OFFSET(TH!E$1,SMALL(Dong1,ROWS($1:86)),))</f>
        <v/>
      </c>
      <c r="C99" s="163" t="str">
        <f ca="1">IF(ROWS($1:86)&gt;COUNT(Dong1),"",IF(OFFSET(TH!N$1,SMALL(Dong1,ROWS($1:86)),)="1111",OFFSET(TH!D$1,SMALL(Dong1,ROWS($1:86)),),""))</f>
        <v/>
      </c>
      <c r="D99" s="164" t="str">
        <f ca="1">IF(ROWS($1:86)&gt;COUNT(Dong1),"",IF(OFFSET(TH!O$1,SMALL(Dong1,ROWS($1:86)),)="1111",OFFSET(TH!D$1,SMALL(Dong1,ROWS($1:86)),),""))</f>
        <v/>
      </c>
      <c r="E99" s="373" t="str">
        <f ca="1">IF(ROWS($1:86)&gt;COUNT(Dong1),"",OFFSET(TH!F$1,SMALL(Dong1,ROWS($1:86)),))</f>
        <v/>
      </c>
      <c r="F99" s="166" t="str">
        <f ca="1">IF(ROWS($1:86)&gt;COUNT(Dong1),"",IF(OFFSET(TH!O$1,SMALL(Dong1,ROWS($1:86)),)="1111",OFFSET(TH!N$1,SMALL(Dong1,ROWS($1:86)),),OFFSET(TH!O$1,SMALL(Dong1,ROWS($1:86)),)))</f>
        <v/>
      </c>
      <c r="G99" s="167" t="str">
        <f ca="1">IF(ROWS($1:86)&gt;COUNT(Dong1),"",IF(OFFSET(TH!N$1,SMALL(Dong1,ROWS($1:86)),)="1111",OFFSET(TH!M$1,SMALL(Dong1,ROWS($1:86)),),0))</f>
        <v/>
      </c>
      <c r="H99" s="165" t="str">
        <f ca="1">IF(ROWS($1:86)&gt;COUNT(Dong1),"",IF(OFFSET(TH!O$1,SMALL(Dong1,ROWS($1:86)),)="1111",OFFSET(TH!M$1,SMALL(Dong1,ROWS($1:86)),),0))</f>
        <v/>
      </c>
      <c r="I99" s="163">
        <f t="shared" ca="1" si="2"/>
        <v>0</v>
      </c>
      <c r="J99" s="168"/>
    </row>
    <row r="100" spans="1:10" ht="19.5" customHeight="1">
      <c r="A100" s="162" t="str">
        <f ca="1">IF(ROWS($1:87)&gt;COUNT(Dong1),"",OFFSET(TH!C$1,SMALL(Dong1,ROWS($1:87)),))</f>
        <v/>
      </c>
      <c r="B100" s="162" t="str">
        <f ca="1">IF(ROWS($1:87)&gt;COUNT(Dong1),"",OFFSET(TH!E$1,SMALL(Dong1,ROWS($1:87)),))</f>
        <v/>
      </c>
      <c r="C100" s="163" t="str">
        <f ca="1">IF(ROWS($1:87)&gt;COUNT(Dong1),"",IF(OFFSET(TH!N$1,SMALL(Dong1,ROWS($1:87)),)="1111",OFFSET(TH!D$1,SMALL(Dong1,ROWS($1:87)),),""))</f>
        <v/>
      </c>
      <c r="D100" s="164" t="str">
        <f ca="1">IF(ROWS($1:87)&gt;COUNT(Dong1),"",IF(OFFSET(TH!O$1,SMALL(Dong1,ROWS($1:87)),)="1111",OFFSET(TH!D$1,SMALL(Dong1,ROWS($1:87)),),""))</f>
        <v/>
      </c>
      <c r="E100" s="373" t="str">
        <f ca="1">IF(ROWS($1:87)&gt;COUNT(Dong1),"",OFFSET(TH!F$1,SMALL(Dong1,ROWS($1:87)),))</f>
        <v/>
      </c>
      <c r="F100" s="166" t="str">
        <f ca="1">IF(ROWS($1:87)&gt;COUNT(Dong1),"",IF(OFFSET(TH!O$1,SMALL(Dong1,ROWS($1:87)),)="1111",OFFSET(TH!N$1,SMALL(Dong1,ROWS($1:87)),),OFFSET(TH!O$1,SMALL(Dong1,ROWS($1:87)),)))</f>
        <v/>
      </c>
      <c r="G100" s="167" t="str">
        <f ca="1">IF(ROWS($1:87)&gt;COUNT(Dong1),"",IF(OFFSET(TH!N$1,SMALL(Dong1,ROWS($1:87)),)="1111",OFFSET(TH!M$1,SMALL(Dong1,ROWS($1:87)),),0))</f>
        <v/>
      </c>
      <c r="H100" s="165" t="str">
        <f ca="1">IF(ROWS($1:87)&gt;COUNT(Dong1),"",IF(OFFSET(TH!O$1,SMALL(Dong1,ROWS($1:87)),)="1111",OFFSET(TH!M$1,SMALL(Dong1,ROWS($1:87)),),0))</f>
        <v/>
      </c>
      <c r="I100" s="163">
        <f t="shared" ca="1" si="2"/>
        <v>0</v>
      </c>
      <c r="J100" s="168"/>
    </row>
    <row r="101" spans="1:10" ht="19.5" customHeight="1">
      <c r="A101" s="162" t="str">
        <f ca="1">IF(ROWS($1:88)&gt;COUNT(Dong1),"",OFFSET(TH!C$1,SMALL(Dong1,ROWS($1:88)),))</f>
        <v/>
      </c>
      <c r="B101" s="162" t="str">
        <f ca="1">IF(ROWS($1:88)&gt;COUNT(Dong1),"",OFFSET(TH!E$1,SMALL(Dong1,ROWS($1:88)),))</f>
        <v/>
      </c>
      <c r="C101" s="163" t="str">
        <f ca="1">IF(ROWS($1:88)&gt;COUNT(Dong1),"",IF(OFFSET(TH!N$1,SMALL(Dong1,ROWS($1:88)),)="1111",OFFSET(TH!D$1,SMALL(Dong1,ROWS($1:88)),),""))</f>
        <v/>
      </c>
      <c r="D101" s="164" t="str">
        <f ca="1">IF(ROWS($1:88)&gt;COUNT(Dong1),"",IF(OFFSET(TH!O$1,SMALL(Dong1,ROWS($1:88)),)="1111",OFFSET(TH!D$1,SMALL(Dong1,ROWS($1:88)),),""))</f>
        <v/>
      </c>
      <c r="E101" s="373" t="str">
        <f ca="1">IF(ROWS($1:88)&gt;COUNT(Dong1),"",OFFSET(TH!F$1,SMALL(Dong1,ROWS($1:88)),))</f>
        <v/>
      </c>
      <c r="F101" s="166" t="str">
        <f ca="1">IF(ROWS($1:88)&gt;COUNT(Dong1),"",IF(OFFSET(TH!O$1,SMALL(Dong1,ROWS($1:88)),)="1111",OFFSET(TH!N$1,SMALL(Dong1,ROWS($1:88)),),OFFSET(TH!O$1,SMALL(Dong1,ROWS($1:88)),)))</f>
        <v/>
      </c>
      <c r="G101" s="167" t="str">
        <f ca="1">IF(ROWS($1:88)&gt;COUNT(Dong1),"",IF(OFFSET(TH!N$1,SMALL(Dong1,ROWS($1:88)),)="1111",OFFSET(TH!M$1,SMALL(Dong1,ROWS($1:88)),),0))</f>
        <v/>
      </c>
      <c r="H101" s="165" t="str">
        <f ca="1">IF(ROWS($1:88)&gt;COUNT(Dong1),"",IF(OFFSET(TH!O$1,SMALL(Dong1,ROWS($1:88)),)="1111",OFFSET(TH!M$1,SMALL(Dong1,ROWS($1:88)),),0))</f>
        <v/>
      </c>
      <c r="I101" s="163">
        <f t="shared" ca="1" si="2"/>
        <v>0</v>
      </c>
      <c r="J101" s="168"/>
    </row>
    <row r="102" spans="1:10" ht="19.5" customHeight="1">
      <c r="A102" s="162" t="str">
        <f ca="1">IF(ROWS($1:89)&gt;COUNT(Dong1),"",OFFSET(TH!C$1,SMALL(Dong1,ROWS($1:89)),))</f>
        <v/>
      </c>
      <c r="B102" s="162" t="str">
        <f ca="1">IF(ROWS($1:89)&gt;COUNT(Dong1),"",OFFSET(TH!E$1,SMALL(Dong1,ROWS($1:89)),))</f>
        <v/>
      </c>
      <c r="C102" s="163" t="str">
        <f ca="1">IF(ROWS($1:89)&gt;COUNT(Dong1),"",IF(OFFSET(TH!N$1,SMALL(Dong1,ROWS($1:89)),)="1111",OFFSET(TH!D$1,SMALL(Dong1,ROWS($1:89)),),""))</f>
        <v/>
      </c>
      <c r="D102" s="164" t="str">
        <f ca="1">IF(ROWS($1:89)&gt;COUNT(Dong1),"",IF(OFFSET(TH!O$1,SMALL(Dong1,ROWS($1:89)),)="1111",OFFSET(TH!D$1,SMALL(Dong1,ROWS($1:89)),),""))</f>
        <v/>
      </c>
      <c r="E102" s="373" t="str">
        <f ca="1">IF(ROWS($1:89)&gt;COUNT(Dong1),"",OFFSET(TH!F$1,SMALL(Dong1,ROWS($1:89)),))</f>
        <v/>
      </c>
      <c r="F102" s="166" t="str">
        <f ca="1">IF(ROWS($1:89)&gt;COUNT(Dong1),"",IF(OFFSET(TH!O$1,SMALL(Dong1,ROWS($1:89)),)="1111",OFFSET(TH!N$1,SMALL(Dong1,ROWS($1:89)),),OFFSET(TH!O$1,SMALL(Dong1,ROWS($1:89)),)))</f>
        <v/>
      </c>
      <c r="G102" s="167" t="str">
        <f ca="1">IF(ROWS($1:89)&gt;COUNT(Dong1),"",IF(OFFSET(TH!N$1,SMALL(Dong1,ROWS($1:89)),)="1111",OFFSET(TH!M$1,SMALL(Dong1,ROWS($1:89)),),0))</f>
        <v/>
      </c>
      <c r="H102" s="165" t="str">
        <f ca="1">IF(ROWS($1:89)&gt;COUNT(Dong1),"",IF(OFFSET(TH!O$1,SMALL(Dong1,ROWS($1:89)),)="1111",OFFSET(TH!M$1,SMALL(Dong1,ROWS($1:89)),),0))</f>
        <v/>
      </c>
      <c r="I102" s="163">
        <f t="shared" ca="1" si="2"/>
        <v>0</v>
      </c>
      <c r="J102" s="168"/>
    </row>
    <row r="103" spans="1:10" ht="19.5" customHeight="1">
      <c r="A103" s="162" t="str">
        <f ca="1">IF(ROWS($1:90)&gt;COUNT(Dong1),"",OFFSET(TH!C$1,SMALL(Dong1,ROWS($1:90)),))</f>
        <v/>
      </c>
      <c r="B103" s="162" t="str">
        <f ca="1">IF(ROWS($1:90)&gt;COUNT(Dong1),"",OFFSET(TH!E$1,SMALL(Dong1,ROWS($1:90)),))</f>
        <v/>
      </c>
      <c r="C103" s="163" t="str">
        <f ca="1">IF(ROWS($1:90)&gt;COUNT(Dong1),"",IF(OFFSET(TH!N$1,SMALL(Dong1,ROWS($1:90)),)="1111",OFFSET(TH!D$1,SMALL(Dong1,ROWS($1:90)),),""))</f>
        <v/>
      </c>
      <c r="D103" s="164" t="str">
        <f ca="1">IF(ROWS($1:90)&gt;COUNT(Dong1),"",IF(OFFSET(TH!O$1,SMALL(Dong1,ROWS($1:90)),)="1111",OFFSET(TH!D$1,SMALL(Dong1,ROWS($1:90)),),""))</f>
        <v/>
      </c>
      <c r="E103" s="373" t="str">
        <f ca="1">IF(ROWS($1:90)&gt;COUNT(Dong1),"",OFFSET(TH!F$1,SMALL(Dong1,ROWS($1:90)),))</f>
        <v/>
      </c>
      <c r="F103" s="166" t="str">
        <f ca="1">IF(ROWS($1:90)&gt;COUNT(Dong1),"",IF(OFFSET(TH!O$1,SMALL(Dong1,ROWS($1:90)),)="1111",OFFSET(TH!N$1,SMALL(Dong1,ROWS($1:90)),),OFFSET(TH!O$1,SMALL(Dong1,ROWS($1:90)),)))</f>
        <v/>
      </c>
      <c r="G103" s="167" t="str">
        <f ca="1">IF(ROWS($1:90)&gt;COUNT(Dong1),"",IF(OFFSET(TH!N$1,SMALL(Dong1,ROWS($1:90)),)="1111",OFFSET(TH!M$1,SMALL(Dong1,ROWS($1:90)),),0))</f>
        <v/>
      </c>
      <c r="H103" s="165" t="str">
        <f ca="1">IF(ROWS($1:90)&gt;COUNT(Dong1),"",IF(OFFSET(TH!O$1,SMALL(Dong1,ROWS($1:90)),)="1111",OFFSET(TH!M$1,SMALL(Dong1,ROWS($1:90)),),0))</f>
        <v/>
      </c>
      <c r="I103" s="163">
        <f t="shared" ca="1" si="2"/>
        <v>0</v>
      </c>
      <c r="J103" s="168"/>
    </row>
    <row r="104" spans="1:10" ht="19.5" customHeight="1">
      <c r="A104" s="162" t="str">
        <f ca="1">IF(ROWS($1:91)&gt;COUNT(Dong1),"",OFFSET(TH!C$1,SMALL(Dong1,ROWS($1:91)),))</f>
        <v/>
      </c>
      <c r="B104" s="162" t="str">
        <f ca="1">IF(ROWS($1:91)&gt;COUNT(Dong1),"",OFFSET(TH!E$1,SMALL(Dong1,ROWS($1:91)),))</f>
        <v/>
      </c>
      <c r="C104" s="163" t="str">
        <f ca="1">IF(ROWS($1:91)&gt;COUNT(Dong1),"",IF(OFFSET(TH!N$1,SMALL(Dong1,ROWS($1:91)),)="1111",OFFSET(TH!D$1,SMALL(Dong1,ROWS($1:91)),),""))</f>
        <v/>
      </c>
      <c r="D104" s="164" t="str">
        <f ca="1">IF(ROWS($1:91)&gt;COUNT(Dong1),"",IF(OFFSET(TH!O$1,SMALL(Dong1,ROWS($1:91)),)="1111",OFFSET(TH!D$1,SMALL(Dong1,ROWS($1:91)),),""))</f>
        <v/>
      </c>
      <c r="E104" s="373" t="str">
        <f ca="1">IF(ROWS($1:91)&gt;COUNT(Dong1),"",OFFSET(TH!F$1,SMALL(Dong1,ROWS($1:91)),))</f>
        <v/>
      </c>
      <c r="F104" s="166" t="str">
        <f ca="1">IF(ROWS($1:91)&gt;COUNT(Dong1),"",IF(OFFSET(TH!O$1,SMALL(Dong1,ROWS($1:91)),)="1111",OFFSET(TH!N$1,SMALL(Dong1,ROWS($1:91)),),OFFSET(TH!O$1,SMALL(Dong1,ROWS($1:91)),)))</f>
        <v/>
      </c>
      <c r="G104" s="167" t="str">
        <f ca="1">IF(ROWS($1:91)&gt;COUNT(Dong1),"",IF(OFFSET(TH!N$1,SMALL(Dong1,ROWS($1:91)),)="1111",OFFSET(TH!M$1,SMALL(Dong1,ROWS($1:91)),),0))</f>
        <v/>
      </c>
      <c r="H104" s="165" t="str">
        <f ca="1">IF(ROWS($1:91)&gt;COUNT(Dong1),"",IF(OFFSET(TH!O$1,SMALL(Dong1,ROWS($1:91)),)="1111",OFFSET(TH!M$1,SMALL(Dong1,ROWS($1:91)),),0))</f>
        <v/>
      </c>
      <c r="I104" s="163">
        <f t="shared" ca="1" si="2"/>
        <v>0</v>
      </c>
      <c r="J104" s="168"/>
    </row>
    <row r="105" spans="1:10" ht="19.5" customHeight="1">
      <c r="A105" s="162" t="str">
        <f ca="1">IF(ROWS($1:92)&gt;COUNT(Dong1),"",OFFSET(TH!C$1,SMALL(Dong1,ROWS($1:92)),))</f>
        <v/>
      </c>
      <c r="B105" s="162" t="str">
        <f ca="1">IF(ROWS($1:92)&gt;COUNT(Dong1),"",OFFSET(TH!E$1,SMALL(Dong1,ROWS($1:92)),))</f>
        <v/>
      </c>
      <c r="C105" s="163" t="str">
        <f ca="1">IF(ROWS($1:92)&gt;COUNT(Dong1),"",IF(OFFSET(TH!N$1,SMALL(Dong1,ROWS($1:92)),)="1111",OFFSET(TH!D$1,SMALL(Dong1,ROWS($1:92)),),""))</f>
        <v/>
      </c>
      <c r="D105" s="164" t="str">
        <f ca="1">IF(ROWS($1:92)&gt;COUNT(Dong1),"",IF(OFFSET(TH!O$1,SMALL(Dong1,ROWS($1:92)),)="1111",OFFSET(TH!D$1,SMALL(Dong1,ROWS($1:92)),),""))</f>
        <v/>
      </c>
      <c r="E105" s="373" t="str">
        <f ca="1">IF(ROWS($1:92)&gt;COUNT(Dong1),"",OFFSET(TH!F$1,SMALL(Dong1,ROWS($1:92)),))</f>
        <v/>
      </c>
      <c r="F105" s="166" t="str">
        <f ca="1">IF(ROWS($1:92)&gt;COUNT(Dong1),"",IF(OFFSET(TH!O$1,SMALL(Dong1,ROWS($1:92)),)="1111",OFFSET(TH!N$1,SMALL(Dong1,ROWS($1:92)),),OFFSET(TH!O$1,SMALL(Dong1,ROWS($1:92)),)))</f>
        <v/>
      </c>
      <c r="G105" s="167" t="str">
        <f ca="1">IF(ROWS($1:92)&gt;COUNT(Dong1),"",IF(OFFSET(TH!N$1,SMALL(Dong1,ROWS($1:92)),)="1111",OFFSET(TH!M$1,SMALL(Dong1,ROWS($1:92)),),0))</f>
        <v/>
      </c>
      <c r="H105" s="165" t="str">
        <f ca="1">IF(ROWS($1:92)&gt;COUNT(Dong1),"",IF(OFFSET(TH!O$1,SMALL(Dong1,ROWS($1:92)),)="1111",OFFSET(TH!M$1,SMALL(Dong1,ROWS($1:92)),),0))</f>
        <v/>
      </c>
      <c r="I105" s="163">
        <f t="shared" ca="1" si="2"/>
        <v>0</v>
      </c>
      <c r="J105" s="168"/>
    </row>
    <row r="106" spans="1:10" ht="19.5" customHeight="1">
      <c r="A106" s="162" t="str">
        <f ca="1">IF(ROWS($1:93)&gt;COUNT(Dong1),"",OFFSET(TH!C$1,SMALL(Dong1,ROWS($1:93)),))</f>
        <v/>
      </c>
      <c r="B106" s="162" t="str">
        <f ca="1">IF(ROWS($1:93)&gt;COUNT(Dong1),"",OFFSET(TH!E$1,SMALL(Dong1,ROWS($1:93)),))</f>
        <v/>
      </c>
      <c r="C106" s="163" t="str">
        <f ca="1">IF(ROWS($1:93)&gt;COUNT(Dong1),"",IF(OFFSET(TH!N$1,SMALL(Dong1,ROWS($1:93)),)="1111",OFFSET(TH!D$1,SMALL(Dong1,ROWS($1:93)),),""))</f>
        <v/>
      </c>
      <c r="D106" s="164" t="str">
        <f ca="1">IF(ROWS($1:93)&gt;COUNT(Dong1),"",IF(OFFSET(TH!O$1,SMALL(Dong1,ROWS($1:93)),)="1111",OFFSET(TH!D$1,SMALL(Dong1,ROWS($1:93)),),""))</f>
        <v/>
      </c>
      <c r="E106" s="373" t="str">
        <f ca="1">IF(ROWS($1:93)&gt;COUNT(Dong1),"",OFFSET(TH!F$1,SMALL(Dong1,ROWS($1:93)),))</f>
        <v/>
      </c>
      <c r="F106" s="166" t="str">
        <f ca="1">IF(ROWS($1:93)&gt;COUNT(Dong1),"",IF(OFFSET(TH!O$1,SMALL(Dong1,ROWS($1:93)),)="1111",OFFSET(TH!N$1,SMALL(Dong1,ROWS($1:93)),),OFFSET(TH!O$1,SMALL(Dong1,ROWS($1:93)),)))</f>
        <v/>
      </c>
      <c r="G106" s="167" t="str">
        <f ca="1">IF(ROWS($1:93)&gt;COUNT(Dong1),"",IF(OFFSET(TH!N$1,SMALL(Dong1,ROWS($1:93)),)="1111",OFFSET(TH!M$1,SMALL(Dong1,ROWS($1:93)),),0))</f>
        <v/>
      </c>
      <c r="H106" s="165" t="str">
        <f ca="1">IF(ROWS($1:93)&gt;COUNT(Dong1),"",IF(OFFSET(TH!O$1,SMALL(Dong1,ROWS($1:93)),)="1111",OFFSET(TH!M$1,SMALL(Dong1,ROWS($1:93)),),0))</f>
        <v/>
      </c>
      <c r="I106" s="163">
        <f t="shared" ca="1" si="2"/>
        <v>0</v>
      </c>
      <c r="J106" s="168"/>
    </row>
    <row r="107" spans="1:10" ht="19.5" customHeight="1">
      <c r="A107" s="162" t="str">
        <f ca="1">IF(ROWS($1:94)&gt;COUNT(Dong1),"",OFFSET(TH!C$1,SMALL(Dong1,ROWS($1:94)),))</f>
        <v/>
      </c>
      <c r="B107" s="162" t="str">
        <f ca="1">IF(ROWS($1:94)&gt;COUNT(Dong1),"",OFFSET(TH!E$1,SMALL(Dong1,ROWS($1:94)),))</f>
        <v/>
      </c>
      <c r="C107" s="163" t="str">
        <f ca="1">IF(ROWS($1:94)&gt;COUNT(Dong1),"",IF(OFFSET(TH!N$1,SMALL(Dong1,ROWS($1:94)),)="1111",OFFSET(TH!D$1,SMALL(Dong1,ROWS($1:94)),),""))</f>
        <v/>
      </c>
      <c r="D107" s="164" t="str">
        <f ca="1">IF(ROWS($1:94)&gt;COUNT(Dong1),"",IF(OFFSET(TH!O$1,SMALL(Dong1,ROWS($1:94)),)="1111",OFFSET(TH!D$1,SMALL(Dong1,ROWS($1:94)),),""))</f>
        <v/>
      </c>
      <c r="E107" s="373" t="str">
        <f ca="1">IF(ROWS($1:94)&gt;COUNT(Dong1),"",OFFSET(TH!F$1,SMALL(Dong1,ROWS($1:94)),))</f>
        <v/>
      </c>
      <c r="F107" s="166" t="str">
        <f ca="1">IF(ROWS($1:94)&gt;COUNT(Dong1),"",IF(OFFSET(TH!O$1,SMALL(Dong1,ROWS($1:94)),)="1111",OFFSET(TH!N$1,SMALL(Dong1,ROWS($1:94)),),OFFSET(TH!O$1,SMALL(Dong1,ROWS($1:94)),)))</f>
        <v/>
      </c>
      <c r="G107" s="167" t="str">
        <f ca="1">IF(ROWS($1:94)&gt;COUNT(Dong1),"",IF(OFFSET(TH!N$1,SMALL(Dong1,ROWS($1:94)),)="1111",OFFSET(TH!M$1,SMALL(Dong1,ROWS($1:94)),),0))</f>
        <v/>
      </c>
      <c r="H107" s="165" t="str">
        <f ca="1">IF(ROWS($1:94)&gt;COUNT(Dong1),"",IF(OFFSET(TH!O$1,SMALL(Dong1,ROWS($1:94)),)="1111",OFFSET(TH!M$1,SMALL(Dong1,ROWS($1:94)),),0))</f>
        <v/>
      </c>
      <c r="I107" s="163">
        <f t="shared" ca="1" si="2"/>
        <v>0</v>
      </c>
      <c r="J107" s="168"/>
    </row>
    <row r="108" spans="1:10" ht="19.5" customHeight="1">
      <c r="A108" s="162" t="str">
        <f ca="1">IF(ROWS($1:95)&gt;COUNT(Dong1),"",OFFSET(TH!C$1,SMALL(Dong1,ROWS($1:95)),))</f>
        <v/>
      </c>
      <c r="B108" s="162" t="str">
        <f ca="1">IF(ROWS($1:95)&gt;COUNT(Dong1),"",OFFSET(TH!E$1,SMALL(Dong1,ROWS($1:95)),))</f>
        <v/>
      </c>
      <c r="C108" s="163" t="str">
        <f ca="1">IF(ROWS($1:95)&gt;COUNT(Dong1),"",IF(OFFSET(TH!N$1,SMALL(Dong1,ROWS($1:95)),)="1111",OFFSET(TH!D$1,SMALL(Dong1,ROWS($1:95)),),""))</f>
        <v/>
      </c>
      <c r="D108" s="164" t="str">
        <f ca="1">IF(ROWS($1:95)&gt;COUNT(Dong1),"",IF(OFFSET(TH!O$1,SMALL(Dong1,ROWS($1:95)),)="1111",OFFSET(TH!D$1,SMALL(Dong1,ROWS($1:95)),),""))</f>
        <v/>
      </c>
      <c r="E108" s="373" t="str">
        <f ca="1">IF(ROWS($1:95)&gt;COUNT(Dong1),"",OFFSET(TH!F$1,SMALL(Dong1,ROWS($1:95)),))</f>
        <v/>
      </c>
      <c r="F108" s="166" t="str">
        <f ca="1">IF(ROWS($1:95)&gt;COUNT(Dong1),"",IF(OFFSET(TH!O$1,SMALL(Dong1,ROWS($1:95)),)="1111",OFFSET(TH!N$1,SMALL(Dong1,ROWS($1:95)),),OFFSET(TH!O$1,SMALL(Dong1,ROWS($1:95)),)))</f>
        <v/>
      </c>
      <c r="G108" s="167" t="str">
        <f ca="1">IF(ROWS($1:95)&gt;COUNT(Dong1),"",IF(OFFSET(TH!N$1,SMALL(Dong1,ROWS($1:95)),)="1111",OFFSET(TH!M$1,SMALL(Dong1,ROWS($1:95)),),0))</f>
        <v/>
      </c>
      <c r="H108" s="165" t="str">
        <f ca="1">IF(ROWS($1:95)&gt;COUNT(Dong1),"",IF(OFFSET(TH!O$1,SMALL(Dong1,ROWS($1:95)),)="1111",OFFSET(TH!M$1,SMALL(Dong1,ROWS($1:95)),),0))</f>
        <v/>
      </c>
      <c r="I108" s="163">
        <f t="shared" ca="1" si="2"/>
        <v>0</v>
      </c>
      <c r="J108" s="168"/>
    </row>
    <row r="109" spans="1:10" ht="19.5" customHeight="1">
      <c r="A109" s="162" t="str">
        <f ca="1">IF(ROWS($1:96)&gt;COUNT(Dong1),"",OFFSET(TH!C$1,SMALL(Dong1,ROWS($1:96)),))</f>
        <v/>
      </c>
      <c r="B109" s="162" t="str">
        <f ca="1">IF(ROWS($1:96)&gt;COUNT(Dong1),"",OFFSET(TH!E$1,SMALL(Dong1,ROWS($1:96)),))</f>
        <v/>
      </c>
      <c r="C109" s="163" t="str">
        <f ca="1">IF(ROWS($1:96)&gt;COUNT(Dong1),"",IF(OFFSET(TH!N$1,SMALL(Dong1,ROWS($1:96)),)="1111",OFFSET(TH!D$1,SMALL(Dong1,ROWS($1:96)),),""))</f>
        <v/>
      </c>
      <c r="D109" s="164" t="str">
        <f ca="1">IF(ROWS($1:96)&gt;COUNT(Dong1),"",IF(OFFSET(TH!O$1,SMALL(Dong1,ROWS($1:96)),)="1111",OFFSET(TH!D$1,SMALL(Dong1,ROWS($1:96)),),""))</f>
        <v/>
      </c>
      <c r="E109" s="373" t="str">
        <f ca="1">IF(ROWS($1:96)&gt;COUNT(Dong1),"",OFFSET(TH!F$1,SMALL(Dong1,ROWS($1:96)),))</f>
        <v/>
      </c>
      <c r="F109" s="166" t="str">
        <f ca="1">IF(ROWS($1:96)&gt;COUNT(Dong1),"",IF(OFFSET(TH!O$1,SMALL(Dong1,ROWS($1:96)),)="1111",OFFSET(TH!N$1,SMALL(Dong1,ROWS($1:96)),),OFFSET(TH!O$1,SMALL(Dong1,ROWS($1:96)),)))</f>
        <v/>
      </c>
      <c r="G109" s="167" t="str">
        <f ca="1">IF(ROWS($1:96)&gt;COUNT(Dong1),"",IF(OFFSET(TH!N$1,SMALL(Dong1,ROWS($1:96)),)="1111",OFFSET(TH!M$1,SMALL(Dong1,ROWS($1:96)),),0))</f>
        <v/>
      </c>
      <c r="H109" s="165" t="str">
        <f ca="1">IF(ROWS($1:96)&gt;COUNT(Dong1),"",IF(OFFSET(TH!O$1,SMALL(Dong1,ROWS($1:96)),)="1111",OFFSET(TH!M$1,SMALL(Dong1,ROWS($1:96)),),0))</f>
        <v/>
      </c>
      <c r="I109" s="163">
        <f t="shared" ca="1" si="2"/>
        <v>0</v>
      </c>
      <c r="J109" s="168"/>
    </row>
    <row r="110" spans="1:10" ht="19.5" customHeight="1">
      <c r="A110" s="162" t="str">
        <f ca="1">IF(ROWS($1:97)&gt;COUNT(Dong1),"",OFFSET(TH!C$1,SMALL(Dong1,ROWS($1:97)),))</f>
        <v/>
      </c>
      <c r="B110" s="162" t="str">
        <f ca="1">IF(ROWS($1:97)&gt;COUNT(Dong1),"",OFFSET(TH!E$1,SMALL(Dong1,ROWS($1:97)),))</f>
        <v/>
      </c>
      <c r="C110" s="163" t="str">
        <f ca="1">IF(ROWS($1:97)&gt;COUNT(Dong1),"",IF(OFFSET(TH!N$1,SMALL(Dong1,ROWS($1:97)),)="1111",OFFSET(TH!D$1,SMALL(Dong1,ROWS($1:97)),),""))</f>
        <v/>
      </c>
      <c r="D110" s="164" t="str">
        <f ca="1">IF(ROWS($1:97)&gt;COUNT(Dong1),"",IF(OFFSET(TH!O$1,SMALL(Dong1,ROWS($1:97)),)="1111",OFFSET(TH!D$1,SMALL(Dong1,ROWS($1:97)),),""))</f>
        <v/>
      </c>
      <c r="E110" s="373" t="str">
        <f ca="1">IF(ROWS($1:97)&gt;COUNT(Dong1),"",OFFSET(TH!F$1,SMALL(Dong1,ROWS($1:97)),))</f>
        <v/>
      </c>
      <c r="F110" s="166" t="str">
        <f ca="1">IF(ROWS($1:97)&gt;COUNT(Dong1),"",IF(OFFSET(TH!O$1,SMALL(Dong1,ROWS($1:97)),)="1111",OFFSET(TH!N$1,SMALL(Dong1,ROWS($1:97)),),OFFSET(TH!O$1,SMALL(Dong1,ROWS($1:97)),)))</f>
        <v/>
      </c>
      <c r="G110" s="167" t="str">
        <f ca="1">IF(ROWS($1:97)&gt;COUNT(Dong1),"",IF(OFFSET(TH!N$1,SMALL(Dong1,ROWS($1:97)),)="1111",OFFSET(TH!M$1,SMALL(Dong1,ROWS($1:97)),),0))</f>
        <v/>
      </c>
      <c r="H110" s="165" t="str">
        <f ca="1">IF(ROWS($1:97)&gt;COUNT(Dong1),"",IF(OFFSET(TH!O$1,SMALL(Dong1,ROWS($1:97)),)="1111",OFFSET(TH!M$1,SMALL(Dong1,ROWS($1:97)),),0))</f>
        <v/>
      </c>
      <c r="I110" s="163">
        <f t="shared" ref="I110:I116" ca="1" si="3">IF(E110&lt;&gt;"",I109+G110-H110,0)</f>
        <v>0</v>
      </c>
      <c r="J110" s="168"/>
    </row>
    <row r="111" spans="1:10" ht="19.5" customHeight="1">
      <c r="A111" s="162" t="str">
        <f ca="1">IF(ROWS($1:98)&gt;COUNT(Dong1),"",OFFSET(TH!C$1,SMALL(Dong1,ROWS($1:98)),))</f>
        <v/>
      </c>
      <c r="B111" s="162" t="str">
        <f ca="1">IF(ROWS($1:98)&gt;COUNT(Dong1),"",OFFSET(TH!E$1,SMALL(Dong1,ROWS($1:98)),))</f>
        <v/>
      </c>
      <c r="C111" s="163" t="str">
        <f ca="1">IF(ROWS($1:98)&gt;COUNT(Dong1),"",IF(OFFSET(TH!N$1,SMALL(Dong1,ROWS($1:98)),)="1111",OFFSET(TH!D$1,SMALL(Dong1,ROWS($1:98)),),""))</f>
        <v/>
      </c>
      <c r="D111" s="164" t="str">
        <f ca="1">IF(ROWS($1:98)&gt;COUNT(Dong1),"",IF(OFFSET(TH!O$1,SMALL(Dong1,ROWS($1:98)),)="1111",OFFSET(TH!D$1,SMALL(Dong1,ROWS($1:98)),),""))</f>
        <v/>
      </c>
      <c r="E111" s="373" t="str">
        <f ca="1">IF(ROWS($1:98)&gt;COUNT(Dong1),"",OFFSET(TH!F$1,SMALL(Dong1,ROWS($1:98)),))</f>
        <v/>
      </c>
      <c r="F111" s="166" t="str">
        <f ca="1">IF(ROWS($1:98)&gt;COUNT(Dong1),"",IF(OFFSET(TH!O$1,SMALL(Dong1,ROWS($1:98)),)="1111",OFFSET(TH!N$1,SMALL(Dong1,ROWS($1:98)),),OFFSET(TH!O$1,SMALL(Dong1,ROWS($1:98)),)))</f>
        <v/>
      </c>
      <c r="G111" s="167" t="str">
        <f ca="1">IF(ROWS($1:98)&gt;COUNT(Dong1),"",IF(OFFSET(TH!N$1,SMALL(Dong1,ROWS($1:98)),)="1111",OFFSET(TH!M$1,SMALL(Dong1,ROWS($1:98)),),0))</f>
        <v/>
      </c>
      <c r="H111" s="165" t="str">
        <f ca="1">IF(ROWS($1:98)&gt;COUNT(Dong1),"",IF(OFFSET(TH!O$1,SMALL(Dong1,ROWS($1:98)),)="1111",OFFSET(TH!M$1,SMALL(Dong1,ROWS($1:98)),),0))</f>
        <v/>
      </c>
      <c r="I111" s="163">
        <f t="shared" ca="1" si="3"/>
        <v>0</v>
      </c>
      <c r="J111" s="168"/>
    </row>
    <row r="112" spans="1:10" ht="19.5" customHeight="1">
      <c r="A112" s="162" t="str">
        <f ca="1">IF(ROWS($1:99)&gt;COUNT(Dong1),"",OFFSET(TH!C$1,SMALL(Dong1,ROWS($1:99)),))</f>
        <v/>
      </c>
      <c r="B112" s="162" t="str">
        <f ca="1">IF(ROWS($1:99)&gt;COUNT(Dong1),"",OFFSET(TH!E$1,SMALL(Dong1,ROWS($1:99)),))</f>
        <v/>
      </c>
      <c r="C112" s="163" t="str">
        <f ca="1">IF(ROWS($1:99)&gt;COUNT(Dong1),"",IF(OFFSET(TH!N$1,SMALL(Dong1,ROWS($1:99)),)="1111",OFFSET(TH!D$1,SMALL(Dong1,ROWS($1:99)),),""))</f>
        <v/>
      </c>
      <c r="D112" s="164" t="str">
        <f ca="1">IF(ROWS($1:99)&gt;COUNT(Dong1),"",IF(OFFSET(TH!O$1,SMALL(Dong1,ROWS($1:99)),)="1111",OFFSET(TH!D$1,SMALL(Dong1,ROWS($1:99)),),""))</f>
        <v/>
      </c>
      <c r="E112" s="373" t="str">
        <f ca="1">IF(ROWS($1:99)&gt;COUNT(Dong1),"",OFFSET(TH!F$1,SMALL(Dong1,ROWS($1:99)),))</f>
        <v/>
      </c>
      <c r="F112" s="166" t="str">
        <f ca="1">IF(ROWS($1:99)&gt;COUNT(Dong1),"",IF(OFFSET(TH!O$1,SMALL(Dong1,ROWS($1:99)),)="1111",OFFSET(TH!N$1,SMALL(Dong1,ROWS($1:99)),),OFFSET(TH!O$1,SMALL(Dong1,ROWS($1:99)),)))</f>
        <v/>
      </c>
      <c r="G112" s="167" t="str">
        <f ca="1">IF(ROWS($1:99)&gt;COUNT(Dong1),"",IF(OFFSET(TH!N$1,SMALL(Dong1,ROWS($1:99)),)="1111",OFFSET(TH!M$1,SMALL(Dong1,ROWS($1:99)),),0))</f>
        <v/>
      </c>
      <c r="H112" s="165" t="str">
        <f ca="1">IF(ROWS($1:99)&gt;COUNT(Dong1),"",IF(OFFSET(TH!O$1,SMALL(Dong1,ROWS($1:99)),)="1111",OFFSET(TH!M$1,SMALL(Dong1,ROWS($1:99)),),0))</f>
        <v/>
      </c>
      <c r="I112" s="163">
        <f t="shared" ca="1" si="3"/>
        <v>0</v>
      </c>
      <c r="J112" s="168"/>
    </row>
    <row r="113" spans="1:12" ht="19.5" customHeight="1">
      <c r="A113" s="162" t="str">
        <f ca="1">IF(ROWS($1:100)&gt;COUNT(Dong1),"",OFFSET(TH!C$1,SMALL(Dong1,ROWS($1:100)),))</f>
        <v/>
      </c>
      <c r="B113" s="162" t="str">
        <f ca="1">IF(ROWS($1:100)&gt;COUNT(Dong1),"",OFFSET(TH!E$1,SMALL(Dong1,ROWS($1:100)),))</f>
        <v/>
      </c>
      <c r="C113" s="163" t="str">
        <f ca="1">IF(ROWS($1:100)&gt;COUNT(Dong1),"",IF(OFFSET(TH!N$1,SMALL(Dong1,ROWS($1:100)),)="1111",OFFSET(TH!D$1,SMALL(Dong1,ROWS($1:100)),),""))</f>
        <v/>
      </c>
      <c r="D113" s="164" t="str">
        <f ca="1">IF(ROWS($1:100)&gt;COUNT(Dong1),"",IF(OFFSET(TH!O$1,SMALL(Dong1,ROWS($1:100)),)="1111",OFFSET(TH!D$1,SMALL(Dong1,ROWS($1:100)),),""))</f>
        <v/>
      </c>
      <c r="E113" s="373" t="str">
        <f ca="1">IF(ROWS($1:100)&gt;COUNT(Dong1),"",OFFSET(TH!F$1,SMALL(Dong1,ROWS($1:100)),))</f>
        <v/>
      </c>
      <c r="F113" s="166" t="str">
        <f ca="1">IF(ROWS($1:100)&gt;COUNT(Dong1),"",IF(OFFSET(TH!O$1,SMALL(Dong1,ROWS($1:100)),)="1111",OFFSET(TH!N$1,SMALL(Dong1,ROWS($1:100)),),OFFSET(TH!O$1,SMALL(Dong1,ROWS($1:100)),)))</f>
        <v/>
      </c>
      <c r="G113" s="167" t="str">
        <f ca="1">IF(ROWS($1:100)&gt;COUNT(Dong1),"",IF(OFFSET(TH!N$1,SMALL(Dong1,ROWS($1:100)),)="1111",OFFSET(TH!M$1,SMALL(Dong1,ROWS($1:100)),),0))</f>
        <v/>
      </c>
      <c r="H113" s="165" t="str">
        <f ca="1">IF(ROWS($1:100)&gt;COUNT(Dong1),"",IF(OFFSET(TH!O$1,SMALL(Dong1,ROWS($1:100)),)="1111",OFFSET(TH!M$1,SMALL(Dong1,ROWS($1:100)),),0))</f>
        <v/>
      </c>
      <c r="I113" s="163">
        <f t="shared" ca="1" si="3"/>
        <v>0</v>
      </c>
      <c r="J113" s="168"/>
    </row>
    <row r="114" spans="1:12" ht="19.5" customHeight="1">
      <c r="A114" s="162" t="str">
        <f ca="1">IF(ROWS($1:101)&gt;COUNT(Dong1),"",OFFSET(TH!C$1,SMALL(Dong1,ROWS($1:101)),))</f>
        <v/>
      </c>
      <c r="B114" s="162" t="str">
        <f ca="1">IF(ROWS($1:101)&gt;COUNT(Dong1),"",OFFSET(TH!E$1,SMALL(Dong1,ROWS($1:101)),))</f>
        <v/>
      </c>
      <c r="C114" s="163" t="str">
        <f ca="1">IF(ROWS($1:101)&gt;COUNT(Dong1),"",IF(OFFSET(TH!N$1,SMALL(Dong1,ROWS($1:101)),)="1111",OFFSET(TH!D$1,SMALL(Dong1,ROWS($1:101)),),""))</f>
        <v/>
      </c>
      <c r="D114" s="164" t="str">
        <f ca="1">IF(ROWS($1:101)&gt;COUNT(Dong1),"",IF(OFFSET(TH!O$1,SMALL(Dong1,ROWS($1:101)),)="1111",OFFSET(TH!D$1,SMALL(Dong1,ROWS($1:101)),),""))</f>
        <v/>
      </c>
      <c r="E114" s="373" t="str">
        <f ca="1">IF(ROWS($1:101)&gt;COUNT(Dong1),"",OFFSET(TH!F$1,SMALL(Dong1,ROWS($1:101)),))</f>
        <v/>
      </c>
      <c r="F114" s="166" t="str">
        <f ca="1">IF(ROWS($1:101)&gt;COUNT(Dong1),"",IF(OFFSET(TH!O$1,SMALL(Dong1,ROWS($1:101)),)="1111",OFFSET(TH!N$1,SMALL(Dong1,ROWS($1:101)),),OFFSET(TH!O$1,SMALL(Dong1,ROWS($1:101)),)))</f>
        <v/>
      </c>
      <c r="G114" s="167" t="str">
        <f ca="1">IF(ROWS($1:101)&gt;COUNT(Dong1),"",IF(OFFSET(TH!N$1,SMALL(Dong1,ROWS($1:101)),)="1111",OFFSET(TH!M$1,SMALL(Dong1,ROWS($1:101)),),0))</f>
        <v/>
      </c>
      <c r="H114" s="165" t="str">
        <f ca="1">IF(ROWS($1:101)&gt;COUNT(Dong1),"",IF(OFFSET(TH!O$1,SMALL(Dong1,ROWS($1:101)),)="1111",OFFSET(TH!M$1,SMALL(Dong1,ROWS($1:101)),),0))</f>
        <v/>
      </c>
      <c r="I114" s="163">
        <f t="shared" ca="1" si="3"/>
        <v>0</v>
      </c>
      <c r="J114" s="168"/>
    </row>
    <row r="115" spans="1:12" ht="19.5" customHeight="1">
      <c r="A115" s="162" t="str">
        <f ca="1">IF(ROWS($1:102)&gt;COUNT(Dong1),"",OFFSET(TH!C$1,SMALL(Dong1,ROWS($1:102)),))</f>
        <v/>
      </c>
      <c r="B115" s="162" t="str">
        <f ca="1">IF(ROWS($1:102)&gt;COUNT(Dong1),"",OFFSET(TH!E$1,SMALL(Dong1,ROWS($1:102)),))</f>
        <v/>
      </c>
      <c r="C115" s="163" t="str">
        <f ca="1">IF(ROWS($1:102)&gt;COUNT(Dong1),"",IF(OFFSET(TH!N$1,SMALL(Dong1,ROWS($1:102)),)="1111",OFFSET(TH!D$1,SMALL(Dong1,ROWS($1:102)),),""))</f>
        <v/>
      </c>
      <c r="D115" s="164" t="str">
        <f ca="1">IF(ROWS($1:102)&gt;COUNT(Dong1),"",IF(OFFSET(TH!O$1,SMALL(Dong1,ROWS($1:102)),)="1111",OFFSET(TH!D$1,SMALL(Dong1,ROWS($1:102)),),""))</f>
        <v/>
      </c>
      <c r="E115" s="373" t="str">
        <f ca="1">IF(ROWS($1:102)&gt;COUNT(Dong1),"",OFFSET(TH!F$1,SMALL(Dong1,ROWS($1:102)),))</f>
        <v/>
      </c>
      <c r="F115" s="166" t="str">
        <f ca="1">IF(ROWS($1:102)&gt;COUNT(Dong1),"",IF(OFFSET(TH!O$1,SMALL(Dong1,ROWS($1:102)),)="1111",OFFSET(TH!N$1,SMALL(Dong1,ROWS($1:102)),),OFFSET(TH!O$1,SMALL(Dong1,ROWS($1:102)),)))</f>
        <v/>
      </c>
      <c r="G115" s="167" t="str">
        <f ca="1">IF(ROWS($1:102)&gt;COUNT(Dong1),"",IF(OFFSET(TH!N$1,SMALL(Dong1,ROWS($1:102)),)="1111",OFFSET(TH!M$1,SMALL(Dong1,ROWS($1:102)),),0))</f>
        <v/>
      </c>
      <c r="H115" s="165" t="str">
        <f ca="1">IF(ROWS($1:102)&gt;COUNT(Dong1),"",IF(OFFSET(TH!O$1,SMALL(Dong1,ROWS($1:102)),)="1111",OFFSET(TH!M$1,SMALL(Dong1,ROWS($1:102)),),0))</f>
        <v/>
      </c>
      <c r="I115" s="163">
        <f t="shared" ca="1" si="3"/>
        <v>0</v>
      </c>
      <c r="J115" s="168"/>
    </row>
    <row r="116" spans="1:12" ht="19.5" customHeight="1">
      <c r="A116" s="162" t="str">
        <f ca="1">IF(ROWS($1:103)&gt;COUNT(Dong1),"",OFFSET(TH!C$1,SMALL(Dong1,ROWS($1:103)),))</f>
        <v/>
      </c>
      <c r="B116" s="162" t="str">
        <f ca="1">IF(ROWS($1:103)&gt;COUNT(Dong1),"",OFFSET(TH!E$1,SMALL(Dong1,ROWS($1:103)),))</f>
        <v/>
      </c>
      <c r="C116" s="163" t="str">
        <f ca="1">IF(ROWS($1:103)&gt;COUNT(Dong1),"",IF(OFFSET(TH!N$1,SMALL(Dong1,ROWS($1:103)),)="1111",OFFSET(TH!D$1,SMALL(Dong1,ROWS($1:103)),),""))</f>
        <v/>
      </c>
      <c r="D116" s="164" t="str">
        <f ca="1">IF(ROWS($1:103)&gt;COUNT(Dong1),"",IF(OFFSET(TH!O$1,SMALL(Dong1,ROWS($1:103)),)="1111",OFFSET(TH!D$1,SMALL(Dong1,ROWS($1:103)),),""))</f>
        <v/>
      </c>
      <c r="E116" s="373" t="str">
        <f ca="1">IF(ROWS($1:103)&gt;COUNT(Dong1),"",OFFSET(TH!F$1,SMALL(Dong1,ROWS($1:103)),))</f>
        <v/>
      </c>
      <c r="F116" s="166" t="str">
        <f ca="1">IF(ROWS($1:103)&gt;COUNT(Dong1),"",IF(OFFSET(TH!O$1,SMALL(Dong1,ROWS($1:103)),)="1111",OFFSET(TH!N$1,SMALL(Dong1,ROWS($1:103)),),OFFSET(TH!O$1,SMALL(Dong1,ROWS($1:103)),)))</f>
        <v/>
      </c>
      <c r="G116" s="167" t="str">
        <f ca="1">IF(ROWS($1:103)&gt;COUNT(Dong1),"",IF(OFFSET(TH!N$1,SMALL(Dong1,ROWS($1:103)),)="1111",OFFSET(TH!M$1,SMALL(Dong1,ROWS($1:103)),),0))</f>
        <v/>
      </c>
      <c r="H116" s="165" t="str">
        <f ca="1">IF(ROWS($1:103)&gt;COUNT(Dong1),"",IF(OFFSET(TH!O$1,SMALL(Dong1,ROWS($1:103)),)="1111",OFFSET(TH!M$1,SMALL(Dong1,ROWS($1:103)),),0))</f>
        <v/>
      </c>
      <c r="I116" s="163">
        <f t="shared" ca="1" si="3"/>
        <v>0</v>
      </c>
      <c r="J116" s="168"/>
    </row>
    <row r="117" spans="1:12" ht="19.5" customHeight="1">
      <c r="A117" s="162"/>
      <c r="B117" s="162"/>
      <c r="C117" s="163"/>
      <c r="D117" s="164"/>
      <c r="E117" s="373"/>
      <c r="F117" s="166"/>
      <c r="G117" s="167"/>
      <c r="H117" s="165"/>
      <c r="I117" s="163"/>
      <c r="J117" s="168"/>
    </row>
    <row r="118" spans="1:12" ht="19.5" customHeight="1">
      <c r="A118" s="162"/>
      <c r="B118" s="162"/>
      <c r="C118" s="163"/>
      <c r="D118" s="164"/>
      <c r="E118" s="373"/>
      <c r="F118" s="166"/>
      <c r="G118" s="167"/>
      <c r="H118" s="165"/>
      <c r="I118" s="163"/>
      <c r="J118" s="168"/>
    </row>
    <row r="119" spans="1:12" ht="19.5" customHeight="1">
      <c r="A119" s="162"/>
      <c r="B119" s="162"/>
      <c r="C119" s="163"/>
      <c r="D119" s="164"/>
      <c r="E119" s="373"/>
      <c r="F119" s="166"/>
      <c r="G119" s="167"/>
      <c r="H119" s="165"/>
      <c r="I119" s="163"/>
      <c r="J119" s="168"/>
    </row>
    <row r="120" spans="1:12" ht="19.5" customHeight="1">
      <c r="A120" s="169"/>
      <c r="B120" s="168"/>
      <c r="C120" s="168"/>
      <c r="D120" s="168"/>
      <c r="E120" s="374"/>
      <c r="F120" s="170"/>
      <c r="G120" s="168"/>
      <c r="H120" s="168"/>
      <c r="I120" s="163"/>
      <c r="J120" s="168"/>
    </row>
    <row r="121" spans="1:12" s="158" customFormat="1" ht="19.5" customHeight="1">
      <c r="A121" s="171"/>
      <c r="B121" s="171"/>
      <c r="C121" s="171"/>
      <c r="D121" s="171"/>
      <c r="E121" s="171" t="s">
        <v>158</v>
      </c>
      <c r="F121" s="172" t="s">
        <v>21</v>
      </c>
      <c r="G121" s="171">
        <f ca="1">SUM(G14:G120)</f>
        <v>8610000000</v>
      </c>
      <c r="H121" s="171">
        <f ca="1">SUM(H14:H120)</f>
        <v>4890231130.3999996</v>
      </c>
      <c r="I121" s="172" t="s">
        <v>21</v>
      </c>
      <c r="J121" s="172" t="s">
        <v>21</v>
      </c>
    </row>
    <row r="122" spans="1:12" s="158" customFormat="1" ht="19.5" customHeight="1">
      <c r="A122" s="173"/>
      <c r="B122" s="173"/>
      <c r="C122" s="173"/>
      <c r="D122" s="173"/>
      <c r="E122" s="173" t="s">
        <v>159</v>
      </c>
      <c r="F122" s="174" t="s">
        <v>21</v>
      </c>
      <c r="G122" s="174" t="s">
        <v>21</v>
      </c>
      <c r="H122" s="174" t="s">
        <v>21</v>
      </c>
      <c r="I122" s="175">
        <f ca="1">I13+G121-H121</f>
        <v>12221957602.6</v>
      </c>
      <c r="J122" s="174" t="s">
        <v>21</v>
      </c>
    </row>
    <row r="123" spans="1:12">
      <c r="L123" s="418" t="s">
        <v>252</v>
      </c>
    </row>
    <row r="124" spans="1:12">
      <c r="A124" s="176" t="s">
        <v>234</v>
      </c>
      <c r="L124" s="418" t="s">
        <v>253</v>
      </c>
    </row>
    <row r="125" spans="1:12">
      <c r="A125" s="225" t="str">
        <f ca="1">"- Ngày mở sổ: "&amp;DAY($A$14)&amp;"/"&amp;MONTH($A$14)&amp;"/ 2015"</f>
        <v>- Ngày mở sổ: 1/9/ 2015</v>
      </c>
      <c r="L125" s="418" t="s">
        <v>160</v>
      </c>
    </row>
    <row r="126" spans="1:12">
      <c r="I126" s="315" t="str">
        <f>"Ngày "&amp;IF(OR($L$11=4,$L$11=6,$L$11=9,$L$11=11),"30",IF($L$11=2,"28","31"))&amp;" tháng "&amp;$L$11&amp;"  năm  2016 "</f>
        <v xml:space="preserve">Ngày 30 tháng 9  năm  2016 </v>
      </c>
      <c r="L126" s="418" t="s">
        <v>234</v>
      </c>
    </row>
    <row r="127" spans="1:12" s="177" customFormat="1" ht="14.25">
      <c r="C127" s="177" t="s">
        <v>11</v>
      </c>
      <c r="E127" s="177" t="s">
        <v>12</v>
      </c>
      <c r="I127" s="177" t="s">
        <v>131</v>
      </c>
    </row>
    <row r="128" spans="1:12" s="178" customFormat="1">
      <c r="C128" s="178" t="s">
        <v>13</v>
      </c>
      <c r="E128" s="178" t="s">
        <v>13</v>
      </c>
      <c r="I128" s="178" t="s">
        <v>161</v>
      </c>
    </row>
    <row r="129" spans="1:10" s="178" customFormat="1"/>
    <row r="130" spans="1:10" s="178" customFormat="1"/>
    <row r="131" spans="1:10" s="178" customFormat="1"/>
    <row r="132" spans="1:10" s="178" customFormat="1"/>
    <row r="135" spans="1:10" ht="15.75">
      <c r="C135" s="371" t="s">
        <v>229</v>
      </c>
      <c r="I135" s="372" t="s">
        <v>125</v>
      </c>
    </row>
    <row r="136" spans="1:10">
      <c r="E136" s="153">
        <f ca="1">SUMIF($D$14:$D$36,#REF!,H14:H36)</f>
        <v>0</v>
      </c>
    </row>
    <row r="139" spans="1:10">
      <c r="A139" s="153">
        <v>2</v>
      </c>
      <c r="B139" s="153">
        <v>3</v>
      </c>
      <c r="C139" s="153">
        <v>4</v>
      </c>
      <c r="D139" s="153">
        <v>5</v>
      </c>
      <c r="E139" s="153">
        <v>6</v>
      </c>
      <c r="F139" s="153">
        <v>9</v>
      </c>
      <c r="G139" s="153">
        <v>10</v>
      </c>
      <c r="H139" s="153">
        <v>11</v>
      </c>
      <c r="I139" s="153">
        <v>12</v>
      </c>
      <c r="J139" s="153">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1.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63" activePane="bottomLeft" state="frozen"/>
      <selection activeCell="A5" sqref="A5"/>
      <selection pane="bottomLeft" activeCell="K9" sqref="K9"/>
    </sheetView>
  </sheetViews>
  <sheetFormatPr defaultRowHeight="15.75"/>
  <cols>
    <col min="1" max="1" width="7.7109375" style="218" customWidth="1"/>
    <col min="2" max="2" width="7.42578125" style="219" customWidth="1"/>
    <col min="3" max="3" width="7.7109375" style="218" customWidth="1"/>
    <col min="4" max="4" width="40.7109375" style="217" customWidth="1"/>
    <col min="5" max="5" width="7.7109375" style="217" customWidth="1"/>
    <col min="6" max="6" width="16.42578125" style="217" customWidth="1"/>
    <col min="7" max="7" width="16.28515625" style="217" customWidth="1"/>
    <col min="8" max="8" width="17.140625" style="734" customWidth="1"/>
    <col min="9" max="9" width="6.5703125" style="217" customWidth="1"/>
    <col min="10" max="10" width="2.85546875" style="217" customWidth="1"/>
    <col min="11" max="11" width="6.28515625" style="217" customWidth="1"/>
    <col min="12" max="12" width="3.28515625" style="217" customWidth="1"/>
    <col min="13" max="13" width="5.7109375" style="217" customWidth="1"/>
    <col min="14" max="14" width="9.140625" style="217"/>
    <col min="15" max="15" width="12.85546875" style="217" bestFit="1" customWidth="1"/>
    <col min="16" max="19" width="12.7109375" style="217" customWidth="1"/>
    <col min="20" max="20" width="12" style="217" bestFit="1" customWidth="1"/>
    <col min="21" max="16384" width="9.140625" style="217"/>
  </cols>
  <sheetData>
    <row r="1" spans="1:20" s="182" customFormat="1" ht="16.5" customHeight="1">
      <c r="A1" s="129" t="s">
        <v>138</v>
      </c>
      <c r="B1" s="183"/>
      <c r="C1" s="184"/>
      <c r="F1" s="375"/>
      <c r="G1" s="377" t="s">
        <v>235</v>
      </c>
      <c r="H1" s="1139"/>
      <c r="I1" s="375"/>
      <c r="K1" s="185"/>
      <c r="L1" s="185"/>
    </row>
    <row r="2" spans="1:20" s="182" customFormat="1" ht="16.5" customHeight="1">
      <c r="A2" s="379" t="s">
        <v>139</v>
      </c>
      <c r="B2" s="220"/>
      <c r="C2" s="220"/>
      <c r="D2" s="220"/>
      <c r="F2" s="376"/>
      <c r="G2" s="378" t="s">
        <v>236</v>
      </c>
      <c r="H2" s="1140"/>
      <c r="I2" s="376"/>
      <c r="K2" s="186"/>
      <c r="L2" s="186"/>
    </row>
    <row r="3" spans="1:20" s="182" customFormat="1" ht="16.5" customHeight="1">
      <c r="A3" s="220"/>
      <c r="B3" s="220"/>
      <c r="C3" s="220"/>
      <c r="D3" s="220"/>
      <c r="F3" s="376"/>
      <c r="G3" s="378" t="s">
        <v>237</v>
      </c>
      <c r="H3" s="1140"/>
      <c r="I3" s="376"/>
    </row>
    <row r="4" spans="1:20" s="182" customFormat="1" ht="19.5" customHeight="1">
      <c r="A4" s="1340" t="s">
        <v>165</v>
      </c>
      <c r="B4" s="1340"/>
      <c r="C4" s="1340"/>
      <c r="D4" s="1340"/>
      <c r="E4" s="1340"/>
      <c r="F4" s="1340"/>
      <c r="G4" s="1340"/>
      <c r="H4" s="1340"/>
      <c r="I4" s="1340"/>
    </row>
    <row r="5" spans="1:20" s="182" customFormat="1" ht="15">
      <c r="A5" s="1341" t="str">
        <f>"Nơi mở tài khoản giao dịch: "&amp;IF($M$9="Q11","Ngân Hàng Eximbank Quận 11",IF($M$9="Q4","Ngân Hàng Eximbank Quận 4","Ngân Hàng PV Combank - CN Gia Định"))</f>
        <v>Nơi mở tài khoản giao dịch: Ngân Hàng PV Combank - CN Gia Định</v>
      </c>
      <c r="B5" s="1341"/>
      <c r="C5" s="1341"/>
      <c r="D5" s="1341"/>
      <c r="E5" s="1341"/>
      <c r="F5" s="1341"/>
      <c r="G5" s="1341"/>
      <c r="H5" s="1341"/>
      <c r="I5" s="1341"/>
    </row>
    <row r="6" spans="1:20" s="182" customFormat="1" ht="15">
      <c r="D6" s="444" t="s">
        <v>270</v>
      </c>
      <c r="E6" s="1341" t="str">
        <f>IF($H$6="VNĐ",IF($M$9="Q11","1015 148 5100 9180",IF($M$9="Q4","1402 148 5100 9465","0000 0000 6072")),IF($M$9="Q11","1015 148 5100 9193",IF($M$9="Q4","1402 148 5100 9479","3700 0000 6072")))</f>
        <v>0000 0000 6072</v>
      </c>
      <c r="F6" s="1341"/>
      <c r="G6" s="1341"/>
      <c r="H6" s="1141" t="s">
        <v>130</v>
      </c>
      <c r="I6" s="445" t="str">
        <f>IF(H6="VNĐ","1121",IF(H6="USD","1122",""))</f>
        <v>1121</v>
      </c>
      <c r="O6" s="1338" t="s">
        <v>917</v>
      </c>
      <c r="P6" s="1338" t="s">
        <v>915</v>
      </c>
      <c r="Q6" s="1338" t="s">
        <v>914</v>
      </c>
      <c r="R6" s="1342" t="s">
        <v>1558</v>
      </c>
      <c r="S6" s="1338" t="s">
        <v>920</v>
      </c>
    </row>
    <row r="7" spans="1:20" s="182" customFormat="1" ht="8.25" customHeight="1">
      <c r="A7" s="187"/>
      <c r="B7" s="188"/>
      <c r="C7" s="187"/>
      <c r="D7" s="188"/>
      <c r="E7" s="188"/>
      <c r="F7" s="188"/>
      <c r="G7" s="188"/>
      <c r="H7" s="1142"/>
      <c r="I7" s="188"/>
      <c r="O7" s="1339"/>
      <c r="P7" s="1339"/>
      <c r="Q7" s="1339"/>
      <c r="R7" s="1343"/>
      <c r="S7" s="1339"/>
    </row>
    <row r="8" spans="1:20" s="189" customFormat="1" ht="22.5" customHeight="1" thickBot="1">
      <c r="A8" s="1346" t="s">
        <v>166</v>
      </c>
      <c r="B8" s="1348" t="s">
        <v>1</v>
      </c>
      <c r="C8" s="1349"/>
      <c r="D8" s="1344" t="s">
        <v>0</v>
      </c>
      <c r="E8" s="1350" t="s">
        <v>16</v>
      </c>
      <c r="F8" s="1348" t="s">
        <v>167</v>
      </c>
      <c r="G8" s="1348"/>
      <c r="H8" s="1349"/>
      <c r="I8" s="1344" t="s">
        <v>152</v>
      </c>
      <c r="K8" s="180"/>
      <c r="L8" s="182"/>
      <c r="O8" s="935" t="s">
        <v>919</v>
      </c>
      <c r="P8" s="430">
        <v>1749.9699999988079</v>
      </c>
      <c r="Q8" s="430">
        <v>97840.270000000019</v>
      </c>
      <c r="R8" s="430">
        <v>0</v>
      </c>
      <c r="S8" s="430">
        <v>0</v>
      </c>
      <c r="T8" s="937">
        <f>SUM(P8:S8)</f>
        <v>99590.239999998827</v>
      </c>
    </row>
    <row r="9" spans="1:20" s="189" customFormat="1" ht="22.5" customHeight="1" thickBot="1">
      <c r="A9" s="1347"/>
      <c r="B9" s="190" t="s">
        <v>17</v>
      </c>
      <c r="C9" s="191" t="s">
        <v>168</v>
      </c>
      <c r="D9" s="1345"/>
      <c r="E9" s="1351"/>
      <c r="F9" s="425" t="s">
        <v>169</v>
      </c>
      <c r="G9" s="192" t="s">
        <v>170</v>
      </c>
      <c r="H9" s="1143" t="s">
        <v>171</v>
      </c>
      <c r="I9" s="1345"/>
      <c r="K9" s="932">
        <v>10</v>
      </c>
      <c r="L9" s="182"/>
      <c r="M9" s="933" t="s">
        <v>1558</v>
      </c>
      <c r="O9" s="934" t="s">
        <v>918</v>
      </c>
      <c r="P9" s="936">
        <v>12092853</v>
      </c>
      <c r="Q9" s="936">
        <v>7626450</v>
      </c>
      <c r="R9" s="936">
        <v>0</v>
      </c>
      <c r="S9" s="936">
        <v>109992</v>
      </c>
      <c r="T9" s="938">
        <f>SUM(P9:S9)</f>
        <v>19829295</v>
      </c>
    </row>
    <row r="10" spans="1:20" s="195" customFormat="1" ht="15">
      <c r="A10" s="193" t="s">
        <v>2</v>
      </c>
      <c r="B10" s="194" t="s">
        <v>3</v>
      </c>
      <c r="C10" s="193" t="s">
        <v>4</v>
      </c>
      <c r="D10" s="194" t="s">
        <v>5</v>
      </c>
      <c r="E10" s="194" t="s">
        <v>6</v>
      </c>
      <c r="F10" s="194">
        <v>1</v>
      </c>
      <c r="G10" s="194">
        <v>2</v>
      </c>
      <c r="H10" s="194">
        <v>3</v>
      </c>
      <c r="I10" s="194" t="s">
        <v>155</v>
      </c>
      <c r="L10" s="182"/>
    </row>
    <row r="11" spans="1:20" s="199" customFormat="1" ht="20.25" customHeight="1">
      <c r="A11" s="196"/>
      <c r="B11" s="197"/>
      <c r="C11" s="196"/>
      <c r="D11" s="198" t="s">
        <v>7</v>
      </c>
      <c r="E11" s="198"/>
      <c r="F11" s="939"/>
      <c r="G11" s="939"/>
      <c r="H11" s="939">
        <f>IF($H$6="USD",IF($M$9="Q11",$P$8,IF($M$9="Q4",$Q$8,$R$8))+SUMIF(_N112,"x",_TH)-SUMIF(_C112,"x",_TH),IF($M$9="Q11",$P$9,IF($M$9="Q4",$Q$9,$R$9))+SUMIF(_N112,"x",TH)-SUMIF(_C112,"x",TH))</f>
        <v>5456340</v>
      </c>
      <c r="I11" s="939"/>
      <c r="L11" s="182"/>
    </row>
    <row r="12" spans="1:20" s="189" customFormat="1" ht="20.25" customHeight="1">
      <c r="A12" s="200">
        <f ca="1">IF(ROWS($1:1)&gt;COUNT(Dong2),"",OFFSET(TH!C$1,SMALL(Dong2,ROWS($1:1)),))</f>
        <v>42650</v>
      </c>
      <c r="B12" s="200" t="str">
        <f ca="1">IF(ROWS($1:1)&gt;COUNT(Dong2),"",OFFSET(TH!D$1,SMALL(Dong2,ROWS($1:1)),))</f>
        <v>T02</v>
      </c>
      <c r="C12" s="200">
        <f ca="1">IF(ROWS($1:1)&gt;COUNT(Dong2),"",OFFSET(TH!E$1,SMALL(Dong2,ROWS($1:1)),))</f>
        <v>42650</v>
      </c>
      <c r="D12" s="380" t="str">
        <f ca="1">IF(ROWS($1:1)&gt;COUNT(Dong2),"",OFFSET(TH!F$1,SMALL(Dong2,ROWS($1:1)),))</f>
        <v>Rút tiền gửi NH nhập quỹ TM</v>
      </c>
      <c r="E12" s="200" t="str">
        <f ca="1">IF(ROWS($1:1)&gt;COUNT(Dong2),"",IF(OFFSET(TH!O$1,SMALL(Dong2,ROWS($1:1)),)=$I$6,OFFSET(TH!N$1,SMALL(Dong2,ROWS($1:1)),),OFFSET(TH!O$1,SMALL(Dong2,ROWS($1:1)),)))</f>
        <v>1111</v>
      </c>
      <c r="F12" s="1163">
        <f ca="1">IF(ROWS($1:1)&gt;COUNT(Dong2),"",IF(AND(IF($M$9="Q11",LEFT(OFFSET(TH!G$1,SMALL(Dong2,ROWS($1:1)),),3)=$M$9,LEFT(OFFSET(TH!G$1,SMALL(Dong2,ROWS($1:1)),),2)=$M$9),OFFSET(TH!N$1,SMALL(Dong2,ROWS($1:1)),)=$I$6),IF($I$6="1121",OFFSET(TH!M$1,SMALL(Dong2,ROWS($1:1)),),OFFSET(TH!K$1,SMALL(Dong2,ROWS($1:1)),)),0))</f>
        <v>0</v>
      </c>
      <c r="G12" s="1163">
        <f ca="1">IF(ROWS($1:1)&gt;COUNT(Dong2),"",IF(AND(IF($M$9="Q11",RIGHT(OFFSET(TH!G$1,SMALL(Dong2,ROWS($1:1)),),3)=$M$9,RIGHT(OFFSET(TH!G$1,SMALL(Dong2,ROWS($1:1)),),2)=$M$9),OFFSET(TH!O$1,SMALL(Dong2,ROWS($1:1)),)=$I$6),IF($I$6="1121",OFFSET(TH!M$1,SMALL(Dong2,ROWS($1:1)),),OFFSET(TH!K$1,SMALL(Dong2,ROWS($1:1)),)),0))</f>
        <v>1900000000</v>
      </c>
      <c r="H12" s="940">
        <f ca="1">IF(A12&lt;&gt;"",H11+F12-G12,0)</f>
        <v>-1894543660</v>
      </c>
      <c r="I12" s="940"/>
      <c r="L12" s="182"/>
    </row>
    <row r="13" spans="1:20" s="189" customFormat="1" ht="20.25" customHeight="1">
      <c r="A13" s="200">
        <f ca="1">IF(ROWS($1:2)&gt;COUNT(Dong2),"",OFFSET(TH!C$1,SMALL(Dong2,ROWS($1:2)),))</f>
        <v>42650</v>
      </c>
      <c r="B13" s="200" t="str">
        <f ca="1">IF(ROWS($1:2)&gt;COUNT(Dong2),"",OFFSET(TH!D$1,SMALL(Dong2,ROWS($1:2)),))</f>
        <v>T03</v>
      </c>
      <c r="C13" s="200">
        <f ca="1">IF(ROWS($1:2)&gt;COUNT(Dong2),"",OFFSET(TH!E$1,SMALL(Dong2,ROWS($1:2)),))</f>
        <v>42650</v>
      </c>
      <c r="D13" s="380" t="str">
        <f ca="1">IF(ROWS($1:2)&gt;COUNT(Dong2),"",OFFSET(TH!F$1,SMALL(Dong2,ROWS($1:2)),))</f>
        <v>Rút tiền gửi NH nhập quỹ TM</v>
      </c>
      <c r="E13" s="200" t="str">
        <f ca="1">IF(ROWS($1:2)&gt;COUNT(Dong2),"",IF(OFFSET(TH!O$1,SMALL(Dong2,ROWS($1:2)),)=$I$6,OFFSET(TH!N$1,SMALL(Dong2,ROWS($1:2)),),OFFSET(TH!O$1,SMALL(Dong2,ROWS($1:2)),)))</f>
        <v>1111</v>
      </c>
      <c r="F13" s="1163">
        <f ca="1">IF(ROWS($1:2)&gt;COUNT(Dong2),"",IF(AND(IF($M$9="Q11",LEFT(OFFSET(TH!G$1,SMALL(Dong2,ROWS($1:2)),),3)=$M$9,LEFT(OFFSET(TH!G$1,SMALL(Dong2,ROWS($1:2)),),2)=$M$9),OFFSET(TH!N$1,SMALL(Dong2,ROWS($1:2)),)=$I$6),IF($I$6="1121",OFFSET(TH!M$1,SMALL(Dong2,ROWS($1:2)),),OFFSET(TH!K$1,SMALL(Dong2,ROWS($1:2)),)),0))</f>
        <v>0</v>
      </c>
      <c r="G13" s="1163">
        <f ca="1">IF(ROWS($1:2)&gt;COUNT(Dong2),"",IF(AND(IF($M$9="Q11",RIGHT(OFFSET(TH!G$1,SMALL(Dong2,ROWS($1:2)),),3)=$M$9,RIGHT(OFFSET(TH!G$1,SMALL(Dong2,ROWS($1:2)),),2)=$M$9),OFFSET(TH!O$1,SMALL(Dong2,ROWS($1:2)),)=$I$6),IF($I$6="1121",OFFSET(TH!M$1,SMALL(Dong2,ROWS($1:2)),),OFFSET(TH!K$1,SMALL(Dong2,ROWS($1:2)),)),0))</f>
        <v>2150000000</v>
      </c>
      <c r="H13" s="940">
        <f t="shared" ref="H13:H29" ca="1" si="0">IF(A13&lt;&gt;"",H12+F13-G13,0)</f>
        <v>-4044543660</v>
      </c>
      <c r="I13" s="940"/>
      <c r="L13" s="182"/>
    </row>
    <row r="14" spans="1:20" s="189" customFormat="1" ht="20.25" customHeight="1">
      <c r="A14" s="200">
        <f ca="1">IF(ROWS($1:3)&gt;COUNT(Dong2),"",OFFSET(TH!C$1,SMALL(Dong2,ROWS($1:3)),))</f>
        <v>42661</v>
      </c>
      <c r="B14" s="200" t="str">
        <f ca="1">IF(ROWS($1:3)&gt;COUNT(Dong2),"",OFFSET(TH!D$1,SMALL(Dong2,ROWS($1:3)),))</f>
        <v>T05</v>
      </c>
      <c r="C14" s="200">
        <f ca="1">IF(ROWS($1:3)&gt;COUNT(Dong2),"",OFFSET(TH!E$1,SMALL(Dong2,ROWS($1:3)),))</f>
        <v>42661</v>
      </c>
      <c r="D14" s="380" t="str">
        <f ca="1">IF(ROWS($1:3)&gt;COUNT(Dong2),"",OFFSET(TH!F$1,SMALL(Dong2,ROWS($1:3)),))</f>
        <v>Rút tiền gửi NH nhập quỹ TM</v>
      </c>
      <c r="E14" s="200" t="str">
        <f ca="1">IF(ROWS($1:3)&gt;COUNT(Dong2),"",IF(OFFSET(TH!O$1,SMALL(Dong2,ROWS($1:3)),)=$I$6,OFFSET(TH!N$1,SMALL(Dong2,ROWS($1:3)),),OFFSET(TH!O$1,SMALL(Dong2,ROWS($1:3)),)))</f>
        <v>1111</v>
      </c>
      <c r="F14" s="1163">
        <f ca="1">IF(ROWS($1:3)&gt;COUNT(Dong2),"",IF(AND(IF($M$9="Q11",LEFT(OFFSET(TH!G$1,SMALL(Dong2,ROWS($1:3)),),3)=$M$9,LEFT(OFFSET(TH!G$1,SMALL(Dong2,ROWS($1:3)),),2)=$M$9),OFFSET(TH!N$1,SMALL(Dong2,ROWS($1:3)),)=$I$6),IF($I$6="1121",OFFSET(TH!M$1,SMALL(Dong2,ROWS($1:3)),),OFFSET(TH!K$1,SMALL(Dong2,ROWS($1:3)),)),0))</f>
        <v>0</v>
      </c>
      <c r="G14" s="1163">
        <f ca="1">IF(ROWS($1:3)&gt;COUNT(Dong2),"",IF(AND(IF($M$9="Q11",RIGHT(OFFSET(TH!G$1,SMALL(Dong2,ROWS($1:3)),),3)=$M$9,RIGHT(OFFSET(TH!G$1,SMALL(Dong2,ROWS($1:3)),),2)=$M$9),OFFSET(TH!O$1,SMALL(Dong2,ROWS($1:3)),)=$I$6),IF($I$6="1121",OFFSET(TH!M$1,SMALL(Dong2,ROWS($1:3)),),OFFSET(TH!K$1,SMALL(Dong2,ROWS($1:3)),)),0))</f>
        <v>1000000000</v>
      </c>
      <c r="H14" s="940">
        <f t="shared" ca="1" si="0"/>
        <v>-5044543660</v>
      </c>
      <c r="I14" s="940"/>
      <c r="L14" s="182"/>
    </row>
    <row r="15" spans="1:20" s="189" customFormat="1" ht="20.25" customHeight="1">
      <c r="A15" s="200">
        <f ca="1">IF(ROWS($1:4)&gt;COUNT(Dong2),"",OFFSET(TH!C$1,SMALL(Dong2,ROWS($1:4)),))</f>
        <v>42661</v>
      </c>
      <c r="B15" s="200" t="str">
        <f ca="1">IF(ROWS($1:4)&gt;COUNT(Dong2),"",OFFSET(TH!D$1,SMALL(Dong2,ROWS($1:4)),))</f>
        <v>T06</v>
      </c>
      <c r="C15" s="200">
        <f ca="1">IF(ROWS($1:4)&gt;COUNT(Dong2),"",OFFSET(TH!E$1,SMALL(Dong2,ROWS($1:4)),))</f>
        <v>42661</v>
      </c>
      <c r="D15" s="380" t="str">
        <f ca="1">IF(ROWS($1:4)&gt;COUNT(Dong2),"",OFFSET(TH!F$1,SMALL(Dong2,ROWS($1:4)),))</f>
        <v>Rút tiền gửi NH nhập quỹ TM</v>
      </c>
      <c r="E15" s="200" t="str">
        <f ca="1">IF(ROWS($1:4)&gt;COUNT(Dong2),"",IF(OFFSET(TH!O$1,SMALL(Dong2,ROWS($1:4)),)=$I$6,OFFSET(TH!N$1,SMALL(Dong2,ROWS($1:4)),),OFFSET(TH!O$1,SMALL(Dong2,ROWS($1:4)),)))</f>
        <v>1111</v>
      </c>
      <c r="F15" s="1163">
        <f ca="1">IF(ROWS($1:4)&gt;COUNT(Dong2),"",IF(AND(IF($M$9="Q11",LEFT(OFFSET(TH!G$1,SMALL(Dong2,ROWS($1:4)),),3)=$M$9,LEFT(OFFSET(TH!G$1,SMALL(Dong2,ROWS($1:4)),),2)=$M$9),OFFSET(TH!N$1,SMALL(Dong2,ROWS($1:4)),)=$I$6),IF($I$6="1121",OFFSET(TH!M$1,SMALL(Dong2,ROWS($1:4)),),OFFSET(TH!K$1,SMALL(Dong2,ROWS($1:4)),)),0))</f>
        <v>0</v>
      </c>
      <c r="G15" s="1163">
        <f ca="1">IF(ROWS($1:4)&gt;COUNT(Dong2),"",IF(AND(IF($M$9="Q11",RIGHT(OFFSET(TH!G$1,SMALL(Dong2,ROWS($1:4)),),3)=$M$9,RIGHT(OFFSET(TH!G$1,SMALL(Dong2,ROWS($1:4)),),2)=$M$9),OFFSET(TH!O$1,SMALL(Dong2,ROWS($1:4)),)=$I$6),IF($I$6="1121",OFFSET(TH!M$1,SMALL(Dong2,ROWS($1:4)),),OFFSET(TH!K$1,SMALL(Dong2,ROWS($1:4)),)),0))</f>
        <v>1190000000</v>
      </c>
      <c r="H15" s="940">
        <f t="shared" ca="1" si="0"/>
        <v>-6234543660</v>
      </c>
      <c r="I15" s="940"/>
      <c r="L15" s="182"/>
    </row>
    <row r="16" spans="1:20" s="189" customFormat="1" ht="20.25" customHeight="1">
      <c r="A16" s="200">
        <f ca="1">IF(ROWS($1:5)&gt;COUNT(Dong2),"",OFFSET(TH!C$1,SMALL(Dong2,ROWS($1:5)),))</f>
        <v>42667</v>
      </c>
      <c r="B16" s="200" t="str">
        <f ca="1">IF(ROWS($1:5)&gt;COUNT(Dong2),"",OFFSET(TH!D$1,SMALL(Dong2,ROWS($1:5)),))</f>
        <v>T07</v>
      </c>
      <c r="C16" s="200">
        <f ca="1">IF(ROWS($1:5)&gt;COUNT(Dong2),"",OFFSET(TH!E$1,SMALL(Dong2,ROWS($1:5)),))</f>
        <v>42667</v>
      </c>
      <c r="D16" s="380" t="str">
        <f ca="1">IF(ROWS($1:5)&gt;COUNT(Dong2),"",OFFSET(TH!F$1,SMALL(Dong2,ROWS($1:5)),))</f>
        <v>Rút tiền gửi NH nhập quỹ TM</v>
      </c>
      <c r="E16" s="200" t="str">
        <f ca="1">IF(ROWS($1:5)&gt;COUNT(Dong2),"",IF(OFFSET(TH!O$1,SMALL(Dong2,ROWS($1:5)),)=$I$6,OFFSET(TH!N$1,SMALL(Dong2,ROWS($1:5)),),OFFSET(TH!O$1,SMALL(Dong2,ROWS($1:5)),)))</f>
        <v>1111</v>
      </c>
      <c r="F16" s="1163">
        <f ca="1">IF(ROWS($1:5)&gt;COUNT(Dong2),"",IF(AND(IF($M$9="Q11",LEFT(OFFSET(TH!G$1,SMALL(Dong2,ROWS($1:5)),),3)=$M$9,LEFT(OFFSET(TH!G$1,SMALL(Dong2,ROWS($1:5)),),2)=$M$9),OFFSET(TH!N$1,SMALL(Dong2,ROWS($1:5)),)=$I$6),IF($I$6="1121",OFFSET(TH!M$1,SMALL(Dong2,ROWS($1:5)),),OFFSET(TH!K$1,SMALL(Dong2,ROWS($1:5)),)),0))</f>
        <v>0</v>
      </c>
      <c r="G16" s="1163">
        <f ca="1">IF(ROWS($1:5)&gt;COUNT(Dong2),"",IF(AND(IF($M$9="Q11",RIGHT(OFFSET(TH!G$1,SMALL(Dong2,ROWS($1:5)),),3)=$M$9,RIGHT(OFFSET(TH!G$1,SMALL(Dong2,ROWS($1:5)),),2)=$M$9),OFFSET(TH!O$1,SMALL(Dong2,ROWS($1:5)),)=$I$6),IF($I$6="1121",OFFSET(TH!M$1,SMALL(Dong2,ROWS($1:5)),),OFFSET(TH!K$1,SMALL(Dong2,ROWS($1:5)),)),0))</f>
        <v>820000000</v>
      </c>
      <c r="H16" s="940">
        <f t="shared" ca="1" si="0"/>
        <v>-7054543660</v>
      </c>
      <c r="I16" s="940"/>
      <c r="L16" s="182"/>
    </row>
    <row r="17" spans="1:15" s="189" customFormat="1" ht="20.25" customHeight="1">
      <c r="A17" s="200">
        <f ca="1">IF(ROWS($1:6)&gt;COUNT(Dong2),"",OFFSET(TH!C$1,SMALL(Dong2,ROWS($1:6)),))</f>
        <v>42674</v>
      </c>
      <c r="B17" s="200" t="str">
        <f ca="1">IF(ROWS($1:6)&gt;COUNT(Dong2),"",OFFSET(TH!D$1,SMALL(Dong2,ROWS($1:6)),))</f>
        <v>T08</v>
      </c>
      <c r="C17" s="200">
        <f ca="1">IF(ROWS($1:6)&gt;COUNT(Dong2),"",OFFSET(TH!E$1,SMALL(Dong2,ROWS($1:6)),))</f>
        <v>42674</v>
      </c>
      <c r="D17" s="380" t="str">
        <f ca="1">IF(ROWS($1:6)&gt;COUNT(Dong2),"",OFFSET(TH!F$1,SMALL(Dong2,ROWS($1:6)),))</f>
        <v>Rút tiền gửi NH nhập quỹ TM</v>
      </c>
      <c r="E17" s="200" t="str">
        <f ca="1">IF(ROWS($1:6)&gt;COUNT(Dong2),"",IF(OFFSET(TH!O$1,SMALL(Dong2,ROWS($1:6)),)=$I$6,OFFSET(TH!N$1,SMALL(Dong2,ROWS($1:6)),),OFFSET(TH!O$1,SMALL(Dong2,ROWS($1:6)),)))</f>
        <v>1111</v>
      </c>
      <c r="F17" s="1163">
        <f ca="1">IF(ROWS($1:6)&gt;COUNT(Dong2),"",IF(AND(IF($M$9="Q11",LEFT(OFFSET(TH!G$1,SMALL(Dong2,ROWS($1:6)),),3)=$M$9,LEFT(OFFSET(TH!G$1,SMALL(Dong2,ROWS($1:6)),),2)=$M$9),OFFSET(TH!N$1,SMALL(Dong2,ROWS($1:6)),)=$I$6),IF($I$6="1121",OFFSET(TH!M$1,SMALL(Dong2,ROWS($1:6)),),OFFSET(TH!K$1,SMALL(Dong2,ROWS($1:6)),)),0))</f>
        <v>0</v>
      </c>
      <c r="G17" s="1163">
        <f ca="1">IF(ROWS($1:6)&gt;COUNT(Dong2),"",IF(AND(IF($M$9="Q11",RIGHT(OFFSET(TH!G$1,SMALL(Dong2,ROWS($1:6)),),3)=$M$9,RIGHT(OFFSET(TH!G$1,SMALL(Dong2,ROWS($1:6)),),2)=$M$9),OFFSET(TH!O$1,SMALL(Dong2,ROWS($1:6)),)=$I$6),IF($I$6="1121",OFFSET(TH!M$1,SMALL(Dong2,ROWS($1:6)),),OFFSET(TH!K$1,SMALL(Dong2,ROWS($1:6)),)),0))</f>
        <v>800000000</v>
      </c>
      <c r="H17" s="940">
        <f t="shared" ca="1" si="0"/>
        <v>-7854543660</v>
      </c>
      <c r="I17" s="940"/>
      <c r="L17" s="182"/>
    </row>
    <row r="18" spans="1:15" s="189" customFormat="1" ht="20.25" customHeight="1">
      <c r="A18" s="200">
        <f ca="1">IF(ROWS($1:7)&gt;COUNT(Dong2),"",OFFSET(TH!C$1,SMALL(Dong2,ROWS($1:7)),))</f>
        <v>42649</v>
      </c>
      <c r="B18" s="200" t="str">
        <f ca="1">IF(ROWS($1:7)&gt;COUNT(Dong2),"",OFFSET(TH!D$1,SMALL(Dong2,ROWS($1:7)),))</f>
        <v>C10</v>
      </c>
      <c r="C18" s="200">
        <f ca="1">IF(ROWS($1:7)&gt;COUNT(Dong2),"",OFFSET(TH!E$1,SMALL(Dong2,ROWS($1:7)),))</f>
        <v>42649</v>
      </c>
      <c r="D18" s="380" t="str">
        <f ca="1">IF(ROWS($1:7)&gt;COUNT(Dong2),"",OFFSET(TH!F$1,SMALL(Dong2,ROWS($1:7)),))</f>
        <v>Nộp tiền mặt vào TK NH</v>
      </c>
      <c r="E18" s="200" t="str">
        <f ca="1">IF(ROWS($1:7)&gt;COUNT(Dong2),"",IF(OFFSET(TH!O$1,SMALL(Dong2,ROWS($1:7)),)=$I$6,OFFSET(TH!N$1,SMALL(Dong2,ROWS($1:7)),),OFFSET(TH!O$1,SMALL(Dong2,ROWS($1:7)),)))</f>
        <v>1111</v>
      </c>
      <c r="F18" s="1163">
        <f ca="1">IF(ROWS($1:7)&gt;COUNT(Dong2),"",IF(AND(IF($M$9="Q11",LEFT(OFFSET(TH!G$1,SMALL(Dong2,ROWS($1:7)),),3)=$M$9,LEFT(OFFSET(TH!G$1,SMALL(Dong2,ROWS($1:7)),),2)=$M$9),OFFSET(TH!N$1,SMALL(Dong2,ROWS($1:7)),)=$I$6),IF($I$6="1121",OFFSET(TH!M$1,SMALL(Dong2,ROWS($1:7)),),OFFSET(TH!K$1,SMALL(Dong2,ROWS($1:7)),)),0))</f>
        <v>2200000000</v>
      </c>
      <c r="G18" s="1163">
        <f ca="1">IF(ROWS($1:7)&gt;COUNT(Dong2),"",IF(AND(IF($M$9="Q11",RIGHT(OFFSET(TH!G$1,SMALL(Dong2,ROWS($1:7)),),3)=$M$9,RIGHT(OFFSET(TH!G$1,SMALL(Dong2,ROWS($1:7)),),2)=$M$9),OFFSET(TH!O$1,SMALL(Dong2,ROWS($1:7)),)=$I$6),IF($I$6="1121",OFFSET(TH!M$1,SMALL(Dong2,ROWS($1:7)),),OFFSET(TH!K$1,SMALL(Dong2,ROWS($1:7)),)),0))</f>
        <v>0</v>
      </c>
      <c r="H18" s="940">
        <f t="shared" ca="1" si="0"/>
        <v>-5654543660</v>
      </c>
      <c r="I18" s="940"/>
      <c r="L18" s="182"/>
    </row>
    <row r="19" spans="1:15" s="189" customFormat="1" ht="20.25" customHeight="1">
      <c r="A19" s="200">
        <f ca="1">IF(ROWS($1:8)&gt;COUNT(Dong2),"",OFFSET(TH!C$1,SMALL(Dong2,ROWS($1:8)),))</f>
        <v>42661</v>
      </c>
      <c r="B19" s="200" t="str">
        <f ca="1">IF(ROWS($1:8)&gt;COUNT(Dong2),"",OFFSET(TH!D$1,SMALL(Dong2,ROWS($1:8)),))</f>
        <v>C25</v>
      </c>
      <c r="C19" s="200">
        <f ca="1">IF(ROWS($1:8)&gt;COUNT(Dong2),"",OFFSET(TH!E$1,SMALL(Dong2,ROWS($1:8)),))</f>
        <v>42661</v>
      </c>
      <c r="D19" s="380" t="str">
        <f ca="1">IF(ROWS($1:8)&gt;COUNT(Dong2),"",OFFSET(TH!F$1,SMALL(Dong2,ROWS($1:8)),))</f>
        <v>Nộp tiền mặt vào TK NH</v>
      </c>
      <c r="E19" s="200" t="str">
        <f ca="1">IF(ROWS($1:8)&gt;COUNT(Dong2),"",IF(OFFSET(TH!O$1,SMALL(Dong2,ROWS($1:8)),)=$I$6,OFFSET(TH!N$1,SMALL(Dong2,ROWS($1:8)),),OFFSET(TH!O$1,SMALL(Dong2,ROWS($1:8)),)))</f>
        <v>1111</v>
      </c>
      <c r="F19" s="1163">
        <f ca="1">IF(ROWS($1:8)&gt;COUNT(Dong2),"",IF(AND(IF($M$9="Q11",LEFT(OFFSET(TH!G$1,SMALL(Dong2,ROWS($1:8)),),3)=$M$9,LEFT(OFFSET(TH!G$1,SMALL(Dong2,ROWS($1:8)),),2)=$M$9),OFFSET(TH!N$1,SMALL(Dong2,ROWS($1:8)),)=$I$6),IF($I$6="1121",OFFSET(TH!M$1,SMALL(Dong2,ROWS($1:8)),),OFFSET(TH!K$1,SMALL(Dong2,ROWS($1:8)),)),0))</f>
        <v>200000000</v>
      </c>
      <c r="G19" s="1163">
        <f ca="1">IF(ROWS($1:8)&gt;COUNT(Dong2),"",IF(AND(IF($M$9="Q11",RIGHT(OFFSET(TH!G$1,SMALL(Dong2,ROWS($1:8)),),3)=$M$9,RIGHT(OFFSET(TH!G$1,SMALL(Dong2,ROWS($1:8)),),2)=$M$9),OFFSET(TH!O$1,SMALL(Dong2,ROWS($1:8)),)=$I$6),IF($I$6="1121",OFFSET(TH!M$1,SMALL(Dong2,ROWS($1:8)),),OFFSET(TH!K$1,SMALL(Dong2,ROWS($1:8)),)),0))</f>
        <v>0</v>
      </c>
      <c r="H19" s="940">
        <f t="shared" ca="1" si="0"/>
        <v>-5454543660</v>
      </c>
      <c r="I19" s="940"/>
      <c r="L19" s="182"/>
    </row>
    <row r="20" spans="1:15" s="189" customFormat="1" ht="20.25" customHeight="1">
      <c r="A20" s="200">
        <f ca="1">IF(ROWS($1:9)&gt;COUNT(Dong2),"",OFFSET(TH!C$1,SMALL(Dong2,ROWS($1:9)),))</f>
        <v>42650</v>
      </c>
      <c r="B20" s="200" t="str">
        <f ca="1">IF(ROWS($1:9)&gt;COUNT(Dong2),"",OFFSET(TH!D$1,SMALL(Dong2,ROWS($1:9)),))</f>
        <v>GBN</v>
      </c>
      <c r="C20" s="200">
        <f ca="1">IF(ROWS($1:9)&gt;COUNT(Dong2),"",OFFSET(TH!E$1,SMALL(Dong2,ROWS($1:9)),))</f>
        <v>42650</v>
      </c>
      <c r="D20" s="380" t="str">
        <f ca="1">IF(ROWS($1:9)&gt;COUNT(Dong2),"",OFFSET(TH!F$1,SMALL(Dong2,ROWS($1:9)),))</f>
        <v>Bán ngoại tệ</v>
      </c>
      <c r="E20" s="200" t="str">
        <f ca="1">IF(ROWS($1:9)&gt;COUNT(Dong2),"",IF(OFFSET(TH!O$1,SMALL(Dong2,ROWS($1:9)),)=$I$6,OFFSET(TH!N$1,SMALL(Dong2,ROWS($1:9)),),OFFSET(TH!O$1,SMALL(Dong2,ROWS($1:9)),)))</f>
        <v>1122</v>
      </c>
      <c r="F20" s="1163">
        <f ca="1">IF(ROWS($1:9)&gt;COUNT(Dong2),"",IF(AND(IF($M$9="Q11",LEFT(OFFSET(TH!G$1,SMALL(Dong2,ROWS($1:9)),),3)=$M$9,LEFT(OFFSET(TH!G$1,SMALL(Dong2,ROWS($1:9)),),2)=$M$9),OFFSET(TH!N$1,SMALL(Dong2,ROWS($1:9)),)=$I$6),IF($I$6="1121",OFFSET(TH!M$1,SMALL(Dong2,ROWS($1:9)),),OFFSET(TH!K$1,SMALL(Dong2,ROWS($1:9)),)),0))</f>
        <v>2229600000</v>
      </c>
      <c r="G20" s="1163">
        <f ca="1">IF(ROWS($1:9)&gt;COUNT(Dong2),"",IF(AND(IF($M$9="Q11",RIGHT(OFFSET(TH!G$1,SMALL(Dong2,ROWS($1:9)),),3)=$M$9,RIGHT(OFFSET(TH!G$1,SMALL(Dong2,ROWS($1:9)),),2)=$M$9),OFFSET(TH!O$1,SMALL(Dong2,ROWS($1:9)),)=$I$6),IF($I$6="1121",OFFSET(TH!M$1,SMALL(Dong2,ROWS($1:9)),),OFFSET(TH!K$1,SMALL(Dong2,ROWS($1:9)),)),0))</f>
        <v>0</v>
      </c>
      <c r="H20" s="940">
        <f t="shared" ca="1" si="0"/>
        <v>-3224943660</v>
      </c>
      <c r="I20" s="940"/>
      <c r="L20" s="182"/>
    </row>
    <row r="21" spans="1:15" s="189" customFormat="1" ht="20.25" customHeight="1">
      <c r="A21" s="200">
        <f ca="1">IF(ROWS($1:10)&gt;COUNT(Dong2),"",OFFSET(TH!C$1,SMALL(Dong2,ROWS($1:10)),))</f>
        <v>42660</v>
      </c>
      <c r="B21" s="200" t="str">
        <f ca="1">IF(ROWS($1:10)&gt;COUNT(Dong2),"",OFFSET(TH!D$1,SMALL(Dong2,ROWS($1:10)),))</f>
        <v>GBN</v>
      </c>
      <c r="C21" s="200">
        <f ca="1">IF(ROWS($1:10)&gt;COUNT(Dong2),"",OFFSET(TH!E$1,SMALL(Dong2,ROWS($1:10)),))</f>
        <v>42660</v>
      </c>
      <c r="D21" s="380" t="str">
        <f ca="1">IF(ROWS($1:10)&gt;COUNT(Dong2),"",OFFSET(TH!F$1,SMALL(Dong2,ROWS($1:10)),))</f>
        <v>Bán ngoại tệ</v>
      </c>
      <c r="E21" s="200" t="str">
        <f ca="1">IF(ROWS($1:10)&gt;COUNT(Dong2),"",IF(OFFSET(TH!O$1,SMALL(Dong2,ROWS($1:10)),)=$I$6,OFFSET(TH!N$1,SMALL(Dong2,ROWS($1:10)),),OFFSET(TH!O$1,SMALL(Dong2,ROWS($1:10)),)))</f>
        <v>1122</v>
      </c>
      <c r="F21" s="1163">
        <f ca="1">IF(ROWS($1:10)&gt;COUNT(Dong2),"",IF(AND(IF($M$9="Q11",LEFT(OFFSET(TH!G$1,SMALL(Dong2,ROWS($1:10)),),3)=$M$9,LEFT(OFFSET(TH!G$1,SMALL(Dong2,ROWS($1:10)),),2)=$M$9),OFFSET(TH!N$1,SMALL(Dong2,ROWS($1:10)),)=$I$6),IF($I$6="1121",OFFSET(TH!M$1,SMALL(Dong2,ROWS($1:10)),),OFFSET(TH!K$1,SMALL(Dong2,ROWS($1:10)),)),0))</f>
        <v>2230000000</v>
      </c>
      <c r="G21" s="1163">
        <f ca="1">IF(ROWS($1:10)&gt;COUNT(Dong2),"",IF(AND(IF($M$9="Q11",RIGHT(OFFSET(TH!G$1,SMALL(Dong2,ROWS($1:10)),),3)=$M$9,RIGHT(OFFSET(TH!G$1,SMALL(Dong2,ROWS($1:10)),),2)=$M$9),OFFSET(TH!O$1,SMALL(Dong2,ROWS($1:10)),)=$I$6),IF($I$6="1121",OFFSET(TH!M$1,SMALL(Dong2,ROWS($1:10)),),OFFSET(TH!K$1,SMALL(Dong2,ROWS($1:10)),)),0))</f>
        <v>0</v>
      </c>
      <c r="H21" s="940">
        <f t="shared" ca="1" si="0"/>
        <v>-994943660</v>
      </c>
      <c r="I21" s="940"/>
      <c r="L21" s="182"/>
    </row>
    <row r="22" spans="1:15" s="189" customFormat="1" ht="20.25" customHeight="1">
      <c r="A22" s="200">
        <f ca="1">IF(ROWS($1:11)&gt;COUNT(Dong2),"",OFFSET(TH!C$1,SMALL(Dong2,ROWS($1:11)),))</f>
        <v>42674</v>
      </c>
      <c r="B22" s="200" t="str">
        <f ca="1">IF(ROWS($1:11)&gt;COUNT(Dong2),"",OFFSET(TH!D$1,SMALL(Dong2,ROWS($1:11)),))</f>
        <v>GBN</v>
      </c>
      <c r="C22" s="200">
        <f ca="1">IF(ROWS($1:11)&gt;COUNT(Dong2),"",OFFSET(TH!E$1,SMALL(Dong2,ROWS($1:11)),))</f>
        <v>42674</v>
      </c>
      <c r="D22" s="380" t="str">
        <f ca="1">IF(ROWS($1:11)&gt;COUNT(Dong2),"",OFFSET(TH!F$1,SMALL(Dong2,ROWS($1:11)),))</f>
        <v>Bán ngoại tệ</v>
      </c>
      <c r="E22" s="200" t="str">
        <f ca="1">IF(ROWS($1:11)&gt;COUNT(Dong2),"",IF(OFFSET(TH!O$1,SMALL(Dong2,ROWS($1:11)),)=$I$6,OFFSET(TH!N$1,SMALL(Dong2,ROWS($1:11)),),OFFSET(TH!O$1,SMALL(Dong2,ROWS($1:11)),)))</f>
        <v>1122</v>
      </c>
      <c r="F22" s="1163">
        <f ca="1">IF(ROWS($1:11)&gt;COUNT(Dong2),"",IF(AND(IF($M$9="Q11",LEFT(OFFSET(TH!G$1,SMALL(Dong2,ROWS($1:11)),),3)=$M$9,LEFT(OFFSET(TH!G$1,SMALL(Dong2,ROWS($1:11)),),2)=$M$9),OFFSET(TH!N$1,SMALL(Dong2,ROWS($1:11)),)=$I$6),IF($I$6="1121",OFFSET(TH!M$1,SMALL(Dong2,ROWS($1:11)),),OFFSET(TH!K$1,SMALL(Dong2,ROWS($1:11)),)),0))</f>
        <v>93618000</v>
      </c>
      <c r="G22" s="1163">
        <f ca="1">IF(ROWS($1:11)&gt;COUNT(Dong2),"",IF(AND(IF($M$9="Q11",RIGHT(OFFSET(TH!G$1,SMALL(Dong2,ROWS($1:11)),),3)=$M$9,RIGHT(OFFSET(TH!G$1,SMALL(Dong2,ROWS($1:11)),),2)=$M$9),OFFSET(TH!O$1,SMALL(Dong2,ROWS($1:11)),)=$I$6),IF($I$6="1121",OFFSET(TH!M$1,SMALL(Dong2,ROWS($1:11)),),OFFSET(TH!K$1,SMALL(Dong2,ROWS($1:11)),)),0))</f>
        <v>0</v>
      </c>
      <c r="H22" s="940">
        <f t="shared" ca="1" si="0"/>
        <v>-901325660</v>
      </c>
      <c r="I22" s="940"/>
      <c r="L22" s="182"/>
      <c r="O22" s="938"/>
    </row>
    <row r="23" spans="1:15" s="189" customFormat="1" ht="20.25" customHeight="1">
      <c r="A23" s="200">
        <f ca="1">IF(ROWS($1:12)&gt;COUNT(Dong2),"",OFFSET(TH!C$1,SMALL(Dong2,ROWS($1:12)),))</f>
        <v>42648</v>
      </c>
      <c r="B23" s="200" t="str">
        <f ca="1">IF(ROWS($1:12)&gt;COUNT(Dong2),"",OFFSET(TH!D$1,SMALL(Dong2,ROWS($1:12)),))</f>
        <v>GBN</v>
      </c>
      <c r="C23" s="200">
        <f ca="1">IF(ROWS($1:12)&gt;COUNT(Dong2),"",OFFSET(TH!E$1,SMALL(Dong2,ROWS($1:12)),))</f>
        <v>42648</v>
      </c>
      <c r="D23" s="380" t="str">
        <f ca="1">IF(ROWS($1:12)&gt;COUNT(Dong2),"",OFFSET(TH!F$1,SMALL(Dong2,ROWS($1:12)),))</f>
        <v>Thanh toán phí BH TNDS</v>
      </c>
      <c r="E23" s="200" t="str">
        <f ca="1">IF(ROWS($1:12)&gt;COUNT(Dong2),"",IF(OFFSET(TH!O$1,SMALL(Dong2,ROWS($1:12)),)=$I$6,OFFSET(TH!N$1,SMALL(Dong2,ROWS($1:12)),),OFFSET(TH!O$1,SMALL(Dong2,ROWS($1:12)),)))</f>
        <v>331</v>
      </c>
      <c r="F23" s="1163">
        <f ca="1">IF(ROWS($1:12)&gt;COUNT(Dong2),"",IF(AND(IF($M$9="Q11",LEFT(OFFSET(TH!G$1,SMALL(Dong2,ROWS($1:12)),),3)=$M$9,LEFT(OFFSET(TH!G$1,SMALL(Dong2,ROWS($1:12)),),2)=$M$9),OFFSET(TH!N$1,SMALL(Dong2,ROWS($1:12)),)=$I$6),IF($I$6="1121",OFFSET(TH!M$1,SMALL(Dong2,ROWS($1:12)),),OFFSET(TH!K$1,SMALL(Dong2,ROWS($1:12)),)),0))</f>
        <v>0</v>
      </c>
      <c r="G23" s="1163">
        <f ca="1">IF(ROWS($1:12)&gt;COUNT(Dong2),"",IF(AND(IF($M$9="Q11",RIGHT(OFFSET(TH!G$1,SMALL(Dong2,ROWS($1:12)),),3)=$M$9,RIGHT(OFFSET(TH!G$1,SMALL(Dong2,ROWS($1:12)),),2)=$M$9),OFFSET(TH!O$1,SMALL(Dong2,ROWS($1:12)),)=$I$6),IF($I$6="1121",OFFSET(TH!M$1,SMALL(Dong2,ROWS($1:12)),),OFFSET(TH!K$1,SMALL(Dong2,ROWS($1:12)),)),0))</f>
        <v>862400</v>
      </c>
      <c r="H23" s="940">
        <f t="shared" ca="1" si="0"/>
        <v>-902188060</v>
      </c>
      <c r="I23" s="940"/>
      <c r="L23" s="182"/>
    </row>
    <row r="24" spans="1:15" s="189" customFormat="1" ht="20.25" customHeight="1">
      <c r="A24" s="200">
        <f ca="1">IF(ROWS($1:13)&gt;COUNT(Dong2),"",OFFSET(TH!C$1,SMALL(Dong2,ROWS($1:13)),))</f>
        <v>42648</v>
      </c>
      <c r="B24" s="200" t="str">
        <f ca="1">IF(ROWS($1:13)&gt;COUNT(Dong2),"",OFFSET(TH!D$1,SMALL(Dong2,ROWS($1:13)),))</f>
        <v>GBN</v>
      </c>
      <c r="C24" s="200">
        <f ca="1">IF(ROWS($1:13)&gt;COUNT(Dong2),"",OFFSET(TH!E$1,SMALL(Dong2,ROWS($1:13)),))</f>
        <v>42648</v>
      </c>
      <c r="D24" s="380" t="str">
        <f ca="1">IF(ROWS($1:13)&gt;COUNT(Dong2),"",OFFSET(TH!F$1,SMALL(Dong2,ROWS($1:13)),))</f>
        <v>Phí thanh toán</v>
      </c>
      <c r="E24" s="200" t="str">
        <f ca="1">IF(ROWS($1:13)&gt;COUNT(Dong2),"",IF(OFFSET(TH!O$1,SMALL(Dong2,ROWS($1:13)),)=$I$6,OFFSET(TH!N$1,SMALL(Dong2,ROWS($1:13)),),OFFSET(TH!O$1,SMALL(Dong2,ROWS($1:13)),)))</f>
        <v>642</v>
      </c>
      <c r="F24" s="1163">
        <f ca="1">IF(ROWS($1:13)&gt;COUNT(Dong2),"",IF(AND(IF($M$9="Q11",LEFT(OFFSET(TH!G$1,SMALL(Dong2,ROWS($1:13)),),3)=$M$9,LEFT(OFFSET(TH!G$1,SMALL(Dong2,ROWS($1:13)),),2)=$M$9),OFFSET(TH!N$1,SMALL(Dong2,ROWS($1:13)),)=$I$6),IF($I$6="1121",OFFSET(TH!M$1,SMALL(Dong2,ROWS($1:13)),),OFFSET(TH!K$1,SMALL(Dong2,ROWS($1:13)),)),0))</f>
        <v>0</v>
      </c>
      <c r="G24" s="1163">
        <f ca="1">IF(ROWS($1:13)&gt;COUNT(Dong2),"",IF(AND(IF($M$9="Q11",RIGHT(OFFSET(TH!G$1,SMALL(Dong2,ROWS($1:13)),),3)=$M$9,RIGHT(OFFSET(TH!G$1,SMALL(Dong2,ROWS($1:13)),),2)=$M$9),OFFSET(TH!O$1,SMALL(Dong2,ROWS($1:13)),)=$I$6),IF($I$6="1121",OFFSET(TH!M$1,SMALL(Dong2,ROWS($1:13)),),OFFSET(TH!K$1,SMALL(Dong2,ROWS($1:13)),)),0))</f>
        <v>10000</v>
      </c>
      <c r="H24" s="940">
        <f t="shared" ca="1" si="0"/>
        <v>-902198060</v>
      </c>
      <c r="I24" s="940"/>
      <c r="L24" s="182"/>
      <c r="O24" s="1137"/>
    </row>
    <row r="25" spans="1:15" s="189" customFormat="1" ht="20.25" customHeight="1">
      <c r="A25" s="200">
        <f ca="1">IF(ROWS($1:14)&gt;COUNT(Dong2),"",OFFSET(TH!C$1,SMALL(Dong2,ROWS($1:14)),))</f>
        <v>42648</v>
      </c>
      <c r="B25" s="200" t="str">
        <f ca="1">IF(ROWS($1:14)&gt;COUNT(Dong2),"",OFFSET(TH!D$1,SMALL(Dong2,ROWS($1:14)),))</f>
        <v>GBN</v>
      </c>
      <c r="C25" s="200">
        <f ca="1">IF(ROWS($1:14)&gt;COUNT(Dong2),"",OFFSET(TH!E$1,SMALL(Dong2,ROWS($1:14)),))</f>
        <v>42648</v>
      </c>
      <c r="D25" s="380" t="str">
        <f ca="1">IF(ROWS($1:14)&gt;COUNT(Dong2),"",OFFSET(TH!F$1,SMALL(Dong2,ROWS($1:14)),))</f>
        <v>VAT Phí thanh toán</v>
      </c>
      <c r="E25" s="200" t="str">
        <f ca="1">IF(ROWS($1:14)&gt;COUNT(Dong2),"",IF(OFFSET(TH!O$1,SMALL(Dong2,ROWS($1:14)),)=$I$6,OFFSET(TH!N$1,SMALL(Dong2,ROWS($1:14)),),OFFSET(TH!O$1,SMALL(Dong2,ROWS($1:14)),)))</f>
        <v>1331</v>
      </c>
      <c r="F25" s="1163">
        <f ca="1">IF(ROWS($1:14)&gt;COUNT(Dong2),"",IF(AND(IF($M$9="Q11",LEFT(OFFSET(TH!G$1,SMALL(Dong2,ROWS($1:14)),),3)=$M$9,LEFT(OFFSET(TH!G$1,SMALL(Dong2,ROWS($1:14)),),2)=$M$9),OFFSET(TH!N$1,SMALL(Dong2,ROWS($1:14)),)=$I$6),IF($I$6="1121",OFFSET(TH!M$1,SMALL(Dong2,ROWS($1:14)),),OFFSET(TH!K$1,SMALL(Dong2,ROWS($1:14)),)),0))</f>
        <v>0</v>
      </c>
      <c r="G25" s="1163">
        <f ca="1">IF(ROWS($1:14)&gt;COUNT(Dong2),"",IF(AND(IF($M$9="Q11",RIGHT(OFFSET(TH!G$1,SMALL(Dong2,ROWS($1:14)),),3)=$M$9,RIGHT(OFFSET(TH!G$1,SMALL(Dong2,ROWS($1:14)),),2)=$M$9),OFFSET(TH!O$1,SMALL(Dong2,ROWS($1:14)),)=$I$6),IF($I$6="1121",OFFSET(TH!M$1,SMALL(Dong2,ROWS($1:14)),),OFFSET(TH!K$1,SMALL(Dong2,ROWS($1:14)),)),0))</f>
        <v>1000</v>
      </c>
      <c r="H25" s="940">
        <f t="shared" ca="1" si="0"/>
        <v>-902199060</v>
      </c>
      <c r="I25" s="940"/>
      <c r="L25" s="182"/>
    </row>
    <row r="26" spans="1:15" s="189" customFormat="1" ht="20.25" customHeight="1">
      <c r="A26" s="200">
        <f ca="1">IF(ROWS($1:15)&gt;COUNT(Dong2),"",OFFSET(TH!C$1,SMALL(Dong2,ROWS($1:15)),))</f>
        <v>42649</v>
      </c>
      <c r="B26" s="200" t="str">
        <f ca="1">IF(ROWS($1:15)&gt;COUNT(Dong2),"",OFFSET(TH!D$1,SMALL(Dong2,ROWS($1:15)),))</f>
        <v>GBN</v>
      </c>
      <c r="C26" s="200">
        <f ca="1">IF(ROWS($1:15)&gt;COUNT(Dong2),"",OFFSET(TH!E$1,SMALL(Dong2,ROWS($1:15)),))</f>
        <v>42649</v>
      </c>
      <c r="D26" s="380" t="str">
        <f ca="1">IF(ROWS($1:15)&gt;COUNT(Dong2),"",OFFSET(TH!F$1,SMALL(Dong2,ROWS($1:15)),))</f>
        <v>Thu tất toán khoản vay</v>
      </c>
      <c r="E26" s="200" t="str">
        <f ca="1">IF(ROWS($1:15)&gt;COUNT(Dong2),"",IF(OFFSET(TH!O$1,SMALL(Dong2,ROWS($1:15)),)=$I$6,OFFSET(TH!N$1,SMALL(Dong2,ROWS($1:15)),),OFFSET(TH!O$1,SMALL(Dong2,ROWS($1:15)),)))</f>
        <v>3412</v>
      </c>
      <c r="F26" s="1163">
        <f ca="1">IF(ROWS($1:15)&gt;COUNT(Dong2),"",IF(AND(IF($M$9="Q11",LEFT(OFFSET(TH!G$1,SMALL(Dong2,ROWS($1:15)),),3)=$M$9,LEFT(OFFSET(TH!G$1,SMALL(Dong2,ROWS($1:15)),),2)=$M$9),OFFSET(TH!N$1,SMALL(Dong2,ROWS($1:15)),)=$I$6),IF($I$6="1121",OFFSET(TH!M$1,SMALL(Dong2,ROWS($1:15)),),OFFSET(TH!K$1,SMALL(Dong2,ROWS($1:15)),)),0))</f>
        <v>0</v>
      </c>
      <c r="G26" s="1163">
        <f ca="1">IF(ROWS($1:15)&gt;COUNT(Dong2),"",IF(AND(IF($M$9="Q11",RIGHT(OFFSET(TH!G$1,SMALL(Dong2,ROWS($1:15)),),3)=$M$9,RIGHT(OFFSET(TH!G$1,SMALL(Dong2,ROWS($1:15)),),2)=$M$9),OFFSET(TH!O$1,SMALL(Dong2,ROWS($1:15)),)=$I$6),IF($I$6="1121",OFFSET(TH!M$1,SMALL(Dong2,ROWS($1:15)),),OFFSET(TH!K$1,SMALL(Dong2,ROWS($1:15)),)),0))</f>
        <v>2152046737</v>
      </c>
      <c r="H26" s="940">
        <f t="shared" ca="1" si="0"/>
        <v>-3054245797</v>
      </c>
      <c r="I26" s="940"/>
      <c r="L26" s="182"/>
    </row>
    <row r="27" spans="1:15" s="189" customFormat="1" ht="20.25" customHeight="1">
      <c r="A27" s="200">
        <f ca="1">IF(ROWS($1:16)&gt;COUNT(Dong2),"",OFFSET(TH!C$1,SMALL(Dong2,ROWS($1:16)),))</f>
        <v>42649</v>
      </c>
      <c r="B27" s="200" t="str">
        <f ca="1">IF(ROWS($1:16)&gt;COUNT(Dong2),"",OFFSET(TH!D$1,SMALL(Dong2,ROWS($1:16)),))</f>
        <v>GBN</v>
      </c>
      <c r="C27" s="200">
        <f ca="1">IF(ROWS($1:16)&gt;COUNT(Dong2),"",OFFSET(TH!E$1,SMALL(Dong2,ROWS($1:16)),))</f>
        <v>42649</v>
      </c>
      <c r="D27" s="380" t="str">
        <f ca="1">IF(ROWS($1:16)&gt;COUNT(Dong2),"",OFFSET(TH!F$1,SMALL(Dong2,ROWS($1:16)),))</f>
        <v>Lãi tất toán</v>
      </c>
      <c r="E27" s="200" t="str">
        <f ca="1">IF(ROWS($1:16)&gt;COUNT(Dong2),"",IF(OFFSET(TH!O$1,SMALL(Dong2,ROWS($1:16)),)=$I$6,OFFSET(TH!N$1,SMALL(Dong2,ROWS($1:16)),),OFFSET(TH!O$1,SMALL(Dong2,ROWS($1:16)),)))</f>
        <v>635</v>
      </c>
      <c r="F27" s="1163">
        <f ca="1">IF(ROWS($1:16)&gt;COUNT(Dong2),"",IF(AND(IF($M$9="Q11",LEFT(OFFSET(TH!G$1,SMALL(Dong2,ROWS($1:16)),),3)=$M$9,LEFT(OFFSET(TH!G$1,SMALL(Dong2,ROWS($1:16)),),2)=$M$9),OFFSET(TH!N$1,SMALL(Dong2,ROWS($1:16)),)=$I$6),IF($I$6="1121",OFFSET(TH!M$1,SMALL(Dong2,ROWS($1:16)),),OFFSET(TH!K$1,SMALL(Dong2,ROWS($1:16)),)),0))</f>
        <v>0</v>
      </c>
      <c r="G27" s="1163">
        <f ca="1">IF(ROWS($1:16)&gt;COUNT(Dong2),"",IF(AND(IF($M$9="Q11",RIGHT(OFFSET(TH!G$1,SMALL(Dong2,ROWS($1:16)),),3)=$M$9,RIGHT(OFFSET(TH!G$1,SMALL(Dong2,ROWS($1:16)),),2)=$M$9),OFFSET(TH!O$1,SMALL(Dong2,ROWS($1:16)),)=$I$6),IF($I$6="1121",OFFSET(TH!M$1,SMALL(Dong2,ROWS($1:16)),),OFFSET(TH!K$1,SMALL(Dong2,ROWS($1:16)),)),0))</f>
        <v>8877346</v>
      </c>
      <c r="H27" s="940">
        <f t="shared" ca="1" si="0"/>
        <v>-3063123143</v>
      </c>
      <c r="I27" s="940"/>
      <c r="L27" s="182"/>
    </row>
    <row r="28" spans="1:15" s="189" customFormat="1" ht="20.25" customHeight="1">
      <c r="A28" s="200">
        <f ca="1">IF(ROWS($1:17)&gt;COUNT(Dong2),"",OFFSET(TH!C$1,SMALL(Dong2,ROWS($1:17)),))</f>
        <v>42649</v>
      </c>
      <c r="B28" s="200" t="str">
        <f ca="1">IF(ROWS($1:17)&gt;COUNT(Dong2),"",OFFSET(TH!D$1,SMALL(Dong2,ROWS($1:17)),))</f>
        <v>GBC</v>
      </c>
      <c r="C28" s="200">
        <f ca="1">IF(ROWS($1:17)&gt;COUNT(Dong2),"",OFFSET(TH!E$1,SMALL(Dong2,ROWS($1:17)),))</f>
        <v>42649</v>
      </c>
      <c r="D28" s="380" t="str">
        <f ca="1">IF(ROWS($1:17)&gt;COUNT(Dong2),"",OFFSET(TH!F$1,SMALL(Dong2,ROWS($1:17)),))</f>
        <v>Vay KU</v>
      </c>
      <c r="E28" s="200" t="str">
        <f ca="1">IF(ROWS($1:17)&gt;COUNT(Dong2),"",IF(OFFSET(TH!O$1,SMALL(Dong2,ROWS($1:17)),)=$I$6,OFFSET(TH!N$1,SMALL(Dong2,ROWS($1:17)),),OFFSET(TH!O$1,SMALL(Dong2,ROWS($1:17)),)))</f>
        <v>3412</v>
      </c>
      <c r="F28" s="1163">
        <f ca="1">IF(ROWS($1:17)&gt;COUNT(Dong2),"",IF(AND(IF($M$9="Q11",LEFT(OFFSET(TH!G$1,SMALL(Dong2,ROWS($1:17)),),3)=$M$9,LEFT(OFFSET(TH!G$1,SMALL(Dong2,ROWS($1:17)),),2)=$M$9),OFFSET(TH!N$1,SMALL(Dong2,ROWS($1:17)),)=$I$6),IF($I$6="1121",OFFSET(TH!M$1,SMALL(Dong2,ROWS($1:17)),),OFFSET(TH!K$1,SMALL(Dong2,ROWS($1:17)),)),0))</f>
        <v>2140416000</v>
      </c>
      <c r="G28" s="1163">
        <f ca="1">IF(ROWS($1:17)&gt;COUNT(Dong2),"",IF(AND(IF($M$9="Q11",RIGHT(OFFSET(TH!G$1,SMALL(Dong2,ROWS($1:17)),),3)=$M$9,RIGHT(OFFSET(TH!G$1,SMALL(Dong2,ROWS($1:17)),),2)=$M$9),OFFSET(TH!O$1,SMALL(Dong2,ROWS($1:17)),)=$I$6),IF($I$6="1121",OFFSET(TH!M$1,SMALL(Dong2,ROWS($1:17)),),OFFSET(TH!K$1,SMALL(Dong2,ROWS($1:17)),)),0))</f>
        <v>0</v>
      </c>
      <c r="H28" s="940">
        <f t="shared" ca="1" si="0"/>
        <v>-922707143</v>
      </c>
      <c r="I28" s="940"/>
      <c r="L28" s="182"/>
    </row>
    <row r="29" spans="1:15" s="189" customFormat="1" ht="20.25" customHeight="1">
      <c r="A29" s="200">
        <f ca="1">IF(ROWS($1:18)&gt;COUNT(Dong2),"",OFFSET(TH!C$1,SMALL(Dong2,ROWS($1:18)),))</f>
        <v>42650</v>
      </c>
      <c r="B29" s="200" t="str">
        <f ca="1">IF(ROWS($1:18)&gt;COUNT(Dong2),"",OFFSET(TH!D$1,SMALL(Dong2,ROWS($1:18)),))</f>
        <v>GBN</v>
      </c>
      <c r="C29" s="200">
        <f ca="1">IF(ROWS($1:18)&gt;COUNT(Dong2),"",OFFSET(TH!E$1,SMALL(Dong2,ROWS($1:18)),))</f>
        <v>42650</v>
      </c>
      <c r="D29" s="380" t="str">
        <f ca="1">IF(ROWS($1:18)&gt;COUNT(Dong2),"",OFFSET(TH!F$1,SMALL(Dong2,ROWS($1:18)),))</f>
        <v>Phí báo có tiền về</v>
      </c>
      <c r="E29" s="200" t="str">
        <f ca="1">IF(ROWS($1:18)&gt;COUNT(Dong2),"",IF(OFFSET(TH!O$1,SMALL(Dong2,ROWS($1:18)),)=$I$6,OFFSET(TH!N$1,SMALL(Dong2,ROWS($1:18)),),OFFSET(TH!O$1,SMALL(Dong2,ROWS($1:18)),)))</f>
        <v>642</v>
      </c>
      <c r="F29" s="1163">
        <f ca="1">IF(ROWS($1:18)&gt;COUNT(Dong2),"",IF(AND(IF($M$9="Q11",LEFT(OFFSET(TH!G$1,SMALL(Dong2,ROWS($1:18)),),3)=$M$9,LEFT(OFFSET(TH!G$1,SMALL(Dong2,ROWS($1:18)),),2)=$M$9),OFFSET(TH!N$1,SMALL(Dong2,ROWS($1:18)),)=$I$6),IF($I$6="1121",OFFSET(TH!M$1,SMALL(Dong2,ROWS($1:18)),),OFFSET(TH!K$1,SMALL(Dong2,ROWS($1:18)),)),0))</f>
        <v>0</v>
      </c>
      <c r="G29" s="1163">
        <f ca="1">IF(ROWS($1:18)&gt;COUNT(Dong2),"",IF(AND(IF($M$9="Q11",RIGHT(OFFSET(TH!G$1,SMALL(Dong2,ROWS($1:18)),),3)=$M$9,RIGHT(OFFSET(TH!G$1,SMALL(Dong2,ROWS($1:18)),),2)=$M$9),OFFSET(TH!O$1,SMALL(Dong2,ROWS($1:18)),)=$I$6),IF($I$6="1121",OFFSET(TH!M$1,SMALL(Dong2,ROWS($1:18)),),OFFSET(TH!K$1,SMALL(Dong2,ROWS($1:18)),)),0))</f>
        <v>2173905</v>
      </c>
      <c r="H29" s="940">
        <f t="shared" ca="1" si="0"/>
        <v>-924881048</v>
      </c>
      <c r="I29" s="940"/>
      <c r="L29" s="182"/>
    </row>
    <row r="30" spans="1:15" s="189" customFormat="1" ht="20.25" customHeight="1">
      <c r="A30" s="200">
        <f ca="1">IF(ROWS($1:19)&gt;COUNT(Dong2),"",OFFSET(TH!C$1,SMALL(Dong2,ROWS($1:19)),))</f>
        <v>42650</v>
      </c>
      <c r="B30" s="200" t="str">
        <f ca="1">IF(ROWS($1:19)&gt;COUNT(Dong2),"",OFFSET(TH!D$1,SMALL(Dong2,ROWS($1:19)),))</f>
        <v>GBN</v>
      </c>
      <c r="C30" s="200">
        <f ca="1">IF(ROWS($1:19)&gt;COUNT(Dong2),"",OFFSET(TH!E$1,SMALL(Dong2,ROWS($1:19)),))</f>
        <v>42650</v>
      </c>
      <c r="D30" s="380" t="str">
        <f ca="1">IF(ROWS($1:19)&gt;COUNT(Dong2),"",OFFSET(TH!F$1,SMALL(Dong2,ROWS($1:19)),))</f>
        <v>VAT Phí báo có tiền về</v>
      </c>
      <c r="E30" s="200" t="str">
        <f ca="1">IF(ROWS($1:19)&gt;COUNT(Dong2),"",IF(OFFSET(TH!O$1,SMALL(Dong2,ROWS($1:19)),)=$I$6,OFFSET(TH!N$1,SMALL(Dong2,ROWS($1:19)),),OFFSET(TH!O$1,SMALL(Dong2,ROWS($1:19)),)))</f>
        <v>1331</v>
      </c>
      <c r="F30" s="1163">
        <f ca="1">IF(ROWS($1:19)&gt;COUNT(Dong2),"",IF(AND(IF($M$9="Q11",LEFT(OFFSET(TH!G$1,SMALL(Dong2,ROWS($1:19)),),3)=$M$9,LEFT(OFFSET(TH!G$1,SMALL(Dong2,ROWS($1:19)),),2)=$M$9),OFFSET(TH!N$1,SMALL(Dong2,ROWS($1:19)),)=$I$6),IF($I$6="1121",OFFSET(TH!M$1,SMALL(Dong2,ROWS($1:19)),),OFFSET(TH!K$1,SMALL(Dong2,ROWS($1:19)),)),0))</f>
        <v>0</v>
      </c>
      <c r="G30" s="1163">
        <f ca="1">IF(ROWS($1:19)&gt;COUNT(Dong2),"",IF(AND(IF($M$9="Q11",RIGHT(OFFSET(TH!G$1,SMALL(Dong2,ROWS($1:19)),),3)=$M$9,RIGHT(OFFSET(TH!G$1,SMALL(Dong2,ROWS($1:19)),),2)=$M$9),OFFSET(TH!O$1,SMALL(Dong2,ROWS($1:19)),)=$I$6),IF($I$6="1121",OFFSET(TH!M$1,SMALL(Dong2,ROWS($1:19)),),OFFSET(TH!K$1,SMALL(Dong2,ROWS($1:19)),)),0))</f>
        <v>217391</v>
      </c>
      <c r="H30" s="940">
        <f t="shared" ref="H30:H76" ca="1" si="1">IF(A30&lt;&gt;"",H29+F30-G30,0)</f>
        <v>-925098439</v>
      </c>
      <c r="I30" s="940"/>
      <c r="L30" s="182"/>
    </row>
    <row r="31" spans="1:15" s="189" customFormat="1" ht="20.25" customHeight="1">
      <c r="A31" s="200">
        <f ca="1">IF(ROWS($1:20)&gt;COUNT(Dong2),"",OFFSET(TH!C$1,SMALL(Dong2,ROWS($1:20)),))</f>
        <v>42650</v>
      </c>
      <c r="B31" s="200" t="str">
        <f ca="1">IF(ROWS($1:20)&gt;COUNT(Dong2),"",OFFSET(TH!D$1,SMALL(Dong2,ROWS($1:20)),))</f>
        <v>GBN</v>
      </c>
      <c r="C31" s="200">
        <f ca="1">IF(ROWS($1:20)&gt;COUNT(Dong2),"",OFFSET(TH!E$1,SMALL(Dong2,ROWS($1:20)),))</f>
        <v>42650</v>
      </c>
      <c r="D31" s="380" t="str">
        <f ca="1">IF(ROWS($1:20)&gt;COUNT(Dong2),"",OFFSET(TH!F$1,SMALL(Dong2,ROWS($1:20)),))</f>
        <v>Thanh toán bảo hiểm VCX</v>
      </c>
      <c r="E31" s="200" t="str">
        <f ca="1">IF(ROWS($1:20)&gt;COUNT(Dong2),"",IF(OFFSET(TH!O$1,SMALL(Dong2,ROWS($1:20)),)=$I$6,OFFSET(TH!N$1,SMALL(Dong2,ROWS($1:20)),),OFFSET(TH!O$1,SMALL(Dong2,ROWS($1:20)),)))</f>
        <v>331</v>
      </c>
      <c r="F31" s="1163">
        <f ca="1">IF(ROWS($1:20)&gt;COUNT(Dong2),"",IF(AND(IF($M$9="Q11",LEFT(OFFSET(TH!G$1,SMALL(Dong2,ROWS($1:20)),),3)=$M$9,LEFT(OFFSET(TH!G$1,SMALL(Dong2,ROWS($1:20)),),2)=$M$9),OFFSET(TH!N$1,SMALL(Dong2,ROWS($1:20)),)=$I$6),IF($I$6="1121",OFFSET(TH!M$1,SMALL(Dong2,ROWS($1:20)),),OFFSET(TH!K$1,SMALL(Dong2,ROWS($1:20)),)),0))</f>
        <v>0</v>
      </c>
      <c r="G31" s="1163">
        <f ca="1">IF(ROWS($1:20)&gt;COUNT(Dong2),"",IF(AND(IF($M$9="Q11",RIGHT(OFFSET(TH!G$1,SMALL(Dong2,ROWS($1:20)),),3)=$M$9,RIGHT(OFFSET(TH!G$1,SMALL(Dong2,ROWS($1:20)),),2)=$M$9),OFFSET(TH!O$1,SMALL(Dong2,ROWS($1:20)),)=$I$6),IF($I$6="1121",OFFSET(TH!M$1,SMALL(Dong2,ROWS($1:20)),),OFFSET(TH!K$1,SMALL(Dong2,ROWS($1:20)),)),0))</f>
        <v>12313480</v>
      </c>
      <c r="H31" s="940">
        <f t="shared" ca="1" si="1"/>
        <v>-937411919</v>
      </c>
      <c r="I31" s="940"/>
      <c r="L31" s="182"/>
    </row>
    <row r="32" spans="1:15" s="189" customFormat="1" ht="20.25" customHeight="1">
      <c r="A32" s="200">
        <f ca="1">IF(ROWS($1:21)&gt;COUNT(Dong2),"",OFFSET(TH!C$1,SMALL(Dong2,ROWS($1:21)),))</f>
        <v>42650</v>
      </c>
      <c r="B32" s="200" t="str">
        <f ca="1">IF(ROWS($1:21)&gt;COUNT(Dong2),"",OFFSET(TH!D$1,SMALL(Dong2,ROWS($1:21)),))</f>
        <v>GBN</v>
      </c>
      <c r="C32" s="200">
        <f ca="1">IF(ROWS($1:21)&gt;COUNT(Dong2),"",OFFSET(TH!E$1,SMALL(Dong2,ROWS($1:21)),))</f>
        <v>42650</v>
      </c>
      <c r="D32" s="380" t="str">
        <f ca="1">IF(ROWS($1:21)&gt;COUNT(Dong2),"",OFFSET(TH!F$1,SMALL(Dong2,ROWS($1:21)),))</f>
        <v>Phí thanh toán</v>
      </c>
      <c r="E32" s="200" t="str">
        <f ca="1">IF(ROWS($1:21)&gt;COUNT(Dong2),"",IF(OFFSET(TH!O$1,SMALL(Dong2,ROWS($1:21)),)=$I$6,OFFSET(TH!N$1,SMALL(Dong2,ROWS($1:21)),),OFFSET(TH!O$1,SMALL(Dong2,ROWS($1:21)),)))</f>
        <v>642</v>
      </c>
      <c r="F32" s="1163">
        <f ca="1">IF(ROWS($1:21)&gt;COUNT(Dong2),"",IF(AND(IF($M$9="Q11",LEFT(OFFSET(TH!G$1,SMALL(Dong2,ROWS($1:21)),),3)=$M$9,LEFT(OFFSET(TH!G$1,SMALL(Dong2,ROWS($1:21)),),2)=$M$9),OFFSET(TH!N$1,SMALL(Dong2,ROWS($1:21)),)=$I$6),IF($I$6="1121",OFFSET(TH!M$1,SMALL(Dong2,ROWS($1:21)),),OFFSET(TH!K$1,SMALL(Dong2,ROWS($1:21)),)),0))</f>
        <v>0</v>
      </c>
      <c r="G32" s="1163">
        <f ca="1">IF(ROWS($1:21)&gt;COUNT(Dong2),"",IF(AND(IF($M$9="Q11",RIGHT(OFFSET(TH!G$1,SMALL(Dong2,ROWS($1:21)),),3)=$M$9,RIGHT(OFFSET(TH!G$1,SMALL(Dong2,ROWS($1:21)),),2)=$M$9),OFFSET(TH!O$1,SMALL(Dong2,ROWS($1:21)),)=$I$6),IF($I$6="1121",OFFSET(TH!M$1,SMALL(Dong2,ROWS($1:21)),),OFFSET(TH!K$1,SMALL(Dong2,ROWS($1:21)),)),0))</f>
        <v>10000</v>
      </c>
      <c r="H32" s="940">
        <f t="shared" ca="1" si="1"/>
        <v>-937421919</v>
      </c>
      <c r="I32" s="940"/>
      <c r="L32" s="182"/>
    </row>
    <row r="33" spans="1:12" s="189" customFormat="1" ht="20.25" customHeight="1">
      <c r="A33" s="200">
        <f ca="1">IF(ROWS($1:22)&gt;COUNT(Dong2),"",OFFSET(TH!C$1,SMALL(Dong2,ROWS($1:22)),))</f>
        <v>42650</v>
      </c>
      <c r="B33" s="200" t="str">
        <f ca="1">IF(ROWS($1:22)&gt;COUNT(Dong2),"",OFFSET(TH!D$1,SMALL(Dong2,ROWS($1:22)),))</f>
        <v>GBN</v>
      </c>
      <c r="C33" s="200">
        <f ca="1">IF(ROWS($1:22)&gt;COUNT(Dong2),"",OFFSET(TH!E$1,SMALL(Dong2,ROWS($1:22)),))</f>
        <v>42650</v>
      </c>
      <c r="D33" s="380" t="str">
        <f ca="1">IF(ROWS($1:22)&gt;COUNT(Dong2),"",OFFSET(TH!F$1,SMALL(Dong2,ROWS($1:22)),))</f>
        <v>VAT Phí thanh toán</v>
      </c>
      <c r="E33" s="200" t="str">
        <f ca="1">IF(ROWS($1:22)&gt;COUNT(Dong2),"",IF(OFFSET(TH!O$1,SMALL(Dong2,ROWS($1:22)),)=$I$6,OFFSET(TH!N$1,SMALL(Dong2,ROWS($1:22)),),OFFSET(TH!O$1,SMALL(Dong2,ROWS($1:22)),)))</f>
        <v>1331</v>
      </c>
      <c r="F33" s="1163">
        <f ca="1">IF(ROWS($1:22)&gt;COUNT(Dong2),"",IF(AND(IF($M$9="Q11",LEFT(OFFSET(TH!G$1,SMALL(Dong2,ROWS($1:22)),),3)=$M$9,LEFT(OFFSET(TH!G$1,SMALL(Dong2,ROWS($1:22)),),2)=$M$9),OFFSET(TH!N$1,SMALL(Dong2,ROWS($1:22)),)=$I$6),IF($I$6="1121",OFFSET(TH!M$1,SMALL(Dong2,ROWS($1:22)),),OFFSET(TH!K$1,SMALL(Dong2,ROWS($1:22)),)),0))</f>
        <v>0</v>
      </c>
      <c r="G33" s="1163">
        <f ca="1">IF(ROWS($1:22)&gt;COUNT(Dong2),"",IF(AND(IF($M$9="Q11",RIGHT(OFFSET(TH!G$1,SMALL(Dong2,ROWS($1:22)),),3)=$M$9,RIGHT(OFFSET(TH!G$1,SMALL(Dong2,ROWS($1:22)),),2)=$M$9),OFFSET(TH!O$1,SMALL(Dong2,ROWS($1:22)),)=$I$6),IF($I$6="1121",OFFSET(TH!M$1,SMALL(Dong2,ROWS($1:22)),),OFFSET(TH!K$1,SMALL(Dong2,ROWS($1:22)),)),0))</f>
        <v>1000</v>
      </c>
      <c r="H33" s="940">
        <f t="shared" ca="1" si="1"/>
        <v>-937422919</v>
      </c>
      <c r="I33" s="940"/>
      <c r="L33" s="182"/>
    </row>
    <row r="34" spans="1:12" s="189" customFormat="1" ht="20.25" customHeight="1">
      <c r="A34" s="200">
        <f ca="1">IF(ROWS($1:23)&gt;COUNT(Dong2),"",OFFSET(TH!C$1,SMALL(Dong2,ROWS($1:23)),))</f>
        <v>42650</v>
      </c>
      <c r="B34" s="200" t="str">
        <f ca="1">IF(ROWS($1:23)&gt;COUNT(Dong2),"",OFFSET(TH!D$1,SMALL(Dong2,ROWS($1:23)),))</f>
        <v>GBN</v>
      </c>
      <c r="C34" s="200">
        <f ca="1">IF(ROWS($1:23)&gt;COUNT(Dong2),"",OFFSET(TH!E$1,SMALL(Dong2,ROWS($1:23)),))</f>
        <v>42650</v>
      </c>
      <c r="D34" s="380" t="str">
        <f ca="1">IF(ROWS($1:23)&gt;COUNT(Dong2),"",OFFSET(TH!F$1,SMALL(Dong2,ROWS($1:23)),))</f>
        <v>Thanh toán hoa hồng UTXK</v>
      </c>
      <c r="E34" s="200" t="str">
        <f ca="1">IF(ROWS($1:23)&gt;COUNT(Dong2),"",IF(OFFSET(TH!O$1,SMALL(Dong2,ROWS($1:23)),)=$I$6,OFFSET(TH!N$1,SMALL(Dong2,ROWS($1:23)),),OFFSET(TH!O$1,SMALL(Dong2,ROWS($1:23)),)))</f>
        <v>331</v>
      </c>
      <c r="F34" s="1163">
        <f ca="1">IF(ROWS($1:23)&gt;COUNT(Dong2),"",IF(AND(IF($M$9="Q11",LEFT(OFFSET(TH!G$1,SMALL(Dong2,ROWS($1:23)),),3)=$M$9,LEFT(OFFSET(TH!G$1,SMALL(Dong2,ROWS($1:23)),),2)=$M$9),OFFSET(TH!N$1,SMALL(Dong2,ROWS($1:23)),)=$I$6),IF($I$6="1121",OFFSET(TH!M$1,SMALL(Dong2,ROWS($1:23)),),OFFSET(TH!K$1,SMALL(Dong2,ROWS($1:23)),)),0))</f>
        <v>0</v>
      </c>
      <c r="G34" s="1163">
        <f ca="1">IF(ROWS($1:23)&gt;COUNT(Dong2),"",IF(AND(IF($M$9="Q11",RIGHT(OFFSET(TH!G$1,SMALL(Dong2,ROWS($1:23)),),3)=$M$9,RIGHT(OFFSET(TH!G$1,SMALL(Dong2,ROWS($1:23)),),2)=$M$9),OFFSET(TH!O$1,SMALL(Dong2,ROWS($1:23)),)=$I$6),IF($I$6="1121",OFFSET(TH!M$1,SMALL(Dong2,ROWS($1:23)),),OFFSET(TH!K$1,SMALL(Dong2,ROWS($1:23)),)),0))</f>
        <v>103169000</v>
      </c>
      <c r="H34" s="940">
        <f t="shared" ca="1" si="1"/>
        <v>-1040591919</v>
      </c>
      <c r="I34" s="940"/>
      <c r="L34" s="182"/>
    </row>
    <row r="35" spans="1:12" s="189" customFormat="1" ht="20.25" customHeight="1">
      <c r="A35" s="200">
        <f ca="1">IF(ROWS($1:24)&gt;COUNT(Dong2),"",OFFSET(TH!C$1,SMALL(Dong2,ROWS($1:24)),))</f>
        <v>42650</v>
      </c>
      <c r="B35" s="200" t="str">
        <f ca="1">IF(ROWS($1:24)&gt;COUNT(Dong2),"",OFFSET(TH!D$1,SMALL(Dong2,ROWS($1:24)),))</f>
        <v>GBN</v>
      </c>
      <c r="C35" s="200">
        <f ca="1">IF(ROWS($1:24)&gt;COUNT(Dong2),"",OFFSET(TH!E$1,SMALL(Dong2,ROWS($1:24)),))</f>
        <v>42650</v>
      </c>
      <c r="D35" s="380" t="str">
        <f ca="1">IF(ROWS($1:24)&gt;COUNT(Dong2),"",OFFSET(TH!F$1,SMALL(Dong2,ROWS($1:24)),))</f>
        <v>Phí thanh toán</v>
      </c>
      <c r="E35" s="200" t="str">
        <f ca="1">IF(ROWS($1:24)&gt;COUNT(Dong2),"",IF(OFFSET(TH!O$1,SMALL(Dong2,ROWS($1:24)),)=$I$6,OFFSET(TH!N$1,SMALL(Dong2,ROWS($1:24)),),OFFSET(TH!O$1,SMALL(Dong2,ROWS($1:24)),)))</f>
        <v>642</v>
      </c>
      <c r="F35" s="1163">
        <f ca="1">IF(ROWS($1:24)&gt;COUNT(Dong2),"",IF(AND(IF($M$9="Q11",LEFT(OFFSET(TH!G$1,SMALL(Dong2,ROWS($1:24)),),3)=$M$9,LEFT(OFFSET(TH!G$1,SMALL(Dong2,ROWS($1:24)),),2)=$M$9),OFFSET(TH!N$1,SMALL(Dong2,ROWS($1:24)),)=$I$6),IF($I$6="1121",OFFSET(TH!M$1,SMALL(Dong2,ROWS($1:24)),),OFFSET(TH!K$1,SMALL(Dong2,ROWS($1:24)),)),0))</f>
        <v>0</v>
      </c>
      <c r="G35" s="1163">
        <f ca="1">IF(ROWS($1:24)&gt;COUNT(Dong2),"",IF(AND(IF($M$9="Q11",RIGHT(OFFSET(TH!G$1,SMALL(Dong2,ROWS($1:24)),),3)=$M$9,RIGHT(OFFSET(TH!G$1,SMALL(Dong2,ROWS($1:24)),),2)=$M$9),OFFSET(TH!O$1,SMALL(Dong2,ROWS($1:24)),)=$I$6),IF($I$6="1121",OFFSET(TH!M$1,SMALL(Dong2,ROWS($1:24)),),OFFSET(TH!K$1,SMALL(Dong2,ROWS($1:24)),)),0))</f>
        <v>10000</v>
      </c>
      <c r="H35" s="940">
        <f t="shared" ca="1" si="1"/>
        <v>-1040601919</v>
      </c>
      <c r="I35" s="940"/>
      <c r="L35" s="182"/>
    </row>
    <row r="36" spans="1:12" s="189" customFormat="1" ht="20.25" customHeight="1">
      <c r="A36" s="200">
        <f ca="1">IF(ROWS($1:25)&gt;COUNT(Dong2),"",OFFSET(TH!C$1,SMALL(Dong2,ROWS($1:25)),))</f>
        <v>42650</v>
      </c>
      <c r="B36" s="200" t="str">
        <f ca="1">IF(ROWS($1:25)&gt;COUNT(Dong2),"",OFFSET(TH!D$1,SMALL(Dong2,ROWS($1:25)),))</f>
        <v>GBN</v>
      </c>
      <c r="C36" s="200">
        <f ca="1">IF(ROWS($1:25)&gt;COUNT(Dong2),"",OFFSET(TH!E$1,SMALL(Dong2,ROWS($1:25)),))</f>
        <v>42650</v>
      </c>
      <c r="D36" s="380" t="str">
        <f ca="1">IF(ROWS($1:25)&gt;COUNT(Dong2),"",OFFSET(TH!F$1,SMALL(Dong2,ROWS($1:25)),))</f>
        <v>VAT Phí thanh toán</v>
      </c>
      <c r="E36" s="200" t="str">
        <f ca="1">IF(ROWS($1:25)&gt;COUNT(Dong2),"",IF(OFFSET(TH!O$1,SMALL(Dong2,ROWS($1:25)),)=$I$6,OFFSET(TH!N$1,SMALL(Dong2,ROWS($1:25)),),OFFSET(TH!O$1,SMALL(Dong2,ROWS($1:25)),)))</f>
        <v>1331</v>
      </c>
      <c r="F36" s="1163">
        <f ca="1">IF(ROWS($1:25)&gt;COUNT(Dong2),"",IF(AND(IF($M$9="Q11",LEFT(OFFSET(TH!G$1,SMALL(Dong2,ROWS($1:25)),),3)=$M$9,LEFT(OFFSET(TH!G$1,SMALL(Dong2,ROWS($1:25)),),2)=$M$9),OFFSET(TH!N$1,SMALL(Dong2,ROWS($1:25)),)=$I$6),IF($I$6="1121",OFFSET(TH!M$1,SMALL(Dong2,ROWS($1:25)),),OFFSET(TH!K$1,SMALL(Dong2,ROWS($1:25)),)),0))</f>
        <v>0</v>
      </c>
      <c r="G36" s="1163">
        <f ca="1">IF(ROWS($1:25)&gt;COUNT(Dong2),"",IF(AND(IF($M$9="Q11",RIGHT(OFFSET(TH!G$1,SMALL(Dong2,ROWS($1:25)),),3)=$M$9,RIGHT(OFFSET(TH!G$1,SMALL(Dong2,ROWS($1:25)),),2)=$M$9),OFFSET(TH!O$1,SMALL(Dong2,ROWS($1:25)),)=$I$6),IF($I$6="1121",OFFSET(TH!M$1,SMALL(Dong2,ROWS($1:25)),),OFFSET(TH!K$1,SMALL(Dong2,ROWS($1:25)),)),0))</f>
        <v>1000</v>
      </c>
      <c r="H36" s="940">
        <f t="shared" ca="1" si="1"/>
        <v>-1040602919</v>
      </c>
      <c r="I36" s="940"/>
      <c r="L36" s="182"/>
    </row>
    <row r="37" spans="1:12" s="189" customFormat="1" ht="20.25" customHeight="1">
      <c r="A37" s="200">
        <f ca="1">IF(ROWS($1:26)&gt;COUNT(Dong2),"",OFFSET(TH!C$1,SMALL(Dong2,ROWS($1:26)),))</f>
        <v>42650</v>
      </c>
      <c r="B37" s="200" t="str">
        <f ca="1">IF(ROWS($1:26)&gt;COUNT(Dong2),"",OFFSET(TH!D$1,SMALL(Dong2,ROWS($1:26)),))</f>
        <v>GBN</v>
      </c>
      <c r="C37" s="200">
        <f ca="1">IF(ROWS($1:26)&gt;COUNT(Dong2),"",OFFSET(TH!E$1,SMALL(Dong2,ROWS($1:26)),))</f>
        <v>42650</v>
      </c>
      <c r="D37" s="380" t="str">
        <f ca="1">IF(ROWS($1:26)&gt;COUNT(Dong2),"",OFFSET(TH!F$1,SMALL(Dong2,ROWS($1:26)),))</f>
        <v>Thanh toán tiền mua túi PP, màng PA</v>
      </c>
      <c r="E37" s="200" t="str">
        <f ca="1">IF(ROWS($1:26)&gt;COUNT(Dong2),"",IF(OFFSET(TH!O$1,SMALL(Dong2,ROWS($1:26)),)=$I$6,OFFSET(TH!N$1,SMALL(Dong2,ROWS($1:26)),),OFFSET(TH!O$1,SMALL(Dong2,ROWS($1:26)),)))</f>
        <v>331</v>
      </c>
      <c r="F37" s="1163">
        <f ca="1">IF(ROWS($1:26)&gt;COUNT(Dong2),"",IF(AND(IF($M$9="Q11",LEFT(OFFSET(TH!G$1,SMALL(Dong2,ROWS($1:26)),),3)=$M$9,LEFT(OFFSET(TH!G$1,SMALL(Dong2,ROWS($1:26)),),2)=$M$9),OFFSET(TH!N$1,SMALL(Dong2,ROWS($1:26)),)=$I$6),IF($I$6="1121",OFFSET(TH!M$1,SMALL(Dong2,ROWS($1:26)),),OFFSET(TH!K$1,SMALL(Dong2,ROWS($1:26)),)),0))</f>
        <v>0</v>
      </c>
      <c r="G37" s="1163">
        <f ca="1">IF(ROWS($1:26)&gt;COUNT(Dong2),"",IF(AND(IF($M$9="Q11",RIGHT(OFFSET(TH!G$1,SMALL(Dong2,ROWS($1:26)),),3)=$M$9,RIGHT(OFFSET(TH!G$1,SMALL(Dong2,ROWS($1:26)),),2)=$M$9),OFFSET(TH!O$1,SMALL(Dong2,ROWS($1:26)),)=$I$6),IF($I$6="1121",OFFSET(TH!M$1,SMALL(Dong2,ROWS($1:26)),),OFFSET(TH!K$1,SMALL(Dong2,ROWS($1:26)),)),0))</f>
        <v>84555900</v>
      </c>
      <c r="H37" s="940">
        <f t="shared" ca="1" si="1"/>
        <v>-1125158819</v>
      </c>
      <c r="I37" s="940"/>
      <c r="L37" s="182"/>
    </row>
    <row r="38" spans="1:12" s="189" customFormat="1" ht="20.25" customHeight="1">
      <c r="A38" s="200">
        <f ca="1">IF(ROWS($1:27)&gt;COUNT(Dong2),"",OFFSET(TH!C$1,SMALL(Dong2,ROWS($1:27)),))</f>
        <v>42650</v>
      </c>
      <c r="B38" s="200" t="str">
        <f ca="1">IF(ROWS($1:27)&gt;COUNT(Dong2),"",OFFSET(TH!D$1,SMALL(Dong2,ROWS($1:27)),))</f>
        <v>GBN</v>
      </c>
      <c r="C38" s="200">
        <f ca="1">IF(ROWS($1:27)&gt;COUNT(Dong2),"",OFFSET(TH!E$1,SMALL(Dong2,ROWS($1:27)),))</f>
        <v>42650</v>
      </c>
      <c r="D38" s="380" t="str">
        <f ca="1">IF(ROWS($1:27)&gt;COUNT(Dong2),"",OFFSET(TH!F$1,SMALL(Dong2,ROWS($1:27)),))</f>
        <v>Phí thanh toán</v>
      </c>
      <c r="E38" s="200" t="str">
        <f ca="1">IF(ROWS($1:27)&gt;COUNT(Dong2),"",IF(OFFSET(TH!O$1,SMALL(Dong2,ROWS($1:27)),)=$I$6,OFFSET(TH!N$1,SMALL(Dong2,ROWS($1:27)),),OFFSET(TH!O$1,SMALL(Dong2,ROWS($1:27)),)))</f>
        <v>642</v>
      </c>
      <c r="F38" s="1163">
        <f ca="1">IF(ROWS($1:27)&gt;COUNT(Dong2),"",IF(AND(IF($M$9="Q11",LEFT(OFFSET(TH!G$1,SMALL(Dong2,ROWS($1:27)),),3)=$M$9,LEFT(OFFSET(TH!G$1,SMALL(Dong2,ROWS($1:27)),),2)=$M$9),OFFSET(TH!N$1,SMALL(Dong2,ROWS($1:27)),)=$I$6),IF($I$6="1121",OFFSET(TH!M$1,SMALL(Dong2,ROWS($1:27)),),OFFSET(TH!K$1,SMALL(Dong2,ROWS($1:27)),)),0))</f>
        <v>0</v>
      </c>
      <c r="G38" s="1163">
        <f ca="1">IF(ROWS($1:27)&gt;COUNT(Dong2),"",IF(AND(IF($M$9="Q11",RIGHT(OFFSET(TH!G$1,SMALL(Dong2,ROWS($1:27)),),3)=$M$9,RIGHT(OFFSET(TH!G$1,SMALL(Dong2,ROWS($1:27)),),2)=$M$9),OFFSET(TH!O$1,SMALL(Dong2,ROWS($1:27)),)=$I$6),IF($I$6="1121",OFFSET(TH!M$1,SMALL(Dong2,ROWS($1:27)),),OFFSET(TH!K$1,SMALL(Dong2,ROWS($1:27)),)),0))</f>
        <v>10000</v>
      </c>
      <c r="H38" s="940">
        <f t="shared" ca="1" si="1"/>
        <v>-1125168819</v>
      </c>
      <c r="I38" s="940"/>
      <c r="L38" s="182"/>
    </row>
    <row r="39" spans="1:12" s="189" customFormat="1" ht="20.25" customHeight="1">
      <c r="A39" s="200">
        <f ca="1">IF(ROWS($1:28)&gt;COUNT(Dong2),"",OFFSET(TH!C$1,SMALL(Dong2,ROWS($1:28)),))</f>
        <v>42650</v>
      </c>
      <c r="B39" s="200" t="str">
        <f ca="1">IF(ROWS($1:28)&gt;COUNT(Dong2),"",OFFSET(TH!D$1,SMALL(Dong2,ROWS($1:28)),))</f>
        <v>GBN</v>
      </c>
      <c r="C39" s="200">
        <f ca="1">IF(ROWS($1:28)&gt;COUNT(Dong2),"",OFFSET(TH!E$1,SMALL(Dong2,ROWS($1:28)),))</f>
        <v>42650</v>
      </c>
      <c r="D39" s="380" t="str">
        <f ca="1">IF(ROWS($1:28)&gt;COUNT(Dong2),"",OFFSET(TH!F$1,SMALL(Dong2,ROWS($1:28)),))</f>
        <v>VAT Phí thanh toán</v>
      </c>
      <c r="E39" s="200" t="str">
        <f ca="1">IF(ROWS($1:28)&gt;COUNT(Dong2),"",IF(OFFSET(TH!O$1,SMALL(Dong2,ROWS($1:28)),)=$I$6,OFFSET(TH!N$1,SMALL(Dong2,ROWS($1:28)),),OFFSET(TH!O$1,SMALL(Dong2,ROWS($1:28)),)))</f>
        <v>1331</v>
      </c>
      <c r="F39" s="1163">
        <f ca="1">IF(ROWS($1:28)&gt;COUNT(Dong2),"",IF(AND(IF($M$9="Q11",LEFT(OFFSET(TH!G$1,SMALL(Dong2,ROWS($1:28)),),3)=$M$9,LEFT(OFFSET(TH!G$1,SMALL(Dong2,ROWS($1:28)),),2)=$M$9),OFFSET(TH!N$1,SMALL(Dong2,ROWS($1:28)),)=$I$6),IF($I$6="1121",OFFSET(TH!M$1,SMALL(Dong2,ROWS($1:28)),),OFFSET(TH!K$1,SMALL(Dong2,ROWS($1:28)),)),0))</f>
        <v>0</v>
      </c>
      <c r="G39" s="1163">
        <f ca="1">IF(ROWS($1:28)&gt;COUNT(Dong2),"",IF(AND(IF($M$9="Q11",RIGHT(OFFSET(TH!G$1,SMALL(Dong2,ROWS($1:28)),),3)=$M$9,RIGHT(OFFSET(TH!G$1,SMALL(Dong2,ROWS($1:28)),),2)=$M$9),OFFSET(TH!O$1,SMALL(Dong2,ROWS($1:28)),)=$I$6),IF($I$6="1121",OFFSET(TH!M$1,SMALL(Dong2,ROWS($1:28)),),OFFSET(TH!K$1,SMALL(Dong2,ROWS($1:28)),)),0))</f>
        <v>1000</v>
      </c>
      <c r="H39" s="940">
        <f t="shared" ca="1" si="1"/>
        <v>-1125169819</v>
      </c>
      <c r="I39" s="940"/>
      <c r="L39" s="182"/>
    </row>
    <row r="40" spans="1:12" s="189" customFormat="1" ht="20.25" customHeight="1">
      <c r="A40" s="200">
        <f ca="1">IF(ROWS($1:29)&gt;COUNT(Dong2),"",OFFSET(TH!C$1,SMALL(Dong2,ROWS($1:29)),))</f>
        <v>42650</v>
      </c>
      <c r="B40" s="200" t="str">
        <f ca="1">IF(ROWS($1:29)&gt;COUNT(Dong2),"",OFFSET(TH!D$1,SMALL(Dong2,ROWS($1:29)),))</f>
        <v>GBN</v>
      </c>
      <c r="C40" s="200">
        <f ca="1">IF(ROWS($1:29)&gt;COUNT(Dong2),"",OFFSET(TH!E$1,SMALL(Dong2,ROWS($1:29)),))</f>
        <v>42650</v>
      </c>
      <c r="D40" s="380" t="str">
        <f ca="1">IF(ROWS($1:29)&gt;COUNT(Dong2),"",OFFSET(TH!F$1,SMALL(Dong2,ROWS($1:29)),))</f>
        <v>Thanh toán tiền xử lý cá khô</v>
      </c>
      <c r="E40" s="200" t="str">
        <f ca="1">IF(ROWS($1:29)&gt;COUNT(Dong2),"",IF(OFFSET(TH!O$1,SMALL(Dong2,ROWS($1:29)),)=$I$6,OFFSET(TH!N$1,SMALL(Dong2,ROWS($1:29)),),OFFSET(TH!O$1,SMALL(Dong2,ROWS($1:29)),)))</f>
        <v>331</v>
      </c>
      <c r="F40" s="1163">
        <f ca="1">IF(ROWS($1:29)&gt;COUNT(Dong2),"",IF(AND(IF($M$9="Q11",LEFT(OFFSET(TH!G$1,SMALL(Dong2,ROWS($1:29)),),3)=$M$9,LEFT(OFFSET(TH!G$1,SMALL(Dong2,ROWS($1:29)),),2)=$M$9),OFFSET(TH!N$1,SMALL(Dong2,ROWS($1:29)),)=$I$6),IF($I$6="1121",OFFSET(TH!M$1,SMALL(Dong2,ROWS($1:29)),),OFFSET(TH!K$1,SMALL(Dong2,ROWS($1:29)),)),0))</f>
        <v>0</v>
      </c>
      <c r="G40" s="1163">
        <f ca="1">IF(ROWS($1:29)&gt;COUNT(Dong2),"",IF(AND(IF($M$9="Q11",RIGHT(OFFSET(TH!G$1,SMALL(Dong2,ROWS($1:29)),),3)=$M$9,RIGHT(OFFSET(TH!G$1,SMALL(Dong2,ROWS($1:29)),),2)=$M$9),OFFSET(TH!O$1,SMALL(Dong2,ROWS($1:29)),)=$I$6),IF($I$6="1121",OFFSET(TH!M$1,SMALL(Dong2,ROWS($1:29)),),OFFSET(TH!K$1,SMALL(Dong2,ROWS($1:29)),)),0))</f>
        <v>98045855</v>
      </c>
      <c r="H40" s="940">
        <f t="shared" ca="1" si="1"/>
        <v>-1223215674</v>
      </c>
      <c r="I40" s="940"/>
    </row>
    <row r="41" spans="1:12" s="189" customFormat="1" ht="20.25" customHeight="1">
      <c r="A41" s="200">
        <f ca="1">IF(ROWS($1:30)&gt;COUNT(Dong2),"",OFFSET(TH!C$1,SMALL(Dong2,ROWS($1:30)),))</f>
        <v>42650</v>
      </c>
      <c r="B41" s="200" t="str">
        <f ca="1">IF(ROWS($1:30)&gt;COUNT(Dong2),"",OFFSET(TH!D$1,SMALL(Dong2,ROWS($1:30)),))</f>
        <v>GBN</v>
      </c>
      <c r="C41" s="200">
        <f ca="1">IF(ROWS($1:30)&gt;COUNT(Dong2),"",OFFSET(TH!E$1,SMALL(Dong2,ROWS($1:30)),))</f>
        <v>42650</v>
      </c>
      <c r="D41" s="380" t="str">
        <f ca="1">IF(ROWS($1:30)&gt;COUNT(Dong2),"",OFFSET(TH!F$1,SMALL(Dong2,ROWS($1:30)),))</f>
        <v>Phí thanh toán</v>
      </c>
      <c r="E41" s="200" t="str">
        <f ca="1">IF(ROWS($1:30)&gt;COUNT(Dong2),"",IF(OFFSET(TH!O$1,SMALL(Dong2,ROWS($1:30)),)=$I$6,OFFSET(TH!N$1,SMALL(Dong2,ROWS($1:30)),),OFFSET(TH!O$1,SMALL(Dong2,ROWS($1:30)),)))</f>
        <v>642</v>
      </c>
      <c r="F41" s="1163">
        <f ca="1">IF(ROWS($1:30)&gt;COUNT(Dong2),"",IF(AND(IF($M$9="Q11",LEFT(OFFSET(TH!G$1,SMALL(Dong2,ROWS($1:30)),),3)=$M$9,LEFT(OFFSET(TH!G$1,SMALL(Dong2,ROWS($1:30)),),2)=$M$9),OFFSET(TH!N$1,SMALL(Dong2,ROWS($1:30)),)=$I$6),IF($I$6="1121",OFFSET(TH!M$1,SMALL(Dong2,ROWS($1:30)),),OFFSET(TH!K$1,SMALL(Dong2,ROWS($1:30)),)),0))</f>
        <v>0</v>
      </c>
      <c r="G41" s="1163">
        <f ca="1">IF(ROWS($1:30)&gt;COUNT(Dong2),"",IF(AND(IF($M$9="Q11",RIGHT(OFFSET(TH!G$1,SMALL(Dong2,ROWS($1:30)),),3)=$M$9,RIGHT(OFFSET(TH!G$1,SMALL(Dong2,ROWS($1:30)),),2)=$M$9),OFFSET(TH!O$1,SMALL(Dong2,ROWS($1:30)),)=$I$6),IF($I$6="1121",OFFSET(TH!M$1,SMALL(Dong2,ROWS($1:30)),),OFFSET(TH!K$1,SMALL(Dong2,ROWS($1:30)),)),0))</f>
        <v>10000</v>
      </c>
      <c r="H41" s="940">
        <f t="shared" ca="1" si="1"/>
        <v>-1223225674</v>
      </c>
      <c r="I41" s="940"/>
    </row>
    <row r="42" spans="1:12" s="189" customFormat="1" ht="20.25" customHeight="1">
      <c r="A42" s="200">
        <f ca="1">IF(ROWS($1:31)&gt;COUNT(Dong2),"",OFFSET(TH!C$1,SMALL(Dong2,ROWS($1:31)),))</f>
        <v>42650</v>
      </c>
      <c r="B42" s="200" t="str">
        <f ca="1">IF(ROWS($1:31)&gt;COUNT(Dong2),"",OFFSET(TH!D$1,SMALL(Dong2,ROWS($1:31)),))</f>
        <v>GBN</v>
      </c>
      <c r="C42" s="200">
        <f ca="1">IF(ROWS($1:31)&gt;COUNT(Dong2),"",OFFSET(TH!E$1,SMALL(Dong2,ROWS($1:31)),))</f>
        <v>42650</v>
      </c>
      <c r="D42" s="380" t="str">
        <f ca="1">IF(ROWS($1:31)&gt;COUNT(Dong2),"",OFFSET(TH!F$1,SMALL(Dong2,ROWS($1:31)),))</f>
        <v>VAT Phí thanh toán</v>
      </c>
      <c r="E42" s="200" t="str">
        <f ca="1">IF(ROWS($1:31)&gt;COUNT(Dong2),"",IF(OFFSET(TH!O$1,SMALL(Dong2,ROWS($1:31)),)=$I$6,OFFSET(TH!N$1,SMALL(Dong2,ROWS($1:31)),),OFFSET(TH!O$1,SMALL(Dong2,ROWS($1:31)),)))</f>
        <v>1331</v>
      </c>
      <c r="F42" s="1163">
        <f ca="1">IF(ROWS($1:31)&gt;COUNT(Dong2),"",IF(AND(IF($M$9="Q11",LEFT(OFFSET(TH!G$1,SMALL(Dong2,ROWS($1:31)),),3)=$M$9,LEFT(OFFSET(TH!G$1,SMALL(Dong2,ROWS($1:31)),),2)=$M$9),OFFSET(TH!N$1,SMALL(Dong2,ROWS($1:31)),)=$I$6),IF($I$6="1121",OFFSET(TH!M$1,SMALL(Dong2,ROWS($1:31)),),OFFSET(TH!K$1,SMALL(Dong2,ROWS($1:31)),)),0))</f>
        <v>0</v>
      </c>
      <c r="G42" s="1163">
        <f ca="1">IF(ROWS($1:31)&gt;COUNT(Dong2),"",IF(AND(IF($M$9="Q11",RIGHT(OFFSET(TH!G$1,SMALL(Dong2,ROWS($1:31)),),3)=$M$9,RIGHT(OFFSET(TH!G$1,SMALL(Dong2,ROWS($1:31)),),2)=$M$9),OFFSET(TH!O$1,SMALL(Dong2,ROWS($1:31)),)=$I$6),IF($I$6="1121",OFFSET(TH!M$1,SMALL(Dong2,ROWS($1:31)),),OFFSET(TH!K$1,SMALL(Dong2,ROWS($1:31)),)),0))</f>
        <v>1000</v>
      </c>
      <c r="H42" s="940">
        <f t="shared" ca="1" si="1"/>
        <v>-1223226674</v>
      </c>
      <c r="I42" s="940"/>
    </row>
    <row r="43" spans="1:12" s="189" customFormat="1" ht="20.25" customHeight="1">
      <c r="A43" s="200">
        <f ca="1">IF(ROWS($1:32)&gt;COUNT(Dong2),"",OFFSET(TH!C$1,SMALL(Dong2,ROWS($1:32)),))</f>
        <v>42650</v>
      </c>
      <c r="B43" s="200" t="str">
        <f ca="1">IF(ROWS($1:32)&gt;COUNT(Dong2),"",OFFSET(TH!D$1,SMALL(Dong2,ROWS($1:32)),))</f>
        <v>GBN</v>
      </c>
      <c r="C43" s="200">
        <f ca="1">IF(ROWS($1:32)&gt;COUNT(Dong2),"",OFFSET(TH!E$1,SMALL(Dong2,ROWS($1:32)),))</f>
        <v>42650</v>
      </c>
      <c r="D43" s="380" t="str">
        <f ca="1">IF(ROWS($1:32)&gt;COUNT(Dong2),"",OFFSET(TH!F$1,SMALL(Dong2,ROWS($1:32)),))</f>
        <v>Thanh toán tiền xử lý cá khô</v>
      </c>
      <c r="E43" s="200" t="str">
        <f ca="1">IF(ROWS($1:32)&gt;COUNT(Dong2),"",IF(OFFSET(TH!O$1,SMALL(Dong2,ROWS($1:32)),)=$I$6,OFFSET(TH!N$1,SMALL(Dong2,ROWS($1:32)),),OFFSET(TH!O$1,SMALL(Dong2,ROWS($1:32)),)))</f>
        <v>331</v>
      </c>
      <c r="F43" s="1163">
        <f ca="1">IF(ROWS($1:32)&gt;COUNT(Dong2),"",IF(AND(IF($M$9="Q11",LEFT(OFFSET(TH!G$1,SMALL(Dong2,ROWS($1:32)),),3)=$M$9,LEFT(OFFSET(TH!G$1,SMALL(Dong2,ROWS($1:32)),),2)=$M$9),OFFSET(TH!N$1,SMALL(Dong2,ROWS($1:32)),)=$I$6),IF($I$6="1121",OFFSET(TH!M$1,SMALL(Dong2,ROWS($1:32)),),OFFSET(TH!K$1,SMALL(Dong2,ROWS($1:32)),)),0))</f>
        <v>0</v>
      </c>
      <c r="G43" s="1163">
        <f ca="1">IF(ROWS($1:32)&gt;COUNT(Dong2),"",IF(AND(IF($M$9="Q11",RIGHT(OFFSET(TH!G$1,SMALL(Dong2,ROWS($1:32)),),3)=$M$9,RIGHT(OFFSET(TH!G$1,SMALL(Dong2,ROWS($1:32)),),2)=$M$9),OFFSET(TH!O$1,SMALL(Dong2,ROWS($1:32)),)=$I$6),IF($I$6="1121",OFFSET(TH!M$1,SMALL(Dong2,ROWS($1:32)),),OFFSET(TH!K$1,SMALL(Dong2,ROWS($1:32)),)),0))</f>
        <v>37480000</v>
      </c>
      <c r="H43" s="940">
        <f t="shared" ca="1" si="1"/>
        <v>-1260706674</v>
      </c>
      <c r="I43" s="940"/>
    </row>
    <row r="44" spans="1:12" s="189" customFormat="1" ht="20.25" customHeight="1">
      <c r="A44" s="200">
        <f ca="1">IF(ROWS($1:33)&gt;COUNT(Dong2),"",OFFSET(TH!C$1,SMALL(Dong2,ROWS($1:33)),))</f>
        <v>42650</v>
      </c>
      <c r="B44" s="200" t="str">
        <f ca="1">IF(ROWS($1:33)&gt;COUNT(Dong2),"",OFFSET(TH!D$1,SMALL(Dong2,ROWS($1:33)),))</f>
        <v>GBN</v>
      </c>
      <c r="C44" s="200">
        <f ca="1">IF(ROWS($1:33)&gt;COUNT(Dong2),"",OFFSET(TH!E$1,SMALL(Dong2,ROWS($1:33)),))</f>
        <v>42650</v>
      </c>
      <c r="D44" s="380" t="str">
        <f ca="1">IF(ROWS($1:33)&gt;COUNT(Dong2),"",OFFSET(TH!F$1,SMALL(Dong2,ROWS($1:33)),))</f>
        <v>Phí thanh toán</v>
      </c>
      <c r="E44" s="200" t="str">
        <f ca="1">IF(ROWS($1:33)&gt;COUNT(Dong2),"",IF(OFFSET(TH!O$1,SMALL(Dong2,ROWS($1:33)),)=$I$6,OFFSET(TH!N$1,SMALL(Dong2,ROWS($1:33)),),OFFSET(TH!O$1,SMALL(Dong2,ROWS($1:33)),)))</f>
        <v>642</v>
      </c>
      <c r="F44" s="1163">
        <f ca="1">IF(ROWS($1:33)&gt;COUNT(Dong2),"",IF(AND(IF($M$9="Q11",LEFT(OFFSET(TH!G$1,SMALL(Dong2,ROWS($1:33)),),3)=$M$9,LEFT(OFFSET(TH!G$1,SMALL(Dong2,ROWS($1:33)),),2)=$M$9),OFFSET(TH!N$1,SMALL(Dong2,ROWS($1:33)),)=$I$6),IF($I$6="1121",OFFSET(TH!M$1,SMALL(Dong2,ROWS($1:33)),),OFFSET(TH!K$1,SMALL(Dong2,ROWS($1:33)),)),0))</f>
        <v>0</v>
      </c>
      <c r="G44" s="1163">
        <f ca="1">IF(ROWS($1:33)&gt;COUNT(Dong2),"",IF(AND(IF($M$9="Q11",RIGHT(OFFSET(TH!G$1,SMALL(Dong2,ROWS($1:33)),),3)=$M$9,RIGHT(OFFSET(TH!G$1,SMALL(Dong2,ROWS($1:33)),),2)=$M$9),OFFSET(TH!O$1,SMALL(Dong2,ROWS($1:33)),)=$I$6),IF($I$6="1121",OFFSET(TH!M$1,SMALL(Dong2,ROWS($1:33)),),OFFSET(TH!K$1,SMALL(Dong2,ROWS($1:33)),)),0))</f>
        <v>10000</v>
      </c>
      <c r="H44" s="940">
        <f t="shared" ca="1" si="1"/>
        <v>-1260716674</v>
      </c>
      <c r="I44" s="940"/>
    </row>
    <row r="45" spans="1:12" s="189" customFormat="1" ht="20.25" customHeight="1">
      <c r="A45" s="200">
        <f ca="1">IF(ROWS($1:34)&gt;COUNT(Dong2),"",OFFSET(TH!C$1,SMALL(Dong2,ROWS($1:34)),))</f>
        <v>42650</v>
      </c>
      <c r="B45" s="200" t="str">
        <f ca="1">IF(ROWS($1:34)&gt;COUNT(Dong2),"",OFFSET(TH!D$1,SMALL(Dong2,ROWS($1:34)),))</f>
        <v>GBN</v>
      </c>
      <c r="C45" s="200">
        <f ca="1">IF(ROWS($1:34)&gt;COUNT(Dong2),"",OFFSET(TH!E$1,SMALL(Dong2,ROWS($1:34)),))</f>
        <v>42650</v>
      </c>
      <c r="D45" s="380" t="str">
        <f ca="1">IF(ROWS($1:34)&gt;COUNT(Dong2),"",OFFSET(TH!F$1,SMALL(Dong2,ROWS($1:34)),))</f>
        <v>VAT Phí thanh toán</v>
      </c>
      <c r="E45" s="200" t="str">
        <f ca="1">IF(ROWS($1:34)&gt;COUNT(Dong2),"",IF(OFFSET(TH!O$1,SMALL(Dong2,ROWS($1:34)),)=$I$6,OFFSET(TH!N$1,SMALL(Dong2,ROWS($1:34)),),OFFSET(TH!O$1,SMALL(Dong2,ROWS($1:34)),)))</f>
        <v>1331</v>
      </c>
      <c r="F45" s="1163">
        <f ca="1">IF(ROWS($1:34)&gt;COUNT(Dong2),"",IF(AND(IF($M$9="Q11",LEFT(OFFSET(TH!G$1,SMALL(Dong2,ROWS($1:34)),),3)=$M$9,LEFT(OFFSET(TH!G$1,SMALL(Dong2,ROWS($1:34)),),2)=$M$9),OFFSET(TH!N$1,SMALL(Dong2,ROWS($1:34)),)=$I$6),IF($I$6="1121",OFFSET(TH!M$1,SMALL(Dong2,ROWS($1:34)),),OFFSET(TH!K$1,SMALL(Dong2,ROWS($1:34)),)),0))</f>
        <v>0</v>
      </c>
      <c r="G45" s="1163">
        <f ca="1">IF(ROWS($1:34)&gt;COUNT(Dong2),"",IF(AND(IF($M$9="Q11",RIGHT(OFFSET(TH!G$1,SMALL(Dong2,ROWS($1:34)),),3)=$M$9,RIGHT(OFFSET(TH!G$1,SMALL(Dong2,ROWS($1:34)),),2)=$M$9),OFFSET(TH!O$1,SMALL(Dong2,ROWS($1:34)),)=$I$6),IF($I$6="1121",OFFSET(TH!M$1,SMALL(Dong2,ROWS($1:34)),),OFFSET(TH!K$1,SMALL(Dong2,ROWS($1:34)),)),0))</f>
        <v>1000</v>
      </c>
      <c r="H45" s="940">
        <f t="shared" ca="1" si="1"/>
        <v>-1260717674</v>
      </c>
      <c r="I45" s="940"/>
    </row>
    <row r="46" spans="1:12" s="189" customFormat="1" ht="20.25" customHeight="1">
      <c r="A46" s="200">
        <f ca="1">IF(ROWS($1:35)&gt;COUNT(Dong2),"",OFFSET(TH!C$1,SMALL(Dong2,ROWS($1:35)),))</f>
        <v>42653</v>
      </c>
      <c r="B46" s="200" t="str">
        <f ca="1">IF(ROWS($1:35)&gt;COUNT(Dong2),"",OFFSET(TH!D$1,SMALL(Dong2,ROWS($1:35)),))</f>
        <v>GBN</v>
      </c>
      <c r="C46" s="200">
        <f ca="1">IF(ROWS($1:35)&gt;COUNT(Dong2),"",OFFSET(TH!E$1,SMALL(Dong2,ROWS($1:35)),))</f>
        <v>42653</v>
      </c>
      <c r="D46" s="380" t="str">
        <f ca="1">IF(ROWS($1:35)&gt;COUNT(Dong2),"",OFFSET(TH!F$1,SMALL(Dong2,ROWS($1:35)),))</f>
        <v>Thanh toán tiền điện kỳ 3 T9/2016</v>
      </c>
      <c r="E46" s="200" t="str">
        <f ca="1">IF(ROWS($1:35)&gt;COUNT(Dong2),"",IF(OFFSET(TH!O$1,SMALL(Dong2,ROWS($1:35)),)=$I$6,OFFSET(TH!N$1,SMALL(Dong2,ROWS($1:35)),),OFFSET(TH!O$1,SMALL(Dong2,ROWS($1:35)),)))</f>
        <v>331</v>
      </c>
      <c r="F46" s="1163">
        <f ca="1">IF(ROWS($1:35)&gt;COUNT(Dong2),"",IF(AND(IF($M$9="Q11",LEFT(OFFSET(TH!G$1,SMALL(Dong2,ROWS($1:35)),),3)=$M$9,LEFT(OFFSET(TH!G$1,SMALL(Dong2,ROWS($1:35)),),2)=$M$9),OFFSET(TH!N$1,SMALL(Dong2,ROWS($1:35)),)=$I$6),IF($I$6="1121",OFFSET(TH!M$1,SMALL(Dong2,ROWS($1:35)),),OFFSET(TH!K$1,SMALL(Dong2,ROWS($1:35)),)),0))</f>
        <v>0</v>
      </c>
      <c r="G46" s="1163">
        <f ca="1">IF(ROWS($1:35)&gt;COUNT(Dong2),"",IF(AND(IF($M$9="Q11",RIGHT(OFFSET(TH!G$1,SMALL(Dong2,ROWS($1:35)),),3)=$M$9,RIGHT(OFFSET(TH!G$1,SMALL(Dong2,ROWS($1:35)),),2)=$M$9),OFFSET(TH!O$1,SMALL(Dong2,ROWS($1:35)),)=$I$6),IF($I$6="1121",OFFSET(TH!M$1,SMALL(Dong2,ROWS($1:35)),),OFFSET(TH!K$1,SMALL(Dong2,ROWS($1:35)),)),0))</f>
        <v>21023640</v>
      </c>
      <c r="H46" s="940">
        <f t="shared" ca="1" si="1"/>
        <v>-1281741314</v>
      </c>
      <c r="I46" s="940"/>
    </row>
    <row r="47" spans="1:12" s="189" customFormat="1" ht="20.25" customHeight="1">
      <c r="A47" s="200">
        <f ca="1">IF(ROWS($1:36)&gt;COUNT(Dong2),"",OFFSET(TH!C$1,SMALL(Dong2,ROWS($1:36)),))</f>
        <v>42653</v>
      </c>
      <c r="B47" s="200" t="str">
        <f ca="1">IF(ROWS($1:36)&gt;COUNT(Dong2),"",OFFSET(TH!D$1,SMALL(Dong2,ROWS($1:36)),))</f>
        <v>GBN</v>
      </c>
      <c r="C47" s="200">
        <f ca="1">IF(ROWS($1:36)&gt;COUNT(Dong2),"",OFFSET(TH!E$1,SMALL(Dong2,ROWS($1:36)),))</f>
        <v>42653</v>
      </c>
      <c r="D47" s="380" t="str">
        <f ca="1">IF(ROWS($1:36)&gt;COUNT(Dong2),"",OFFSET(TH!F$1,SMALL(Dong2,ROWS($1:36)),))</f>
        <v>Phí thanh toán</v>
      </c>
      <c r="E47" s="200" t="str">
        <f ca="1">IF(ROWS($1:36)&gt;COUNT(Dong2),"",IF(OFFSET(TH!O$1,SMALL(Dong2,ROWS($1:36)),)=$I$6,OFFSET(TH!N$1,SMALL(Dong2,ROWS($1:36)),),OFFSET(TH!O$1,SMALL(Dong2,ROWS($1:36)),)))</f>
        <v>642</v>
      </c>
      <c r="F47" s="1163">
        <f ca="1">IF(ROWS($1:36)&gt;COUNT(Dong2),"",IF(AND(IF($M$9="Q11",LEFT(OFFSET(TH!G$1,SMALL(Dong2,ROWS($1:36)),),3)=$M$9,LEFT(OFFSET(TH!G$1,SMALL(Dong2,ROWS($1:36)),),2)=$M$9),OFFSET(TH!N$1,SMALL(Dong2,ROWS($1:36)),)=$I$6),IF($I$6="1121",OFFSET(TH!M$1,SMALL(Dong2,ROWS($1:36)),),OFFSET(TH!K$1,SMALL(Dong2,ROWS($1:36)),)),0))</f>
        <v>0</v>
      </c>
      <c r="G47" s="1163">
        <f ca="1">IF(ROWS($1:36)&gt;COUNT(Dong2),"",IF(AND(IF($M$9="Q11",RIGHT(OFFSET(TH!G$1,SMALL(Dong2,ROWS($1:36)),),3)=$M$9,RIGHT(OFFSET(TH!G$1,SMALL(Dong2,ROWS($1:36)),),2)=$M$9),OFFSET(TH!O$1,SMALL(Dong2,ROWS($1:36)),)=$I$6),IF($I$6="1121",OFFSET(TH!M$1,SMALL(Dong2,ROWS($1:36)),),OFFSET(TH!K$1,SMALL(Dong2,ROWS($1:36)),)),0))</f>
        <v>10000</v>
      </c>
      <c r="H47" s="940">
        <f t="shared" ca="1" si="1"/>
        <v>-1281751314</v>
      </c>
      <c r="I47" s="940"/>
    </row>
    <row r="48" spans="1:12" s="189" customFormat="1" ht="20.25" customHeight="1">
      <c r="A48" s="200">
        <f ca="1">IF(ROWS($1:37)&gt;COUNT(Dong2),"",OFFSET(TH!C$1,SMALL(Dong2,ROWS($1:37)),))</f>
        <v>42653</v>
      </c>
      <c r="B48" s="200" t="str">
        <f ca="1">IF(ROWS($1:37)&gt;COUNT(Dong2),"",OFFSET(TH!D$1,SMALL(Dong2,ROWS($1:37)),))</f>
        <v>GBN</v>
      </c>
      <c r="C48" s="200">
        <f ca="1">IF(ROWS($1:37)&gt;COUNT(Dong2),"",OFFSET(TH!E$1,SMALL(Dong2,ROWS($1:37)),))</f>
        <v>42653</v>
      </c>
      <c r="D48" s="380" t="str">
        <f ca="1">IF(ROWS($1:37)&gt;COUNT(Dong2),"",OFFSET(TH!F$1,SMALL(Dong2,ROWS($1:37)),))</f>
        <v>VAT Phí thanh toán</v>
      </c>
      <c r="E48" s="200" t="str">
        <f ca="1">IF(ROWS($1:37)&gt;COUNT(Dong2),"",IF(OFFSET(TH!O$1,SMALL(Dong2,ROWS($1:37)),)=$I$6,OFFSET(TH!N$1,SMALL(Dong2,ROWS($1:37)),),OFFSET(TH!O$1,SMALL(Dong2,ROWS($1:37)),)))</f>
        <v>1331</v>
      </c>
      <c r="F48" s="1163">
        <f ca="1">IF(ROWS($1:37)&gt;COUNT(Dong2),"",IF(AND(IF($M$9="Q11",LEFT(OFFSET(TH!G$1,SMALL(Dong2,ROWS($1:37)),),3)=$M$9,LEFT(OFFSET(TH!G$1,SMALL(Dong2,ROWS($1:37)),),2)=$M$9),OFFSET(TH!N$1,SMALL(Dong2,ROWS($1:37)),)=$I$6),IF($I$6="1121",OFFSET(TH!M$1,SMALL(Dong2,ROWS($1:37)),),OFFSET(TH!K$1,SMALL(Dong2,ROWS($1:37)),)),0))</f>
        <v>0</v>
      </c>
      <c r="G48" s="1163">
        <f ca="1">IF(ROWS($1:37)&gt;COUNT(Dong2),"",IF(AND(IF($M$9="Q11",RIGHT(OFFSET(TH!G$1,SMALL(Dong2,ROWS($1:37)),),3)=$M$9,RIGHT(OFFSET(TH!G$1,SMALL(Dong2,ROWS($1:37)),),2)=$M$9),OFFSET(TH!O$1,SMALL(Dong2,ROWS($1:37)),)=$I$6),IF($I$6="1121",OFFSET(TH!M$1,SMALL(Dong2,ROWS($1:37)),),OFFSET(TH!K$1,SMALL(Dong2,ROWS($1:37)),)),0))</f>
        <v>1000</v>
      </c>
      <c r="H48" s="940">
        <f t="shared" ca="1" si="1"/>
        <v>-1281752314</v>
      </c>
      <c r="I48" s="940"/>
    </row>
    <row r="49" spans="1:9" s="189" customFormat="1" ht="20.25" customHeight="1">
      <c r="A49" s="200">
        <f ca="1">IF(ROWS($1:38)&gt;COUNT(Dong2),"",OFFSET(TH!C$1,SMALL(Dong2,ROWS($1:38)),))</f>
        <v>42660</v>
      </c>
      <c r="B49" s="200" t="str">
        <f ca="1">IF(ROWS($1:38)&gt;COUNT(Dong2),"",OFFSET(TH!D$1,SMALL(Dong2,ROWS($1:38)),))</f>
        <v>GBN</v>
      </c>
      <c r="C49" s="200">
        <f ca="1">IF(ROWS($1:38)&gt;COUNT(Dong2),"",OFFSET(TH!E$1,SMALL(Dong2,ROWS($1:38)),))</f>
        <v>42660</v>
      </c>
      <c r="D49" s="380" t="str">
        <f ca="1">IF(ROWS($1:38)&gt;COUNT(Dong2),"",OFFSET(TH!F$1,SMALL(Dong2,ROWS($1:38)),))</f>
        <v>Phí báo có tiền về</v>
      </c>
      <c r="E49" s="200" t="str">
        <f ca="1">IF(ROWS($1:38)&gt;COUNT(Dong2),"",IF(OFFSET(TH!O$1,SMALL(Dong2,ROWS($1:38)),)=$I$6,OFFSET(TH!N$1,SMALL(Dong2,ROWS($1:38)),),OFFSET(TH!O$1,SMALL(Dong2,ROWS($1:38)),)))</f>
        <v>642</v>
      </c>
      <c r="F49" s="1163">
        <f ca="1">IF(ROWS($1:38)&gt;COUNT(Dong2),"",IF(AND(IF($M$9="Q11",LEFT(OFFSET(TH!G$1,SMALL(Dong2,ROWS($1:38)),),3)=$M$9,LEFT(OFFSET(TH!G$1,SMALL(Dong2,ROWS($1:38)),),2)=$M$9),OFFSET(TH!N$1,SMALL(Dong2,ROWS($1:38)),)=$I$6),IF($I$6="1121",OFFSET(TH!M$1,SMALL(Dong2,ROWS($1:38)),),OFFSET(TH!K$1,SMALL(Dong2,ROWS($1:38)),)),0))</f>
        <v>0</v>
      </c>
      <c r="G49" s="1163">
        <f ca="1">IF(ROWS($1:38)&gt;COUNT(Dong2),"",IF(AND(IF($M$9="Q11",RIGHT(OFFSET(TH!G$1,SMALL(Dong2,ROWS($1:38)),),3)=$M$9,RIGHT(OFFSET(TH!G$1,SMALL(Dong2,ROWS($1:38)),),2)=$M$9),OFFSET(TH!O$1,SMALL(Dong2,ROWS($1:38)),)=$I$6),IF($I$6="1121",OFFSET(TH!M$1,SMALL(Dong2,ROWS($1:38)),),OFFSET(TH!K$1,SMALL(Dong2,ROWS($1:38)),)),0))</f>
        <v>1236318</v>
      </c>
      <c r="H49" s="940">
        <f t="shared" ca="1" si="1"/>
        <v>-1282988632</v>
      </c>
      <c r="I49" s="940"/>
    </row>
    <row r="50" spans="1:9" s="189" customFormat="1" ht="20.25" customHeight="1">
      <c r="A50" s="200">
        <f ca="1">IF(ROWS($1:39)&gt;COUNT(Dong2),"",OFFSET(TH!C$1,SMALL(Dong2,ROWS($1:39)),))</f>
        <v>42660</v>
      </c>
      <c r="B50" s="200" t="str">
        <f ca="1">IF(ROWS($1:39)&gt;COUNT(Dong2),"",OFFSET(TH!D$1,SMALL(Dong2,ROWS($1:39)),))</f>
        <v>GBN</v>
      </c>
      <c r="C50" s="200">
        <f ca="1">IF(ROWS($1:39)&gt;COUNT(Dong2),"",OFFSET(TH!E$1,SMALL(Dong2,ROWS($1:39)),))</f>
        <v>42660</v>
      </c>
      <c r="D50" s="380" t="str">
        <f ca="1">IF(ROWS($1:39)&gt;COUNT(Dong2),"",OFFSET(TH!F$1,SMALL(Dong2,ROWS($1:39)),))</f>
        <v>Phí thông báo LC</v>
      </c>
      <c r="E50" s="200" t="str">
        <f ca="1">IF(ROWS($1:39)&gt;COUNT(Dong2),"",IF(OFFSET(TH!O$1,SMALL(Dong2,ROWS($1:39)),)=$I$6,OFFSET(TH!N$1,SMALL(Dong2,ROWS($1:39)),),OFFSET(TH!O$1,SMALL(Dong2,ROWS($1:39)),)))</f>
        <v>642</v>
      </c>
      <c r="F50" s="1163">
        <f ca="1">IF(ROWS($1:39)&gt;COUNT(Dong2),"",IF(AND(IF($M$9="Q11",LEFT(OFFSET(TH!G$1,SMALL(Dong2,ROWS($1:39)),),3)=$M$9,LEFT(OFFSET(TH!G$1,SMALL(Dong2,ROWS($1:39)),),2)=$M$9),OFFSET(TH!N$1,SMALL(Dong2,ROWS($1:39)),)=$I$6),IF($I$6="1121",OFFSET(TH!M$1,SMALL(Dong2,ROWS($1:39)),),OFFSET(TH!K$1,SMALL(Dong2,ROWS($1:39)),)),0))</f>
        <v>0</v>
      </c>
      <c r="G50" s="1163">
        <f ca="1">IF(ROWS($1:39)&gt;COUNT(Dong2),"",IF(AND(IF($M$9="Q11",RIGHT(OFFSET(TH!G$1,SMALL(Dong2,ROWS($1:39)),),3)=$M$9,RIGHT(OFFSET(TH!G$1,SMALL(Dong2,ROWS($1:39)),),2)=$M$9),OFFSET(TH!O$1,SMALL(Dong2,ROWS($1:39)),)=$I$6),IF($I$6="1121",OFFSET(TH!M$1,SMALL(Dong2,ROWS($1:39)),),OFFSET(TH!K$1,SMALL(Dong2,ROWS($1:39)),)),0))</f>
        <v>223400</v>
      </c>
      <c r="H50" s="940">
        <f t="shared" ca="1" si="1"/>
        <v>-1283212032</v>
      </c>
      <c r="I50" s="940"/>
    </row>
    <row r="51" spans="1:9" s="189" customFormat="1" ht="20.25" customHeight="1">
      <c r="A51" s="200">
        <f ca="1">IF(ROWS($1:40)&gt;COUNT(Dong2),"",OFFSET(TH!C$1,SMALL(Dong2,ROWS($1:40)),))</f>
        <v>42660</v>
      </c>
      <c r="B51" s="200" t="str">
        <f ca="1">IF(ROWS($1:40)&gt;COUNT(Dong2),"",OFFSET(TH!D$1,SMALL(Dong2,ROWS($1:40)),))</f>
        <v>GBN</v>
      </c>
      <c r="C51" s="200">
        <f ca="1">IF(ROWS($1:40)&gt;COUNT(Dong2),"",OFFSET(TH!E$1,SMALL(Dong2,ROWS($1:40)),))</f>
        <v>42660</v>
      </c>
      <c r="D51" s="380" t="str">
        <f ca="1">IF(ROWS($1:40)&gt;COUNT(Dong2),"",OFFSET(TH!F$1,SMALL(Dong2,ROWS($1:40)),))</f>
        <v>Thu tất toán khoản vay</v>
      </c>
      <c r="E51" s="200" t="str">
        <f ca="1">IF(ROWS($1:40)&gt;COUNT(Dong2),"",IF(OFFSET(TH!O$1,SMALL(Dong2,ROWS($1:40)),)=$I$6,OFFSET(TH!N$1,SMALL(Dong2,ROWS($1:40)),),OFFSET(TH!O$1,SMALL(Dong2,ROWS($1:40)),)))</f>
        <v>3412</v>
      </c>
      <c r="F51" s="1163">
        <f ca="1">IF(ROWS($1:40)&gt;COUNT(Dong2),"",IF(AND(IF($M$9="Q11",LEFT(OFFSET(TH!G$1,SMALL(Dong2,ROWS($1:40)),),3)=$M$9,LEFT(OFFSET(TH!G$1,SMALL(Dong2,ROWS($1:40)),),2)=$M$9),OFFSET(TH!N$1,SMALL(Dong2,ROWS($1:40)),)=$I$6),IF($I$6="1121",OFFSET(TH!M$1,SMALL(Dong2,ROWS($1:40)),),OFFSET(TH!K$1,SMALL(Dong2,ROWS($1:40)),)),0))</f>
        <v>0</v>
      </c>
      <c r="G51" s="1163">
        <f ca="1">IF(ROWS($1:40)&gt;COUNT(Dong2),"",IF(AND(IF($M$9="Q11",RIGHT(OFFSET(TH!G$1,SMALL(Dong2,ROWS($1:40)),),3)=$M$9,RIGHT(OFFSET(TH!G$1,SMALL(Dong2,ROWS($1:40)),),2)=$M$9),OFFSET(TH!O$1,SMALL(Dong2,ROWS($1:40)),)=$I$6),IF($I$6="1121",OFFSET(TH!M$1,SMALL(Dong2,ROWS($1:40)),),OFFSET(TH!K$1,SMALL(Dong2,ROWS($1:40)),)),0))</f>
        <v>2163876000</v>
      </c>
      <c r="H51" s="940">
        <f t="shared" ca="1" si="1"/>
        <v>-3447088032</v>
      </c>
      <c r="I51" s="940"/>
    </row>
    <row r="52" spans="1:9" s="189" customFormat="1" ht="20.25" customHeight="1">
      <c r="A52" s="200">
        <f ca="1">IF(ROWS($1:41)&gt;COUNT(Dong2),"",OFFSET(TH!C$1,SMALL(Dong2,ROWS($1:41)),))</f>
        <v>42660</v>
      </c>
      <c r="B52" s="200" t="str">
        <f ca="1">IF(ROWS($1:41)&gt;COUNT(Dong2),"",OFFSET(TH!D$1,SMALL(Dong2,ROWS($1:41)),))</f>
        <v>GBN</v>
      </c>
      <c r="C52" s="200">
        <f ca="1">IF(ROWS($1:41)&gt;COUNT(Dong2),"",OFFSET(TH!E$1,SMALL(Dong2,ROWS($1:41)),))</f>
        <v>42660</v>
      </c>
      <c r="D52" s="380" t="str">
        <f ca="1">IF(ROWS($1:41)&gt;COUNT(Dong2),"",OFFSET(TH!F$1,SMALL(Dong2,ROWS($1:41)),))</f>
        <v>Lãi tất toán</v>
      </c>
      <c r="E52" s="200" t="str">
        <f ca="1">IF(ROWS($1:41)&gt;COUNT(Dong2),"",IF(OFFSET(TH!O$1,SMALL(Dong2,ROWS($1:41)),)=$I$6,OFFSET(TH!N$1,SMALL(Dong2,ROWS($1:41)),),OFFSET(TH!O$1,SMALL(Dong2,ROWS($1:41)),)))</f>
        <v>635</v>
      </c>
      <c r="F52" s="1163">
        <f ca="1">IF(ROWS($1:41)&gt;COUNT(Dong2),"",IF(AND(IF($M$9="Q11",LEFT(OFFSET(TH!G$1,SMALL(Dong2,ROWS($1:41)),),3)=$M$9,LEFT(OFFSET(TH!G$1,SMALL(Dong2,ROWS($1:41)),),2)=$M$9),OFFSET(TH!N$1,SMALL(Dong2,ROWS($1:41)),)=$I$6),IF($I$6="1121",OFFSET(TH!M$1,SMALL(Dong2,ROWS($1:41)),),OFFSET(TH!K$1,SMALL(Dong2,ROWS($1:41)),)),0))</f>
        <v>0</v>
      </c>
      <c r="G52" s="1163">
        <f ca="1">IF(ROWS($1:41)&gt;COUNT(Dong2),"",IF(AND(IF($M$9="Q11",RIGHT(OFFSET(TH!G$1,SMALL(Dong2,ROWS($1:41)),),3)=$M$9,RIGHT(OFFSET(TH!G$1,SMALL(Dong2,ROWS($1:41)),),2)=$M$9),OFFSET(TH!O$1,SMALL(Dong2,ROWS($1:41)),)=$I$6),IF($I$6="1121",OFFSET(TH!M$1,SMALL(Dong2,ROWS($1:41)),),OFFSET(TH!K$1,SMALL(Dong2,ROWS($1:41)),)),0))</f>
        <v>11316518</v>
      </c>
      <c r="H52" s="940">
        <f t="shared" ca="1" si="1"/>
        <v>-3458404550</v>
      </c>
      <c r="I52" s="940"/>
    </row>
    <row r="53" spans="1:9" s="189" customFormat="1" ht="20.25" customHeight="1">
      <c r="A53" s="200">
        <f ca="1">IF(ROWS($1:42)&gt;COUNT(Dong2),"",OFFSET(TH!C$1,SMALL(Dong2,ROWS($1:42)),))</f>
        <v>42660</v>
      </c>
      <c r="B53" s="200" t="str">
        <f ca="1">IF(ROWS($1:42)&gt;COUNT(Dong2),"",OFFSET(TH!D$1,SMALL(Dong2,ROWS($1:42)),))</f>
        <v>GBC</v>
      </c>
      <c r="C53" s="200">
        <f ca="1">IF(ROWS($1:42)&gt;COUNT(Dong2),"",OFFSET(TH!E$1,SMALL(Dong2,ROWS($1:42)),))</f>
        <v>42660</v>
      </c>
      <c r="D53" s="380" t="str">
        <f ca="1">IF(ROWS($1:42)&gt;COUNT(Dong2),"",OFFSET(TH!F$1,SMALL(Dong2,ROWS($1:42)),))</f>
        <v>Vay KU:</v>
      </c>
      <c r="E53" s="200" t="str">
        <f ca="1">IF(ROWS($1:42)&gt;COUNT(Dong2),"",IF(OFFSET(TH!O$1,SMALL(Dong2,ROWS($1:42)),)=$I$6,OFFSET(TH!N$1,SMALL(Dong2,ROWS($1:42)),),OFFSET(TH!O$1,SMALL(Dong2,ROWS($1:42)),)))</f>
        <v>3412</v>
      </c>
      <c r="F53" s="1163">
        <f ca="1">IF(ROWS($1:42)&gt;COUNT(Dong2),"",IF(AND(IF($M$9="Q11",LEFT(OFFSET(TH!G$1,SMALL(Dong2,ROWS($1:42)),),3)=$M$9,LEFT(OFFSET(TH!G$1,SMALL(Dong2,ROWS($1:42)),),2)=$M$9),OFFSET(TH!N$1,SMALL(Dong2,ROWS($1:42)),)=$I$6),IF($I$6="1121",OFFSET(TH!M$1,SMALL(Dong2,ROWS($1:42)),),OFFSET(TH!K$1,SMALL(Dong2,ROWS($1:42)),)),0))</f>
        <v>2140896000</v>
      </c>
      <c r="G53" s="1163">
        <f ca="1">IF(ROWS($1:42)&gt;COUNT(Dong2),"",IF(AND(IF($M$9="Q11",RIGHT(OFFSET(TH!G$1,SMALL(Dong2,ROWS($1:42)),),3)=$M$9,RIGHT(OFFSET(TH!G$1,SMALL(Dong2,ROWS($1:42)),),2)=$M$9),OFFSET(TH!O$1,SMALL(Dong2,ROWS($1:42)),)=$I$6),IF($I$6="1121",OFFSET(TH!M$1,SMALL(Dong2,ROWS($1:42)),),OFFSET(TH!K$1,SMALL(Dong2,ROWS($1:42)),)),0))</f>
        <v>0</v>
      </c>
      <c r="H53" s="940">
        <f t="shared" ca="1" si="1"/>
        <v>-1317508550</v>
      </c>
      <c r="I53" s="940"/>
    </row>
    <row r="54" spans="1:9" s="189" customFormat="1" ht="20.25" customHeight="1">
      <c r="A54" s="200">
        <f ca="1">IF(ROWS($1:43)&gt;COUNT(Dong2),"",OFFSET(TH!C$1,SMALL(Dong2,ROWS($1:43)),))</f>
        <v>42661</v>
      </c>
      <c r="B54" s="200" t="str">
        <f ca="1">IF(ROWS($1:43)&gt;COUNT(Dong2),"",OFFSET(TH!D$1,SMALL(Dong2,ROWS($1:43)),))</f>
        <v>GBN</v>
      </c>
      <c r="C54" s="200">
        <f ca="1">IF(ROWS($1:43)&gt;COUNT(Dong2),"",OFFSET(TH!E$1,SMALL(Dong2,ROWS($1:43)),))</f>
        <v>42661</v>
      </c>
      <c r="D54" s="380" t="str">
        <f ca="1">IF(ROWS($1:43)&gt;COUNT(Dong2),"",OFFSET(TH!F$1,SMALL(Dong2,ROWS($1:43)),))</f>
        <v>Phí thông báo</v>
      </c>
      <c r="E54" s="200" t="str">
        <f ca="1">IF(ROWS($1:43)&gt;COUNT(Dong2),"",IF(OFFSET(TH!O$1,SMALL(Dong2,ROWS($1:43)),)=$I$6,OFFSET(TH!N$1,SMALL(Dong2,ROWS($1:43)),),OFFSET(TH!O$1,SMALL(Dong2,ROWS($1:43)),)))</f>
        <v>642</v>
      </c>
      <c r="F54" s="1163">
        <f ca="1">IF(ROWS($1:43)&gt;COUNT(Dong2),"",IF(AND(IF($M$9="Q11",LEFT(OFFSET(TH!G$1,SMALL(Dong2,ROWS($1:43)),),3)=$M$9,LEFT(OFFSET(TH!G$1,SMALL(Dong2,ROWS($1:43)),),2)=$M$9),OFFSET(TH!N$1,SMALL(Dong2,ROWS($1:43)),)=$I$6),IF($I$6="1121",OFFSET(TH!M$1,SMALL(Dong2,ROWS($1:43)),),OFFSET(TH!K$1,SMALL(Dong2,ROWS($1:43)),)),0))</f>
        <v>0</v>
      </c>
      <c r="G54" s="1163">
        <f ca="1">IF(ROWS($1:43)&gt;COUNT(Dong2),"",IF(AND(IF($M$9="Q11",RIGHT(OFFSET(TH!G$1,SMALL(Dong2,ROWS($1:43)),),3)=$M$9,RIGHT(OFFSET(TH!G$1,SMALL(Dong2,ROWS($1:43)),),2)=$M$9),OFFSET(TH!O$1,SMALL(Dong2,ROWS($1:43)),)=$I$6),IF($I$6="1121",OFFSET(TH!M$1,SMALL(Dong2,ROWS($1:43)),),OFFSET(TH!K$1,SMALL(Dong2,ROWS($1:43)),)),0))</f>
        <v>111700</v>
      </c>
      <c r="H54" s="940">
        <f t="shared" ca="1" si="1"/>
        <v>-1317620250</v>
      </c>
      <c r="I54" s="940"/>
    </row>
    <row r="55" spans="1:9" s="189" customFormat="1" ht="20.25" customHeight="1">
      <c r="A55" s="200">
        <f ca="1">IF(ROWS($1:44)&gt;COUNT(Dong2),"",OFFSET(TH!C$1,SMALL(Dong2,ROWS($1:44)),))</f>
        <v>42662</v>
      </c>
      <c r="B55" s="200" t="str">
        <f ca="1">IF(ROWS($1:44)&gt;COUNT(Dong2),"",OFFSET(TH!D$1,SMALL(Dong2,ROWS($1:44)),))</f>
        <v>GBN</v>
      </c>
      <c r="C55" s="200">
        <f ca="1">IF(ROWS($1:44)&gt;COUNT(Dong2),"",OFFSET(TH!E$1,SMALL(Dong2,ROWS($1:44)),))</f>
        <v>42662</v>
      </c>
      <c r="D55" s="380" t="str">
        <f ca="1">IF(ROWS($1:44)&gt;COUNT(Dong2),"",OFFSET(TH!F$1,SMALL(Dong2,ROWS($1:44)),))</f>
        <v>Thanh toán tiền nước, phí CSHT  T8 &amp; T9</v>
      </c>
      <c r="E55" s="200" t="str">
        <f ca="1">IF(ROWS($1:44)&gt;COUNT(Dong2),"",IF(OFFSET(TH!O$1,SMALL(Dong2,ROWS($1:44)),)=$I$6,OFFSET(TH!N$1,SMALL(Dong2,ROWS($1:44)),),OFFSET(TH!O$1,SMALL(Dong2,ROWS($1:44)),)))</f>
        <v>331</v>
      </c>
      <c r="F55" s="1163">
        <f ca="1">IF(ROWS($1:44)&gt;COUNT(Dong2),"",IF(AND(IF($M$9="Q11",LEFT(OFFSET(TH!G$1,SMALL(Dong2,ROWS($1:44)),),3)=$M$9,LEFT(OFFSET(TH!G$1,SMALL(Dong2,ROWS($1:44)),),2)=$M$9),OFFSET(TH!N$1,SMALL(Dong2,ROWS($1:44)),)=$I$6),IF($I$6="1121",OFFSET(TH!M$1,SMALL(Dong2,ROWS($1:44)),),OFFSET(TH!K$1,SMALL(Dong2,ROWS($1:44)),)),0))</f>
        <v>0</v>
      </c>
      <c r="G55" s="1163">
        <f ca="1">IF(ROWS($1:44)&gt;COUNT(Dong2),"",IF(AND(IF($M$9="Q11",RIGHT(OFFSET(TH!G$1,SMALL(Dong2,ROWS($1:44)),),3)=$M$9,RIGHT(OFFSET(TH!G$1,SMALL(Dong2,ROWS($1:44)),),2)=$M$9),OFFSET(TH!O$1,SMALL(Dong2,ROWS($1:44)),)=$I$6),IF($I$6="1121",OFFSET(TH!M$1,SMALL(Dong2,ROWS($1:44)),),OFFSET(TH!K$1,SMALL(Dong2,ROWS($1:44)),)),0))</f>
        <v>16302356</v>
      </c>
      <c r="H55" s="940">
        <f t="shared" ca="1" si="1"/>
        <v>-1333922606</v>
      </c>
      <c r="I55" s="940"/>
    </row>
    <row r="56" spans="1:9" s="189" customFormat="1" ht="20.25" customHeight="1">
      <c r="A56" s="200">
        <f ca="1">IF(ROWS($1:45)&gt;COUNT(Dong2),"",OFFSET(TH!C$1,SMALL(Dong2,ROWS($1:45)),))</f>
        <v>42662</v>
      </c>
      <c r="B56" s="200" t="str">
        <f ca="1">IF(ROWS($1:45)&gt;COUNT(Dong2),"",OFFSET(TH!D$1,SMALL(Dong2,ROWS($1:45)),))</f>
        <v>GBN</v>
      </c>
      <c r="C56" s="200">
        <f ca="1">IF(ROWS($1:45)&gt;COUNT(Dong2),"",OFFSET(TH!E$1,SMALL(Dong2,ROWS($1:45)),))</f>
        <v>42662</v>
      </c>
      <c r="D56" s="380" t="str">
        <f ca="1">IF(ROWS($1:45)&gt;COUNT(Dong2),"",OFFSET(TH!F$1,SMALL(Dong2,ROWS($1:45)),))</f>
        <v>Phí thanh toán</v>
      </c>
      <c r="E56" s="200" t="str">
        <f ca="1">IF(ROWS($1:45)&gt;COUNT(Dong2),"",IF(OFFSET(TH!O$1,SMALL(Dong2,ROWS($1:45)),)=$I$6,OFFSET(TH!N$1,SMALL(Dong2,ROWS($1:45)),),OFFSET(TH!O$1,SMALL(Dong2,ROWS($1:45)),)))</f>
        <v>642</v>
      </c>
      <c r="F56" s="1163">
        <f ca="1">IF(ROWS($1:45)&gt;COUNT(Dong2),"",IF(AND(IF($M$9="Q11",LEFT(OFFSET(TH!G$1,SMALL(Dong2,ROWS($1:45)),),3)=$M$9,LEFT(OFFSET(TH!G$1,SMALL(Dong2,ROWS($1:45)),),2)=$M$9),OFFSET(TH!N$1,SMALL(Dong2,ROWS($1:45)),)=$I$6),IF($I$6="1121",OFFSET(TH!M$1,SMALL(Dong2,ROWS($1:45)),),OFFSET(TH!K$1,SMALL(Dong2,ROWS($1:45)),)),0))</f>
        <v>0</v>
      </c>
      <c r="G56" s="1163">
        <f ca="1">IF(ROWS($1:45)&gt;COUNT(Dong2),"",IF(AND(IF($M$9="Q11",RIGHT(OFFSET(TH!G$1,SMALL(Dong2,ROWS($1:45)),),3)=$M$9,RIGHT(OFFSET(TH!G$1,SMALL(Dong2,ROWS($1:45)),),2)=$M$9),OFFSET(TH!O$1,SMALL(Dong2,ROWS($1:45)),)=$I$6),IF($I$6="1121",OFFSET(TH!M$1,SMALL(Dong2,ROWS($1:45)),),OFFSET(TH!K$1,SMALL(Dong2,ROWS($1:45)),)),0))</f>
        <v>20000</v>
      </c>
      <c r="H56" s="940">
        <f t="shared" ca="1" si="1"/>
        <v>-1333942606</v>
      </c>
      <c r="I56" s="940"/>
    </row>
    <row r="57" spans="1:9" s="189" customFormat="1" ht="20.25" customHeight="1">
      <c r="A57" s="200">
        <f ca="1">IF(ROWS($1:46)&gt;COUNT(Dong2),"",OFFSET(TH!C$1,SMALL(Dong2,ROWS($1:46)),))</f>
        <v>42662</v>
      </c>
      <c r="B57" s="200" t="str">
        <f ca="1">IF(ROWS($1:46)&gt;COUNT(Dong2),"",OFFSET(TH!D$1,SMALL(Dong2,ROWS($1:46)),))</f>
        <v>GBN</v>
      </c>
      <c r="C57" s="200">
        <f ca="1">IF(ROWS($1:46)&gt;COUNT(Dong2),"",OFFSET(TH!E$1,SMALL(Dong2,ROWS($1:46)),))</f>
        <v>42662</v>
      </c>
      <c r="D57" s="380" t="str">
        <f ca="1">IF(ROWS($1:46)&gt;COUNT(Dong2),"",OFFSET(TH!F$1,SMALL(Dong2,ROWS($1:46)),))</f>
        <v>VAT Phí thanh toán</v>
      </c>
      <c r="E57" s="200" t="str">
        <f ca="1">IF(ROWS($1:46)&gt;COUNT(Dong2),"",IF(OFFSET(TH!O$1,SMALL(Dong2,ROWS($1:46)),)=$I$6,OFFSET(TH!N$1,SMALL(Dong2,ROWS($1:46)),),OFFSET(TH!O$1,SMALL(Dong2,ROWS($1:46)),)))</f>
        <v>1331</v>
      </c>
      <c r="F57" s="1163">
        <f ca="1">IF(ROWS($1:46)&gt;COUNT(Dong2),"",IF(AND(IF($M$9="Q11",LEFT(OFFSET(TH!G$1,SMALL(Dong2,ROWS($1:46)),),3)=$M$9,LEFT(OFFSET(TH!G$1,SMALL(Dong2,ROWS($1:46)),),2)=$M$9),OFFSET(TH!N$1,SMALL(Dong2,ROWS($1:46)),)=$I$6),IF($I$6="1121",OFFSET(TH!M$1,SMALL(Dong2,ROWS($1:46)),),OFFSET(TH!K$1,SMALL(Dong2,ROWS($1:46)),)),0))</f>
        <v>0</v>
      </c>
      <c r="G57" s="1163">
        <f ca="1">IF(ROWS($1:46)&gt;COUNT(Dong2),"",IF(AND(IF($M$9="Q11",RIGHT(OFFSET(TH!G$1,SMALL(Dong2,ROWS($1:46)),),3)=$M$9,RIGHT(OFFSET(TH!G$1,SMALL(Dong2,ROWS($1:46)),),2)=$M$9),OFFSET(TH!O$1,SMALL(Dong2,ROWS($1:46)),)=$I$6),IF($I$6="1121",OFFSET(TH!M$1,SMALL(Dong2,ROWS($1:46)),),OFFSET(TH!K$1,SMALL(Dong2,ROWS($1:46)),)),0))</f>
        <v>2000</v>
      </c>
      <c r="H57" s="940">
        <f t="shared" ca="1" si="1"/>
        <v>-1333944606</v>
      </c>
      <c r="I57" s="940"/>
    </row>
    <row r="58" spans="1:9" s="189" customFormat="1" ht="20.25" customHeight="1">
      <c r="A58" s="200">
        <f ca="1">IF(ROWS($1:47)&gt;COUNT(Dong2),"",OFFSET(TH!C$1,SMALL(Dong2,ROWS($1:47)),))</f>
        <v>42662</v>
      </c>
      <c r="B58" s="200" t="str">
        <f ca="1">IF(ROWS($1:47)&gt;COUNT(Dong2),"",OFFSET(TH!D$1,SMALL(Dong2,ROWS($1:47)),))</f>
        <v>GBN</v>
      </c>
      <c r="C58" s="200">
        <f ca="1">IF(ROWS($1:47)&gt;COUNT(Dong2),"",OFFSET(TH!E$1,SMALL(Dong2,ROWS($1:47)),))</f>
        <v>42662</v>
      </c>
      <c r="D58" s="380" t="str">
        <f ca="1">IF(ROWS($1:47)&gt;COUNT(Dong2),"",OFFSET(TH!F$1,SMALL(Dong2,ROWS($1:47)),))</f>
        <v>Ứng vốn Trà Vinh</v>
      </c>
      <c r="E58" s="200" t="str">
        <f ca="1">IF(ROWS($1:47)&gt;COUNT(Dong2),"",IF(OFFSET(TH!O$1,SMALL(Dong2,ROWS($1:47)),)=$I$6,OFFSET(TH!N$1,SMALL(Dong2,ROWS($1:47)),),OFFSET(TH!O$1,SMALL(Dong2,ROWS($1:47)),)))</f>
        <v>1388</v>
      </c>
      <c r="F58" s="1163">
        <f ca="1">IF(ROWS($1:47)&gt;COUNT(Dong2),"",IF(AND(IF($M$9="Q11",LEFT(OFFSET(TH!G$1,SMALL(Dong2,ROWS($1:47)),),3)=$M$9,LEFT(OFFSET(TH!G$1,SMALL(Dong2,ROWS($1:47)),),2)=$M$9),OFFSET(TH!N$1,SMALL(Dong2,ROWS($1:47)),)=$I$6),IF($I$6="1121",OFFSET(TH!M$1,SMALL(Dong2,ROWS($1:47)),),OFFSET(TH!K$1,SMALL(Dong2,ROWS($1:47)),)),0))</f>
        <v>0</v>
      </c>
      <c r="G58" s="1163">
        <f ca="1">IF(ROWS($1:47)&gt;COUNT(Dong2),"",IF(AND(IF($M$9="Q11",RIGHT(OFFSET(TH!G$1,SMALL(Dong2,ROWS($1:47)),),3)=$M$9,RIGHT(OFFSET(TH!G$1,SMALL(Dong2,ROWS($1:47)),),2)=$M$9),OFFSET(TH!O$1,SMALL(Dong2,ROWS($1:47)),)=$I$6),IF($I$6="1121",OFFSET(TH!M$1,SMALL(Dong2,ROWS($1:47)),),OFFSET(TH!K$1,SMALL(Dong2,ROWS($1:47)),)),0))</f>
        <v>42930000</v>
      </c>
      <c r="H58" s="940">
        <f t="shared" ca="1" si="1"/>
        <v>-1376874606</v>
      </c>
      <c r="I58" s="940"/>
    </row>
    <row r="59" spans="1:9" s="189" customFormat="1" ht="20.25" customHeight="1">
      <c r="A59" s="200">
        <f ca="1">IF(ROWS($1:48)&gt;COUNT(Dong2),"",OFFSET(TH!C$1,SMALL(Dong2,ROWS($1:48)),))</f>
        <v>42662</v>
      </c>
      <c r="B59" s="200" t="str">
        <f ca="1">IF(ROWS($1:48)&gt;COUNT(Dong2),"",OFFSET(TH!D$1,SMALL(Dong2,ROWS($1:48)),))</f>
        <v>GBN</v>
      </c>
      <c r="C59" s="200">
        <f ca="1">IF(ROWS($1:48)&gt;COUNT(Dong2),"",OFFSET(TH!E$1,SMALL(Dong2,ROWS($1:48)),))</f>
        <v>42662</v>
      </c>
      <c r="D59" s="380" t="str">
        <f ca="1">IF(ROWS($1:48)&gt;COUNT(Dong2),"",OFFSET(TH!F$1,SMALL(Dong2,ROWS($1:48)),))</f>
        <v>Phí thanh toán</v>
      </c>
      <c r="E59" s="200" t="str">
        <f ca="1">IF(ROWS($1:48)&gt;COUNT(Dong2),"",IF(OFFSET(TH!O$1,SMALL(Dong2,ROWS($1:48)),)=$I$6,OFFSET(TH!N$1,SMALL(Dong2,ROWS($1:48)),),OFFSET(TH!O$1,SMALL(Dong2,ROWS($1:48)),)))</f>
        <v>642</v>
      </c>
      <c r="F59" s="1163">
        <f ca="1">IF(ROWS($1:48)&gt;COUNT(Dong2),"",IF(AND(IF($M$9="Q11",LEFT(OFFSET(TH!G$1,SMALL(Dong2,ROWS($1:48)),),3)=$M$9,LEFT(OFFSET(TH!G$1,SMALL(Dong2,ROWS($1:48)),),2)=$M$9),OFFSET(TH!N$1,SMALL(Dong2,ROWS($1:48)),)=$I$6),IF($I$6="1121",OFFSET(TH!M$1,SMALL(Dong2,ROWS($1:48)),),OFFSET(TH!K$1,SMALL(Dong2,ROWS($1:48)),)),0))</f>
        <v>0</v>
      </c>
      <c r="G59" s="1163">
        <f ca="1">IF(ROWS($1:48)&gt;COUNT(Dong2),"",IF(AND(IF($M$9="Q11",RIGHT(OFFSET(TH!G$1,SMALL(Dong2,ROWS($1:48)),),3)=$M$9,RIGHT(OFFSET(TH!G$1,SMALL(Dong2,ROWS($1:48)),),2)=$M$9),OFFSET(TH!O$1,SMALL(Dong2,ROWS($1:48)),)=$I$6),IF($I$6="1121",OFFSET(TH!M$1,SMALL(Dong2,ROWS($1:48)),),OFFSET(TH!K$1,SMALL(Dong2,ROWS($1:48)),)),0))</f>
        <v>22879</v>
      </c>
      <c r="H59" s="940">
        <f t="shared" ca="1" si="1"/>
        <v>-1376897485</v>
      </c>
      <c r="I59" s="940"/>
    </row>
    <row r="60" spans="1:9" s="189" customFormat="1" ht="20.25" customHeight="1">
      <c r="A60" s="200">
        <f ca="1">IF(ROWS($1:49)&gt;COUNT(Dong2),"",OFFSET(TH!C$1,SMALL(Dong2,ROWS($1:49)),))</f>
        <v>42662</v>
      </c>
      <c r="B60" s="200" t="str">
        <f ca="1">IF(ROWS($1:49)&gt;COUNT(Dong2),"",OFFSET(TH!D$1,SMALL(Dong2,ROWS($1:49)),))</f>
        <v>GBN</v>
      </c>
      <c r="C60" s="200">
        <f ca="1">IF(ROWS($1:49)&gt;COUNT(Dong2),"",OFFSET(TH!E$1,SMALL(Dong2,ROWS($1:49)),))</f>
        <v>42662</v>
      </c>
      <c r="D60" s="380" t="str">
        <f ca="1">IF(ROWS($1:49)&gt;COUNT(Dong2),"",OFFSET(TH!F$1,SMALL(Dong2,ROWS($1:49)),))</f>
        <v>VAT Phí thanh toán</v>
      </c>
      <c r="E60" s="200" t="str">
        <f ca="1">IF(ROWS($1:49)&gt;COUNT(Dong2),"",IF(OFFSET(TH!O$1,SMALL(Dong2,ROWS($1:49)),)=$I$6,OFFSET(TH!N$1,SMALL(Dong2,ROWS($1:49)),),OFFSET(TH!O$1,SMALL(Dong2,ROWS($1:49)),)))</f>
        <v>1331</v>
      </c>
      <c r="F60" s="1163">
        <f ca="1">IF(ROWS($1:49)&gt;COUNT(Dong2),"",IF(AND(IF($M$9="Q11",LEFT(OFFSET(TH!G$1,SMALL(Dong2,ROWS($1:49)),),3)=$M$9,LEFT(OFFSET(TH!G$1,SMALL(Dong2,ROWS($1:49)),),2)=$M$9),OFFSET(TH!N$1,SMALL(Dong2,ROWS($1:49)),)=$I$6),IF($I$6="1121",OFFSET(TH!M$1,SMALL(Dong2,ROWS($1:49)),),OFFSET(TH!K$1,SMALL(Dong2,ROWS($1:49)),)),0))</f>
        <v>0</v>
      </c>
      <c r="G60" s="1163">
        <f ca="1">IF(ROWS($1:49)&gt;COUNT(Dong2),"",IF(AND(IF($M$9="Q11",RIGHT(OFFSET(TH!G$1,SMALL(Dong2,ROWS($1:49)),),3)=$M$9,RIGHT(OFFSET(TH!G$1,SMALL(Dong2,ROWS($1:49)),),2)=$M$9),OFFSET(TH!O$1,SMALL(Dong2,ROWS($1:49)),)=$I$6),IF($I$6="1121",OFFSET(TH!M$1,SMALL(Dong2,ROWS($1:49)),),OFFSET(TH!K$1,SMALL(Dong2,ROWS($1:49)),)),0))</f>
        <v>2288</v>
      </c>
      <c r="H60" s="940">
        <f t="shared" ca="1" si="1"/>
        <v>-1376899773</v>
      </c>
      <c r="I60" s="940"/>
    </row>
    <row r="61" spans="1:9" s="189" customFormat="1" ht="20.25" customHeight="1">
      <c r="A61" s="200">
        <f ca="1">IF(ROWS($1:50)&gt;COUNT(Dong2),"",OFFSET(TH!C$1,SMALL(Dong2,ROWS($1:50)),))</f>
        <v>42662</v>
      </c>
      <c r="B61" s="200" t="str">
        <f ca="1">IF(ROWS($1:50)&gt;COUNT(Dong2),"",OFFSET(TH!D$1,SMALL(Dong2,ROWS($1:50)),))</f>
        <v>GBN</v>
      </c>
      <c r="C61" s="200">
        <f ca="1">IF(ROWS($1:50)&gt;COUNT(Dong2),"",OFFSET(TH!E$1,SMALL(Dong2,ROWS($1:50)),))</f>
        <v>42662</v>
      </c>
      <c r="D61" s="380" t="str">
        <f ca="1">IF(ROWS($1:50)&gt;COUNT(Dong2),"",OFFSET(TH!F$1,SMALL(Dong2,ROWS($1:50)),))</f>
        <v>Thanh toán tiền điện kỳ 1 T10/2016</v>
      </c>
      <c r="E61" s="200" t="str">
        <f ca="1">IF(ROWS($1:50)&gt;COUNT(Dong2),"",IF(OFFSET(TH!O$1,SMALL(Dong2,ROWS($1:50)),)=$I$6,OFFSET(TH!N$1,SMALL(Dong2,ROWS($1:50)),),OFFSET(TH!O$1,SMALL(Dong2,ROWS($1:50)),)))</f>
        <v>331</v>
      </c>
      <c r="F61" s="1163">
        <f ca="1">IF(ROWS($1:50)&gt;COUNT(Dong2),"",IF(AND(IF($M$9="Q11",LEFT(OFFSET(TH!G$1,SMALL(Dong2,ROWS($1:50)),),3)=$M$9,LEFT(OFFSET(TH!G$1,SMALL(Dong2,ROWS($1:50)),),2)=$M$9),OFFSET(TH!N$1,SMALL(Dong2,ROWS($1:50)),)=$I$6),IF($I$6="1121",OFFSET(TH!M$1,SMALL(Dong2,ROWS($1:50)),),OFFSET(TH!K$1,SMALL(Dong2,ROWS($1:50)),)),0))</f>
        <v>0</v>
      </c>
      <c r="G61" s="1163">
        <f ca="1">IF(ROWS($1:50)&gt;COUNT(Dong2),"",IF(AND(IF($M$9="Q11",RIGHT(OFFSET(TH!G$1,SMALL(Dong2,ROWS($1:50)),),3)=$M$9,RIGHT(OFFSET(TH!G$1,SMALL(Dong2,ROWS($1:50)),),2)=$M$9),OFFSET(TH!O$1,SMALL(Dong2,ROWS($1:50)),)=$I$6),IF($I$6="1121",OFFSET(TH!M$1,SMALL(Dong2,ROWS($1:50)),),OFFSET(TH!K$1,SMALL(Dong2,ROWS($1:50)),)),0))</f>
        <v>20797260</v>
      </c>
      <c r="H61" s="940">
        <f t="shared" ca="1" si="1"/>
        <v>-1397697033</v>
      </c>
      <c r="I61" s="940"/>
    </row>
    <row r="62" spans="1:9" s="189" customFormat="1" ht="20.25" customHeight="1">
      <c r="A62" s="200">
        <f ca="1">IF(ROWS($1:51)&gt;COUNT(Dong2),"",OFFSET(TH!C$1,SMALL(Dong2,ROWS($1:51)),))</f>
        <v>42662</v>
      </c>
      <c r="B62" s="200" t="str">
        <f ca="1">IF(ROWS($1:51)&gt;COUNT(Dong2),"",OFFSET(TH!D$1,SMALL(Dong2,ROWS($1:51)),))</f>
        <v>GBN</v>
      </c>
      <c r="C62" s="200">
        <f ca="1">IF(ROWS($1:51)&gt;COUNT(Dong2),"",OFFSET(TH!E$1,SMALL(Dong2,ROWS($1:51)),))</f>
        <v>42662</v>
      </c>
      <c r="D62" s="380" t="str">
        <f ca="1">IF(ROWS($1:51)&gt;COUNT(Dong2),"",OFFSET(TH!F$1,SMALL(Dong2,ROWS($1:51)),))</f>
        <v>Phí thanh toán</v>
      </c>
      <c r="E62" s="200" t="str">
        <f ca="1">IF(ROWS($1:51)&gt;COUNT(Dong2),"",IF(OFFSET(TH!O$1,SMALL(Dong2,ROWS($1:51)),)=$I$6,OFFSET(TH!N$1,SMALL(Dong2,ROWS($1:51)),),OFFSET(TH!O$1,SMALL(Dong2,ROWS($1:51)),)))</f>
        <v>642</v>
      </c>
      <c r="F62" s="1163">
        <f ca="1">IF(ROWS($1:51)&gt;COUNT(Dong2),"",IF(AND(IF($M$9="Q11",LEFT(OFFSET(TH!G$1,SMALL(Dong2,ROWS($1:51)),),3)=$M$9,LEFT(OFFSET(TH!G$1,SMALL(Dong2,ROWS($1:51)),),2)=$M$9),OFFSET(TH!N$1,SMALL(Dong2,ROWS($1:51)),)=$I$6),IF($I$6="1121",OFFSET(TH!M$1,SMALL(Dong2,ROWS($1:51)),),OFFSET(TH!K$1,SMALL(Dong2,ROWS($1:51)),)),0))</f>
        <v>0</v>
      </c>
      <c r="G62" s="1163">
        <f ca="1">IF(ROWS($1:51)&gt;COUNT(Dong2),"",IF(AND(IF($M$9="Q11",RIGHT(OFFSET(TH!G$1,SMALL(Dong2,ROWS($1:51)),),3)=$M$9,RIGHT(OFFSET(TH!G$1,SMALL(Dong2,ROWS($1:51)),),2)=$M$9),OFFSET(TH!O$1,SMALL(Dong2,ROWS($1:51)),)=$I$6),IF($I$6="1121",OFFSET(TH!M$1,SMALL(Dong2,ROWS($1:51)),),OFFSET(TH!K$1,SMALL(Dong2,ROWS($1:51)),)),0))</f>
        <v>20000</v>
      </c>
      <c r="H62" s="940">
        <f t="shared" ca="1" si="1"/>
        <v>-1397717033</v>
      </c>
      <c r="I62" s="940"/>
    </row>
    <row r="63" spans="1:9" s="189" customFormat="1" ht="20.25" customHeight="1">
      <c r="A63" s="200">
        <f ca="1">IF(ROWS($1:52)&gt;COUNT(Dong2),"",OFFSET(TH!C$1,SMALL(Dong2,ROWS($1:52)),))</f>
        <v>42662</v>
      </c>
      <c r="B63" s="200" t="str">
        <f ca="1">IF(ROWS($1:52)&gt;COUNT(Dong2),"",OFFSET(TH!D$1,SMALL(Dong2,ROWS($1:52)),))</f>
        <v>GBN</v>
      </c>
      <c r="C63" s="200">
        <f ca="1">IF(ROWS($1:52)&gt;COUNT(Dong2),"",OFFSET(TH!E$1,SMALL(Dong2,ROWS($1:52)),))</f>
        <v>42662</v>
      </c>
      <c r="D63" s="380" t="str">
        <f ca="1">IF(ROWS($1:52)&gt;COUNT(Dong2),"",OFFSET(TH!F$1,SMALL(Dong2,ROWS($1:52)),))</f>
        <v>VAT Phí thanh toán</v>
      </c>
      <c r="E63" s="200" t="str">
        <f ca="1">IF(ROWS($1:52)&gt;COUNT(Dong2),"",IF(OFFSET(TH!O$1,SMALL(Dong2,ROWS($1:52)),)=$I$6,OFFSET(TH!N$1,SMALL(Dong2,ROWS($1:52)),),OFFSET(TH!O$1,SMALL(Dong2,ROWS($1:52)),)))</f>
        <v>1331</v>
      </c>
      <c r="F63" s="1163">
        <f ca="1">IF(ROWS($1:52)&gt;COUNT(Dong2),"",IF(AND(IF($M$9="Q11",LEFT(OFFSET(TH!G$1,SMALL(Dong2,ROWS($1:52)),),3)=$M$9,LEFT(OFFSET(TH!G$1,SMALL(Dong2,ROWS($1:52)),),2)=$M$9),OFFSET(TH!N$1,SMALL(Dong2,ROWS($1:52)),)=$I$6),IF($I$6="1121",OFFSET(TH!M$1,SMALL(Dong2,ROWS($1:52)),),OFFSET(TH!K$1,SMALL(Dong2,ROWS($1:52)),)),0))</f>
        <v>0</v>
      </c>
      <c r="G63" s="1163">
        <f ca="1">IF(ROWS($1:52)&gt;COUNT(Dong2),"",IF(AND(IF($M$9="Q11",RIGHT(OFFSET(TH!G$1,SMALL(Dong2,ROWS($1:52)),),3)=$M$9,RIGHT(OFFSET(TH!G$1,SMALL(Dong2,ROWS($1:52)),),2)=$M$9),OFFSET(TH!O$1,SMALL(Dong2,ROWS($1:52)),)=$I$6),IF($I$6="1121",OFFSET(TH!M$1,SMALL(Dong2,ROWS($1:52)),),OFFSET(TH!K$1,SMALL(Dong2,ROWS($1:52)),)),0))</f>
        <v>2000</v>
      </c>
      <c r="H63" s="940">
        <f t="shared" ca="1" si="1"/>
        <v>-1397719033</v>
      </c>
      <c r="I63" s="940"/>
    </row>
    <row r="64" spans="1:9" s="189" customFormat="1" ht="20.25" customHeight="1">
      <c r="A64" s="200">
        <f ca="1">IF(ROWS($1:53)&gt;COUNT(Dong2),"",OFFSET(TH!C$1,SMALL(Dong2,ROWS($1:53)),))</f>
        <v>42662</v>
      </c>
      <c r="B64" s="200" t="str">
        <f ca="1">IF(ROWS($1:53)&gt;COUNT(Dong2),"",OFFSET(TH!D$1,SMALL(Dong2,ROWS($1:53)),))</f>
        <v>GBN</v>
      </c>
      <c r="C64" s="200">
        <f ca="1">IF(ROWS($1:53)&gt;COUNT(Dong2),"",OFFSET(TH!E$1,SMALL(Dong2,ROWS($1:53)),))</f>
        <v>42662</v>
      </c>
      <c r="D64" s="380" t="str">
        <f ca="1">IF(ROWS($1:53)&gt;COUNT(Dong2),"",OFFSET(TH!F$1,SMALL(Dong2,ROWS($1:53)),))</f>
        <v>Thanh toán cước vận chuyển và phí liên quan</v>
      </c>
      <c r="E64" s="200" t="str">
        <f ca="1">IF(ROWS($1:53)&gt;COUNT(Dong2),"",IF(OFFSET(TH!O$1,SMALL(Dong2,ROWS($1:53)),)=$I$6,OFFSET(TH!N$1,SMALL(Dong2,ROWS($1:53)),),OFFSET(TH!O$1,SMALL(Dong2,ROWS($1:53)),)))</f>
        <v>331</v>
      </c>
      <c r="F64" s="1163">
        <f ca="1">IF(ROWS($1:53)&gt;COUNT(Dong2),"",IF(AND(IF($M$9="Q11",LEFT(OFFSET(TH!G$1,SMALL(Dong2,ROWS($1:53)),),3)=$M$9,LEFT(OFFSET(TH!G$1,SMALL(Dong2,ROWS($1:53)),),2)=$M$9),OFFSET(TH!N$1,SMALL(Dong2,ROWS($1:53)),)=$I$6),IF($I$6="1121",OFFSET(TH!M$1,SMALL(Dong2,ROWS($1:53)),),OFFSET(TH!K$1,SMALL(Dong2,ROWS($1:53)),)),0))</f>
        <v>0</v>
      </c>
      <c r="G64" s="1163">
        <f ca="1">IF(ROWS($1:53)&gt;COUNT(Dong2),"",IF(AND(IF($M$9="Q11",RIGHT(OFFSET(TH!G$1,SMALL(Dong2,ROWS($1:53)),),3)=$M$9,RIGHT(OFFSET(TH!G$1,SMALL(Dong2,ROWS($1:53)),),2)=$M$9),OFFSET(TH!O$1,SMALL(Dong2,ROWS($1:53)),)=$I$6),IF($I$6="1121",OFFSET(TH!M$1,SMALL(Dong2,ROWS($1:53)),),OFFSET(TH!K$1,SMALL(Dong2,ROWS($1:53)),)),0))</f>
        <v>100000000</v>
      </c>
      <c r="H64" s="940">
        <f t="shared" ca="1" si="1"/>
        <v>-1497719033</v>
      </c>
      <c r="I64" s="940"/>
    </row>
    <row r="65" spans="1:9" s="189" customFormat="1" ht="20.25" customHeight="1">
      <c r="A65" s="200">
        <f ca="1">IF(ROWS($1:54)&gt;COUNT(Dong2),"",OFFSET(TH!C$1,SMALL(Dong2,ROWS($1:54)),))</f>
        <v>42662</v>
      </c>
      <c r="B65" s="200" t="str">
        <f ca="1">IF(ROWS($1:54)&gt;COUNT(Dong2),"",OFFSET(TH!D$1,SMALL(Dong2,ROWS($1:54)),))</f>
        <v>GBN</v>
      </c>
      <c r="C65" s="200">
        <f ca="1">IF(ROWS($1:54)&gt;COUNT(Dong2),"",OFFSET(TH!E$1,SMALL(Dong2,ROWS($1:54)),))</f>
        <v>42662</v>
      </c>
      <c r="D65" s="380" t="str">
        <f ca="1">IF(ROWS($1:54)&gt;COUNT(Dong2),"",OFFSET(TH!F$1,SMALL(Dong2,ROWS($1:54)),))</f>
        <v>Phí thanh toán</v>
      </c>
      <c r="E65" s="200" t="str">
        <f ca="1">IF(ROWS($1:54)&gt;COUNT(Dong2),"",IF(OFFSET(TH!O$1,SMALL(Dong2,ROWS($1:54)),)=$I$6,OFFSET(TH!N$1,SMALL(Dong2,ROWS($1:54)),),OFFSET(TH!O$1,SMALL(Dong2,ROWS($1:54)),)))</f>
        <v>642</v>
      </c>
      <c r="F65" s="1163">
        <f ca="1">IF(ROWS($1:54)&gt;COUNT(Dong2),"",IF(AND(IF($M$9="Q11",LEFT(OFFSET(TH!G$1,SMALL(Dong2,ROWS($1:54)),),3)=$M$9,LEFT(OFFSET(TH!G$1,SMALL(Dong2,ROWS($1:54)),),2)=$M$9),OFFSET(TH!N$1,SMALL(Dong2,ROWS($1:54)),)=$I$6),IF($I$6="1121",OFFSET(TH!M$1,SMALL(Dong2,ROWS($1:54)),),OFFSET(TH!K$1,SMALL(Dong2,ROWS($1:54)),)),0))</f>
        <v>0</v>
      </c>
      <c r="G65" s="1163">
        <f ca="1">IF(ROWS($1:54)&gt;COUNT(Dong2),"",IF(AND(IF($M$9="Q11",RIGHT(OFFSET(TH!G$1,SMALL(Dong2,ROWS($1:54)),),3)=$M$9,RIGHT(OFFSET(TH!G$1,SMALL(Dong2,ROWS($1:54)),),2)=$M$9),OFFSET(TH!O$1,SMALL(Dong2,ROWS($1:54)),)=$I$6),IF($I$6="1121",OFFSET(TH!M$1,SMALL(Dong2,ROWS($1:54)),),OFFSET(TH!K$1,SMALL(Dong2,ROWS($1:54)),)),0))</f>
        <v>40000</v>
      </c>
      <c r="H65" s="940">
        <f t="shared" ca="1" si="1"/>
        <v>-1497759033</v>
      </c>
      <c r="I65" s="940"/>
    </row>
    <row r="66" spans="1:9" s="189" customFormat="1" ht="20.25" customHeight="1">
      <c r="A66" s="200">
        <f ca="1">IF(ROWS($1:55)&gt;COUNT(Dong2),"",OFFSET(TH!C$1,SMALL(Dong2,ROWS($1:55)),))</f>
        <v>42662</v>
      </c>
      <c r="B66" s="200" t="str">
        <f ca="1">IF(ROWS($1:55)&gt;COUNT(Dong2),"",OFFSET(TH!D$1,SMALL(Dong2,ROWS($1:55)),))</f>
        <v>GBN</v>
      </c>
      <c r="C66" s="200">
        <f ca="1">IF(ROWS($1:55)&gt;COUNT(Dong2),"",OFFSET(TH!E$1,SMALL(Dong2,ROWS($1:55)),))</f>
        <v>42662</v>
      </c>
      <c r="D66" s="380" t="str">
        <f ca="1">IF(ROWS($1:55)&gt;COUNT(Dong2),"",OFFSET(TH!F$1,SMALL(Dong2,ROWS($1:55)),))</f>
        <v>VAT Phí thanh toán</v>
      </c>
      <c r="E66" s="200" t="str">
        <f ca="1">IF(ROWS($1:55)&gt;COUNT(Dong2),"",IF(OFFSET(TH!O$1,SMALL(Dong2,ROWS($1:55)),)=$I$6,OFFSET(TH!N$1,SMALL(Dong2,ROWS($1:55)),),OFFSET(TH!O$1,SMALL(Dong2,ROWS($1:55)),)))</f>
        <v>1331</v>
      </c>
      <c r="F66" s="1163">
        <f ca="1">IF(ROWS($1:55)&gt;COUNT(Dong2),"",IF(AND(IF($M$9="Q11",LEFT(OFFSET(TH!G$1,SMALL(Dong2,ROWS($1:55)),),3)=$M$9,LEFT(OFFSET(TH!G$1,SMALL(Dong2,ROWS($1:55)),),2)=$M$9),OFFSET(TH!N$1,SMALL(Dong2,ROWS($1:55)),)=$I$6),IF($I$6="1121",OFFSET(TH!M$1,SMALL(Dong2,ROWS($1:55)),),OFFSET(TH!K$1,SMALL(Dong2,ROWS($1:55)),)),0))</f>
        <v>0</v>
      </c>
      <c r="G66" s="1163">
        <f ca="1">IF(ROWS($1:55)&gt;COUNT(Dong2),"",IF(AND(IF($M$9="Q11",RIGHT(OFFSET(TH!G$1,SMALL(Dong2,ROWS($1:55)),),3)=$M$9,RIGHT(OFFSET(TH!G$1,SMALL(Dong2,ROWS($1:55)),),2)=$M$9),OFFSET(TH!O$1,SMALL(Dong2,ROWS($1:55)),)=$I$6),IF($I$6="1121",OFFSET(TH!M$1,SMALL(Dong2,ROWS($1:55)),),OFFSET(TH!K$1,SMALL(Dong2,ROWS($1:55)),)),0))</f>
        <v>4000</v>
      </c>
      <c r="H66" s="940">
        <f t="shared" ca="1" si="1"/>
        <v>-1497763033</v>
      </c>
      <c r="I66" s="940"/>
    </row>
    <row r="67" spans="1:9" s="189" customFormat="1" ht="20.25" customHeight="1">
      <c r="A67" s="200">
        <f ca="1">IF(ROWS($1:56)&gt;COUNT(Dong2),"",OFFSET(TH!C$1,SMALL(Dong2,ROWS($1:56)),))</f>
        <v>42664</v>
      </c>
      <c r="B67" s="200" t="str">
        <f ca="1">IF(ROWS($1:56)&gt;COUNT(Dong2),"",OFFSET(TH!D$1,SMALL(Dong2,ROWS($1:56)),))</f>
        <v>GBC</v>
      </c>
      <c r="C67" s="200">
        <f ca="1">IF(ROWS($1:56)&gt;COUNT(Dong2),"",OFFSET(TH!E$1,SMALL(Dong2,ROWS($1:56)),))</f>
        <v>42664</v>
      </c>
      <c r="D67" s="380" t="str">
        <f ca="1">IF(ROWS($1:56)&gt;COUNT(Dong2),"",OFFSET(TH!F$1,SMALL(Dong2,ROWS($1:56)),))</f>
        <v>Vay CK:</v>
      </c>
      <c r="E67" s="200" t="str">
        <f ca="1">IF(ROWS($1:56)&gt;COUNT(Dong2),"",IF(OFFSET(TH!O$1,SMALL(Dong2,ROWS($1:56)),)=$I$6,OFFSET(TH!N$1,SMALL(Dong2,ROWS($1:56)),),OFFSET(TH!O$1,SMALL(Dong2,ROWS($1:56)),)))</f>
        <v>3412</v>
      </c>
      <c r="F67" s="1163">
        <f ca="1">IF(ROWS($1:56)&gt;COUNT(Dong2),"",IF(AND(IF($M$9="Q11",LEFT(OFFSET(TH!G$1,SMALL(Dong2,ROWS($1:56)),),3)=$M$9,LEFT(OFFSET(TH!G$1,SMALL(Dong2,ROWS($1:56)),),2)=$M$9),OFFSET(TH!N$1,SMALL(Dong2,ROWS($1:56)),)=$I$6),IF($I$6="1121",OFFSET(TH!M$1,SMALL(Dong2,ROWS($1:56)),),OFFSET(TH!K$1,SMALL(Dong2,ROWS($1:56)),)),0))</f>
        <v>804620080</v>
      </c>
      <c r="G67" s="1163">
        <f ca="1">IF(ROWS($1:56)&gt;COUNT(Dong2),"",IF(AND(IF($M$9="Q11",RIGHT(OFFSET(TH!G$1,SMALL(Dong2,ROWS($1:56)),),3)=$M$9,RIGHT(OFFSET(TH!G$1,SMALL(Dong2,ROWS($1:56)),),2)=$M$9),OFFSET(TH!O$1,SMALL(Dong2,ROWS($1:56)),)=$I$6),IF($I$6="1121",OFFSET(TH!M$1,SMALL(Dong2,ROWS($1:56)),),OFFSET(TH!K$1,SMALL(Dong2,ROWS($1:56)),)),0))</f>
        <v>0</v>
      </c>
      <c r="H67" s="940">
        <f t="shared" ca="1" si="1"/>
        <v>-693142953</v>
      </c>
      <c r="I67" s="940"/>
    </row>
    <row r="68" spans="1:9" s="189" customFormat="1" ht="20.25" customHeight="1">
      <c r="A68" s="200">
        <f ca="1">IF(ROWS($1:57)&gt;COUNT(Dong2),"",OFFSET(TH!C$1,SMALL(Dong2,ROWS($1:57)),))</f>
        <v>42665</v>
      </c>
      <c r="B68" s="200" t="str">
        <f ca="1">IF(ROWS($1:57)&gt;COUNT(Dong2),"",OFFSET(TH!D$1,SMALL(Dong2,ROWS($1:57)),))</f>
        <v>GBN</v>
      </c>
      <c r="C68" s="200">
        <f ca="1">IF(ROWS($1:57)&gt;COUNT(Dong2),"",OFFSET(TH!E$1,SMALL(Dong2,ROWS($1:57)),))</f>
        <v>42665</v>
      </c>
      <c r="D68" s="380" t="str">
        <f ca="1">IF(ROWS($1:57)&gt;COUNT(Dong2),"",OFFSET(TH!F$1,SMALL(Dong2,ROWS($1:57)),))</f>
        <v>Trả lãi phạt</v>
      </c>
      <c r="E68" s="200" t="str">
        <f ca="1">IF(ROWS($1:57)&gt;COUNT(Dong2),"",IF(OFFSET(TH!O$1,SMALL(Dong2,ROWS($1:57)),)=$I$6,OFFSET(TH!N$1,SMALL(Dong2,ROWS($1:57)),),OFFSET(TH!O$1,SMALL(Dong2,ROWS($1:57)),)))</f>
        <v>635</v>
      </c>
      <c r="F68" s="1163">
        <f ca="1">IF(ROWS($1:57)&gt;COUNT(Dong2),"",IF(AND(IF($M$9="Q11",LEFT(OFFSET(TH!G$1,SMALL(Dong2,ROWS($1:57)),),3)=$M$9,LEFT(OFFSET(TH!G$1,SMALL(Dong2,ROWS($1:57)),),2)=$M$9),OFFSET(TH!N$1,SMALL(Dong2,ROWS($1:57)),)=$I$6),IF($I$6="1121",OFFSET(TH!M$1,SMALL(Dong2,ROWS($1:57)),),OFFSET(TH!K$1,SMALL(Dong2,ROWS($1:57)),)),0))</f>
        <v>0</v>
      </c>
      <c r="G68" s="1163">
        <f ca="1">IF(ROWS($1:57)&gt;COUNT(Dong2),"",IF(AND(IF($M$9="Q11",RIGHT(OFFSET(TH!G$1,SMALL(Dong2,ROWS($1:57)),),3)=$M$9,RIGHT(OFFSET(TH!G$1,SMALL(Dong2,ROWS($1:57)),),2)=$M$9),OFFSET(TH!O$1,SMALL(Dong2,ROWS($1:57)),)=$I$6),IF($I$6="1121",OFFSET(TH!M$1,SMALL(Dong2,ROWS($1:57)),),OFFSET(TH!K$1,SMALL(Dong2,ROWS($1:57)),)),0))</f>
        <v>5104</v>
      </c>
      <c r="H68" s="940">
        <f t="shared" ca="1" si="1"/>
        <v>-693148057</v>
      </c>
      <c r="I68" s="940"/>
    </row>
    <row r="69" spans="1:9" s="189" customFormat="1" ht="20.25" customHeight="1">
      <c r="A69" s="200">
        <f ca="1">IF(ROWS($1:58)&gt;COUNT(Dong2),"",OFFSET(TH!C$1,SMALL(Dong2,ROWS($1:58)),))</f>
        <v>42665</v>
      </c>
      <c r="B69" s="200" t="str">
        <f ca="1">IF(ROWS($1:58)&gt;COUNT(Dong2),"",OFFSET(TH!D$1,SMALL(Dong2,ROWS($1:58)),))</f>
        <v>GBN</v>
      </c>
      <c r="C69" s="200">
        <f ca="1">IF(ROWS($1:58)&gt;COUNT(Dong2),"",OFFSET(TH!E$1,SMALL(Dong2,ROWS($1:58)),))</f>
        <v>42665</v>
      </c>
      <c r="D69" s="380" t="str">
        <f ca="1">IF(ROWS($1:58)&gt;COUNT(Dong2),"",OFFSET(TH!F$1,SMALL(Dong2,ROWS($1:58)),))</f>
        <v>Trả lãi vay</v>
      </c>
      <c r="E69" s="200" t="str">
        <f ca="1">IF(ROWS($1:58)&gt;COUNT(Dong2),"",IF(OFFSET(TH!O$1,SMALL(Dong2,ROWS($1:58)),)=$I$6,OFFSET(TH!N$1,SMALL(Dong2,ROWS($1:58)),),OFFSET(TH!O$1,SMALL(Dong2,ROWS($1:58)),)))</f>
        <v>635</v>
      </c>
      <c r="F69" s="1163">
        <f ca="1">IF(ROWS($1:58)&gt;COUNT(Dong2),"",IF(AND(IF($M$9="Q11",LEFT(OFFSET(TH!G$1,SMALL(Dong2,ROWS($1:58)),),3)=$M$9,LEFT(OFFSET(TH!G$1,SMALL(Dong2,ROWS($1:58)),),2)=$M$9),OFFSET(TH!N$1,SMALL(Dong2,ROWS($1:58)),)=$I$6),IF($I$6="1121",OFFSET(TH!M$1,SMALL(Dong2,ROWS($1:58)),),OFFSET(TH!K$1,SMALL(Dong2,ROWS($1:58)),)),0))</f>
        <v>0</v>
      </c>
      <c r="G69" s="1163">
        <f ca="1">IF(ROWS($1:58)&gt;COUNT(Dong2),"",IF(AND(IF($M$9="Q11",RIGHT(OFFSET(TH!G$1,SMALL(Dong2,ROWS($1:58)),),3)=$M$9,RIGHT(OFFSET(TH!G$1,SMALL(Dong2,ROWS($1:58)),),2)=$M$9),OFFSET(TH!O$1,SMALL(Dong2,ROWS($1:58)),)=$I$6),IF($I$6="1121",OFFSET(TH!M$1,SMALL(Dong2,ROWS($1:58)),),OFFSET(TH!K$1,SMALL(Dong2,ROWS($1:58)),)),0))</f>
        <v>5487768</v>
      </c>
      <c r="H69" s="940">
        <f t="shared" ca="1" si="1"/>
        <v>-698635825</v>
      </c>
      <c r="I69" s="940"/>
    </row>
    <row r="70" spans="1:9" s="189" customFormat="1" ht="20.25" customHeight="1">
      <c r="A70" s="200">
        <f ca="1">IF(ROWS($1:59)&gt;COUNT(Dong2),"",OFFSET(TH!C$1,SMALL(Dong2,ROWS($1:59)),))</f>
        <v>42665</v>
      </c>
      <c r="B70" s="200" t="str">
        <f ca="1">IF(ROWS($1:59)&gt;COUNT(Dong2),"",OFFSET(TH!D$1,SMALL(Dong2,ROWS($1:59)),))</f>
        <v>GBN</v>
      </c>
      <c r="C70" s="200">
        <f ca="1">IF(ROWS($1:59)&gt;COUNT(Dong2),"",OFFSET(TH!E$1,SMALL(Dong2,ROWS($1:59)),))</f>
        <v>42665</v>
      </c>
      <c r="D70" s="380" t="str">
        <f ca="1">IF(ROWS($1:59)&gt;COUNT(Dong2),"",OFFSET(TH!F$1,SMALL(Dong2,ROWS($1:59)),))</f>
        <v>Trả lãi phạt</v>
      </c>
      <c r="E70" s="200" t="str">
        <f ca="1">IF(ROWS($1:59)&gt;COUNT(Dong2),"",IF(OFFSET(TH!O$1,SMALL(Dong2,ROWS($1:59)),)=$I$6,OFFSET(TH!N$1,SMALL(Dong2,ROWS($1:59)),),OFFSET(TH!O$1,SMALL(Dong2,ROWS($1:59)),)))</f>
        <v>635</v>
      </c>
      <c r="F70" s="1163">
        <f ca="1">IF(ROWS($1:59)&gt;COUNT(Dong2),"",IF(AND(IF($M$9="Q11",LEFT(OFFSET(TH!G$1,SMALL(Dong2,ROWS($1:59)),),3)=$M$9,LEFT(OFFSET(TH!G$1,SMALL(Dong2,ROWS($1:59)),),2)=$M$9),OFFSET(TH!N$1,SMALL(Dong2,ROWS($1:59)),)=$I$6),IF($I$6="1121",OFFSET(TH!M$1,SMALL(Dong2,ROWS($1:59)),),OFFSET(TH!K$1,SMALL(Dong2,ROWS($1:59)),)),0))</f>
        <v>0</v>
      </c>
      <c r="G70" s="1163">
        <f ca="1">IF(ROWS($1:59)&gt;COUNT(Dong2),"",IF(AND(IF($M$9="Q11",RIGHT(OFFSET(TH!G$1,SMALL(Dong2,ROWS($1:59)),),3)=$M$9,RIGHT(OFFSET(TH!G$1,SMALL(Dong2,ROWS($1:59)),),2)=$M$9),OFFSET(TH!O$1,SMALL(Dong2,ROWS($1:59)),)=$I$6),IF($I$6="1121",OFFSET(TH!M$1,SMALL(Dong2,ROWS($1:59)),),OFFSET(TH!K$1,SMALL(Dong2,ROWS($1:59)),)),0))</f>
        <v>5602</v>
      </c>
      <c r="H70" s="940">
        <f t="shared" ca="1" si="1"/>
        <v>-698641427</v>
      </c>
      <c r="I70" s="940"/>
    </row>
    <row r="71" spans="1:9" s="189" customFormat="1" ht="20.25" customHeight="1">
      <c r="A71" s="200">
        <f ca="1">IF(ROWS($1:60)&gt;COUNT(Dong2),"",OFFSET(TH!C$1,SMALL(Dong2,ROWS($1:60)),))</f>
        <v>42665</v>
      </c>
      <c r="B71" s="200" t="str">
        <f ca="1">IF(ROWS($1:60)&gt;COUNT(Dong2),"",OFFSET(TH!D$1,SMALL(Dong2,ROWS($1:60)),))</f>
        <v>GBN</v>
      </c>
      <c r="C71" s="200">
        <f ca="1">IF(ROWS($1:60)&gt;COUNT(Dong2),"",OFFSET(TH!E$1,SMALL(Dong2,ROWS($1:60)),))</f>
        <v>42665</v>
      </c>
      <c r="D71" s="380" t="str">
        <f ca="1">IF(ROWS($1:60)&gt;COUNT(Dong2),"",OFFSET(TH!F$1,SMALL(Dong2,ROWS($1:60)),))</f>
        <v>Trả lãi vay</v>
      </c>
      <c r="E71" s="200" t="str">
        <f ca="1">IF(ROWS($1:60)&gt;COUNT(Dong2),"",IF(OFFSET(TH!O$1,SMALL(Dong2,ROWS($1:60)),)=$I$6,OFFSET(TH!N$1,SMALL(Dong2,ROWS($1:60)),),OFFSET(TH!O$1,SMALL(Dong2,ROWS($1:60)),)))</f>
        <v>635</v>
      </c>
      <c r="F71" s="1163">
        <f ca="1">IF(ROWS($1:60)&gt;COUNT(Dong2),"",IF(AND(IF($M$9="Q11",LEFT(OFFSET(TH!G$1,SMALL(Dong2,ROWS($1:60)),),3)=$M$9,LEFT(OFFSET(TH!G$1,SMALL(Dong2,ROWS($1:60)),),2)=$M$9),OFFSET(TH!N$1,SMALL(Dong2,ROWS($1:60)),)=$I$6),IF($I$6="1121",OFFSET(TH!M$1,SMALL(Dong2,ROWS($1:60)),),OFFSET(TH!K$1,SMALL(Dong2,ROWS($1:60)),)),0))</f>
        <v>0</v>
      </c>
      <c r="G71" s="1163">
        <f ca="1">IF(ROWS($1:60)&gt;COUNT(Dong2),"",IF(AND(IF($M$9="Q11",RIGHT(OFFSET(TH!G$1,SMALL(Dong2,ROWS($1:60)),),3)=$M$9,RIGHT(OFFSET(TH!G$1,SMALL(Dong2,ROWS($1:60)),),2)=$M$9),OFFSET(TH!O$1,SMALL(Dong2,ROWS($1:60)),)=$I$6),IF($I$6="1121",OFFSET(TH!M$1,SMALL(Dong2,ROWS($1:60)),),OFFSET(TH!K$1,SMALL(Dong2,ROWS($1:60)),)),0))</f>
        <v>6023160</v>
      </c>
      <c r="H71" s="940">
        <f t="shared" ca="1" si="1"/>
        <v>-704664587</v>
      </c>
      <c r="I71" s="940"/>
    </row>
    <row r="72" spans="1:9" s="189" customFormat="1" ht="20.25" customHeight="1">
      <c r="A72" s="200">
        <f ca="1">IF(ROWS($1:61)&gt;COUNT(Dong2),"",OFFSET(TH!C$1,SMALL(Dong2,ROWS($1:61)),))</f>
        <v>42668</v>
      </c>
      <c r="B72" s="200" t="str">
        <f ca="1">IF(ROWS($1:61)&gt;COUNT(Dong2),"",OFFSET(TH!D$1,SMALL(Dong2,ROWS($1:61)),))</f>
        <v>GBC</v>
      </c>
      <c r="C72" s="200">
        <f ca="1">IF(ROWS($1:61)&gt;COUNT(Dong2),"",OFFSET(TH!E$1,SMALL(Dong2,ROWS($1:61)),))</f>
        <v>42668</v>
      </c>
      <c r="D72" s="380" t="str">
        <f ca="1">IF(ROWS($1:61)&gt;COUNT(Dong2),"",OFFSET(TH!F$1,SMALL(Dong2,ROWS($1:61)),))</f>
        <v>Lãi tiền gửi</v>
      </c>
      <c r="E72" s="200" t="str">
        <f ca="1">IF(ROWS($1:61)&gt;COUNT(Dong2),"",IF(OFFSET(TH!O$1,SMALL(Dong2,ROWS($1:61)),)=$I$6,OFFSET(TH!N$1,SMALL(Dong2,ROWS($1:61)),),OFFSET(TH!O$1,SMALL(Dong2,ROWS($1:61)),)))</f>
        <v>515</v>
      </c>
      <c r="F72" s="1163">
        <f ca="1">IF(ROWS($1:61)&gt;COUNT(Dong2),"",IF(AND(IF($M$9="Q11",LEFT(OFFSET(TH!G$1,SMALL(Dong2,ROWS($1:61)),),3)=$M$9,LEFT(OFFSET(TH!G$1,SMALL(Dong2,ROWS($1:61)),),2)=$M$9),OFFSET(TH!N$1,SMALL(Dong2,ROWS($1:61)),)=$I$6),IF($I$6="1121",OFFSET(TH!M$1,SMALL(Dong2,ROWS($1:61)),),OFFSET(TH!K$1,SMALL(Dong2,ROWS($1:61)),)),0))</f>
        <v>61188</v>
      </c>
      <c r="G72" s="1163">
        <f ca="1">IF(ROWS($1:61)&gt;COUNT(Dong2),"",IF(AND(IF($M$9="Q11",RIGHT(OFFSET(TH!G$1,SMALL(Dong2,ROWS($1:61)),),3)=$M$9,RIGHT(OFFSET(TH!G$1,SMALL(Dong2,ROWS($1:61)),),2)=$M$9),OFFSET(TH!O$1,SMALL(Dong2,ROWS($1:61)),)=$I$6),IF($I$6="1121",OFFSET(TH!M$1,SMALL(Dong2,ROWS($1:61)),),OFFSET(TH!K$1,SMALL(Dong2,ROWS($1:61)),)),0))</f>
        <v>0</v>
      </c>
      <c r="H72" s="940">
        <f t="shared" ca="1" si="1"/>
        <v>-704603399</v>
      </c>
      <c r="I72" s="940"/>
    </row>
    <row r="73" spans="1:9" s="189" customFormat="1" ht="20.25" customHeight="1">
      <c r="A73" s="200">
        <f ca="1">IF(ROWS($1:62)&gt;COUNT(Dong2),"",OFFSET(TH!C$1,SMALL(Dong2,ROWS($1:62)),))</f>
        <v>42668</v>
      </c>
      <c r="B73" s="200" t="str">
        <f ca="1">IF(ROWS($1:62)&gt;COUNT(Dong2),"",OFFSET(TH!D$1,SMALL(Dong2,ROWS($1:62)),))</f>
        <v>GBN</v>
      </c>
      <c r="C73" s="200">
        <f ca="1">IF(ROWS($1:62)&gt;COUNT(Dong2),"",OFFSET(TH!E$1,SMALL(Dong2,ROWS($1:62)),))</f>
        <v>42668</v>
      </c>
      <c r="D73" s="380" t="str">
        <f ca="1">IF(ROWS($1:62)&gt;COUNT(Dong2),"",OFFSET(TH!F$1,SMALL(Dong2,ROWS($1:62)),))</f>
        <v>Phí thông báo LC</v>
      </c>
      <c r="E73" s="200" t="str">
        <f ca="1">IF(ROWS($1:62)&gt;COUNT(Dong2),"",IF(OFFSET(TH!O$1,SMALL(Dong2,ROWS($1:62)),)=$I$6,OFFSET(TH!N$1,SMALL(Dong2,ROWS($1:62)),),OFFSET(TH!O$1,SMALL(Dong2,ROWS($1:62)),)))</f>
        <v>642</v>
      </c>
      <c r="F73" s="1163">
        <f ca="1">IF(ROWS($1:62)&gt;COUNT(Dong2),"",IF(AND(IF($M$9="Q11",LEFT(OFFSET(TH!G$1,SMALL(Dong2,ROWS($1:62)),),3)=$M$9,LEFT(OFFSET(TH!G$1,SMALL(Dong2,ROWS($1:62)),),2)=$M$9),OFFSET(TH!N$1,SMALL(Dong2,ROWS($1:62)),)=$I$6),IF($I$6="1121",OFFSET(TH!M$1,SMALL(Dong2,ROWS($1:62)),),OFFSET(TH!K$1,SMALL(Dong2,ROWS($1:62)),)),0))</f>
        <v>0</v>
      </c>
      <c r="G73" s="1163">
        <f ca="1">IF(ROWS($1:62)&gt;COUNT(Dong2),"",IF(AND(IF($M$9="Q11",RIGHT(OFFSET(TH!G$1,SMALL(Dong2,ROWS($1:62)),),3)=$M$9,RIGHT(OFFSET(TH!G$1,SMALL(Dong2,ROWS($1:62)),),2)=$M$9),OFFSET(TH!O$1,SMALL(Dong2,ROWS($1:62)),)=$I$6),IF($I$6="1121",OFFSET(TH!M$1,SMALL(Dong2,ROWS($1:62)),),OFFSET(TH!K$1,SMALL(Dong2,ROWS($1:62)),)),0))</f>
        <v>223700</v>
      </c>
      <c r="H73" s="940">
        <f t="shared" ca="1" si="1"/>
        <v>-704827099</v>
      </c>
      <c r="I73" s="940"/>
    </row>
    <row r="74" spans="1:9" s="189" customFormat="1" ht="20.25" customHeight="1">
      <c r="A74" s="200">
        <f ca="1">IF(ROWS($1:63)&gt;COUNT(Dong2),"",OFFSET(TH!C$1,SMALL(Dong2,ROWS($1:63)),))</f>
        <v>42674</v>
      </c>
      <c r="B74" s="200" t="str">
        <f ca="1">IF(ROWS($1:63)&gt;COUNT(Dong2),"",OFFSET(TH!D$1,SMALL(Dong2,ROWS($1:63)),))</f>
        <v>GBN</v>
      </c>
      <c r="C74" s="200">
        <f ca="1">IF(ROWS($1:63)&gt;COUNT(Dong2),"",OFFSET(TH!E$1,SMALL(Dong2,ROWS($1:63)),))</f>
        <v>42674</v>
      </c>
      <c r="D74" s="380" t="str">
        <f ca="1">IF(ROWS($1:63)&gt;COUNT(Dong2),"",OFFSET(TH!F$1,SMALL(Dong2,ROWS($1:63)),))</f>
        <v>Phí thông báo</v>
      </c>
      <c r="E74" s="200" t="str">
        <f ca="1">IF(ROWS($1:63)&gt;COUNT(Dong2),"",IF(OFFSET(TH!O$1,SMALL(Dong2,ROWS($1:63)),)=$I$6,OFFSET(TH!N$1,SMALL(Dong2,ROWS($1:63)),),OFFSET(TH!O$1,SMALL(Dong2,ROWS($1:63)),)))</f>
        <v>642</v>
      </c>
      <c r="F74" s="1163">
        <f ca="1">IF(ROWS($1:63)&gt;COUNT(Dong2),"",IF(AND(IF($M$9="Q11",LEFT(OFFSET(TH!G$1,SMALL(Dong2,ROWS($1:63)),),3)=$M$9,LEFT(OFFSET(TH!G$1,SMALL(Dong2,ROWS($1:63)),),2)=$M$9),OFFSET(TH!N$1,SMALL(Dong2,ROWS($1:63)),)=$I$6),IF($I$6="1121",OFFSET(TH!M$1,SMALL(Dong2,ROWS($1:63)),),OFFSET(TH!K$1,SMALL(Dong2,ROWS($1:63)),)),0))</f>
        <v>0</v>
      </c>
      <c r="G74" s="1163">
        <f ca="1">IF(ROWS($1:63)&gt;COUNT(Dong2),"",IF(AND(IF($M$9="Q11",RIGHT(OFFSET(TH!G$1,SMALL(Dong2,ROWS($1:63)),),3)=$M$9,RIGHT(OFFSET(TH!G$1,SMALL(Dong2,ROWS($1:63)),),2)=$M$9),OFFSET(TH!O$1,SMALL(Dong2,ROWS($1:63)),)=$I$6),IF($I$6="1121",OFFSET(TH!M$1,SMALL(Dong2,ROWS($1:63)),),OFFSET(TH!K$1,SMALL(Dong2,ROWS($1:63)),)),0))</f>
        <v>111850</v>
      </c>
      <c r="H74" s="940">
        <f t="shared" ca="1" si="1"/>
        <v>-704938949</v>
      </c>
      <c r="I74" s="940"/>
    </row>
    <row r="75" spans="1:9" s="189" customFormat="1" ht="20.25" customHeight="1">
      <c r="A75" s="200">
        <f ca="1">IF(ROWS($1:64)&gt;COUNT(Dong2),"",OFFSET(TH!C$1,SMALL(Dong2,ROWS($1:64)),))</f>
        <v>42674</v>
      </c>
      <c r="B75" s="200" t="str">
        <f ca="1">IF(ROWS($1:64)&gt;COUNT(Dong2),"",OFFSET(TH!D$1,SMALL(Dong2,ROWS($1:64)),))</f>
        <v>GBC</v>
      </c>
      <c r="C75" s="200">
        <f ca="1">IF(ROWS($1:64)&gt;COUNT(Dong2),"",OFFSET(TH!E$1,SMALL(Dong2,ROWS($1:64)),))</f>
        <v>42674</v>
      </c>
      <c r="D75" s="380" t="str">
        <f ca="1">IF(ROWS($1:64)&gt;COUNT(Dong2),"",OFFSET(TH!F$1,SMALL(Dong2,ROWS($1:64)),))</f>
        <v>Vay KU:</v>
      </c>
      <c r="E75" s="200" t="str">
        <f ca="1">IF(ROWS($1:64)&gt;COUNT(Dong2),"",IF(OFFSET(TH!O$1,SMALL(Dong2,ROWS($1:64)),)=$I$6,OFFSET(TH!N$1,SMALL(Dong2,ROWS($1:64)),),OFFSET(TH!O$1,SMALL(Dong2,ROWS($1:64)),)))</f>
        <v>3412</v>
      </c>
      <c r="F75" s="1163">
        <f ca="1">IF(ROWS($1:64)&gt;COUNT(Dong2),"",IF(AND(IF($M$9="Q11",LEFT(OFFSET(TH!G$1,SMALL(Dong2,ROWS($1:64)),),3)=$M$9,LEFT(OFFSET(TH!G$1,SMALL(Dong2,ROWS($1:64)),),2)=$M$9),OFFSET(TH!N$1,SMALL(Dong2,ROWS($1:64)),)=$I$6),IF($I$6="1121",OFFSET(TH!M$1,SMALL(Dong2,ROWS($1:64)),),OFFSET(TH!K$1,SMALL(Dong2,ROWS($1:64)),)),0))</f>
        <v>745087200</v>
      </c>
      <c r="G75" s="1163">
        <f ca="1">IF(ROWS($1:64)&gt;COUNT(Dong2),"",IF(AND(IF($M$9="Q11",RIGHT(OFFSET(TH!G$1,SMALL(Dong2,ROWS($1:64)),),3)=$M$9,RIGHT(OFFSET(TH!G$1,SMALL(Dong2,ROWS($1:64)),),2)=$M$9),OFFSET(TH!O$1,SMALL(Dong2,ROWS($1:64)),)=$I$6),IF($I$6="1121",OFFSET(TH!M$1,SMALL(Dong2,ROWS($1:64)),),OFFSET(TH!K$1,SMALL(Dong2,ROWS($1:64)),)),0))</f>
        <v>0</v>
      </c>
      <c r="H75" s="940">
        <f t="shared" ca="1" si="1"/>
        <v>40148251</v>
      </c>
      <c r="I75" s="940"/>
    </row>
    <row r="76" spans="1:9" s="189" customFormat="1" ht="20.25" customHeight="1">
      <c r="A76" s="200" t="str">
        <f ca="1">IF(ROWS($1:65)&gt;COUNT(Dong2),"",OFFSET(TH!C$1,SMALL(Dong2,ROWS($1:65)),))</f>
        <v/>
      </c>
      <c r="B76" s="200" t="str">
        <f ca="1">IF(ROWS($1:65)&gt;COUNT(Dong2),"",OFFSET(TH!D$1,SMALL(Dong2,ROWS($1:65)),))</f>
        <v/>
      </c>
      <c r="C76" s="200" t="str">
        <f ca="1">IF(ROWS($1:65)&gt;COUNT(Dong2),"",OFFSET(TH!E$1,SMALL(Dong2,ROWS($1:65)),))</f>
        <v/>
      </c>
      <c r="D76" s="380" t="str">
        <f ca="1">IF(ROWS($1:65)&gt;COUNT(Dong2),"",OFFSET(TH!F$1,SMALL(Dong2,ROWS($1:65)),))</f>
        <v/>
      </c>
      <c r="E76" s="200" t="str">
        <f ca="1">IF(ROWS($1:65)&gt;COUNT(Dong2),"",IF(OFFSET(TH!O$1,SMALL(Dong2,ROWS($1:65)),)=$I$6,OFFSET(TH!N$1,SMALL(Dong2,ROWS($1:65)),),OFFSET(TH!O$1,SMALL(Dong2,ROWS($1:65)),)))</f>
        <v/>
      </c>
      <c r="F76" s="1163" t="str">
        <f ca="1">IF(ROWS($1:65)&gt;COUNT(Dong2),"",IF(AND(IF($M$9="Q11",LEFT(OFFSET(TH!G$1,SMALL(Dong2,ROWS($1:65)),),3)=$M$9,LEFT(OFFSET(TH!G$1,SMALL(Dong2,ROWS($1:65)),),2)=$M$9),OFFSET(TH!N$1,SMALL(Dong2,ROWS($1:65)),)=$I$6),IF($I$6="1121",OFFSET(TH!M$1,SMALL(Dong2,ROWS($1:65)),),OFFSET(TH!K$1,SMALL(Dong2,ROWS($1:65)),)),0))</f>
        <v/>
      </c>
      <c r="G76" s="1163" t="str">
        <f ca="1">IF(ROWS($1:65)&gt;COUNT(Dong2),"",IF(AND(IF($M$9="Q11",RIGHT(OFFSET(TH!G$1,SMALL(Dong2,ROWS($1:65)),),3)=$M$9,RIGHT(OFFSET(TH!G$1,SMALL(Dong2,ROWS($1:65)),),2)=$M$9),OFFSET(TH!O$1,SMALL(Dong2,ROWS($1:65)),)=$I$6),IF($I$6="1121",OFFSET(TH!M$1,SMALL(Dong2,ROWS($1:65)),),OFFSET(TH!K$1,SMALL(Dong2,ROWS($1:65)),)),0))</f>
        <v/>
      </c>
      <c r="H76" s="940">
        <f t="shared" ca="1" si="1"/>
        <v>0</v>
      </c>
      <c r="I76" s="940"/>
    </row>
    <row r="77" spans="1:9" s="189" customFormat="1" ht="20.25" customHeight="1">
      <c r="A77" s="200" t="str">
        <f ca="1">IF(ROWS($1:66)&gt;COUNT(Dong2),"",OFFSET(TH!C$1,SMALL(Dong2,ROWS($1:66)),))</f>
        <v/>
      </c>
      <c r="B77" s="200" t="str">
        <f ca="1">IF(ROWS($1:66)&gt;COUNT(Dong2),"",OFFSET(TH!D$1,SMALL(Dong2,ROWS($1:66)),))</f>
        <v/>
      </c>
      <c r="C77" s="200" t="str">
        <f ca="1">IF(ROWS($1:66)&gt;COUNT(Dong2),"",OFFSET(TH!E$1,SMALL(Dong2,ROWS($1:66)),))</f>
        <v/>
      </c>
      <c r="D77" s="380" t="str">
        <f ca="1">IF(ROWS($1:66)&gt;COUNT(Dong2),"",OFFSET(TH!F$1,SMALL(Dong2,ROWS($1:66)),))</f>
        <v/>
      </c>
      <c r="E77" s="200" t="str">
        <f ca="1">IF(ROWS($1:66)&gt;COUNT(Dong2),"",IF(OFFSET(TH!O$1,SMALL(Dong2,ROWS($1:66)),)=$I$6,OFFSET(TH!N$1,SMALL(Dong2,ROWS($1:66)),),OFFSET(TH!O$1,SMALL(Dong2,ROWS($1:66)),)))</f>
        <v/>
      </c>
      <c r="F77" s="1163" t="str">
        <f ca="1">IF(ROWS($1:66)&gt;COUNT(Dong2),"",IF(AND(IF($M$9="Q11",LEFT(OFFSET(TH!G$1,SMALL(Dong2,ROWS($1:66)),),3)=$M$9,LEFT(OFFSET(TH!G$1,SMALL(Dong2,ROWS($1:66)),),2)=$M$9),OFFSET(TH!N$1,SMALL(Dong2,ROWS($1:66)),)=$I$6),IF($I$6="1121",OFFSET(TH!M$1,SMALL(Dong2,ROWS($1:66)),),OFFSET(TH!K$1,SMALL(Dong2,ROWS($1:66)),)),0))</f>
        <v/>
      </c>
      <c r="G77" s="1163" t="str">
        <f ca="1">IF(ROWS($1:66)&gt;COUNT(Dong2),"",IF(AND(IF($M$9="Q11",RIGHT(OFFSET(TH!G$1,SMALL(Dong2,ROWS($1:66)),),3)=$M$9,RIGHT(OFFSET(TH!G$1,SMALL(Dong2,ROWS($1:66)),),2)=$M$9),OFFSET(TH!O$1,SMALL(Dong2,ROWS($1:66)),)=$I$6),IF($I$6="1121",OFFSET(TH!M$1,SMALL(Dong2,ROWS($1:66)),),OFFSET(TH!K$1,SMALL(Dong2,ROWS($1:66)),)),0))</f>
        <v/>
      </c>
      <c r="H77" s="940">
        <f t="shared" ref="H77:H123" ca="1" si="2">IF(A77&lt;&gt;"",H76+F77-G77,0)</f>
        <v>0</v>
      </c>
      <c r="I77" s="940"/>
    </row>
    <row r="78" spans="1:9" s="189" customFormat="1" ht="20.25" customHeight="1">
      <c r="A78" s="200" t="str">
        <f ca="1">IF(ROWS($1:67)&gt;COUNT(Dong2),"",OFFSET(TH!C$1,SMALL(Dong2,ROWS($1:67)),))</f>
        <v/>
      </c>
      <c r="B78" s="200" t="str">
        <f ca="1">IF(ROWS($1:67)&gt;COUNT(Dong2),"",OFFSET(TH!D$1,SMALL(Dong2,ROWS($1:67)),))</f>
        <v/>
      </c>
      <c r="C78" s="200" t="str">
        <f ca="1">IF(ROWS($1:67)&gt;COUNT(Dong2),"",OFFSET(TH!E$1,SMALL(Dong2,ROWS($1:67)),))</f>
        <v/>
      </c>
      <c r="D78" s="380" t="str">
        <f ca="1">IF(ROWS($1:67)&gt;COUNT(Dong2),"",OFFSET(TH!F$1,SMALL(Dong2,ROWS($1:67)),))</f>
        <v/>
      </c>
      <c r="E78" s="200" t="str">
        <f ca="1">IF(ROWS($1:67)&gt;COUNT(Dong2),"",IF(OFFSET(TH!O$1,SMALL(Dong2,ROWS($1:67)),)=$I$6,OFFSET(TH!N$1,SMALL(Dong2,ROWS($1:67)),),OFFSET(TH!O$1,SMALL(Dong2,ROWS($1:67)),)))</f>
        <v/>
      </c>
      <c r="F78" s="1163" t="str">
        <f ca="1">IF(ROWS($1:67)&gt;COUNT(Dong2),"",IF(AND(IF($M$9="Q11",LEFT(OFFSET(TH!G$1,SMALL(Dong2,ROWS($1:67)),),3)=$M$9,LEFT(OFFSET(TH!G$1,SMALL(Dong2,ROWS($1:67)),),2)=$M$9),OFFSET(TH!N$1,SMALL(Dong2,ROWS($1:67)),)=$I$6),IF($I$6="1121",OFFSET(TH!M$1,SMALL(Dong2,ROWS($1:67)),),OFFSET(TH!K$1,SMALL(Dong2,ROWS($1:67)),)),0))</f>
        <v/>
      </c>
      <c r="G78" s="1163" t="str">
        <f ca="1">IF(ROWS($1:67)&gt;COUNT(Dong2),"",IF(AND(IF($M$9="Q11",RIGHT(OFFSET(TH!G$1,SMALL(Dong2,ROWS($1:67)),),3)=$M$9,RIGHT(OFFSET(TH!G$1,SMALL(Dong2,ROWS($1:67)),),2)=$M$9),OFFSET(TH!O$1,SMALL(Dong2,ROWS($1:67)),)=$I$6),IF($I$6="1121",OFFSET(TH!M$1,SMALL(Dong2,ROWS($1:67)),),OFFSET(TH!K$1,SMALL(Dong2,ROWS($1:67)),)),0))</f>
        <v/>
      </c>
      <c r="H78" s="940">
        <f t="shared" ca="1" si="2"/>
        <v>0</v>
      </c>
      <c r="I78" s="940"/>
    </row>
    <row r="79" spans="1:9" s="189" customFormat="1" ht="20.25" customHeight="1">
      <c r="A79" s="200" t="str">
        <f ca="1">IF(ROWS($1:68)&gt;COUNT(Dong2),"",OFFSET(TH!C$1,SMALL(Dong2,ROWS($1:68)),))</f>
        <v/>
      </c>
      <c r="B79" s="200" t="str">
        <f ca="1">IF(ROWS($1:68)&gt;COUNT(Dong2),"",OFFSET(TH!D$1,SMALL(Dong2,ROWS($1:68)),))</f>
        <v/>
      </c>
      <c r="C79" s="200" t="str">
        <f ca="1">IF(ROWS($1:68)&gt;COUNT(Dong2),"",OFFSET(TH!E$1,SMALL(Dong2,ROWS($1:68)),))</f>
        <v/>
      </c>
      <c r="D79" s="380" t="str">
        <f ca="1">IF(ROWS($1:68)&gt;COUNT(Dong2),"",OFFSET(TH!F$1,SMALL(Dong2,ROWS($1:68)),))</f>
        <v/>
      </c>
      <c r="E79" s="200" t="str">
        <f ca="1">IF(ROWS($1:68)&gt;COUNT(Dong2),"",IF(OFFSET(TH!O$1,SMALL(Dong2,ROWS($1:68)),)=$I$6,OFFSET(TH!N$1,SMALL(Dong2,ROWS($1:68)),),OFFSET(TH!O$1,SMALL(Dong2,ROWS($1:68)),)))</f>
        <v/>
      </c>
      <c r="F79" s="1163" t="str">
        <f ca="1">IF(ROWS($1:68)&gt;COUNT(Dong2),"",IF(AND(IF($M$9="Q11",LEFT(OFFSET(TH!G$1,SMALL(Dong2,ROWS($1:68)),),3)=$M$9,LEFT(OFFSET(TH!G$1,SMALL(Dong2,ROWS($1:68)),),2)=$M$9),OFFSET(TH!N$1,SMALL(Dong2,ROWS($1:68)),)=$I$6),IF($I$6="1121",OFFSET(TH!M$1,SMALL(Dong2,ROWS($1:68)),),OFFSET(TH!K$1,SMALL(Dong2,ROWS($1:68)),)),0))</f>
        <v/>
      </c>
      <c r="G79" s="1163" t="str">
        <f ca="1">IF(ROWS($1:68)&gt;COUNT(Dong2),"",IF(AND(IF($M$9="Q11",RIGHT(OFFSET(TH!G$1,SMALL(Dong2,ROWS($1:68)),),3)=$M$9,RIGHT(OFFSET(TH!G$1,SMALL(Dong2,ROWS($1:68)),),2)=$M$9),OFFSET(TH!O$1,SMALL(Dong2,ROWS($1:68)),)=$I$6),IF($I$6="1121",OFFSET(TH!M$1,SMALL(Dong2,ROWS($1:68)),),OFFSET(TH!K$1,SMALL(Dong2,ROWS($1:68)),)),0))</f>
        <v/>
      </c>
      <c r="H79" s="940">
        <f t="shared" ca="1" si="2"/>
        <v>0</v>
      </c>
      <c r="I79" s="940"/>
    </row>
    <row r="80" spans="1:9" s="189" customFormat="1" ht="20.25" customHeight="1">
      <c r="A80" s="200" t="str">
        <f ca="1">IF(ROWS($1:69)&gt;COUNT(Dong2),"",OFFSET(TH!C$1,SMALL(Dong2,ROWS($1:69)),))</f>
        <v/>
      </c>
      <c r="B80" s="200" t="str">
        <f ca="1">IF(ROWS($1:69)&gt;COUNT(Dong2),"",OFFSET(TH!D$1,SMALL(Dong2,ROWS($1:69)),))</f>
        <v/>
      </c>
      <c r="C80" s="200" t="str">
        <f ca="1">IF(ROWS($1:69)&gt;COUNT(Dong2),"",OFFSET(TH!E$1,SMALL(Dong2,ROWS($1:69)),))</f>
        <v/>
      </c>
      <c r="D80" s="380" t="str">
        <f ca="1">IF(ROWS($1:69)&gt;COUNT(Dong2),"",OFFSET(TH!F$1,SMALL(Dong2,ROWS($1:69)),))</f>
        <v/>
      </c>
      <c r="E80" s="200" t="str">
        <f ca="1">IF(ROWS($1:69)&gt;COUNT(Dong2),"",IF(OFFSET(TH!O$1,SMALL(Dong2,ROWS($1:69)),)=$I$6,OFFSET(TH!N$1,SMALL(Dong2,ROWS($1:69)),),OFFSET(TH!O$1,SMALL(Dong2,ROWS($1:69)),)))</f>
        <v/>
      </c>
      <c r="F80" s="1163" t="str">
        <f ca="1">IF(ROWS($1:69)&gt;COUNT(Dong2),"",IF(AND(IF($M$9="Q11",LEFT(OFFSET(TH!G$1,SMALL(Dong2,ROWS($1:69)),),3)=$M$9,LEFT(OFFSET(TH!G$1,SMALL(Dong2,ROWS($1:69)),),2)=$M$9),OFFSET(TH!N$1,SMALL(Dong2,ROWS($1:69)),)=$I$6),IF($I$6="1121",OFFSET(TH!M$1,SMALL(Dong2,ROWS($1:69)),),OFFSET(TH!K$1,SMALL(Dong2,ROWS($1:69)),)),0))</f>
        <v/>
      </c>
      <c r="G80" s="1163" t="str">
        <f ca="1">IF(ROWS($1:69)&gt;COUNT(Dong2),"",IF(AND(IF($M$9="Q11",RIGHT(OFFSET(TH!G$1,SMALL(Dong2,ROWS($1:69)),),3)=$M$9,RIGHT(OFFSET(TH!G$1,SMALL(Dong2,ROWS($1:69)),),2)=$M$9),OFFSET(TH!O$1,SMALL(Dong2,ROWS($1:69)),)=$I$6),IF($I$6="1121",OFFSET(TH!M$1,SMALL(Dong2,ROWS($1:69)),),OFFSET(TH!K$1,SMALL(Dong2,ROWS($1:69)),)),0))</f>
        <v/>
      </c>
      <c r="H80" s="940">
        <f t="shared" ca="1" si="2"/>
        <v>0</v>
      </c>
      <c r="I80" s="940"/>
    </row>
    <row r="81" spans="1:9" s="189" customFormat="1" ht="20.25" customHeight="1">
      <c r="A81" s="200" t="str">
        <f ca="1">IF(ROWS($1:70)&gt;COUNT(Dong2),"",OFFSET(TH!C$1,SMALL(Dong2,ROWS($1:70)),))</f>
        <v/>
      </c>
      <c r="B81" s="200" t="str">
        <f ca="1">IF(ROWS($1:70)&gt;COUNT(Dong2),"",OFFSET(TH!D$1,SMALL(Dong2,ROWS($1:70)),))</f>
        <v/>
      </c>
      <c r="C81" s="200" t="str">
        <f ca="1">IF(ROWS($1:70)&gt;COUNT(Dong2),"",OFFSET(TH!E$1,SMALL(Dong2,ROWS($1:70)),))</f>
        <v/>
      </c>
      <c r="D81" s="380" t="str">
        <f ca="1">IF(ROWS($1:70)&gt;COUNT(Dong2),"",OFFSET(TH!F$1,SMALL(Dong2,ROWS($1:70)),))</f>
        <v/>
      </c>
      <c r="E81" s="200" t="str">
        <f ca="1">IF(ROWS($1:70)&gt;COUNT(Dong2),"",IF(OFFSET(TH!O$1,SMALL(Dong2,ROWS($1:70)),)=$I$6,OFFSET(TH!N$1,SMALL(Dong2,ROWS($1:70)),),OFFSET(TH!O$1,SMALL(Dong2,ROWS($1:70)),)))</f>
        <v/>
      </c>
      <c r="F81" s="1163" t="str">
        <f ca="1">IF(ROWS($1:70)&gt;COUNT(Dong2),"",IF(AND(IF($M$9="Q11",LEFT(OFFSET(TH!G$1,SMALL(Dong2,ROWS($1:70)),),3)=$M$9,LEFT(OFFSET(TH!G$1,SMALL(Dong2,ROWS($1:70)),),2)=$M$9),OFFSET(TH!N$1,SMALL(Dong2,ROWS($1:70)),)=$I$6),IF($I$6="1121",OFFSET(TH!M$1,SMALL(Dong2,ROWS($1:70)),),OFFSET(TH!K$1,SMALL(Dong2,ROWS($1:70)),)),0))</f>
        <v/>
      </c>
      <c r="G81" s="1163" t="str">
        <f ca="1">IF(ROWS($1:70)&gt;COUNT(Dong2),"",IF(AND(IF($M$9="Q11",RIGHT(OFFSET(TH!G$1,SMALL(Dong2,ROWS($1:70)),),3)=$M$9,RIGHT(OFFSET(TH!G$1,SMALL(Dong2,ROWS($1:70)),),2)=$M$9),OFFSET(TH!O$1,SMALL(Dong2,ROWS($1:70)),)=$I$6),IF($I$6="1121",OFFSET(TH!M$1,SMALL(Dong2,ROWS($1:70)),),OFFSET(TH!K$1,SMALL(Dong2,ROWS($1:70)),)),0))</f>
        <v/>
      </c>
      <c r="H81" s="940">
        <f t="shared" ca="1" si="2"/>
        <v>0</v>
      </c>
      <c r="I81" s="940"/>
    </row>
    <row r="82" spans="1:9" s="189" customFormat="1" ht="20.25" customHeight="1">
      <c r="A82" s="200" t="str">
        <f ca="1">IF(ROWS($1:71)&gt;COUNT(Dong2),"",OFFSET(TH!C$1,SMALL(Dong2,ROWS($1:71)),))</f>
        <v/>
      </c>
      <c r="B82" s="200" t="str">
        <f ca="1">IF(ROWS($1:71)&gt;COUNT(Dong2),"",OFFSET(TH!D$1,SMALL(Dong2,ROWS($1:71)),))</f>
        <v/>
      </c>
      <c r="C82" s="200" t="str">
        <f ca="1">IF(ROWS($1:71)&gt;COUNT(Dong2),"",OFFSET(TH!E$1,SMALL(Dong2,ROWS($1:71)),))</f>
        <v/>
      </c>
      <c r="D82" s="380" t="str">
        <f ca="1">IF(ROWS($1:71)&gt;COUNT(Dong2),"",OFFSET(TH!F$1,SMALL(Dong2,ROWS($1:71)),))</f>
        <v/>
      </c>
      <c r="E82" s="200" t="str">
        <f ca="1">IF(ROWS($1:71)&gt;COUNT(Dong2),"",IF(OFFSET(TH!O$1,SMALL(Dong2,ROWS($1:71)),)=$I$6,OFFSET(TH!N$1,SMALL(Dong2,ROWS($1:71)),),OFFSET(TH!O$1,SMALL(Dong2,ROWS($1:71)),)))</f>
        <v/>
      </c>
      <c r="F82" s="1163" t="str">
        <f ca="1">IF(ROWS($1:71)&gt;COUNT(Dong2),"",IF(AND(IF($M$9="Q11",LEFT(OFFSET(TH!G$1,SMALL(Dong2,ROWS($1:71)),),3)=$M$9,LEFT(OFFSET(TH!G$1,SMALL(Dong2,ROWS($1:71)),),2)=$M$9),OFFSET(TH!N$1,SMALL(Dong2,ROWS($1:71)),)=$I$6),IF($I$6="1121",OFFSET(TH!M$1,SMALL(Dong2,ROWS($1:71)),),OFFSET(TH!K$1,SMALL(Dong2,ROWS($1:71)),)),0))</f>
        <v/>
      </c>
      <c r="G82" s="1163" t="str">
        <f ca="1">IF(ROWS($1:71)&gt;COUNT(Dong2),"",IF(AND(IF($M$9="Q11",RIGHT(OFFSET(TH!G$1,SMALL(Dong2,ROWS($1:71)),),3)=$M$9,RIGHT(OFFSET(TH!G$1,SMALL(Dong2,ROWS($1:71)),),2)=$M$9),OFFSET(TH!O$1,SMALL(Dong2,ROWS($1:71)),)=$I$6),IF($I$6="1121",OFFSET(TH!M$1,SMALL(Dong2,ROWS($1:71)),),OFFSET(TH!K$1,SMALL(Dong2,ROWS($1:71)),)),0))</f>
        <v/>
      </c>
      <c r="H82" s="940">
        <f t="shared" ca="1" si="2"/>
        <v>0</v>
      </c>
      <c r="I82" s="940"/>
    </row>
    <row r="83" spans="1:9" s="189" customFormat="1" ht="20.25" customHeight="1">
      <c r="A83" s="200" t="str">
        <f ca="1">IF(ROWS($1:72)&gt;COUNT(Dong2),"",OFFSET(TH!C$1,SMALL(Dong2,ROWS($1:72)),))</f>
        <v/>
      </c>
      <c r="B83" s="200" t="str">
        <f ca="1">IF(ROWS($1:72)&gt;COUNT(Dong2),"",OFFSET(TH!D$1,SMALL(Dong2,ROWS($1:72)),))</f>
        <v/>
      </c>
      <c r="C83" s="200" t="str">
        <f ca="1">IF(ROWS($1:72)&gt;COUNT(Dong2),"",OFFSET(TH!E$1,SMALL(Dong2,ROWS($1:72)),))</f>
        <v/>
      </c>
      <c r="D83" s="380" t="str">
        <f ca="1">IF(ROWS($1:72)&gt;COUNT(Dong2),"",OFFSET(TH!F$1,SMALL(Dong2,ROWS($1:72)),))</f>
        <v/>
      </c>
      <c r="E83" s="200" t="str">
        <f ca="1">IF(ROWS($1:72)&gt;COUNT(Dong2),"",IF(OFFSET(TH!O$1,SMALL(Dong2,ROWS($1:72)),)=$I$6,OFFSET(TH!N$1,SMALL(Dong2,ROWS($1:72)),),OFFSET(TH!O$1,SMALL(Dong2,ROWS($1:72)),)))</f>
        <v/>
      </c>
      <c r="F83" s="1163" t="str">
        <f ca="1">IF(ROWS($1:72)&gt;COUNT(Dong2),"",IF(AND(IF($M$9="Q11",LEFT(OFFSET(TH!G$1,SMALL(Dong2,ROWS($1:72)),),3)=$M$9,LEFT(OFFSET(TH!G$1,SMALL(Dong2,ROWS($1:72)),),2)=$M$9),OFFSET(TH!N$1,SMALL(Dong2,ROWS($1:72)),)=$I$6),IF($I$6="1121",OFFSET(TH!M$1,SMALL(Dong2,ROWS($1:72)),),OFFSET(TH!K$1,SMALL(Dong2,ROWS($1:72)),)),0))</f>
        <v/>
      </c>
      <c r="G83" s="1163" t="str">
        <f ca="1">IF(ROWS($1:72)&gt;COUNT(Dong2),"",IF(AND(IF($M$9="Q11",RIGHT(OFFSET(TH!G$1,SMALL(Dong2,ROWS($1:72)),),3)=$M$9,RIGHT(OFFSET(TH!G$1,SMALL(Dong2,ROWS($1:72)),),2)=$M$9),OFFSET(TH!O$1,SMALL(Dong2,ROWS($1:72)),)=$I$6),IF($I$6="1121",OFFSET(TH!M$1,SMALL(Dong2,ROWS($1:72)),),OFFSET(TH!K$1,SMALL(Dong2,ROWS($1:72)),)),0))</f>
        <v/>
      </c>
      <c r="H83" s="940">
        <f t="shared" ca="1" si="2"/>
        <v>0</v>
      </c>
      <c r="I83" s="940"/>
    </row>
    <row r="84" spans="1:9" s="189" customFormat="1" ht="20.25" customHeight="1">
      <c r="A84" s="200" t="str">
        <f ca="1">IF(ROWS($1:73)&gt;COUNT(Dong2),"",OFFSET(TH!C$1,SMALL(Dong2,ROWS($1:73)),))</f>
        <v/>
      </c>
      <c r="B84" s="200" t="str">
        <f ca="1">IF(ROWS($1:73)&gt;COUNT(Dong2),"",OFFSET(TH!D$1,SMALL(Dong2,ROWS($1:73)),))</f>
        <v/>
      </c>
      <c r="C84" s="200" t="str">
        <f ca="1">IF(ROWS($1:73)&gt;COUNT(Dong2),"",OFFSET(TH!E$1,SMALL(Dong2,ROWS($1:73)),))</f>
        <v/>
      </c>
      <c r="D84" s="380" t="str">
        <f ca="1">IF(ROWS($1:73)&gt;COUNT(Dong2),"",OFFSET(TH!F$1,SMALL(Dong2,ROWS($1:73)),))</f>
        <v/>
      </c>
      <c r="E84" s="200" t="str">
        <f ca="1">IF(ROWS($1:73)&gt;COUNT(Dong2),"",IF(OFFSET(TH!O$1,SMALL(Dong2,ROWS($1:73)),)=$I$6,OFFSET(TH!N$1,SMALL(Dong2,ROWS($1:73)),),OFFSET(TH!O$1,SMALL(Dong2,ROWS($1:73)),)))</f>
        <v/>
      </c>
      <c r="F84" s="1163" t="str">
        <f ca="1">IF(ROWS($1:73)&gt;COUNT(Dong2),"",IF(AND(IF($M$9="Q11",LEFT(OFFSET(TH!G$1,SMALL(Dong2,ROWS($1:73)),),3)=$M$9,LEFT(OFFSET(TH!G$1,SMALL(Dong2,ROWS($1:73)),),2)=$M$9),OFFSET(TH!N$1,SMALL(Dong2,ROWS($1:73)),)=$I$6),IF($I$6="1121",OFFSET(TH!M$1,SMALL(Dong2,ROWS($1:73)),),OFFSET(TH!K$1,SMALL(Dong2,ROWS($1:73)),)),0))</f>
        <v/>
      </c>
      <c r="G84" s="1163" t="str">
        <f ca="1">IF(ROWS($1:73)&gt;COUNT(Dong2),"",IF(AND(IF($M$9="Q11",RIGHT(OFFSET(TH!G$1,SMALL(Dong2,ROWS($1:73)),),3)=$M$9,RIGHT(OFFSET(TH!G$1,SMALL(Dong2,ROWS($1:73)),),2)=$M$9),OFFSET(TH!O$1,SMALL(Dong2,ROWS($1:73)),)=$I$6),IF($I$6="1121",OFFSET(TH!M$1,SMALL(Dong2,ROWS($1:73)),),OFFSET(TH!K$1,SMALL(Dong2,ROWS($1:73)),)),0))</f>
        <v/>
      </c>
      <c r="H84" s="940">
        <f t="shared" ca="1" si="2"/>
        <v>0</v>
      </c>
      <c r="I84" s="940"/>
    </row>
    <row r="85" spans="1:9" s="189" customFormat="1" ht="20.25" customHeight="1">
      <c r="A85" s="200" t="str">
        <f ca="1">IF(ROWS($1:74)&gt;COUNT(Dong2),"",OFFSET(TH!C$1,SMALL(Dong2,ROWS($1:74)),))</f>
        <v/>
      </c>
      <c r="B85" s="200" t="str">
        <f ca="1">IF(ROWS($1:74)&gt;COUNT(Dong2),"",OFFSET(TH!D$1,SMALL(Dong2,ROWS($1:74)),))</f>
        <v/>
      </c>
      <c r="C85" s="200" t="str">
        <f ca="1">IF(ROWS($1:74)&gt;COUNT(Dong2),"",OFFSET(TH!E$1,SMALL(Dong2,ROWS($1:74)),))</f>
        <v/>
      </c>
      <c r="D85" s="380" t="str">
        <f ca="1">IF(ROWS($1:74)&gt;COUNT(Dong2),"",OFFSET(TH!F$1,SMALL(Dong2,ROWS($1:74)),))</f>
        <v/>
      </c>
      <c r="E85" s="200" t="str">
        <f ca="1">IF(ROWS($1:74)&gt;COUNT(Dong2),"",IF(OFFSET(TH!O$1,SMALL(Dong2,ROWS($1:74)),)=$I$6,OFFSET(TH!N$1,SMALL(Dong2,ROWS($1:74)),),OFFSET(TH!O$1,SMALL(Dong2,ROWS($1:74)),)))</f>
        <v/>
      </c>
      <c r="F85" s="1163" t="str">
        <f ca="1">IF(ROWS($1:74)&gt;COUNT(Dong2),"",IF(AND(IF($M$9="Q11",LEFT(OFFSET(TH!G$1,SMALL(Dong2,ROWS($1:74)),),3)=$M$9,LEFT(OFFSET(TH!G$1,SMALL(Dong2,ROWS($1:74)),),2)=$M$9),OFFSET(TH!N$1,SMALL(Dong2,ROWS($1:74)),)=$I$6),IF($I$6="1121",OFFSET(TH!M$1,SMALL(Dong2,ROWS($1:74)),),OFFSET(TH!K$1,SMALL(Dong2,ROWS($1:74)),)),0))</f>
        <v/>
      </c>
      <c r="G85" s="1163" t="str">
        <f ca="1">IF(ROWS($1:74)&gt;COUNT(Dong2),"",IF(AND(IF($M$9="Q11",RIGHT(OFFSET(TH!G$1,SMALL(Dong2,ROWS($1:74)),),3)=$M$9,RIGHT(OFFSET(TH!G$1,SMALL(Dong2,ROWS($1:74)),),2)=$M$9),OFFSET(TH!O$1,SMALL(Dong2,ROWS($1:74)),)=$I$6),IF($I$6="1121",OFFSET(TH!M$1,SMALL(Dong2,ROWS($1:74)),),OFFSET(TH!K$1,SMALL(Dong2,ROWS($1:74)),)),0))</f>
        <v/>
      </c>
      <c r="H85" s="940">
        <f t="shared" ca="1" si="2"/>
        <v>0</v>
      </c>
      <c r="I85" s="940"/>
    </row>
    <row r="86" spans="1:9" s="189" customFormat="1" ht="20.25" customHeight="1">
      <c r="A86" s="200" t="str">
        <f ca="1">IF(ROWS($1:75)&gt;COUNT(Dong2),"",OFFSET(TH!C$1,SMALL(Dong2,ROWS($1:75)),))</f>
        <v/>
      </c>
      <c r="B86" s="200" t="str">
        <f ca="1">IF(ROWS($1:75)&gt;COUNT(Dong2),"",OFFSET(TH!D$1,SMALL(Dong2,ROWS($1:75)),))</f>
        <v/>
      </c>
      <c r="C86" s="200" t="str">
        <f ca="1">IF(ROWS($1:75)&gt;COUNT(Dong2),"",OFFSET(TH!E$1,SMALL(Dong2,ROWS($1:75)),))</f>
        <v/>
      </c>
      <c r="D86" s="380" t="str">
        <f ca="1">IF(ROWS($1:75)&gt;COUNT(Dong2),"",OFFSET(TH!F$1,SMALL(Dong2,ROWS($1:75)),))</f>
        <v/>
      </c>
      <c r="E86" s="200" t="str">
        <f ca="1">IF(ROWS($1:75)&gt;COUNT(Dong2),"",IF(OFFSET(TH!O$1,SMALL(Dong2,ROWS($1:75)),)=$I$6,OFFSET(TH!N$1,SMALL(Dong2,ROWS($1:75)),),OFFSET(TH!O$1,SMALL(Dong2,ROWS($1:75)),)))</f>
        <v/>
      </c>
      <c r="F86" s="1163" t="str">
        <f ca="1">IF(ROWS($1:75)&gt;COUNT(Dong2),"",IF(AND(IF($M$9="Q11",LEFT(OFFSET(TH!G$1,SMALL(Dong2,ROWS($1:75)),),3)=$M$9,LEFT(OFFSET(TH!G$1,SMALL(Dong2,ROWS($1:75)),),2)=$M$9),OFFSET(TH!N$1,SMALL(Dong2,ROWS($1:75)),)=$I$6),IF($I$6="1121",OFFSET(TH!M$1,SMALL(Dong2,ROWS($1:75)),),OFFSET(TH!K$1,SMALL(Dong2,ROWS($1:75)),)),0))</f>
        <v/>
      </c>
      <c r="G86" s="1163" t="str">
        <f ca="1">IF(ROWS($1:75)&gt;COUNT(Dong2),"",IF(AND(IF($M$9="Q11",RIGHT(OFFSET(TH!G$1,SMALL(Dong2,ROWS($1:75)),),3)=$M$9,RIGHT(OFFSET(TH!G$1,SMALL(Dong2,ROWS($1:75)),),2)=$M$9),OFFSET(TH!O$1,SMALL(Dong2,ROWS($1:75)),)=$I$6),IF($I$6="1121",OFFSET(TH!M$1,SMALL(Dong2,ROWS($1:75)),),OFFSET(TH!K$1,SMALL(Dong2,ROWS($1:75)),)),0))</f>
        <v/>
      </c>
      <c r="H86" s="940">
        <f t="shared" ca="1" si="2"/>
        <v>0</v>
      </c>
      <c r="I86" s="940"/>
    </row>
    <row r="87" spans="1:9" s="189" customFormat="1" ht="20.25" customHeight="1">
      <c r="A87" s="200" t="str">
        <f ca="1">IF(ROWS($1:76)&gt;COUNT(Dong2),"",OFFSET(TH!C$1,SMALL(Dong2,ROWS($1:76)),))</f>
        <v/>
      </c>
      <c r="B87" s="200" t="str">
        <f ca="1">IF(ROWS($1:76)&gt;COUNT(Dong2),"",OFFSET(TH!D$1,SMALL(Dong2,ROWS($1:76)),))</f>
        <v/>
      </c>
      <c r="C87" s="200" t="str">
        <f ca="1">IF(ROWS($1:76)&gt;COUNT(Dong2),"",OFFSET(TH!E$1,SMALL(Dong2,ROWS($1:76)),))</f>
        <v/>
      </c>
      <c r="D87" s="380" t="str">
        <f ca="1">IF(ROWS($1:76)&gt;COUNT(Dong2),"",OFFSET(TH!F$1,SMALL(Dong2,ROWS($1:76)),))</f>
        <v/>
      </c>
      <c r="E87" s="200" t="str">
        <f ca="1">IF(ROWS($1:76)&gt;COUNT(Dong2),"",IF(OFFSET(TH!O$1,SMALL(Dong2,ROWS($1:76)),)=$I$6,OFFSET(TH!N$1,SMALL(Dong2,ROWS($1:76)),),OFFSET(TH!O$1,SMALL(Dong2,ROWS($1:76)),)))</f>
        <v/>
      </c>
      <c r="F87" s="1163" t="str">
        <f ca="1">IF(ROWS($1:76)&gt;COUNT(Dong2),"",IF(AND(IF($M$9="Q11",LEFT(OFFSET(TH!G$1,SMALL(Dong2,ROWS($1:76)),),3)=$M$9,LEFT(OFFSET(TH!G$1,SMALL(Dong2,ROWS($1:76)),),2)=$M$9),OFFSET(TH!N$1,SMALL(Dong2,ROWS($1:76)),)=$I$6),IF($I$6="1121",OFFSET(TH!M$1,SMALL(Dong2,ROWS($1:76)),),OFFSET(TH!K$1,SMALL(Dong2,ROWS($1:76)),)),0))</f>
        <v/>
      </c>
      <c r="G87" s="1163" t="str">
        <f ca="1">IF(ROWS($1:76)&gt;COUNT(Dong2),"",IF(AND(IF($M$9="Q11",RIGHT(OFFSET(TH!G$1,SMALL(Dong2,ROWS($1:76)),),3)=$M$9,RIGHT(OFFSET(TH!G$1,SMALL(Dong2,ROWS($1:76)),),2)=$M$9),OFFSET(TH!O$1,SMALL(Dong2,ROWS($1:76)),)=$I$6),IF($I$6="1121",OFFSET(TH!M$1,SMALL(Dong2,ROWS($1:76)),),OFFSET(TH!K$1,SMALL(Dong2,ROWS($1:76)),)),0))</f>
        <v/>
      </c>
      <c r="H87" s="940">
        <f t="shared" ca="1" si="2"/>
        <v>0</v>
      </c>
      <c r="I87" s="940"/>
    </row>
    <row r="88" spans="1:9" s="189" customFormat="1" ht="20.25" customHeight="1">
      <c r="A88" s="200" t="str">
        <f ca="1">IF(ROWS($1:77)&gt;COUNT(Dong2),"",OFFSET(TH!C$1,SMALL(Dong2,ROWS($1:77)),))</f>
        <v/>
      </c>
      <c r="B88" s="200" t="str">
        <f ca="1">IF(ROWS($1:77)&gt;COUNT(Dong2),"",OFFSET(TH!D$1,SMALL(Dong2,ROWS($1:77)),))</f>
        <v/>
      </c>
      <c r="C88" s="200" t="str">
        <f ca="1">IF(ROWS($1:77)&gt;COUNT(Dong2),"",OFFSET(TH!E$1,SMALL(Dong2,ROWS($1:77)),))</f>
        <v/>
      </c>
      <c r="D88" s="380" t="str">
        <f ca="1">IF(ROWS($1:77)&gt;COUNT(Dong2),"",OFFSET(TH!F$1,SMALL(Dong2,ROWS($1:77)),))</f>
        <v/>
      </c>
      <c r="E88" s="200" t="str">
        <f ca="1">IF(ROWS($1:77)&gt;COUNT(Dong2),"",IF(OFFSET(TH!O$1,SMALL(Dong2,ROWS($1:77)),)=$I$6,OFFSET(TH!N$1,SMALL(Dong2,ROWS($1:77)),),OFFSET(TH!O$1,SMALL(Dong2,ROWS($1:77)),)))</f>
        <v/>
      </c>
      <c r="F88" s="1163" t="str">
        <f ca="1">IF(ROWS($1:77)&gt;COUNT(Dong2),"",IF(AND(IF($M$9="Q11",LEFT(OFFSET(TH!G$1,SMALL(Dong2,ROWS($1:77)),),3)=$M$9,LEFT(OFFSET(TH!G$1,SMALL(Dong2,ROWS($1:77)),),2)=$M$9),OFFSET(TH!N$1,SMALL(Dong2,ROWS($1:77)),)=$I$6),IF($I$6="1121",OFFSET(TH!M$1,SMALL(Dong2,ROWS($1:77)),),OFFSET(TH!K$1,SMALL(Dong2,ROWS($1:77)),)),0))</f>
        <v/>
      </c>
      <c r="G88" s="1163" t="str">
        <f ca="1">IF(ROWS($1:77)&gt;COUNT(Dong2),"",IF(AND(IF($M$9="Q11",RIGHT(OFFSET(TH!G$1,SMALL(Dong2,ROWS($1:77)),),3)=$M$9,RIGHT(OFFSET(TH!G$1,SMALL(Dong2,ROWS($1:77)),),2)=$M$9),OFFSET(TH!O$1,SMALL(Dong2,ROWS($1:77)),)=$I$6),IF($I$6="1121",OFFSET(TH!M$1,SMALL(Dong2,ROWS($1:77)),),OFFSET(TH!K$1,SMALL(Dong2,ROWS($1:77)),)),0))</f>
        <v/>
      </c>
      <c r="H88" s="940">
        <f t="shared" ca="1" si="2"/>
        <v>0</v>
      </c>
      <c r="I88" s="940"/>
    </row>
    <row r="89" spans="1:9" s="189" customFormat="1" ht="20.25" customHeight="1">
      <c r="A89" s="200" t="str">
        <f ca="1">IF(ROWS($1:78)&gt;COUNT(Dong2),"",OFFSET(TH!C$1,SMALL(Dong2,ROWS($1:78)),))</f>
        <v/>
      </c>
      <c r="B89" s="200" t="str">
        <f ca="1">IF(ROWS($1:78)&gt;COUNT(Dong2),"",OFFSET(TH!D$1,SMALL(Dong2,ROWS($1:78)),))</f>
        <v/>
      </c>
      <c r="C89" s="200" t="str">
        <f ca="1">IF(ROWS($1:78)&gt;COUNT(Dong2),"",OFFSET(TH!E$1,SMALL(Dong2,ROWS($1:78)),))</f>
        <v/>
      </c>
      <c r="D89" s="380" t="str">
        <f ca="1">IF(ROWS($1:78)&gt;COUNT(Dong2),"",OFFSET(TH!F$1,SMALL(Dong2,ROWS($1:78)),))</f>
        <v/>
      </c>
      <c r="E89" s="200" t="str">
        <f ca="1">IF(ROWS($1:78)&gt;COUNT(Dong2),"",IF(OFFSET(TH!O$1,SMALL(Dong2,ROWS($1:78)),)=$I$6,OFFSET(TH!N$1,SMALL(Dong2,ROWS($1:78)),),OFFSET(TH!O$1,SMALL(Dong2,ROWS($1:78)),)))</f>
        <v/>
      </c>
      <c r="F89" s="1163" t="str">
        <f ca="1">IF(ROWS($1:78)&gt;COUNT(Dong2),"",IF(AND(IF($M$9="Q11",LEFT(OFFSET(TH!G$1,SMALL(Dong2,ROWS($1:78)),),3)=$M$9,LEFT(OFFSET(TH!G$1,SMALL(Dong2,ROWS($1:78)),),2)=$M$9),OFFSET(TH!N$1,SMALL(Dong2,ROWS($1:78)),)=$I$6),IF($I$6="1121",OFFSET(TH!M$1,SMALL(Dong2,ROWS($1:78)),),OFFSET(TH!K$1,SMALL(Dong2,ROWS($1:78)),)),0))</f>
        <v/>
      </c>
      <c r="G89" s="1163" t="str">
        <f ca="1">IF(ROWS($1:78)&gt;COUNT(Dong2),"",IF(AND(IF($M$9="Q11",RIGHT(OFFSET(TH!G$1,SMALL(Dong2,ROWS($1:78)),),3)=$M$9,RIGHT(OFFSET(TH!G$1,SMALL(Dong2,ROWS($1:78)),),2)=$M$9),OFFSET(TH!O$1,SMALL(Dong2,ROWS($1:78)),)=$I$6),IF($I$6="1121",OFFSET(TH!M$1,SMALL(Dong2,ROWS($1:78)),),OFFSET(TH!K$1,SMALL(Dong2,ROWS($1:78)),)),0))</f>
        <v/>
      </c>
      <c r="H89" s="940">
        <f t="shared" ca="1" si="2"/>
        <v>0</v>
      </c>
      <c r="I89" s="940"/>
    </row>
    <row r="90" spans="1:9" s="189" customFormat="1" ht="20.25" customHeight="1">
      <c r="A90" s="200" t="str">
        <f ca="1">IF(ROWS($1:79)&gt;COUNT(Dong2),"",OFFSET(TH!C$1,SMALL(Dong2,ROWS($1:79)),))</f>
        <v/>
      </c>
      <c r="B90" s="200" t="str">
        <f ca="1">IF(ROWS($1:79)&gt;COUNT(Dong2),"",OFFSET(TH!D$1,SMALL(Dong2,ROWS($1:79)),))</f>
        <v/>
      </c>
      <c r="C90" s="200" t="str">
        <f ca="1">IF(ROWS($1:79)&gt;COUNT(Dong2),"",OFFSET(TH!E$1,SMALL(Dong2,ROWS($1:79)),))</f>
        <v/>
      </c>
      <c r="D90" s="380" t="str">
        <f ca="1">IF(ROWS($1:79)&gt;COUNT(Dong2),"",OFFSET(TH!F$1,SMALL(Dong2,ROWS($1:79)),))</f>
        <v/>
      </c>
      <c r="E90" s="200" t="str">
        <f ca="1">IF(ROWS($1:79)&gt;COUNT(Dong2),"",IF(OFFSET(TH!O$1,SMALL(Dong2,ROWS($1:79)),)=$I$6,OFFSET(TH!N$1,SMALL(Dong2,ROWS($1:79)),),OFFSET(TH!O$1,SMALL(Dong2,ROWS($1:79)),)))</f>
        <v/>
      </c>
      <c r="F90" s="1163" t="str">
        <f ca="1">IF(ROWS($1:79)&gt;COUNT(Dong2),"",IF(AND(IF($M$9="Q11",LEFT(OFFSET(TH!G$1,SMALL(Dong2,ROWS($1:79)),),3)=$M$9,LEFT(OFFSET(TH!G$1,SMALL(Dong2,ROWS($1:79)),),2)=$M$9),OFFSET(TH!N$1,SMALL(Dong2,ROWS($1:79)),)=$I$6),IF($I$6="1121",OFFSET(TH!M$1,SMALL(Dong2,ROWS($1:79)),),OFFSET(TH!K$1,SMALL(Dong2,ROWS($1:79)),)),0))</f>
        <v/>
      </c>
      <c r="G90" s="1163" t="str">
        <f ca="1">IF(ROWS($1:79)&gt;COUNT(Dong2),"",IF(AND(IF($M$9="Q11",RIGHT(OFFSET(TH!G$1,SMALL(Dong2,ROWS($1:79)),),3)=$M$9,RIGHT(OFFSET(TH!G$1,SMALL(Dong2,ROWS($1:79)),),2)=$M$9),OFFSET(TH!O$1,SMALL(Dong2,ROWS($1:79)),)=$I$6),IF($I$6="1121",OFFSET(TH!M$1,SMALL(Dong2,ROWS($1:79)),),OFFSET(TH!K$1,SMALL(Dong2,ROWS($1:79)),)),0))</f>
        <v/>
      </c>
      <c r="H90" s="940">
        <f t="shared" ca="1" si="2"/>
        <v>0</v>
      </c>
      <c r="I90" s="940"/>
    </row>
    <row r="91" spans="1:9" s="189" customFormat="1" ht="20.25" customHeight="1">
      <c r="A91" s="200" t="str">
        <f ca="1">IF(ROWS($1:80)&gt;COUNT(Dong2),"",OFFSET(TH!C$1,SMALL(Dong2,ROWS($1:80)),))</f>
        <v/>
      </c>
      <c r="B91" s="200" t="str">
        <f ca="1">IF(ROWS($1:80)&gt;COUNT(Dong2),"",OFFSET(TH!D$1,SMALL(Dong2,ROWS($1:80)),))</f>
        <v/>
      </c>
      <c r="C91" s="200" t="str">
        <f ca="1">IF(ROWS($1:80)&gt;COUNT(Dong2),"",OFFSET(TH!E$1,SMALL(Dong2,ROWS($1:80)),))</f>
        <v/>
      </c>
      <c r="D91" s="380" t="str">
        <f ca="1">IF(ROWS($1:80)&gt;COUNT(Dong2),"",OFFSET(TH!F$1,SMALL(Dong2,ROWS($1:80)),))</f>
        <v/>
      </c>
      <c r="E91" s="200" t="str">
        <f ca="1">IF(ROWS($1:80)&gt;COUNT(Dong2),"",IF(OFFSET(TH!O$1,SMALL(Dong2,ROWS($1:80)),)=$I$6,OFFSET(TH!N$1,SMALL(Dong2,ROWS($1:80)),),OFFSET(TH!O$1,SMALL(Dong2,ROWS($1:80)),)))</f>
        <v/>
      </c>
      <c r="F91" s="1163" t="str">
        <f ca="1">IF(ROWS($1:80)&gt;COUNT(Dong2),"",IF(AND(IF($M$9="Q11",LEFT(OFFSET(TH!G$1,SMALL(Dong2,ROWS($1:80)),),3)=$M$9,LEFT(OFFSET(TH!G$1,SMALL(Dong2,ROWS($1:80)),),2)=$M$9),OFFSET(TH!N$1,SMALL(Dong2,ROWS($1:80)),)=$I$6),IF($I$6="1121",OFFSET(TH!M$1,SMALL(Dong2,ROWS($1:80)),),OFFSET(TH!K$1,SMALL(Dong2,ROWS($1:80)),)),0))</f>
        <v/>
      </c>
      <c r="G91" s="1163" t="str">
        <f ca="1">IF(ROWS($1:80)&gt;COUNT(Dong2),"",IF(AND(IF($M$9="Q11",RIGHT(OFFSET(TH!G$1,SMALL(Dong2,ROWS($1:80)),),3)=$M$9,RIGHT(OFFSET(TH!G$1,SMALL(Dong2,ROWS($1:80)),),2)=$M$9),OFFSET(TH!O$1,SMALL(Dong2,ROWS($1:80)),)=$I$6),IF($I$6="1121",OFFSET(TH!M$1,SMALL(Dong2,ROWS($1:80)),),OFFSET(TH!K$1,SMALL(Dong2,ROWS($1:80)),)),0))</f>
        <v/>
      </c>
      <c r="H91" s="940">
        <f t="shared" ca="1" si="2"/>
        <v>0</v>
      </c>
      <c r="I91" s="940"/>
    </row>
    <row r="92" spans="1:9" s="189" customFormat="1" ht="20.25" customHeight="1">
      <c r="A92" s="200" t="str">
        <f ca="1">IF(ROWS($1:81)&gt;COUNT(Dong2),"",OFFSET(TH!C$1,SMALL(Dong2,ROWS($1:81)),))</f>
        <v/>
      </c>
      <c r="B92" s="200" t="str">
        <f ca="1">IF(ROWS($1:81)&gt;COUNT(Dong2),"",OFFSET(TH!D$1,SMALL(Dong2,ROWS($1:81)),))</f>
        <v/>
      </c>
      <c r="C92" s="200" t="str">
        <f ca="1">IF(ROWS($1:81)&gt;COUNT(Dong2),"",OFFSET(TH!E$1,SMALL(Dong2,ROWS($1:81)),))</f>
        <v/>
      </c>
      <c r="D92" s="380" t="str">
        <f ca="1">IF(ROWS($1:81)&gt;COUNT(Dong2),"",OFFSET(TH!F$1,SMALL(Dong2,ROWS($1:81)),))</f>
        <v/>
      </c>
      <c r="E92" s="200" t="str">
        <f ca="1">IF(ROWS($1:81)&gt;COUNT(Dong2),"",IF(OFFSET(TH!O$1,SMALL(Dong2,ROWS($1:81)),)=$I$6,OFFSET(TH!N$1,SMALL(Dong2,ROWS($1:81)),),OFFSET(TH!O$1,SMALL(Dong2,ROWS($1:81)),)))</f>
        <v/>
      </c>
      <c r="F92" s="1163" t="str">
        <f ca="1">IF(ROWS($1:81)&gt;COUNT(Dong2),"",IF(AND(IF($M$9="Q11",LEFT(OFFSET(TH!G$1,SMALL(Dong2,ROWS($1:81)),),3)=$M$9,LEFT(OFFSET(TH!G$1,SMALL(Dong2,ROWS($1:81)),),2)=$M$9),OFFSET(TH!N$1,SMALL(Dong2,ROWS($1:81)),)=$I$6),IF($I$6="1121",OFFSET(TH!M$1,SMALL(Dong2,ROWS($1:81)),),OFFSET(TH!K$1,SMALL(Dong2,ROWS($1:81)),)),0))</f>
        <v/>
      </c>
      <c r="G92" s="1163" t="str">
        <f ca="1">IF(ROWS($1:81)&gt;COUNT(Dong2),"",IF(AND(IF($M$9="Q11",RIGHT(OFFSET(TH!G$1,SMALL(Dong2,ROWS($1:81)),),3)=$M$9,RIGHT(OFFSET(TH!G$1,SMALL(Dong2,ROWS($1:81)),),2)=$M$9),OFFSET(TH!O$1,SMALL(Dong2,ROWS($1:81)),)=$I$6),IF($I$6="1121",OFFSET(TH!M$1,SMALL(Dong2,ROWS($1:81)),),OFFSET(TH!K$1,SMALL(Dong2,ROWS($1:81)),)),0))</f>
        <v/>
      </c>
      <c r="H92" s="940">
        <f t="shared" ca="1" si="2"/>
        <v>0</v>
      </c>
      <c r="I92" s="940"/>
    </row>
    <row r="93" spans="1:9" s="189" customFormat="1" ht="20.25" customHeight="1">
      <c r="A93" s="200" t="str">
        <f ca="1">IF(ROWS($1:82)&gt;COUNT(Dong2),"",OFFSET(TH!C$1,SMALL(Dong2,ROWS($1:82)),))</f>
        <v/>
      </c>
      <c r="B93" s="200" t="str">
        <f ca="1">IF(ROWS($1:82)&gt;COUNT(Dong2),"",OFFSET(TH!D$1,SMALL(Dong2,ROWS($1:82)),))</f>
        <v/>
      </c>
      <c r="C93" s="200" t="str">
        <f ca="1">IF(ROWS($1:82)&gt;COUNT(Dong2),"",OFFSET(TH!E$1,SMALL(Dong2,ROWS($1:82)),))</f>
        <v/>
      </c>
      <c r="D93" s="380" t="str">
        <f ca="1">IF(ROWS($1:82)&gt;COUNT(Dong2),"",OFFSET(TH!F$1,SMALL(Dong2,ROWS($1:82)),))</f>
        <v/>
      </c>
      <c r="E93" s="200" t="str">
        <f ca="1">IF(ROWS($1:82)&gt;COUNT(Dong2),"",IF(OFFSET(TH!O$1,SMALL(Dong2,ROWS($1:82)),)=$I$6,OFFSET(TH!N$1,SMALL(Dong2,ROWS($1:82)),),OFFSET(TH!O$1,SMALL(Dong2,ROWS($1:82)),)))</f>
        <v/>
      </c>
      <c r="F93" s="1163" t="str">
        <f ca="1">IF(ROWS($1:82)&gt;COUNT(Dong2),"",IF(AND(IF($M$9="Q11",LEFT(OFFSET(TH!G$1,SMALL(Dong2,ROWS($1:82)),),3)=$M$9,LEFT(OFFSET(TH!G$1,SMALL(Dong2,ROWS($1:82)),),2)=$M$9),OFFSET(TH!N$1,SMALL(Dong2,ROWS($1:82)),)=$I$6),IF($I$6="1121",OFFSET(TH!M$1,SMALL(Dong2,ROWS($1:82)),),OFFSET(TH!K$1,SMALL(Dong2,ROWS($1:82)),)),0))</f>
        <v/>
      </c>
      <c r="G93" s="1163" t="str">
        <f ca="1">IF(ROWS($1:82)&gt;COUNT(Dong2),"",IF(AND(IF($M$9="Q11",RIGHT(OFFSET(TH!G$1,SMALL(Dong2,ROWS($1:82)),),3)=$M$9,RIGHT(OFFSET(TH!G$1,SMALL(Dong2,ROWS($1:82)),),2)=$M$9),OFFSET(TH!O$1,SMALL(Dong2,ROWS($1:82)),)=$I$6),IF($I$6="1121",OFFSET(TH!M$1,SMALL(Dong2,ROWS($1:82)),),OFFSET(TH!K$1,SMALL(Dong2,ROWS($1:82)),)),0))</f>
        <v/>
      </c>
      <c r="H93" s="940">
        <f t="shared" ca="1" si="2"/>
        <v>0</v>
      </c>
      <c r="I93" s="940"/>
    </row>
    <row r="94" spans="1:9" s="189" customFormat="1" ht="20.25" customHeight="1">
      <c r="A94" s="200" t="str">
        <f ca="1">IF(ROWS($1:83)&gt;COUNT(Dong2),"",OFFSET(TH!C$1,SMALL(Dong2,ROWS($1:83)),))</f>
        <v/>
      </c>
      <c r="B94" s="200" t="str">
        <f ca="1">IF(ROWS($1:83)&gt;COUNT(Dong2),"",OFFSET(TH!D$1,SMALL(Dong2,ROWS($1:83)),))</f>
        <v/>
      </c>
      <c r="C94" s="200" t="str">
        <f ca="1">IF(ROWS($1:83)&gt;COUNT(Dong2),"",OFFSET(TH!E$1,SMALL(Dong2,ROWS($1:83)),))</f>
        <v/>
      </c>
      <c r="D94" s="380" t="str">
        <f ca="1">IF(ROWS($1:83)&gt;COUNT(Dong2),"",OFFSET(TH!F$1,SMALL(Dong2,ROWS($1:83)),))</f>
        <v/>
      </c>
      <c r="E94" s="200" t="str">
        <f ca="1">IF(ROWS($1:83)&gt;COUNT(Dong2),"",IF(OFFSET(TH!O$1,SMALL(Dong2,ROWS($1:83)),)=$I$6,OFFSET(TH!N$1,SMALL(Dong2,ROWS($1:83)),),OFFSET(TH!O$1,SMALL(Dong2,ROWS($1:83)),)))</f>
        <v/>
      </c>
      <c r="F94" s="1163" t="str">
        <f ca="1">IF(ROWS($1:83)&gt;COUNT(Dong2),"",IF(AND(IF($M$9="Q11",LEFT(OFFSET(TH!G$1,SMALL(Dong2,ROWS($1:83)),),3)=$M$9,LEFT(OFFSET(TH!G$1,SMALL(Dong2,ROWS($1:83)),),2)=$M$9),OFFSET(TH!N$1,SMALL(Dong2,ROWS($1:83)),)=$I$6),IF($I$6="1121",OFFSET(TH!M$1,SMALL(Dong2,ROWS($1:83)),),OFFSET(TH!K$1,SMALL(Dong2,ROWS($1:83)),)),0))</f>
        <v/>
      </c>
      <c r="G94" s="1163" t="str">
        <f ca="1">IF(ROWS($1:83)&gt;COUNT(Dong2),"",IF(AND(IF($M$9="Q11",RIGHT(OFFSET(TH!G$1,SMALL(Dong2,ROWS($1:83)),),3)=$M$9,RIGHT(OFFSET(TH!G$1,SMALL(Dong2,ROWS($1:83)),),2)=$M$9),OFFSET(TH!O$1,SMALL(Dong2,ROWS($1:83)),)=$I$6),IF($I$6="1121",OFFSET(TH!M$1,SMALL(Dong2,ROWS($1:83)),),OFFSET(TH!K$1,SMALL(Dong2,ROWS($1:83)),)),0))</f>
        <v/>
      </c>
      <c r="H94" s="940">
        <f t="shared" ca="1" si="2"/>
        <v>0</v>
      </c>
      <c r="I94" s="940"/>
    </row>
    <row r="95" spans="1:9" s="189" customFormat="1" ht="20.25" customHeight="1">
      <c r="A95" s="200" t="str">
        <f ca="1">IF(ROWS($1:84)&gt;COUNT(Dong2),"",OFFSET(TH!C$1,SMALL(Dong2,ROWS($1:84)),))</f>
        <v/>
      </c>
      <c r="B95" s="200" t="str">
        <f ca="1">IF(ROWS($1:84)&gt;COUNT(Dong2),"",OFFSET(TH!D$1,SMALL(Dong2,ROWS($1:84)),))</f>
        <v/>
      </c>
      <c r="C95" s="200" t="str">
        <f ca="1">IF(ROWS($1:84)&gt;COUNT(Dong2),"",OFFSET(TH!E$1,SMALL(Dong2,ROWS($1:84)),))</f>
        <v/>
      </c>
      <c r="D95" s="380" t="str">
        <f ca="1">IF(ROWS($1:84)&gt;COUNT(Dong2),"",OFFSET(TH!F$1,SMALL(Dong2,ROWS($1:84)),))</f>
        <v/>
      </c>
      <c r="E95" s="200" t="str">
        <f ca="1">IF(ROWS($1:84)&gt;COUNT(Dong2),"",IF(OFFSET(TH!O$1,SMALL(Dong2,ROWS($1:84)),)=$I$6,OFFSET(TH!N$1,SMALL(Dong2,ROWS($1:84)),),OFFSET(TH!O$1,SMALL(Dong2,ROWS($1:84)),)))</f>
        <v/>
      </c>
      <c r="F95" s="1163" t="str">
        <f ca="1">IF(ROWS($1:84)&gt;COUNT(Dong2),"",IF(AND(IF($M$9="Q11",LEFT(OFFSET(TH!G$1,SMALL(Dong2,ROWS($1:84)),),3)=$M$9,LEFT(OFFSET(TH!G$1,SMALL(Dong2,ROWS($1:84)),),2)=$M$9),OFFSET(TH!N$1,SMALL(Dong2,ROWS($1:84)),)=$I$6),IF($I$6="1121",OFFSET(TH!M$1,SMALL(Dong2,ROWS($1:84)),),OFFSET(TH!K$1,SMALL(Dong2,ROWS($1:84)),)),0))</f>
        <v/>
      </c>
      <c r="G95" s="1163" t="str">
        <f ca="1">IF(ROWS($1:84)&gt;COUNT(Dong2),"",IF(AND(IF($M$9="Q11",RIGHT(OFFSET(TH!G$1,SMALL(Dong2,ROWS($1:84)),),3)=$M$9,RIGHT(OFFSET(TH!G$1,SMALL(Dong2,ROWS($1:84)),),2)=$M$9),OFFSET(TH!O$1,SMALL(Dong2,ROWS($1:84)),)=$I$6),IF($I$6="1121",OFFSET(TH!M$1,SMALL(Dong2,ROWS($1:84)),),OFFSET(TH!K$1,SMALL(Dong2,ROWS($1:84)),)),0))</f>
        <v/>
      </c>
      <c r="H95" s="940">
        <f t="shared" ca="1" si="2"/>
        <v>0</v>
      </c>
      <c r="I95" s="940"/>
    </row>
    <row r="96" spans="1:9" s="189" customFormat="1" ht="20.25" customHeight="1">
      <c r="A96" s="200" t="str">
        <f ca="1">IF(ROWS($1:85)&gt;COUNT(Dong2),"",OFFSET(TH!C$1,SMALL(Dong2,ROWS($1:85)),))</f>
        <v/>
      </c>
      <c r="B96" s="200" t="str">
        <f ca="1">IF(ROWS($1:85)&gt;COUNT(Dong2),"",OFFSET(TH!D$1,SMALL(Dong2,ROWS($1:85)),))</f>
        <v/>
      </c>
      <c r="C96" s="200" t="str">
        <f ca="1">IF(ROWS($1:85)&gt;COUNT(Dong2),"",OFFSET(TH!E$1,SMALL(Dong2,ROWS($1:85)),))</f>
        <v/>
      </c>
      <c r="D96" s="380" t="str">
        <f ca="1">IF(ROWS($1:85)&gt;COUNT(Dong2),"",OFFSET(TH!F$1,SMALL(Dong2,ROWS($1:85)),))</f>
        <v/>
      </c>
      <c r="E96" s="200" t="str">
        <f ca="1">IF(ROWS($1:85)&gt;COUNT(Dong2),"",IF(OFFSET(TH!O$1,SMALL(Dong2,ROWS($1:85)),)=$I$6,OFFSET(TH!N$1,SMALL(Dong2,ROWS($1:85)),),OFFSET(TH!O$1,SMALL(Dong2,ROWS($1:85)),)))</f>
        <v/>
      </c>
      <c r="F96" s="1163" t="str">
        <f ca="1">IF(ROWS($1:85)&gt;COUNT(Dong2),"",IF(AND(IF($M$9="Q11",LEFT(OFFSET(TH!G$1,SMALL(Dong2,ROWS($1:85)),),3)=$M$9,LEFT(OFFSET(TH!G$1,SMALL(Dong2,ROWS($1:85)),),2)=$M$9),OFFSET(TH!N$1,SMALL(Dong2,ROWS($1:85)),)=$I$6),IF($I$6="1121",OFFSET(TH!M$1,SMALL(Dong2,ROWS($1:85)),),OFFSET(TH!K$1,SMALL(Dong2,ROWS($1:85)),)),0))</f>
        <v/>
      </c>
      <c r="G96" s="1163" t="str">
        <f ca="1">IF(ROWS($1:85)&gt;COUNT(Dong2),"",IF(AND(IF($M$9="Q11",RIGHT(OFFSET(TH!G$1,SMALL(Dong2,ROWS($1:85)),),3)=$M$9,RIGHT(OFFSET(TH!G$1,SMALL(Dong2,ROWS($1:85)),),2)=$M$9),OFFSET(TH!O$1,SMALL(Dong2,ROWS($1:85)),)=$I$6),IF($I$6="1121",OFFSET(TH!M$1,SMALL(Dong2,ROWS($1:85)),),OFFSET(TH!K$1,SMALL(Dong2,ROWS($1:85)),)),0))</f>
        <v/>
      </c>
      <c r="H96" s="940">
        <f t="shared" ca="1" si="2"/>
        <v>0</v>
      </c>
      <c r="I96" s="940"/>
    </row>
    <row r="97" spans="1:9" s="189" customFormat="1" ht="20.25" customHeight="1">
      <c r="A97" s="200" t="str">
        <f ca="1">IF(ROWS($1:86)&gt;COUNT(Dong2),"",OFFSET(TH!C$1,SMALL(Dong2,ROWS($1:86)),))</f>
        <v/>
      </c>
      <c r="B97" s="200" t="str">
        <f ca="1">IF(ROWS($1:86)&gt;COUNT(Dong2),"",OFFSET(TH!D$1,SMALL(Dong2,ROWS($1:86)),))</f>
        <v/>
      </c>
      <c r="C97" s="200" t="str">
        <f ca="1">IF(ROWS($1:86)&gt;COUNT(Dong2),"",OFFSET(TH!E$1,SMALL(Dong2,ROWS($1:86)),))</f>
        <v/>
      </c>
      <c r="D97" s="380" t="str">
        <f ca="1">IF(ROWS($1:86)&gt;COUNT(Dong2),"",OFFSET(TH!F$1,SMALL(Dong2,ROWS($1:86)),))</f>
        <v/>
      </c>
      <c r="E97" s="200" t="str">
        <f ca="1">IF(ROWS($1:86)&gt;COUNT(Dong2),"",IF(OFFSET(TH!O$1,SMALL(Dong2,ROWS($1:86)),)=$I$6,OFFSET(TH!N$1,SMALL(Dong2,ROWS($1:86)),),OFFSET(TH!O$1,SMALL(Dong2,ROWS($1:86)),)))</f>
        <v/>
      </c>
      <c r="F97" s="1163" t="str">
        <f ca="1">IF(ROWS($1:86)&gt;COUNT(Dong2),"",IF(AND(IF($M$9="Q11",LEFT(OFFSET(TH!G$1,SMALL(Dong2,ROWS($1:86)),),3)=$M$9,LEFT(OFFSET(TH!G$1,SMALL(Dong2,ROWS($1:86)),),2)=$M$9),OFFSET(TH!N$1,SMALL(Dong2,ROWS($1:86)),)=$I$6),IF($I$6="1121",OFFSET(TH!M$1,SMALL(Dong2,ROWS($1:86)),),OFFSET(TH!K$1,SMALL(Dong2,ROWS($1:86)),)),0))</f>
        <v/>
      </c>
      <c r="G97" s="1163" t="str">
        <f ca="1">IF(ROWS($1:86)&gt;COUNT(Dong2),"",IF(AND(IF($M$9="Q11",RIGHT(OFFSET(TH!G$1,SMALL(Dong2,ROWS($1:86)),),3)=$M$9,RIGHT(OFFSET(TH!G$1,SMALL(Dong2,ROWS($1:86)),),2)=$M$9),OFFSET(TH!O$1,SMALL(Dong2,ROWS($1:86)),)=$I$6),IF($I$6="1121",OFFSET(TH!M$1,SMALL(Dong2,ROWS($1:86)),),OFFSET(TH!K$1,SMALL(Dong2,ROWS($1:86)),)),0))</f>
        <v/>
      </c>
      <c r="H97" s="940">
        <f t="shared" ca="1" si="2"/>
        <v>0</v>
      </c>
      <c r="I97" s="940"/>
    </row>
    <row r="98" spans="1:9" s="189" customFormat="1" ht="20.25" customHeight="1">
      <c r="A98" s="200" t="str">
        <f ca="1">IF(ROWS($1:87)&gt;COUNT(Dong2),"",OFFSET(TH!C$1,SMALL(Dong2,ROWS($1:87)),))</f>
        <v/>
      </c>
      <c r="B98" s="200" t="str">
        <f ca="1">IF(ROWS($1:87)&gt;COUNT(Dong2),"",OFFSET(TH!D$1,SMALL(Dong2,ROWS($1:87)),))</f>
        <v/>
      </c>
      <c r="C98" s="200" t="str">
        <f ca="1">IF(ROWS($1:87)&gt;COUNT(Dong2),"",OFFSET(TH!E$1,SMALL(Dong2,ROWS($1:87)),))</f>
        <v/>
      </c>
      <c r="D98" s="380" t="str">
        <f ca="1">IF(ROWS($1:87)&gt;COUNT(Dong2),"",OFFSET(TH!F$1,SMALL(Dong2,ROWS($1:87)),))</f>
        <v/>
      </c>
      <c r="E98" s="200" t="str">
        <f ca="1">IF(ROWS($1:87)&gt;COUNT(Dong2),"",IF(OFFSET(TH!O$1,SMALL(Dong2,ROWS($1:87)),)=$I$6,OFFSET(TH!N$1,SMALL(Dong2,ROWS($1:87)),),OFFSET(TH!O$1,SMALL(Dong2,ROWS($1:87)),)))</f>
        <v/>
      </c>
      <c r="F98" s="1163" t="str">
        <f ca="1">IF(ROWS($1:87)&gt;COUNT(Dong2),"",IF(AND(IF($M$9="Q11",LEFT(OFFSET(TH!G$1,SMALL(Dong2,ROWS($1:87)),),3)=$M$9,LEFT(OFFSET(TH!G$1,SMALL(Dong2,ROWS($1:87)),),2)=$M$9),OFFSET(TH!N$1,SMALL(Dong2,ROWS($1:87)),)=$I$6),IF($I$6="1121",OFFSET(TH!M$1,SMALL(Dong2,ROWS($1:87)),),OFFSET(TH!K$1,SMALL(Dong2,ROWS($1:87)),)),0))</f>
        <v/>
      </c>
      <c r="G98" s="1163" t="str">
        <f ca="1">IF(ROWS($1:87)&gt;COUNT(Dong2),"",IF(AND(IF($M$9="Q11",RIGHT(OFFSET(TH!G$1,SMALL(Dong2,ROWS($1:87)),),3)=$M$9,RIGHT(OFFSET(TH!G$1,SMALL(Dong2,ROWS($1:87)),),2)=$M$9),OFFSET(TH!O$1,SMALL(Dong2,ROWS($1:87)),)=$I$6),IF($I$6="1121",OFFSET(TH!M$1,SMALL(Dong2,ROWS($1:87)),),OFFSET(TH!K$1,SMALL(Dong2,ROWS($1:87)),)),0))</f>
        <v/>
      </c>
      <c r="H98" s="940">
        <f t="shared" ca="1" si="2"/>
        <v>0</v>
      </c>
      <c r="I98" s="940"/>
    </row>
    <row r="99" spans="1:9" s="189" customFormat="1" ht="20.25" customHeight="1">
      <c r="A99" s="200" t="str">
        <f ca="1">IF(ROWS($1:88)&gt;COUNT(Dong2),"",OFFSET(TH!C$1,SMALL(Dong2,ROWS($1:88)),))</f>
        <v/>
      </c>
      <c r="B99" s="200" t="str">
        <f ca="1">IF(ROWS($1:88)&gt;COUNT(Dong2),"",OFFSET(TH!D$1,SMALL(Dong2,ROWS($1:88)),))</f>
        <v/>
      </c>
      <c r="C99" s="200" t="str">
        <f ca="1">IF(ROWS($1:88)&gt;COUNT(Dong2),"",OFFSET(TH!E$1,SMALL(Dong2,ROWS($1:88)),))</f>
        <v/>
      </c>
      <c r="D99" s="380" t="str">
        <f ca="1">IF(ROWS($1:88)&gt;COUNT(Dong2),"",OFFSET(TH!F$1,SMALL(Dong2,ROWS($1:88)),))</f>
        <v/>
      </c>
      <c r="E99" s="200" t="str">
        <f ca="1">IF(ROWS($1:88)&gt;COUNT(Dong2),"",IF(OFFSET(TH!O$1,SMALL(Dong2,ROWS($1:88)),)=$I$6,OFFSET(TH!N$1,SMALL(Dong2,ROWS($1:88)),),OFFSET(TH!O$1,SMALL(Dong2,ROWS($1:88)),)))</f>
        <v/>
      </c>
      <c r="F99" s="1163" t="str">
        <f ca="1">IF(ROWS($1:88)&gt;COUNT(Dong2),"",IF(AND(IF($M$9="Q11",LEFT(OFFSET(TH!G$1,SMALL(Dong2,ROWS($1:88)),),3)=$M$9,LEFT(OFFSET(TH!G$1,SMALL(Dong2,ROWS($1:88)),),2)=$M$9),OFFSET(TH!N$1,SMALL(Dong2,ROWS($1:88)),)=$I$6),IF($I$6="1121",OFFSET(TH!M$1,SMALL(Dong2,ROWS($1:88)),),OFFSET(TH!K$1,SMALL(Dong2,ROWS($1:88)),)),0))</f>
        <v/>
      </c>
      <c r="G99" s="1163" t="str">
        <f ca="1">IF(ROWS($1:88)&gt;COUNT(Dong2),"",IF(AND(IF($M$9="Q11",RIGHT(OFFSET(TH!G$1,SMALL(Dong2,ROWS($1:88)),),3)=$M$9,RIGHT(OFFSET(TH!G$1,SMALL(Dong2,ROWS($1:88)),),2)=$M$9),OFFSET(TH!O$1,SMALL(Dong2,ROWS($1:88)),)=$I$6),IF($I$6="1121",OFFSET(TH!M$1,SMALL(Dong2,ROWS($1:88)),),OFFSET(TH!K$1,SMALL(Dong2,ROWS($1:88)),)),0))</f>
        <v/>
      </c>
      <c r="H99" s="940">
        <f t="shared" ca="1" si="2"/>
        <v>0</v>
      </c>
      <c r="I99" s="940"/>
    </row>
    <row r="100" spans="1:9" s="189" customFormat="1" ht="20.25" customHeight="1">
      <c r="A100" s="200" t="str">
        <f ca="1">IF(ROWS($1:89)&gt;COUNT(Dong2),"",OFFSET(TH!C$1,SMALL(Dong2,ROWS($1:89)),))</f>
        <v/>
      </c>
      <c r="B100" s="200" t="str">
        <f ca="1">IF(ROWS($1:89)&gt;COUNT(Dong2),"",OFFSET(TH!D$1,SMALL(Dong2,ROWS($1:89)),))</f>
        <v/>
      </c>
      <c r="C100" s="200" t="str">
        <f ca="1">IF(ROWS($1:89)&gt;COUNT(Dong2),"",OFFSET(TH!E$1,SMALL(Dong2,ROWS($1:89)),))</f>
        <v/>
      </c>
      <c r="D100" s="380" t="str">
        <f ca="1">IF(ROWS($1:89)&gt;COUNT(Dong2),"",OFFSET(TH!F$1,SMALL(Dong2,ROWS($1:89)),))</f>
        <v/>
      </c>
      <c r="E100" s="200" t="str">
        <f ca="1">IF(ROWS($1:89)&gt;COUNT(Dong2),"",IF(OFFSET(TH!O$1,SMALL(Dong2,ROWS($1:89)),)=$I$6,OFFSET(TH!N$1,SMALL(Dong2,ROWS($1:89)),),OFFSET(TH!O$1,SMALL(Dong2,ROWS($1:89)),)))</f>
        <v/>
      </c>
      <c r="F100" s="1163" t="str">
        <f ca="1">IF(ROWS($1:89)&gt;COUNT(Dong2),"",IF(AND(IF($M$9="Q11",LEFT(OFFSET(TH!G$1,SMALL(Dong2,ROWS($1:89)),),3)=$M$9,LEFT(OFFSET(TH!G$1,SMALL(Dong2,ROWS($1:89)),),2)=$M$9),OFFSET(TH!N$1,SMALL(Dong2,ROWS($1:89)),)=$I$6),IF($I$6="1121",OFFSET(TH!M$1,SMALL(Dong2,ROWS($1:89)),),OFFSET(TH!K$1,SMALL(Dong2,ROWS($1:89)),)),0))</f>
        <v/>
      </c>
      <c r="G100" s="1163" t="str">
        <f ca="1">IF(ROWS($1:89)&gt;COUNT(Dong2),"",IF(AND(IF($M$9="Q11",RIGHT(OFFSET(TH!G$1,SMALL(Dong2,ROWS($1:89)),),3)=$M$9,RIGHT(OFFSET(TH!G$1,SMALL(Dong2,ROWS($1:89)),),2)=$M$9),OFFSET(TH!O$1,SMALL(Dong2,ROWS($1:89)),)=$I$6),IF($I$6="1121",OFFSET(TH!M$1,SMALL(Dong2,ROWS($1:89)),),OFFSET(TH!K$1,SMALL(Dong2,ROWS($1:89)),)),0))</f>
        <v/>
      </c>
      <c r="H100" s="940">
        <f t="shared" ca="1" si="2"/>
        <v>0</v>
      </c>
      <c r="I100" s="940"/>
    </row>
    <row r="101" spans="1:9" s="189" customFormat="1" ht="20.25" customHeight="1">
      <c r="A101" s="200" t="str">
        <f ca="1">IF(ROWS($1:90)&gt;COUNT(Dong2),"",OFFSET(TH!C$1,SMALL(Dong2,ROWS($1:90)),))</f>
        <v/>
      </c>
      <c r="B101" s="200" t="str">
        <f ca="1">IF(ROWS($1:90)&gt;COUNT(Dong2),"",OFFSET(TH!D$1,SMALL(Dong2,ROWS($1:90)),))</f>
        <v/>
      </c>
      <c r="C101" s="200" t="str">
        <f ca="1">IF(ROWS($1:90)&gt;COUNT(Dong2),"",OFFSET(TH!E$1,SMALL(Dong2,ROWS($1:90)),))</f>
        <v/>
      </c>
      <c r="D101" s="380" t="str">
        <f ca="1">IF(ROWS($1:90)&gt;COUNT(Dong2),"",OFFSET(TH!F$1,SMALL(Dong2,ROWS($1:90)),))</f>
        <v/>
      </c>
      <c r="E101" s="200" t="str">
        <f ca="1">IF(ROWS($1:90)&gt;COUNT(Dong2),"",IF(OFFSET(TH!O$1,SMALL(Dong2,ROWS($1:90)),)=$I$6,OFFSET(TH!N$1,SMALL(Dong2,ROWS($1:90)),),OFFSET(TH!O$1,SMALL(Dong2,ROWS($1:90)),)))</f>
        <v/>
      </c>
      <c r="F101" s="1163" t="str">
        <f ca="1">IF(ROWS($1:90)&gt;COUNT(Dong2),"",IF(AND(IF($M$9="Q11",LEFT(OFFSET(TH!G$1,SMALL(Dong2,ROWS($1:90)),),3)=$M$9,LEFT(OFFSET(TH!G$1,SMALL(Dong2,ROWS($1:90)),),2)=$M$9),OFFSET(TH!N$1,SMALL(Dong2,ROWS($1:90)),)=$I$6),IF($I$6="1121",OFFSET(TH!M$1,SMALL(Dong2,ROWS($1:90)),),OFFSET(TH!K$1,SMALL(Dong2,ROWS($1:90)),)),0))</f>
        <v/>
      </c>
      <c r="G101" s="1163" t="str">
        <f ca="1">IF(ROWS($1:90)&gt;COUNT(Dong2),"",IF(AND(IF($M$9="Q11",RIGHT(OFFSET(TH!G$1,SMALL(Dong2,ROWS($1:90)),),3)=$M$9,RIGHT(OFFSET(TH!G$1,SMALL(Dong2,ROWS($1:90)),),2)=$M$9),OFFSET(TH!O$1,SMALL(Dong2,ROWS($1:90)),)=$I$6),IF($I$6="1121",OFFSET(TH!M$1,SMALL(Dong2,ROWS($1:90)),),OFFSET(TH!K$1,SMALL(Dong2,ROWS($1:90)),)),0))</f>
        <v/>
      </c>
      <c r="H101" s="940">
        <f t="shared" ca="1" si="2"/>
        <v>0</v>
      </c>
      <c r="I101" s="940"/>
    </row>
    <row r="102" spans="1:9" s="189" customFormat="1" ht="20.25" customHeight="1">
      <c r="A102" s="200" t="str">
        <f ca="1">IF(ROWS($1:91)&gt;COUNT(Dong2),"",OFFSET(TH!C$1,SMALL(Dong2,ROWS($1:91)),))</f>
        <v/>
      </c>
      <c r="B102" s="200" t="str">
        <f ca="1">IF(ROWS($1:91)&gt;COUNT(Dong2),"",OFFSET(TH!D$1,SMALL(Dong2,ROWS($1:91)),))</f>
        <v/>
      </c>
      <c r="C102" s="200" t="str">
        <f ca="1">IF(ROWS($1:91)&gt;COUNT(Dong2),"",OFFSET(TH!E$1,SMALL(Dong2,ROWS($1:91)),))</f>
        <v/>
      </c>
      <c r="D102" s="380" t="str">
        <f ca="1">IF(ROWS($1:91)&gt;COUNT(Dong2),"",OFFSET(TH!F$1,SMALL(Dong2,ROWS($1:91)),))</f>
        <v/>
      </c>
      <c r="E102" s="200" t="str">
        <f ca="1">IF(ROWS($1:91)&gt;COUNT(Dong2),"",IF(OFFSET(TH!O$1,SMALL(Dong2,ROWS($1:91)),)=$I$6,OFFSET(TH!N$1,SMALL(Dong2,ROWS($1:91)),),OFFSET(TH!O$1,SMALL(Dong2,ROWS($1:91)),)))</f>
        <v/>
      </c>
      <c r="F102" s="1163" t="str">
        <f ca="1">IF(ROWS($1:91)&gt;COUNT(Dong2),"",IF(AND(IF($M$9="Q11",LEFT(OFFSET(TH!G$1,SMALL(Dong2,ROWS($1:91)),),3)=$M$9,LEFT(OFFSET(TH!G$1,SMALL(Dong2,ROWS($1:91)),),2)=$M$9),OFFSET(TH!N$1,SMALL(Dong2,ROWS($1:91)),)=$I$6),IF($I$6="1121",OFFSET(TH!M$1,SMALL(Dong2,ROWS($1:91)),),OFFSET(TH!K$1,SMALL(Dong2,ROWS($1:91)),)),0))</f>
        <v/>
      </c>
      <c r="G102" s="1163" t="str">
        <f ca="1">IF(ROWS($1:91)&gt;COUNT(Dong2),"",IF(AND(IF($M$9="Q11",RIGHT(OFFSET(TH!G$1,SMALL(Dong2,ROWS($1:91)),),3)=$M$9,RIGHT(OFFSET(TH!G$1,SMALL(Dong2,ROWS($1:91)),),2)=$M$9),OFFSET(TH!O$1,SMALL(Dong2,ROWS($1:91)),)=$I$6),IF($I$6="1121",OFFSET(TH!M$1,SMALL(Dong2,ROWS($1:91)),),OFFSET(TH!K$1,SMALL(Dong2,ROWS($1:91)),)),0))</f>
        <v/>
      </c>
      <c r="H102" s="940">
        <f t="shared" ca="1" si="2"/>
        <v>0</v>
      </c>
      <c r="I102" s="940"/>
    </row>
    <row r="103" spans="1:9" s="189" customFormat="1" ht="20.25" customHeight="1">
      <c r="A103" s="200" t="str">
        <f ca="1">IF(ROWS($1:92)&gt;COUNT(Dong2),"",OFFSET(TH!C$1,SMALL(Dong2,ROWS($1:92)),))</f>
        <v/>
      </c>
      <c r="B103" s="200" t="str">
        <f ca="1">IF(ROWS($1:92)&gt;COUNT(Dong2),"",OFFSET(TH!D$1,SMALL(Dong2,ROWS($1:92)),))</f>
        <v/>
      </c>
      <c r="C103" s="200" t="str">
        <f ca="1">IF(ROWS($1:92)&gt;COUNT(Dong2),"",OFFSET(TH!E$1,SMALL(Dong2,ROWS($1:92)),))</f>
        <v/>
      </c>
      <c r="D103" s="380" t="str">
        <f ca="1">IF(ROWS($1:92)&gt;COUNT(Dong2),"",OFFSET(TH!F$1,SMALL(Dong2,ROWS($1:92)),))</f>
        <v/>
      </c>
      <c r="E103" s="200" t="str">
        <f ca="1">IF(ROWS($1:92)&gt;COUNT(Dong2),"",IF(OFFSET(TH!O$1,SMALL(Dong2,ROWS($1:92)),)=$I$6,OFFSET(TH!N$1,SMALL(Dong2,ROWS($1:92)),),OFFSET(TH!O$1,SMALL(Dong2,ROWS($1:92)),)))</f>
        <v/>
      </c>
      <c r="F103" s="1163" t="str">
        <f ca="1">IF(ROWS($1:92)&gt;COUNT(Dong2),"",IF(AND(IF($M$9="Q11",LEFT(OFFSET(TH!G$1,SMALL(Dong2,ROWS($1:92)),),3)=$M$9,LEFT(OFFSET(TH!G$1,SMALL(Dong2,ROWS($1:92)),),2)=$M$9),OFFSET(TH!N$1,SMALL(Dong2,ROWS($1:92)),)=$I$6),IF($I$6="1121",OFFSET(TH!M$1,SMALL(Dong2,ROWS($1:92)),),OFFSET(TH!K$1,SMALL(Dong2,ROWS($1:92)),)),0))</f>
        <v/>
      </c>
      <c r="G103" s="1163" t="str">
        <f ca="1">IF(ROWS($1:92)&gt;COUNT(Dong2),"",IF(AND(IF($M$9="Q11",RIGHT(OFFSET(TH!G$1,SMALL(Dong2,ROWS($1:92)),),3)=$M$9,RIGHT(OFFSET(TH!G$1,SMALL(Dong2,ROWS($1:92)),),2)=$M$9),OFFSET(TH!O$1,SMALL(Dong2,ROWS($1:92)),)=$I$6),IF($I$6="1121",OFFSET(TH!M$1,SMALL(Dong2,ROWS($1:92)),),OFFSET(TH!K$1,SMALL(Dong2,ROWS($1:92)),)),0))</f>
        <v/>
      </c>
      <c r="H103" s="940">
        <f t="shared" ca="1" si="2"/>
        <v>0</v>
      </c>
      <c r="I103" s="940"/>
    </row>
    <row r="104" spans="1:9" s="189" customFormat="1" ht="20.25" customHeight="1">
      <c r="A104" s="200" t="str">
        <f ca="1">IF(ROWS($1:93)&gt;COUNT(Dong2),"",OFFSET(TH!C$1,SMALL(Dong2,ROWS($1:93)),))</f>
        <v/>
      </c>
      <c r="B104" s="200" t="str">
        <f ca="1">IF(ROWS($1:93)&gt;COUNT(Dong2),"",OFFSET(TH!D$1,SMALL(Dong2,ROWS($1:93)),))</f>
        <v/>
      </c>
      <c r="C104" s="200" t="str">
        <f ca="1">IF(ROWS($1:93)&gt;COUNT(Dong2),"",OFFSET(TH!E$1,SMALL(Dong2,ROWS($1:93)),))</f>
        <v/>
      </c>
      <c r="D104" s="380" t="str">
        <f ca="1">IF(ROWS($1:93)&gt;COUNT(Dong2),"",OFFSET(TH!F$1,SMALL(Dong2,ROWS($1:93)),))</f>
        <v/>
      </c>
      <c r="E104" s="200" t="str">
        <f ca="1">IF(ROWS($1:93)&gt;COUNT(Dong2),"",IF(OFFSET(TH!O$1,SMALL(Dong2,ROWS($1:93)),)=$I$6,OFFSET(TH!N$1,SMALL(Dong2,ROWS($1:93)),),OFFSET(TH!O$1,SMALL(Dong2,ROWS($1:93)),)))</f>
        <v/>
      </c>
      <c r="F104" s="1163" t="str">
        <f ca="1">IF(ROWS($1:93)&gt;COUNT(Dong2),"",IF(AND(IF($M$9="Q11",LEFT(OFFSET(TH!G$1,SMALL(Dong2,ROWS($1:93)),),3)=$M$9,LEFT(OFFSET(TH!G$1,SMALL(Dong2,ROWS($1:93)),),2)=$M$9),OFFSET(TH!N$1,SMALL(Dong2,ROWS($1:93)),)=$I$6),IF($I$6="1121",OFFSET(TH!M$1,SMALL(Dong2,ROWS($1:93)),),OFFSET(TH!K$1,SMALL(Dong2,ROWS($1:93)),)),0))</f>
        <v/>
      </c>
      <c r="G104" s="1163" t="str">
        <f ca="1">IF(ROWS($1:93)&gt;COUNT(Dong2),"",IF(AND(IF($M$9="Q11",RIGHT(OFFSET(TH!G$1,SMALL(Dong2,ROWS($1:93)),),3)=$M$9,RIGHT(OFFSET(TH!G$1,SMALL(Dong2,ROWS($1:93)),),2)=$M$9),OFFSET(TH!O$1,SMALL(Dong2,ROWS($1:93)),)=$I$6),IF($I$6="1121",OFFSET(TH!M$1,SMALL(Dong2,ROWS($1:93)),),OFFSET(TH!K$1,SMALL(Dong2,ROWS($1:93)),)),0))</f>
        <v/>
      </c>
      <c r="H104" s="940">
        <f t="shared" ca="1" si="2"/>
        <v>0</v>
      </c>
      <c r="I104" s="940"/>
    </row>
    <row r="105" spans="1:9" s="189" customFormat="1" ht="20.25" customHeight="1">
      <c r="A105" s="200" t="str">
        <f ca="1">IF(ROWS($1:94)&gt;COUNT(Dong2),"",OFFSET(TH!C$1,SMALL(Dong2,ROWS($1:94)),))</f>
        <v/>
      </c>
      <c r="B105" s="200" t="str">
        <f ca="1">IF(ROWS($1:94)&gt;COUNT(Dong2),"",OFFSET(TH!D$1,SMALL(Dong2,ROWS($1:94)),))</f>
        <v/>
      </c>
      <c r="C105" s="200" t="str">
        <f ca="1">IF(ROWS($1:94)&gt;COUNT(Dong2),"",OFFSET(TH!E$1,SMALL(Dong2,ROWS($1:94)),))</f>
        <v/>
      </c>
      <c r="D105" s="380" t="str">
        <f ca="1">IF(ROWS($1:94)&gt;COUNT(Dong2),"",OFFSET(TH!F$1,SMALL(Dong2,ROWS($1:94)),))</f>
        <v/>
      </c>
      <c r="E105" s="200" t="str">
        <f ca="1">IF(ROWS($1:94)&gt;COUNT(Dong2),"",IF(OFFSET(TH!O$1,SMALL(Dong2,ROWS($1:94)),)=$I$6,OFFSET(TH!N$1,SMALL(Dong2,ROWS($1:94)),),OFFSET(TH!O$1,SMALL(Dong2,ROWS($1:94)),)))</f>
        <v/>
      </c>
      <c r="F105" s="1163" t="str">
        <f ca="1">IF(ROWS($1:94)&gt;COUNT(Dong2),"",IF(AND(IF($M$9="Q11",LEFT(OFFSET(TH!G$1,SMALL(Dong2,ROWS($1:94)),),3)=$M$9,LEFT(OFFSET(TH!G$1,SMALL(Dong2,ROWS($1:94)),),2)=$M$9),OFFSET(TH!N$1,SMALL(Dong2,ROWS($1:94)),)=$I$6),IF($I$6="1121",OFFSET(TH!M$1,SMALL(Dong2,ROWS($1:94)),),OFFSET(TH!K$1,SMALL(Dong2,ROWS($1:94)),)),0))</f>
        <v/>
      </c>
      <c r="G105" s="1163" t="str">
        <f ca="1">IF(ROWS($1:94)&gt;COUNT(Dong2),"",IF(AND(IF($M$9="Q11",RIGHT(OFFSET(TH!G$1,SMALL(Dong2,ROWS($1:94)),),3)=$M$9,RIGHT(OFFSET(TH!G$1,SMALL(Dong2,ROWS($1:94)),),2)=$M$9),OFFSET(TH!O$1,SMALL(Dong2,ROWS($1:94)),)=$I$6),IF($I$6="1121",OFFSET(TH!M$1,SMALL(Dong2,ROWS($1:94)),),OFFSET(TH!K$1,SMALL(Dong2,ROWS($1:94)),)),0))</f>
        <v/>
      </c>
      <c r="H105" s="940">
        <f t="shared" ca="1" si="2"/>
        <v>0</v>
      </c>
      <c r="I105" s="940"/>
    </row>
    <row r="106" spans="1:9" s="189" customFormat="1" ht="20.25" customHeight="1">
      <c r="A106" s="200" t="str">
        <f ca="1">IF(ROWS($1:95)&gt;COUNT(Dong2),"",OFFSET(TH!C$1,SMALL(Dong2,ROWS($1:95)),))</f>
        <v/>
      </c>
      <c r="B106" s="200" t="str">
        <f ca="1">IF(ROWS($1:95)&gt;COUNT(Dong2),"",OFFSET(TH!D$1,SMALL(Dong2,ROWS($1:95)),))</f>
        <v/>
      </c>
      <c r="C106" s="200" t="str">
        <f ca="1">IF(ROWS($1:95)&gt;COUNT(Dong2),"",OFFSET(TH!E$1,SMALL(Dong2,ROWS($1:95)),))</f>
        <v/>
      </c>
      <c r="D106" s="380" t="str">
        <f ca="1">IF(ROWS($1:95)&gt;COUNT(Dong2),"",OFFSET(TH!F$1,SMALL(Dong2,ROWS($1:95)),))</f>
        <v/>
      </c>
      <c r="E106" s="200" t="str">
        <f ca="1">IF(ROWS($1:95)&gt;COUNT(Dong2),"",IF(OFFSET(TH!O$1,SMALL(Dong2,ROWS($1:95)),)=$I$6,OFFSET(TH!N$1,SMALL(Dong2,ROWS($1:95)),),OFFSET(TH!O$1,SMALL(Dong2,ROWS($1:95)),)))</f>
        <v/>
      </c>
      <c r="F106" s="1163" t="str">
        <f ca="1">IF(ROWS($1:95)&gt;COUNT(Dong2),"",IF(AND(IF($M$9="Q11",LEFT(OFFSET(TH!G$1,SMALL(Dong2,ROWS($1:95)),),3)=$M$9,LEFT(OFFSET(TH!G$1,SMALL(Dong2,ROWS($1:95)),),2)=$M$9),OFFSET(TH!N$1,SMALL(Dong2,ROWS($1:95)),)=$I$6),IF($I$6="1121",OFFSET(TH!M$1,SMALL(Dong2,ROWS($1:95)),),OFFSET(TH!K$1,SMALL(Dong2,ROWS($1:95)),)),0))</f>
        <v/>
      </c>
      <c r="G106" s="1163" t="str">
        <f ca="1">IF(ROWS($1:95)&gt;COUNT(Dong2),"",IF(AND(IF($M$9="Q11",RIGHT(OFFSET(TH!G$1,SMALL(Dong2,ROWS($1:95)),),3)=$M$9,RIGHT(OFFSET(TH!G$1,SMALL(Dong2,ROWS($1:95)),),2)=$M$9),OFFSET(TH!O$1,SMALL(Dong2,ROWS($1:95)),)=$I$6),IF($I$6="1121",OFFSET(TH!M$1,SMALL(Dong2,ROWS($1:95)),),OFFSET(TH!K$1,SMALL(Dong2,ROWS($1:95)),)),0))</f>
        <v/>
      </c>
      <c r="H106" s="940">
        <f t="shared" ca="1" si="2"/>
        <v>0</v>
      </c>
      <c r="I106" s="940"/>
    </row>
    <row r="107" spans="1:9" s="189" customFormat="1" ht="20.25" customHeight="1">
      <c r="A107" s="200" t="str">
        <f ca="1">IF(ROWS($1:96)&gt;COUNT(Dong2),"",OFFSET(TH!C$1,SMALL(Dong2,ROWS($1:96)),))</f>
        <v/>
      </c>
      <c r="B107" s="200" t="str">
        <f ca="1">IF(ROWS($1:96)&gt;COUNT(Dong2),"",OFFSET(TH!D$1,SMALL(Dong2,ROWS($1:96)),))</f>
        <v/>
      </c>
      <c r="C107" s="200" t="str">
        <f ca="1">IF(ROWS($1:96)&gt;COUNT(Dong2),"",OFFSET(TH!E$1,SMALL(Dong2,ROWS($1:96)),))</f>
        <v/>
      </c>
      <c r="D107" s="380" t="str">
        <f ca="1">IF(ROWS($1:96)&gt;COUNT(Dong2),"",OFFSET(TH!F$1,SMALL(Dong2,ROWS($1:96)),))</f>
        <v/>
      </c>
      <c r="E107" s="200" t="str">
        <f ca="1">IF(ROWS($1:96)&gt;COUNT(Dong2),"",IF(OFFSET(TH!O$1,SMALL(Dong2,ROWS($1:96)),)=$I$6,OFFSET(TH!N$1,SMALL(Dong2,ROWS($1:96)),),OFFSET(TH!O$1,SMALL(Dong2,ROWS($1:96)),)))</f>
        <v/>
      </c>
      <c r="F107" s="1163" t="str">
        <f ca="1">IF(ROWS($1:96)&gt;COUNT(Dong2),"",IF(AND(IF($M$9="Q11",LEFT(OFFSET(TH!G$1,SMALL(Dong2,ROWS($1:96)),),3)=$M$9,LEFT(OFFSET(TH!G$1,SMALL(Dong2,ROWS($1:96)),),2)=$M$9),OFFSET(TH!N$1,SMALL(Dong2,ROWS($1:96)),)=$I$6),IF($I$6="1121",OFFSET(TH!M$1,SMALL(Dong2,ROWS($1:96)),),OFFSET(TH!K$1,SMALL(Dong2,ROWS($1:96)),)),0))</f>
        <v/>
      </c>
      <c r="G107" s="1163" t="str">
        <f ca="1">IF(ROWS($1:96)&gt;COUNT(Dong2),"",IF(AND(IF($M$9="Q11",RIGHT(OFFSET(TH!G$1,SMALL(Dong2,ROWS($1:96)),),3)=$M$9,RIGHT(OFFSET(TH!G$1,SMALL(Dong2,ROWS($1:96)),),2)=$M$9),OFFSET(TH!O$1,SMALL(Dong2,ROWS($1:96)),)=$I$6),IF($I$6="1121",OFFSET(TH!M$1,SMALL(Dong2,ROWS($1:96)),),OFFSET(TH!K$1,SMALL(Dong2,ROWS($1:96)),)),0))</f>
        <v/>
      </c>
      <c r="H107" s="940">
        <f t="shared" ca="1" si="2"/>
        <v>0</v>
      </c>
      <c r="I107" s="940"/>
    </row>
    <row r="108" spans="1:9" s="189" customFormat="1" ht="20.25" customHeight="1">
      <c r="A108" s="200" t="str">
        <f ca="1">IF(ROWS($1:97)&gt;COUNT(Dong2),"",OFFSET(TH!C$1,SMALL(Dong2,ROWS($1:97)),))</f>
        <v/>
      </c>
      <c r="B108" s="200" t="str">
        <f ca="1">IF(ROWS($1:97)&gt;COUNT(Dong2),"",OFFSET(TH!D$1,SMALL(Dong2,ROWS($1:97)),))</f>
        <v/>
      </c>
      <c r="C108" s="200" t="str">
        <f ca="1">IF(ROWS($1:97)&gt;COUNT(Dong2),"",OFFSET(TH!E$1,SMALL(Dong2,ROWS($1:97)),))</f>
        <v/>
      </c>
      <c r="D108" s="380" t="str">
        <f ca="1">IF(ROWS($1:97)&gt;COUNT(Dong2),"",OFFSET(TH!F$1,SMALL(Dong2,ROWS($1:97)),))</f>
        <v/>
      </c>
      <c r="E108" s="200" t="str">
        <f ca="1">IF(ROWS($1:97)&gt;COUNT(Dong2),"",IF(OFFSET(TH!O$1,SMALL(Dong2,ROWS($1:97)),)=$I$6,OFFSET(TH!N$1,SMALL(Dong2,ROWS($1:97)),),OFFSET(TH!O$1,SMALL(Dong2,ROWS($1:97)),)))</f>
        <v/>
      </c>
      <c r="F108" s="1163" t="str">
        <f ca="1">IF(ROWS($1:97)&gt;COUNT(Dong2),"",IF(AND(IF($M$9="Q11",LEFT(OFFSET(TH!G$1,SMALL(Dong2,ROWS($1:97)),),3)=$M$9,LEFT(OFFSET(TH!G$1,SMALL(Dong2,ROWS($1:97)),),2)=$M$9),OFFSET(TH!N$1,SMALL(Dong2,ROWS($1:97)),)=$I$6),IF($I$6="1121",OFFSET(TH!M$1,SMALL(Dong2,ROWS($1:97)),),OFFSET(TH!K$1,SMALL(Dong2,ROWS($1:97)),)),0))</f>
        <v/>
      </c>
      <c r="G108" s="1163" t="str">
        <f ca="1">IF(ROWS($1:97)&gt;COUNT(Dong2),"",IF(AND(IF($M$9="Q11",RIGHT(OFFSET(TH!G$1,SMALL(Dong2,ROWS($1:97)),),3)=$M$9,RIGHT(OFFSET(TH!G$1,SMALL(Dong2,ROWS($1:97)),),2)=$M$9),OFFSET(TH!O$1,SMALL(Dong2,ROWS($1:97)),)=$I$6),IF($I$6="1121",OFFSET(TH!M$1,SMALL(Dong2,ROWS($1:97)),),OFFSET(TH!K$1,SMALL(Dong2,ROWS($1:97)),)),0))</f>
        <v/>
      </c>
      <c r="H108" s="940">
        <f t="shared" ca="1" si="2"/>
        <v>0</v>
      </c>
      <c r="I108" s="940"/>
    </row>
    <row r="109" spans="1:9" s="189" customFormat="1" ht="20.25" customHeight="1">
      <c r="A109" s="200" t="str">
        <f ca="1">IF(ROWS($1:98)&gt;COUNT(Dong2),"",OFFSET(TH!C$1,SMALL(Dong2,ROWS($1:98)),))</f>
        <v/>
      </c>
      <c r="B109" s="200" t="str">
        <f ca="1">IF(ROWS($1:98)&gt;COUNT(Dong2),"",OFFSET(TH!D$1,SMALL(Dong2,ROWS($1:98)),))</f>
        <v/>
      </c>
      <c r="C109" s="200" t="str">
        <f ca="1">IF(ROWS($1:98)&gt;COUNT(Dong2),"",OFFSET(TH!E$1,SMALL(Dong2,ROWS($1:98)),))</f>
        <v/>
      </c>
      <c r="D109" s="380" t="str">
        <f ca="1">IF(ROWS($1:98)&gt;COUNT(Dong2),"",OFFSET(TH!F$1,SMALL(Dong2,ROWS($1:98)),))</f>
        <v/>
      </c>
      <c r="E109" s="200" t="str">
        <f ca="1">IF(ROWS($1:98)&gt;COUNT(Dong2),"",IF(OFFSET(TH!O$1,SMALL(Dong2,ROWS($1:98)),)=$I$6,OFFSET(TH!N$1,SMALL(Dong2,ROWS($1:98)),),OFFSET(TH!O$1,SMALL(Dong2,ROWS($1:98)),)))</f>
        <v/>
      </c>
      <c r="F109" s="1163" t="str">
        <f ca="1">IF(ROWS($1:98)&gt;COUNT(Dong2),"",IF(AND(IF($M$9="Q11",LEFT(OFFSET(TH!G$1,SMALL(Dong2,ROWS($1:98)),),3)=$M$9,LEFT(OFFSET(TH!G$1,SMALL(Dong2,ROWS($1:98)),),2)=$M$9),OFFSET(TH!N$1,SMALL(Dong2,ROWS($1:98)),)=$I$6),IF($I$6="1121",OFFSET(TH!M$1,SMALL(Dong2,ROWS($1:98)),),OFFSET(TH!K$1,SMALL(Dong2,ROWS($1:98)),)),0))</f>
        <v/>
      </c>
      <c r="G109" s="1163" t="str">
        <f ca="1">IF(ROWS($1:98)&gt;COUNT(Dong2),"",IF(AND(IF($M$9="Q11",RIGHT(OFFSET(TH!G$1,SMALL(Dong2,ROWS($1:98)),),3)=$M$9,RIGHT(OFFSET(TH!G$1,SMALL(Dong2,ROWS($1:98)),),2)=$M$9),OFFSET(TH!O$1,SMALL(Dong2,ROWS($1:98)),)=$I$6),IF($I$6="1121",OFFSET(TH!M$1,SMALL(Dong2,ROWS($1:98)),),OFFSET(TH!K$1,SMALL(Dong2,ROWS($1:98)),)),0))</f>
        <v/>
      </c>
      <c r="H109" s="940">
        <f t="shared" ca="1" si="2"/>
        <v>0</v>
      </c>
      <c r="I109" s="940"/>
    </row>
    <row r="110" spans="1:9" s="189" customFormat="1" ht="20.25" customHeight="1">
      <c r="A110" s="200" t="str">
        <f ca="1">IF(ROWS($1:99)&gt;COUNT(Dong2),"",OFFSET(TH!C$1,SMALL(Dong2,ROWS($1:99)),))</f>
        <v/>
      </c>
      <c r="B110" s="200" t="str">
        <f ca="1">IF(ROWS($1:99)&gt;COUNT(Dong2),"",OFFSET(TH!D$1,SMALL(Dong2,ROWS($1:99)),))</f>
        <v/>
      </c>
      <c r="C110" s="200" t="str">
        <f ca="1">IF(ROWS($1:99)&gt;COUNT(Dong2),"",OFFSET(TH!E$1,SMALL(Dong2,ROWS($1:99)),))</f>
        <v/>
      </c>
      <c r="D110" s="380" t="str">
        <f ca="1">IF(ROWS($1:99)&gt;COUNT(Dong2),"",OFFSET(TH!F$1,SMALL(Dong2,ROWS($1:99)),))</f>
        <v/>
      </c>
      <c r="E110" s="200" t="str">
        <f ca="1">IF(ROWS($1:99)&gt;COUNT(Dong2),"",IF(OFFSET(TH!O$1,SMALL(Dong2,ROWS($1:99)),)=$I$6,OFFSET(TH!N$1,SMALL(Dong2,ROWS($1:99)),),OFFSET(TH!O$1,SMALL(Dong2,ROWS($1:99)),)))</f>
        <v/>
      </c>
      <c r="F110" s="1163" t="str">
        <f ca="1">IF(ROWS($1:99)&gt;COUNT(Dong2),"",IF(AND(IF($M$9="Q11",LEFT(OFFSET(TH!G$1,SMALL(Dong2,ROWS($1:99)),),3)=$M$9,LEFT(OFFSET(TH!G$1,SMALL(Dong2,ROWS($1:99)),),2)=$M$9),OFFSET(TH!N$1,SMALL(Dong2,ROWS($1:99)),)=$I$6),IF($I$6="1121",OFFSET(TH!M$1,SMALL(Dong2,ROWS($1:99)),),OFFSET(TH!K$1,SMALL(Dong2,ROWS($1:99)),)),0))</f>
        <v/>
      </c>
      <c r="G110" s="1163" t="str">
        <f ca="1">IF(ROWS($1:99)&gt;COUNT(Dong2),"",IF(AND(IF($M$9="Q11",RIGHT(OFFSET(TH!G$1,SMALL(Dong2,ROWS($1:99)),),3)=$M$9,RIGHT(OFFSET(TH!G$1,SMALL(Dong2,ROWS($1:99)),),2)=$M$9),OFFSET(TH!O$1,SMALL(Dong2,ROWS($1:99)),)=$I$6),IF($I$6="1121",OFFSET(TH!M$1,SMALL(Dong2,ROWS($1:99)),),OFFSET(TH!K$1,SMALL(Dong2,ROWS($1:99)),)),0))</f>
        <v/>
      </c>
      <c r="H110" s="940">
        <f t="shared" ca="1" si="2"/>
        <v>0</v>
      </c>
      <c r="I110" s="940"/>
    </row>
    <row r="111" spans="1:9" s="189" customFormat="1" ht="20.25" customHeight="1">
      <c r="A111" s="200" t="str">
        <f ca="1">IF(ROWS($1:100)&gt;COUNT(Dong2),"",OFFSET(TH!C$1,SMALL(Dong2,ROWS($1:100)),))</f>
        <v/>
      </c>
      <c r="B111" s="200" t="str">
        <f ca="1">IF(ROWS($1:100)&gt;COUNT(Dong2),"",OFFSET(TH!D$1,SMALL(Dong2,ROWS($1:100)),))</f>
        <v/>
      </c>
      <c r="C111" s="200" t="str">
        <f ca="1">IF(ROWS($1:100)&gt;COUNT(Dong2),"",OFFSET(TH!E$1,SMALL(Dong2,ROWS($1:100)),))</f>
        <v/>
      </c>
      <c r="D111" s="380" t="str">
        <f ca="1">IF(ROWS($1:100)&gt;COUNT(Dong2),"",OFFSET(TH!F$1,SMALL(Dong2,ROWS($1:100)),))</f>
        <v/>
      </c>
      <c r="E111" s="200" t="str">
        <f ca="1">IF(ROWS($1:100)&gt;COUNT(Dong2),"",IF(OFFSET(TH!O$1,SMALL(Dong2,ROWS($1:100)),)=$I$6,OFFSET(TH!N$1,SMALL(Dong2,ROWS($1:100)),),OFFSET(TH!O$1,SMALL(Dong2,ROWS($1:100)),)))</f>
        <v/>
      </c>
      <c r="F111" s="1163" t="str">
        <f ca="1">IF(ROWS($1:100)&gt;COUNT(Dong2),"",IF(AND(IF($M$9="Q11",LEFT(OFFSET(TH!G$1,SMALL(Dong2,ROWS($1:100)),),3)=$M$9,LEFT(OFFSET(TH!G$1,SMALL(Dong2,ROWS($1:100)),),2)=$M$9),OFFSET(TH!N$1,SMALL(Dong2,ROWS($1:100)),)=$I$6),IF($I$6="1121",OFFSET(TH!M$1,SMALL(Dong2,ROWS($1:100)),),OFFSET(TH!K$1,SMALL(Dong2,ROWS($1:100)),)),0))</f>
        <v/>
      </c>
      <c r="G111" s="1163" t="str">
        <f ca="1">IF(ROWS($1:100)&gt;COUNT(Dong2),"",IF(AND(IF($M$9="Q11",RIGHT(OFFSET(TH!G$1,SMALL(Dong2,ROWS($1:100)),),3)=$M$9,RIGHT(OFFSET(TH!G$1,SMALL(Dong2,ROWS($1:100)),),2)=$M$9),OFFSET(TH!O$1,SMALL(Dong2,ROWS($1:100)),)=$I$6),IF($I$6="1121",OFFSET(TH!M$1,SMALL(Dong2,ROWS($1:100)),),OFFSET(TH!K$1,SMALL(Dong2,ROWS($1:100)),)),0))</f>
        <v/>
      </c>
      <c r="H111" s="940">
        <f t="shared" ca="1" si="2"/>
        <v>0</v>
      </c>
      <c r="I111" s="940"/>
    </row>
    <row r="112" spans="1:9" s="189" customFormat="1" ht="20.25" customHeight="1">
      <c r="A112" s="200" t="str">
        <f ca="1">IF(ROWS($1:101)&gt;COUNT(Dong2),"",OFFSET(TH!C$1,SMALL(Dong2,ROWS($1:101)),))</f>
        <v/>
      </c>
      <c r="B112" s="200" t="str">
        <f ca="1">IF(ROWS($1:101)&gt;COUNT(Dong2),"",OFFSET(TH!D$1,SMALL(Dong2,ROWS($1:101)),))</f>
        <v/>
      </c>
      <c r="C112" s="200" t="str">
        <f ca="1">IF(ROWS($1:101)&gt;COUNT(Dong2),"",OFFSET(TH!E$1,SMALL(Dong2,ROWS($1:101)),))</f>
        <v/>
      </c>
      <c r="D112" s="380" t="str">
        <f ca="1">IF(ROWS($1:101)&gt;COUNT(Dong2),"",OFFSET(TH!F$1,SMALL(Dong2,ROWS($1:101)),))</f>
        <v/>
      </c>
      <c r="E112" s="200" t="str">
        <f ca="1">IF(ROWS($1:101)&gt;COUNT(Dong2),"",IF(OFFSET(TH!O$1,SMALL(Dong2,ROWS($1:101)),)=$I$6,OFFSET(TH!N$1,SMALL(Dong2,ROWS($1:101)),),OFFSET(TH!O$1,SMALL(Dong2,ROWS($1:101)),)))</f>
        <v/>
      </c>
      <c r="F112" s="1163" t="str">
        <f ca="1">IF(ROWS($1:101)&gt;COUNT(Dong2),"",IF(AND(IF($M$9="Q11",LEFT(OFFSET(TH!G$1,SMALL(Dong2,ROWS($1:101)),),3)=$M$9,LEFT(OFFSET(TH!G$1,SMALL(Dong2,ROWS($1:101)),),2)=$M$9),OFFSET(TH!N$1,SMALL(Dong2,ROWS($1:101)),)=$I$6),IF($I$6="1121",OFFSET(TH!M$1,SMALL(Dong2,ROWS($1:101)),),OFFSET(TH!K$1,SMALL(Dong2,ROWS($1:101)),)),0))</f>
        <v/>
      </c>
      <c r="G112" s="1163" t="str">
        <f ca="1">IF(ROWS($1:101)&gt;COUNT(Dong2),"",IF(AND(IF($M$9="Q11",RIGHT(OFFSET(TH!G$1,SMALL(Dong2,ROWS($1:101)),),3)=$M$9,RIGHT(OFFSET(TH!G$1,SMALL(Dong2,ROWS($1:101)),),2)=$M$9),OFFSET(TH!O$1,SMALL(Dong2,ROWS($1:101)),)=$I$6),IF($I$6="1121",OFFSET(TH!M$1,SMALL(Dong2,ROWS($1:101)),),OFFSET(TH!K$1,SMALL(Dong2,ROWS($1:101)),)),0))</f>
        <v/>
      </c>
      <c r="H112" s="940">
        <f t="shared" ca="1" si="2"/>
        <v>0</v>
      </c>
      <c r="I112" s="940"/>
    </row>
    <row r="113" spans="1:9" s="189" customFormat="1" ht="20.25" customHeight="1">
      <c r="A113" s="200" t="str">
        <f ca="1">IF(ROWS($1:102)&gt;COUNT(Dong2),"",OFFSET(TH!C$1,SMALL(Dong2,ROWS($1:102)),))</f>
        <v/>
      </c>
      <c r="B113" s="200" t="str">
        <f ca="1">IF(ROWS($1:102)&gt;COUNT(Dong2),"",OFFSET(TH!D$1,SMALL(Dong2,ROWS($1:102)),))</f>
        <v/>
      </c>
      <c r="C113" s="200" t="str">
        <f ca="1">IF(ROWS($1:102)&gt;COUNT(Dong2),"",OFFSET(TH!E$1,SMALL(Dong2,ROWS($1:102)),))</f>
        <v/>
      </c>
      <c r="D113" s="380" t="str">
        <f ca="1">IF(ROWS($1:102)&gt;COUNT(Dong2),"",OFFSET(TH!F$1,SMALL(Dong2,ROWS($1:102)),))</f>
        <v/>
      </c>
      <c r="E113" s="200" t="str">
        <f ca="1">IF(ROWS($1:102)&gt;COUNT(Dong2),"",IF(OFFSET(TH!O$1,SMALL(Dong2,ROWS($1:102)),)=$I$6,OFFSET(TH!N$1,SMALL(Dong2,ROWS($1:102)),),OFFSET(TH!O$1,SMALL(Dong2,ROWS($1:102)),)))</f>
        <v/>
      </c>
      <c r="F113" s="1163" t="str">
        <f ca="1">IF(ROWS($1:102)&gt;COUNT(Dong2),"",IF(AND(IF($M$9="Q11",LEFT(OFFSET(TH!G$1,SMALL(Dong2,ROWS($1:102)),),3)=$M$9,LEFT(OFFSET(TH!G$1,SMALL(Dong2,ROWS($1:102)),),2)=$M$9),OFFSET(TH!N$1,SMALL(Dong2,ROWS($1:102)),)=$I$6),IF($I$6="1121",OFFSET(TH!M$1,SMALL(Dong2,ROWS($1:102)),),OFFSET(TH!K$1,SMALL(Dong2,ROWS($1:102)),)),0))</f>
        <v/>
      </c>
      <c r="G113" s="1163" t="str">
        <f ca="1">IF(ROWS($1:102)&gt;COUNT(Dong2),"",IF(AND(IF($M$9="Q11",RIGHT(OFFSET(TH!G$1,SMALL(Dong2,ROWS($1:102)),),3)=$M$9,RIGHT(OFFSET(TH!G$1,SMALL(Dong2,ROWS($1:102)),),2)=$M$9),OFFSET(TH!O$1,SMALL(Dong2,ROWS($1:102)),)=$I$6),IF($I$6="1121",OFFSET(TH!M$1,SMALL(Dong2,ROWS($1:102)),),OFFSET(TH!K$1,SMALL(Dong2,ROWS($1:102)),)),0))</f>
        <v/>
      </c>
      <c r="H113" s="940">
        <f t="shared" ca="1" si="2"/>
        <v>0</v>
      </c>
      <c r="I113" s="940"/>
    </row>
    <row r="114" spans="1:9" s="189" customFormat="1" ht="20.25" customHeight="1">
      <c r="A114" s="200" t="str">
        <f ca="1">IF(ROWS($1:103)&gt;COUNT(Dong2),"",OFFSET(TH!C$1,SMALL(Dong2,ROWS($1:103)),))</f>
        <v/>
      </c>
      <c r="B114" s="200" t="str">
        <f ca="1">IF(ROWS($1:103)&gt;COUNT(Dong2),"",OFFSET(TH!D$1,SMALL(Dong2,ROWS($1:103)),))</f>
        <v/>
      </c>
      <c r="C114" s="200" t="str">
        <f ca="1">IF(ROWS($1:103)&gt;COUNT(Dong2),"",OFFSET(TH!E$1,SMALL(Dong2,ROWS($1:103)),))</f>
        <v/>
      </c>
      <c r="D114" s="380" t="str">
        <f ca="1">IF(ROWS($1:103)&gt;COUNT(Dong2),"",OFFSET(TH!F$1,SMALL(Dong2,ROWS($1:103)),))</f>
        <v/>
      </c>
      <c r="E114" s="200" t="str">
        <f ca="1">IF(ROWS($1:103)&gt;COUNT(Dong2),"",IF(OFFSET(TH!O$1,SMALL(Dong2,ROWS($1:103)),)=$I$6,OFFSET(TH!N$1,SMALL(Dong2,ROWS($1:103)),),OFFSET(TH!O$1,SMALL(Dong2,ROWS($1:103)),)))</f>
        <v/>
      </c>
      <c r="F114" s="1163" t="str">
        <f ca="1">IF(ROWS($1:103)&gt;COUNT(Dong2),"",IF(AND(IF($M$9="Q11",LEFT(OFFSET(TH!G$1,SMALL(Dong2,ROWS($1:103)),),3)=$M$9,LEFT(OFFSET(TH!G$1,SMALL(Dong2,ROWS($1:103)),),2)=$M$9),OFFSET(TH!N$1,SMALL(Dong2,ROWS($1:103)),)=$I$6),IF($I$6="1121",OFFSET(TH!M$1,SMALL(Dong2,ROWS($1:103)),),OFFSET(TH!K$1,SMALL(Dong2,ROWS($1:103)),)),0))</f>
        <v/>
      </c>
      <c r="G114" s="1163" t="str">
        <f ca="1">IF(ROWS($1:103)&gt;COUNT(Dong2),"",IF(AND(IF($M$9="Q11",RIGHT(OFFSET(TH!G$1,SMALL(Dong2,ROWS($1:103)),),3)=$M$9,RIGHT(OFFSET(TH!G$1,SMALL(Dong2,ROWS($1:103)),),2)=$M$9),OFFSET(TH!O$1,SMALL(Dong2,ROWS($1:103)),)=$I$6),IF($I$6="1121",OFFSET(TH!M$1,SMALL(Dong2,ROWS($1:103)),),OFFSET(TH!K$1,SMALL(Dong2,ROWS($1:103)),)),0))</f>
        <v/>
      </c>
      <c r="H114" s="940">
        <f t="shared" ca="1" si="2"/>
        <v>0</v>
      </c>
      <c r="I114" s="940"/>
    </row>
    <row r="115" spans="1:9" s="189" customFormat="1" ht="20.25" customHeight="1">
      <c r="A115" s="200" t="str">
        <f ca="1">IF(ROWS($1:104)&gt;COUNT(Dong2),"",OFFSET(TH!C$1,SMALL(Dong2,ROWS($1:104)),))</f>
        <v/>
      </c>
      <c r="B115" s="200" t="str">
        <f ca="1">IF(ROWS($1:104)&gt;COUNT(Dong2),"",OFFSET(TH!D$1,SMALL(Dong2,ROWS($1:104)),))</f>
        <v/>
      </c>
      <c r="C115" s="200" t="str">
        <f ca="1">IF(ROWS($1:104)&gt;COUNT(Dong2),"",OFFSET(TH!E$1,SMALL(Dong2,ROWS($1:104)),))</f>
        <v/>
      </c>
      <c r="D115" s="380" t="str">
        <f ca="1">IF(ROWS($1:104)&gt;COUNT(Dong2),"",OFFSET(TH!F$1,SMALL(Dong2,ROWS($1:104)),))</f>
        <v/>
      </c>
      <c r="E115" s="200" t="str">
        <f ca="1">IF(ROWS($1:104)&gt;COUNT(Dong2),"",IF(OFFSET(TH!O$1,SMALL(Dong2,ROWS($1:104)),)=$I$6,OFFSET(TH!N$1,SMALL(Dong2,ROWS($1:104)),),OFFSET(TH!O$1,SMALL(Dong2,ROWS($1:104)),)))</f>
        <v/>
      </c>
      <c r="F115" s="1163" t="str">
        <f ca="1">IF(ROWS($1:104)&gt;COUNT(Dong2),"",IF(AND(IF($M$9="Q11",LEFT(OFFSET(TH!G$1,SMALL(Dong2,ROWS($1:104)),),3)=$M$9,LEFT(OFFSET(TH!G$1,SMALL(Dong2,ROWS($1:104)),),2)=$M$9),OFFSET(TH!N$1,SMALL(Dong2,ROWS($1:104)),)=$I$6),IF($I$6="1121",OFFSET(TH!M$1,SMALL(Dong2,ROWS($1:104)),),OFFSET(TH!K$1,SMALL(Dong2,ROWS($1:104)),)),0))</f>
        <v/>
      </c>
      <c r="G115" s="1163" t="str">
        <f ca="1">IF(ROWS($1:104)&gt;COUNT(Dong2),"",IF(AND(IF($M$9="Q11",RIGHT(OFFSET(TH!G$1,SMALL(Dong2,ROWS($1:104)),),3)=$M$9,RIGHT(OFFSET(TH!G$1,SMALL(Dong2,ROWS($1:104)),),2)=$M$9),OFFSET(TH!O$1,SMALL(Dong2,ROWS($1:104)),)=$I$6),IF($I$6="1121",OFFSET(TH!M$1,SMALL(Dong2,ROWS($1:104)),),OFFSET(TH!K$1,SMALL(Dong2,ROWS($1:104)),)),0))</f>
        <v/>
      </c>
      <c r="H115" s="940">
        <f t="shared" ca="1" si="2"/>
        <v>0</v>
      </c>
      <c r="I115" s="940"/>
    </row>
    <row r="116" spans="1:9" s="189" customFormat="1" ht="20.25" customHeight="1">
      <c r="A116" s="200" t="str">
        <f ca="1">IF(ROWS($1:105)&gt;COUNT(Dong2),"",OFFSET(TH!C$1,SMALL(Dong2,ROWS($1:105)),))</f>
        <v/>
      </c>
      <c r="B116" s="200" t="str">
        <f ca="1">IF(ROWS($1:105)&gt;COUNT(Dong2),"",OFFSET(TH!D$1,SMALL(Dong2,ROWS($1:105)),))</f>
        <v/>
      </c>
      <c r="C116" s="200" t="str">
        <f ca="1">IF(ROWS($1:105)&gt;COUNT(Dong2),"",OFFSET(TH!E$1,SMALL(Dong2,ROWS($1:105)),))</f>
        <v/>
      </c>
      <c r="D116" s="380" t="str">
        <f ca="1">IF(ROWS($1:105)&gt;COUNT(Dong2),"",OFFSET(TH!F$1,SMALL(Dong2,ROWS($1:105)),))</f>
        <v/>
      </c>
      <c r="E116" s="200" t="str">
        <f ca="1">IF(ROWS($1:105)&gt;COUNT(Dong2),"",IF(OFFSET(TH!O$1,SMALL(Dong2,ROWS($1:105)),)=$I$6,OFFSET(TH!N$1,SMALL(Dong2,ROWS($1:105)),),OFFSET(TH!O$1,SMALL(Dong2,ROWS($1:105)),)))</f>
        <v/>
      </c>
      <c r="F116" s="1163" t="str">
        <f ca="1">IF(ROWS($1:105)&gt;COUNT(Dong2),"",IF(AND(IF($M$9="Q11",LEFT(OFFSET(TH!G$1,SMALL(Dong2,ROWS($1:105)),),3)=$M$9,LEFT(OFFSET(TH!G$1,SMALL(Dong2,ROWS($1:105)),),2)=$M$9),OFFSET(TH!N$1,SMALL(Dong2,ROWS($1:105)),)=$I$6),IF($I$6="1121",OFFSET(TH!M$1,SMALL(Dong2,ROWS($1:105)),),OFFSET(TH!K$1,SMALL(Dong2,ROWS($1:105)),)),0))</f>
        <v/>
      </c>
      <c r="G116" s="1163" t="str">
        <f ca="1">IF(ROWS($1:105)&gt;COUNT(Dong2),"",IF(AND(IF($M$9="Q11",RIGHT(OFFSET(TH!G$1,SMALL(Dong2,ROWS($1:105)),),3)=$M$9,RIGHT(OFFSET(TH!G$1,SMALL(Dong2,ROWS($1:105)),),2)=$M$9),OFFSET(TH!O$1,SMALL(Dong2,ROWS($1:105)),)=$I$6),IF($I$6="1121",OFFSET(TH!M$1,SMALL(Dong2,ROWS($1:105)),),OFFSET(TH!K$1,SMALL(Dong2,ROWS($1:105)),)),0))</f>
        <v/>
      </c>
      <c r="H116" s="940">
        <f t="shared" ca="1" si="2"/>
        <v>0</v>
      </c>
      <c r="I116" s="940"/>
    </row>
    <row r="117" spans="1:9" s="189" customFormat="1" ht="20.25" customHeight="1">
      <c r="A117" s="200" t="str">
        <f ca="1">IF(ROWS($1:106)&gt;COUNT(Dong2),"",OFFSET(TH!C$1,SMALL(Dong2,ROWS($1:106)),))</f>
        <v/>
      </c>
      <c r="B117" s="200" t="str">
        <f ca="1">IF(ROWS($1:106)&gt;COUNT(Dong2),"",OFFSET(TH!D$1,SMALL(Dong2,ROWS($1:106)),))</f>
        <v/>
      </c>
      <c r="C117" s="200" t="str">
        <f ca="1">IF(ROWS($1:106)&gt;COUNT(Dong2),"",OFFSET(TH!E$1,SMALL(Dong2,ROWS($1:106)),))</f>
        <v/>
      </c>
      <c r="D117" s="380" t="str">
        <f ca="1">IF(ROWS($1:106)&gt;COUNT(Dong2),"",OFFSET(TH!F$1,SMALL(Dong2,ROWS($1:106)),))</f>
        <v/>
      </c>
      <c r="E117" s="200" t="str">
        <f ca="1">IF(ROWS($1:106)&gt;COUNT(Dong2),"",IF(OFFSET(TH!O$1,SMALL(Dong2,ROWS($1:106)),)=$I$6,OFFSET(TH!N$1,SMALL(Dong2,ROWS($1:106)),),OFFSET(TH!O$1,SMALL(Dong2,ROWS($1:106)),)))</f>
        <v/>
      </c>
      <c r="F117" s="1163" t="str">
        <f ca="1">IF(ROWS($1:106)&gt;COUNT(Dong2),"",IF(AND(IF($M$9="Q11",LEFT(OFFSET(TH!G$1,SMALL(Dong2,ROWS($1:106)),),3)=$M$9,LEFT(OFFSET(TH!G$1,SMALL(Dong2,ROWS($1:106)),),2)=$M$9),OFFSET(TH!N$1,SMALL(Dong2,ROWS($1:106)),)=$I$6),IF($I$6="1121",OFFSET(TH!M$1,SMALL(Dong2,ROWS($1:106)),),OFFSET(TH!K$1,SMALL(Dong2,ROWS($1:106)),)),0))</f>
        <v/>
      </c>
      <c r="G117" s="1163" t="str">
        <f ca="1">IF(ROWS($1:106)&gt;COUNT(Dong2),"",IF(AND(IF($M$9="Q11",RIGHT(OFFSET(TH!G$1,SMALL(Dong2,ROWS($1:106)),),3)=$M$9,RIGHT(OFFSET(TH!G$1,SMALL(Dong2,ROWS($1:106)),),2)=$M$9),OFFSET(TH!O$1,SMALL(Dong2,ROWS($1:106)),)=$I$6),IF($I$6="1121",OFFSET(TH!M$1,SMALL(Dong2,ROWS($1:106)),),OFFSET(TH!K$1,SMALL(Dong2,ROWS($1:106)),)),0))</f>
        <v/>
      </c>
      <c r="H117" s="940">
        <f t="shared" ca="1" si="2"/>
        <v>0</v>
      </c>
      <c r="I117" s="940"/>
    </row>
    <row r="118" spans="1:9" s="189" customFormat="1" ht="20.25" customHeight="1">
      <c r="A118" s="200" t="str">
        <f ca="1">IF(ROWS($1:107)&gt;COUNT(Dong2),"",OFFSET(TH!C$1,SMALL(Dong2,ROWS($1:107)),))</f>
        <v/>
      </c>
      <c r="B118" s="200" t="str">
        <f ca="1">IF(ROWS($1:107)&gt;COUNT(Dong2),"",OFFSET(TH!D$1,SMALL(Dong2,ROWS($1:107)),))</f>
        <v/>
      </c>
      <c r="C118" s="200" t="str">
        <f ca="1">IF(ROWS($1:107)&gt;COUNT(Dong2),"",OFFSET(TH!E$1,SMALL(Dong2,ROWS($1:107)),))</f>
        <v/>
      </c>
      <c r="D118" s="380" t="str">
        <f ca="1">IF(ROWS($1:107)&gt;COUNT(Dong2),"",OFFSET(TH!F$1,SMALL(Dong2,ROWS($1:107)),))</f>
        <v/>
      </c>
      <c r="E118" s="200" t="str">
        <f ca="1">IF(ROWS($1:107)&gt;COUNT(Dong2),"",IF(OFFSET(TH!O$1,SMALL(Dong2,ROWS($1:107)),)=$I$6,OFFSET(TH!N$1,SMALL(Dong2,ROWS($1:107)),),OFFSET(TH!O$1,SMALL(Dong2,ROWS($1:107)),)))</f>
        <v/>
      </c>
      <c r="F118" s="1163" t="str">
        <f ca="1">IF(ROWS($1:107)&gt;COUNT(Dong2),"",IF(AND(IF($M$9="Q11",LEFT(OFFSET(TH!G$1,SMALL(Dong2,ROWS($1:107)),),3)=$M$9,LEFT(OFFSET(TH!G$1,SMALL(Dong2,ROWS($1:107)),),2)=$M$9),OFFSET(TH!N$1,SMALL(Dong2,ROWS($1:107)),)=$I$6),IF($I$6="1121",OFFSET(TH!M$1,SMALL(Dong2,ROWS($1:107)),),OFFSET(TH!K$1,SMALL(Dong2,ROWS($1:107)),)),0))</f>
        <v/>
      </c>
      <c r="G118" s="1163" t="str">
        <f ca="1">IF(ROWS($1:107)&gt;COUNT(Dong2),"",IF(AND(IF($M$9="Q11",RIGHT(OFFSET(TH!G$1,SMALL(Dong2,ROWS($1:107)),),3)=$M$9,RIGHT(OFFSET(TH!G$1,SMALL(Dong2,ROWS($1:107)),),2)=$M$9),OFFSET(TH!O$1,SMALL(Dong2,ROWS($1:107)),)=$I$6),IF($I$6="1121",OFFSET(TH!M$1,SMALL(Dong2,ROWS($1:107)),),OFFSET(TH!K$1,SMALL(Dong2,ROWS($1:107)),)),0))</f>
        <v/>
      </c>
      <c r="H118" s="940">
        <f t="shared" ca="1" si="2"/>
        <v>0</v>
      </c>
      <c r="I118" s="940"/>
    </row>
    <row r="119" spans="1:9" s="189" customFormat="1" ht="20.25" customHeight="1">
      <c r="A119" s="200" t="str">
        <f ca="1">IF(ROWS($1:108)&gt;COUNT(Dong2),"",OFFSET(TH!C$1,SMALL(Dong2,ROWS($1:108)),))</f>
        <v/>
      </c>
      <c r="B119" s="200" t="str">
        <f ca="1">IF(ROWS($1:108)&gt;COUNT(Dong2),"",OFFSET(TH!D$1,SMALL(Dong2,ROWS($1:108)),))</f>
        <v/>
      </c>
      <c r="C119" s="200" t="str">
        <f ca="1">IF(ROWS($1:108)&gt;COUNT(Dong2),"",OFFSET(TH!E$1,SMALL(Dong2,ROWS($1:108)),))</f>
        <v/>
      </c>
      <c r="D119" s="380" t="str">
        <f ca="1">IF(ROWS($1:108)&gt;COUNT(Dong2),"",OFFSET(TH!F$1,SMALL(Dong2,ROWS($1:108)),))</f>
        <v/>
      </c>
      <c r="E119" s="200" t="str">
        <f ca="1">IF(ROWS($1:108)&gt;COUNT(Dong2),"",IF(OFFSET(TH!O$1,SMALL(Dong2,ROWS($1:108)),)=$I$6,OFFSET(TH!N$1,SMALL(Dong2,ROWS($1:108)),),OFFSET(TH!O$1,SMALL(Dong2,ROWS($1:108)),)))</f>
        <v/>
      </c>
      <c r="F119" s="1163" t="str">
        <f ca="1">IF(ROWS($1:108)&gt;COUNT(Dong2),"",IF(AND(IF($M$9="Q11",LEFT(OFFSET(TH!G$1,SMALL(Dong2,ROWS($1:108)),),3)=$M$9,LEFT(OFFSET(TH!G$1,SMALL(Dong2,ROWS($1:108)),),2)=$M$9),OFFSET(TH!N$1,SMALL(Dong2,ROWS($1:108)),)=$I$6),IF($I$6="1121",OFFSET(TH!M$1,SMALL(Dong2,ROWS($1:108)),),OFFSET(TH!K$1,SMALL(Dong2,ROWS($1:108)),)),0))</f>
        <v/>
      </c>
      <c r="G119" s="1163" t="str">
        <f ca="1">IF(ROWS($1:108)&gt;COUNT(Dong2),"",IF(AND(IF($M$9="Q11",RIGHT(OFFSET(TH!G$1,SMALL(Dong2,ROWS($1:108)),),3)=$M$9,RIGHT(OFFSET(TH!G$1,SMALL(Dong2,ROWS($1:108)),),2)=$M$9),OFFSET(TH!O$1,SMALL(Dong2,ROWS($1:108)),)=$I$6),IF($I$6="1121",OFFSET(TH!M$1,SMALL(Dong2,ROWS($1:108)),),OFFSET(TH!K$1,SMALL(Dong2,ROWS($1:108)),)),0))</f>
        <v/>
      </c>
      <c r="H119" s="940">
        <f t="shared" ca="1" si="2"/>
        <v>0</v>
      </c>
      <c r="I119" s="940"/>
    </row>
    <row r="120" spans="1:9" s="189" customFormat="1" ht="20.25" customHeight="1">
      <c r="A120" s="200" t="str">
        <f ca="1">IF(ROWS($1:109)&gt;COUNT(Dong2),"",OFFSET(TH!C$1,SMALL(Dong2,ROWS($1:109)),))</f>
        <v/>
      </c>
      <c r="B120" s="200" t="str">
        <f ca="1">IF(ROWS($1:109)&gt;COUNT(Dong2),"",OFFSET(TH!D$1,SMALL(Dong2,ROWS($1:109)),))</f>
        <v/>
      </c>
      <c r="C120" s="200" t="str">
        <f ca="1">IF(ROWS($1:109)&gt;COUNT(Dong2),"",OFFSET(TH!E$1,SMALL(Dong2,ROWS($1:109)),))</f>
        <v/>
      </c>
      <c r="D120" s="380" t="str">
        <f ca="1">IF(ROWS($1:109)&gt;COUNT(Dong2),"",OFFSET(TH!F$1,SMALL(Dong2,ROWS($1:109)),))</f>
        <v/>
      </c>
      <c r="E120" s="200" t="str">
        <f ca="1">IF(ROWS($1:109)&gt;COUNT(Dong2),"",IF(OFFSET(TH!O$1,SMALL(Dong2,ROWS($1:109)),)=$I$6,OFFSET(TH!N$1,SMALL(Dong2,ROWS($1:109)),),OFFSET(TH!O$1,SMALL(Dong2,ROWS($1:109)),)))</f>
        <v/>
      </c>
      <c r="F120" s="1163" t="str">
        <f ca="1">IF(ROWS($1:109)&gt;COUNT(Dong2),"",IF(AND(IF($M$9="Q11",LEFT(OFFSET(TH!G$1,SMALL(Dong2,ROWS($1:109)),),3)=$M$9,LEFT(OFFSET(TH!G$1,SMALL(Dong2,ROWS($1:109)),),2)=$M$9),OFFSET(TH!N$1,SMALL(Dong2,ROWS($1:109)),)=$I$6),IF($I$6="1121",OFFSET(TH!M$1,SMALL(Dong2,ROWS($1:109)),),OFFSET(TH!K$1,SMALL(Dong2,ROWS($1:109)),)),0))</f>
        <v/>
      </c>
      <c r="G120" s="1163" t="str">
        <f ca="1">IF(ROWS($1:109)&gt;COUNT(Dong2),"",IF(AND(IF($M$9="Q11",RIGHT(OFFSET(TH!G$1,SMALL(Dong2,ROWS($1:109)),),3)=$M$9,RIGHT(OFFSET(TH!G$1,SMALL(Dong2,ROWS($1:109)),),2)=$M$9),OFFSET(TH!O$1,SMALL(Dong2,ROWS($1:109)),)=$I$6),IF($I$6="1121",OFFSET(TH!M$1,SMALL(Dong2,ROWS($1:109)),),OFFSET(TH!K$1,SMALL(Dong2,ROWS($1:109)),)),0))</f>
        <v/>
      </c>
      <c r="H120" s="940">
        <f t="shared" ca="1" si="2"/>
        <v>0</v>
      </c>
      <c r="I120" s="940"/>
    </row>
    <row r="121" spans="1:9" s="189" customFormat="1" ht="20.25" customHeight="1">
      <c r="A121" s="200" t="str">
        <f ca="1">IF(ROWS($1:110)&gt;COUNT(Dong2),"",OFFSET(TH!C$1,SMALL(Dong2,ROWS($1:110)),))</f>
        <v/>
      </c>
      <c r="B121" s="200" t="str">
        <f ca="1">IF(ROWS($1:110)&gt;COUNT(Dong2),"",OFFSET(TH!D$1,SMALL(Dong2,ROWS($1:110)),))</f>
        <v/>
      </c>
      <c r="C121" s="200" t="str">
        <f ca="1">IF(ROWS($1:110)&gt;COUNT(Dong2),"",OFFSET(TH!E$1,SMALL(Dong2,ROWS($1:110)),))</f>
        <v/>
      </c>
      <c r="D121" s="380" t="str">
        <f ca="1">IF(ROWS($1:110)&gt;COUNT(Dong2),"",OFFSET(TH!F$1,SMALL(Dong2,ROWS($1:110)),))</f>
        <v/>
      </c>
      <c r="E121" s="200" t="str">
        <f ca="1">IF(ROWS($1:110)&gt;COUNT(Dong2),"",IF(OFFSET(TH!O$1,SMALL(Dong2,ROWS($1:110)),)=$I$6,OFFSET(TH!N$1,SMALL(Dong2,ROWS($1:110)),),OFFSET(TH!O$1,SMALL(Dong2,ROWS($1:110)),)))</f>
        <v/>
      </c>
      <c r="F121" s="1163" t="str">
        <f ca="1">IF(ROWS($1:110)&gt;COUNT(Dong2),"",IF(AND(IF($M$9="Q11",LEFT(OFFSET(TH!G$1,SMALL(Dong2,ROWS($1:110)),),3)=$M$9,LEFT(OFFSET(TH!G$1,SMALL(Dong2,ROWS($1:110)),),2)=$M$9),OFFSET(TH!N$1,SMALL(Dong2,ROWS($1:110)),)=$I$6),IF($I$6="1121",OFFSET(TH!M$1,SMALL(Dong2,ROWS($1:110)),),OFFSET(TH!K$1,SMALL(Dong2,ROWS($1:110)),)),0))</f>
        <v/>
      </c>
      <c r="G121" s="1163" t="str">
        <f ca="1">IF(ROWS($1:110)&gt;COUNT(Dong2),"",IF(AND(IF($M$9="Q11",RIGHT(OFFSET(TH!G$1,SMALL(Dong2,ROWS($1:110)),),3)=$M$9,RIGHT(OFFSET(TH!G$1,SMALL(Dong2,ROWS($1:110)),),2)=$M$9),OFFSET(TH!O$1,SMALL(Dong2,ROWS($1:110)),)=$I$6),IF($I$6="1121",OFFSET(TH!M$1,SMALL(Dong2,ROWS($1:110)),),OFFSET(TH!K$1,SMALL(Dong2,ROWS($1:110)),)),0))</f>
        <v/>
      </c>
      <c r="H121" s="940">
        <f t="shared" ca="1" si="2"/>
        <v>0</v>
      </c>
      <c r="I121" s="940"/>
    </row>
    <row r="122" spans="1:9" s="189" customFormat="1" ht="20.25" customHeight="1">
      <c r="A122" s="200" t="str">
        <f ca="1">IF(ROWS($1:111)&gt;COUNT(Dong2),"",OFFSET(TH!C$1,SMALL(Dong2,ROWS($1:111)),))</f>
        <v/>
      </c>
      <c r="B122" s="200" t="str">
        <f ca="1">IF(ROWS($1:111)&gt;COUNT(Dong2),"",OFFSET(TH!D$1,SMALL(Dong2,ROWS($1:111)),))</f>
        <v/>
      </c>
      <c r="C122" s="200" t="str">
        <f ca="1">IF(ROWS($1:111)&gt;COUNT(Dong2),"",OFFSET(TH!E$1,SMALL(Dong2,ROWS($1:111)),))</f>
        <v/>
      </c>
      <c r="D122" s="380" t="str">
        <f ca="1">IF(ROWS($1:111)&gt;COUNT(Dong2),"",OFFSET(TH!F$1,SMALL(Dong2,ROWS($1:111)),))</f>
        <v/>
      </c>
      <c r="E122" s="200" t="str">
        <f ca="1">IF(ROWS($1:111)&gt;COUNT(Dong2),"",IF(OFFSET(TH!O$1,SMALL(Dong2,ROWS($1:111)),)=$I$6,OFFSET(TH!N$1,SMALL(Dong2,ROWS($1:111)),),OFFSET(TH!O$1,SMALL(Dong2,ROWS($1:111)),)))</f>
        <v/>
      </c>
      <c r="F122" s="1163" t="str">
        <f ca="1">IF(ROWS($1:111)&gt;COUNT(Dong2),"",IF(AND(IF($M$9="Q11",LEFT(OFFSET(TH!G$1,SMALL(Dong2,ROWS($1:111)),),3)=$M$9,LEFT(OFFSET(TH!G$1,SMALL(Dong2,ROWS($1:111)),),2)=$M$9),OFFSET(TH!N$1,SMALL(Dong2,ROWS($1:111)),)=$I$6),IF($I$6="1121",OFFSET(TH!M$1,SMALL(Dong2,ROWS($1:111)),),OFFSET(TH!K$1,SMALL(Dong2,ROWS($1:111)),)),0))</f>
        <v/>
      </c>
      <c r="G122" s="1163" t="str">
        <f ca="1">IF(ROWS($1:111)&gt;COUNT(Dong2),"",IF(AND(IF($M$9="Q11",RIGHT(OFFSET(TH!G$1,SMALL(Dong2,ROWS($1:111)),),3)=$M$9,RIGHT(OFFSET(TH!G$1,SMALL(Dong2,ROWS($1:111)),),2)=$M$9),OFFSET(TH!O$1,SMALL(Dong2,ROWS($1:111)),)=$I$6),IF($I$6="1121",OFFSET(TH!M$1,SMALL(Dong2,ROWS($1:111)),),OFFSET(TH!K$1,SMALL(Dong2,ROWS($1:111)),)),0))</f>
        <v/>
      </c>
      <c r="H122" s="940">
        <f t="shared" ca="1" si="2"/>
        <v>0</v>
      </c>
      <c r="I122" s="940"/>
    </row>
    <row r="123" spans="1:9" s="189" customFormat="1" ht="20.25" customHeight="1">
      <c r="A123" s="200" t="str">
        <f ca="1">IF(ROWS($1:112)&gt;COUNT(Dong2),"",OFFSET(TH!C$1,SMALL(Dong2,ROWS($1:112)),))</f>
        <v/>
      </c>
      <c r="B123" s="200" t="str">
        <f ca="1">IF(ROWS($1:112)&gt;COUNT(Dong2),"",OFFSET(TH!D$1,SMALL(Dong2,ROWS($1:112)),))</f>
        <v/>
      </c>
      <c r="C123" s="200" t="str">
        <f ca="1">IF(ROWS($1:112)&gt;COUNT(Dong2),"",OFFSET(TH!E$1,SMALL(Dong2,ROWS($1:112)),))</f>
        <v/>
      </c>
      <c r="D123" s="380" t="str">
        <f ca="1">IF(ROWS($1:112)&gt;COUNT(Dong2),"",OFFSET(TH!F$1,SMALL(Dong2,ROWS($1:112)),))</f>
        <v/>
      </c>
      <c r="E123" s="200" t="str">
        <f ca="1">IF(ROWS($1:112)&gt;COUNT(Dong2),"",IF(OFFSET(TH!O$1,SMALL(Dong2,ROWS($1:112)),)=$I$6,OFFSET(TH!N$1,SMALL(Dong2,ROWS($1:112)),),OFFSET(TH!O$1,SMALL(Dong2,ROWS($1:112)),)))</f>
        <v/>
      </c>
      <c r="F123" s="1163" t="str">
        <f ca="1">IF(ROWS($1:112)&gt;COUNT(Dong2),"",IF(AND(IF($M$9="Q11",LEFT(OFFSET(TH!G$1,SMALL(Dong2,ROWS($1:112)),),3)=$M$9,LEFT(OFFSET(TH!G$1,SMALL(Dong2,ROWS($1:112)),),2)=$M$9),OFFSET(TH!N$1,SMALL(Dong2,ROWS($1:112)),)=$I$6),IF($I$6="1121",OFFSET(TH!M$1,SMALL(Dong2,ROWS($1:112)),),OFFSET(TH!K$1,SMALL(Dong2,ROWS($1:112)),)),0))</f>
        <v/>
      </c>
      <c r="G123" s="1163" t="str">
        <f ca="1">IF(ROWS($1:112)&gt;COUNT(Dong2),"",IF(AND(IF($M$9="Q11",RIGHT(OFFSET(TH!G$1,SMALL(Dong2,ROWS($1:112)),),3)=$M$9,RIGHT(OFFSET(TH!G$1,SMALL(Dong2,ROWS($1:112)),),2)=$M$9),OFFSET(TH!O$1,SMALL(Dong2,ROWS($1:112)),)=$I$6),IF($I$6="1121",OFFSET(TH!M$1,SMALL(Dong2,ROWS($1:112)),),OFFSET(TH!K$1,SMALL(Dong2,ROWS($1:112)),)),0))</f>
        <v/>
      </c>
      <c r="H123" s="940">
        <f t="shared" ca="1" si="2"/>
        <v>0</v>
      </c>
      <c r="I123" s="940"/>
    </row>
    <row r="124" spans="1:9" s="189" customFormat="1" ht="20.25" customHeight="1">
      <c r="A124" s="200"/>
      <c r="B124" s="200"/>
      <c r="C124" s="200"/>
      <c r="D124" s="380"/>
      <c r="E124" s="200"/>
      <c r="F124" s="1163"/>
      <c r="G124" s="1163"/>
      <c r="H124" s="940"/>
      <c r="I124" s="940"/>
    </row>
    <row r="125" spans="1:9" s="199" customFormat="1" ht="20.25" customHeight="1">
      <c r="A125" s="201"/>
      <c r="B125" s="202"/>
      <c r="C125" s="201"/>
      <c r="D125" s="198" t="s">
        <v>158</v>
      </c>
      <c r="E125" s="203"/>
      <c r="F125" s="939">
        <f ca="1">SUM(F12:F124)</f>
        <v>12784298468</v>
      </c>
      <c r="G125" s="939">
        <f ca="1">SUM(G12:G124)</f>
        <v>12749606557</v>
      </c>
      <c r="H125" s="939">
        <f ca="1">H11+F125-G125</f>
        <v>40148251</v>
      </c>
      <c r="I125" s="941"/>
    </row>
    <row r="126" spans="1:9" s="199" customFormat="1" ht="20.25" customHeight="1">
      <c r="A126" s="201"/>
      <c r="B126" s="202"/>
      <c r="C126" s="201"/>
      <c r="D126" s="198" t="s">
        <v>10</v>
      </c>
      <c r="E126" s="203"/>
      <c r="F126" s="939"/>
      <c r="G126" s="939"/>
      <c r="H126" s="939">
        <f ca="1">H125</f>
        <v>40148251</v>
      </c>
      <c r="I126" s="203"/>
    </row>
    <row r="127" spans="1:9" s="199" customFormat="1" ht="22.5" customHeight="1">
      <c r="A127" s="418" t="s">
        <v>234</v>
      </c>
      <c r="B127" s="204"/>
      <c r="F127" s="205"/>
      <c r="H127" s="1144"/>
      <c r="I127" s="206"/>
    </row>
    <row r="128" spans="1:9" s="199" customFormat="1" ht="12.75">
      <c r="A128" s="225" t="str">
        <f ca="1">"- Ngày mở sổ: "&amp;DAY($A$12)&amp;"/"&amp;MONTH($A$12)&amp;"/ 2015"</f>
        <v>- Ngày mở sổ: 7/10/ 2015</v>
      </c>
      <c r="B128" s="207"/>
      <c r="F128" s="205"/>
      <c r="H128" s="1144"/>
      <c r="I128" s="206"/>
    </row>
    <row r="129" spans="1:12" s="199" customFormat="1" ht="12.75">
      <c r="A129" s="208"/>
      <c r="B129" s="209"/>
      <c r="C129" s="210"/>
      <c r="F129" s="205"/>
      <c r="G129" s="315" t="str">
        <f>"Ngày "&amp;IF(OR($K$9=4,$K$9=6,$K$9=9,$K$9=11),"30",IF($K$9=2,"28","31"))&amp;" tháng "&amp;$K$9&amp;"  năm  2016 "</f>
        <v xml:space="preserve">Ngày 31 tháng 10  năm  2016 </v>
      </c>
      <c r="H129" s="1144"/>
    </row>
    <row r="130" spans="1:12" s="199" customFormat="1" ht="17.25" customHeight="1">
      <c r="B130" s="211" t="s">
        <v>11</v>
      </c>
      <c r="D130" s="211" t="s">
        <v>12</v>
      </c>
      <c r="F130" s="212"/>
      <c r="G130" s="360" t="s">
        <v>131</v>
      </c>
      <c r="H130" s="1145"/>
      <c r="I130" s="381"/>
      <c r="J130" s="213"/>
      <c r="K130" s="208"/>
      <c r="L130" s="208"/>
    </row>
    <row r="131" spans="1:12" s="199" customFormat="1" ht="12.75">
      <c r="B131" s="361" t="s">
        <v>13</v>
      </c>
      <c r="D131" s="214" t="s">
        <v>13</v>
      </c>
      <c r="F131" s="215"/>
      <c r="G131" s="362" t="s">
        <v>161</v>
      </c>
      <c r="H131" s="1144"/>
      <c r="K131" s="216"/>
      <c r="L131" s="216"/>
    </row>
    <row r="138" spans="1:12">
      <c r="B138" s="369" t="s">
        <v>229</v>
      </c>
      <c r="G138" s="382"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2.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C5" activePane="bottomRight" state="frozen"/>
      <selection activeCell="B5" sqref="B5"/>
      <selection pane="topRight" activeCell="B5" sqref="B5"/>
      <selection pane="bottomLeft" activeCell="B5" sqref="B5"/>
      <selection pane="bottomRight" activeCell="B13" sqref="B13"/>
    </sheetView>
  </sheetViews>
  <sheetFormatPr defaultColWidth="8" defaultRowHeight="13.5"/>
  <cols>
    <col min="1" max="1" width="4.28515625" style="874" customWidth="1"/>
    <col min="2" max="2" width="34" style="874" customWidth="1"/>
    <col min="3" max="3" width="10.5703125" style="228" customWidth="1"/>
    <col min="4" max="4" width="14" style="875" customWidth="1"/>
    <col min="5" max="5" width="10.85546875" style="228" customWidth="1"/>
    <col min="6" max="6" width="14" style="875" customWidth="1"/>
    <col min="7" max="7" width="12.7109375" style="228" customWidth="1"/>
    <col min="8" max="8" width="15.7109375" style="875" customWidth="1"/>
    <col min="9" max="9" width="15.5703125" style="228" customWidth="1"/>
    <col min="10" max="10" width="14.7109375" style="875" customWidth="1"/>
    <col min="11" max="11" width="11.140625" style="228" customWidth="1"/>
    <col min="12" max="12" width="12.5703125" style="875" customWidth="1"/>
    <col min="13" max="13" width="14.5703125" style="228" customWidth="1"/>
    <col min="14" max="14" width="14.42578125" style="875" customWidth="1"/>
    <col min="15" max="16384" width="8" style="874"/>
  </cols>
  <sheetData>
    <row r="1" spans="1:14" ht="21" customHeight="1">
      <c r="A1" s="1353" t="s">
        <v>603</v>
      </c>
      <c r="B1" s="1353"/>
      <c r="C1" s="1353"/>
      <c r="D1" s="1353"/>
      <c r="E1" s="1353"/>
      <c r="F1" s="1353"/>
      <c r="G1" s="1353"/>
      <c r="H1" s="1353"/>
      <c r="I1" s="1353"/>
      <c r="J1" s="1353"/>
      <c r="K1" s="1353"/>
      <c r="L1" s="1353"/>
      <c r="M1" s="1353"/>
      <c r="N1" s="1353"/>
    </row>
    <row r="2" spans="1:14" s="10" customFormat="1" ht="15.75" customHeight="1">
      <c r="A2" s="1354" t="s">
        <v>37</v>
      </c>
      <c r="B2" s="1352" t="s">
        <v>38</v>
      </c>
      <c r="C2" s="887" t="s">
        <v>39</v>
      </c>
      <c r="D2" s="886"/>
      <c r="E2" s="887"/>
      <c r="F2" s="886"/>
      <c r="G2" s="887" t="s">
        <v>40</v>
      </c>
      <c r="H2" s="886"/>
      <c r="I2" s="887"/>
      <c r="J2" s="886"/>
      <c r="K2" s="887" t="s">
        <v>44</v>
      </c>
      <c r="L2" s="886"/>
      <c r="M2" s="887"/>
      <c r="N2" s="886"/>
    </row>
    <row r="3" spans="1:14" s="10" customFormat="1" ht="15.75" customHeight="1">
      <c r="A3" s="1354"/>
      <c r="B3" s="1352"/>
      <c r="C3" s="1352" t="s">
        <v>45</v>
      </c>
      <c r="D3" s="1352"/>
      <c r="E3" s="1352" t="s">
        <v>46</v>
      </c>
      <c r="F3" s="1352"/>
      <c r="G3" s="1352" t="s">
        <v>45</v>
      </c>
      <c r="H3" s="1352"/>
      <c r="I3" s="1352" t="s">
        <v>46</v>
      </c>
      <c r="J3" s="1352"/>
      <c r="K3" s="1352" t="s">
        <v>45</v>
      </c>
      <c r="L3" s="1352"/>
      <c r="M3" s="1352" t="s">
        <v>46</v>
      </c>
      <c r="N3" s="1352"/>
    </row>
    <row r="4" spans="1:14" s="10" customFormat="1" ht="15.75" customHeight="1">
      <c r="A4" s="1354"/>
      <c r="B4" s="1352"/>
      <c r="C4" s="982" t="s">
        <v>246</v>
      </c>
      <c r="D4" s="885" t="s">
        <v>602</v>
      </c>
      <c r="E4" s="982" t="s">
        <v>246</v>
      </c>
      <c r="F4" s="885" t="s">
        <v>602</v>
      </c>
      <c r="G4" s="982" t="s">
        <v>246</v>
      </c>
      <c r="H4" s="885" t="s">
        <v>602</v>
      </c>
      <c r="I4" s="982" t="s">
        <v>246</v>
      </c>
      <c r="J4" s="885" t="s">
        <v>602</v>
      </c>
      <c r="K4" s="982" t="s">
        <v>246</v>
      </c>
      <c r="L4" s="885" t="s">
        <v>602</v>
      </c>
      <c r="M4" s="982" t="s">
        <v>246</v>
      </c>
      <c r="N4" s="885" t="s">
        <v>602</v>
      </c>
    </row>
    <row r="5" spans="1:14" s="10" customFormat="1" ht="18" customHeight="1">
      <c r="A5" s="884">
        <f>IF(B5&lt;&gt;"",ROW()-4,"")</f>
        <v>1</v>
      </c>
      <c r="B5" s="984" t="s">
        <v>601</v>
      </c>
      <c r="C5" s="985">
        <v>0</v>
      </c>
      <c r="D5" s="986">
        <v>0</v>
      </c>
      <c r="E5" s="985">
        <v>0</v>
      </c>
      <c r="F5" s="986">
        <v>0</v>
      </c>
      <c r="G5" s="985">
        <f t="array" ref="G5">SUM(IF("131"&amp;B5=KHN&amp;KH,_TH))</f>
        <v>0</v>
      </c>
      <c r="H5" s="986">
        <f t="array" ref="H5">SUM(IF("131"&amp;B5=KHN&amp;KH,TH))</f>
        <v>0</v>
      </c>
      <c r="I5" s="985">
        <f t="array" ref="I5">SUM(IF("131"&amp;B5=KHC&amp;KH,_TH))</f>
        <v>0</v>
      </c>
      <c r="J5" s="986">
        <f t="array" ref="J5">SUM(IF("131"&amp;B5=KHC&amp;KH,TH))</f>
        <v>0</v>
      </c>
      <c r="K5" s="883">
        <f t="shared" ref="K5:K11" si="0">ROUND(MAX(C5+G5-E5-I5,0),2)</f>
        <v>0</v>
      </c>
      <c r="L5" s="882">
        <f t="shared" ref="L5:L11" si="1">ROUND(MAX(D5+H5-F5-J5,0),0)</f>
        <v>0</v>
      </c>
      <c r="M5" s="883">
        <f t="shared" ref="M5:M11" si="2">ROUND(MAX(E5+I5-C5-G5,0),2)</f>
        <v>0</v>
      </c>
      <c r="N5" s="882">
        <f t="shared" ref="N5:N11" si="3">ROUND(MAX(F5+J5-D5-H5,0),0)</f>
        <v>0</v>
      </c>
    </row>
    <row r="6" spans="1:14" s="10" customFormat="1" ht="18" customHeight="1">
      <c r="A6" s="884">
        <f t="shared" ref="A6:A19" si="4">IF(B6&lt;&gt;"",ROW()-4,"")</f>
        <v>2</v>
      </c>
      <c r="B6" s="7" t="s">
        <v>600</v>
      </c>
      <c r="C6" s="880">
        <v>0</v>
      </c>
      <c r="D6" s="879">
        <v>0</v>
      </c>
      <c r="E6" s="880">
        <v>0</v>
      </c>
      <c r="F6" s="879">
        <v>0</v>
      </c>
      <c r="G6" s="880">
        <f t="array" ref="G6">SUM(IF("131"&amp;B6=KHN&amp;KH,_TH))</f>
        <v>0</v>
      </c>
      <c r="H6" s="879">
        <f t="array" ref="H6">SUM(IF("131"&amp;B6=KHN&amp;KH,TH))</f>
        <v>0</v>
      </c>
      <c r="I6" s="880">
        <f t="array" ref="I6">SUM(IF("131"&amp;B6=KHC&amp;KH,_TH))</f>
        <v>0</v>
      </c>
      <c r="J6" s="879">
        <f t="array" ref="J6">SUM(IF("131"&amp;B6=KHC&amp;KH,TH))</f>
        <v>0</v>
      </c>
      <c r="K6" s="878">
        <f t="shared" si="0"/>
        <v>0</v>
      </c>
      <c r="L6" s="413">
        <f t="shared" si="1"/>
        <v>0</v>
      </c>
      <c r="M6" s="878">
        <f t="shared" si="2"/>
        <v>0</v>
      </c>
      <c r="N6" s="413">
        <f t="shared" si="3"/>
        <v>0</v>
      </c>
    </row>
    <row r="7" spans="1:14" s="10" customFormat="1" ht="18" customHeight="1">
      <c r="A7" s="884">
        <f t="shared" si="4"/>
        <v>3</v>
      </c>
      <c r="B7" s="7" t="s">
        <v>599</v>
      </c>
      <c r="C7" s="880">
        <v>44066.42</v>
      </c>
      <c r="D7" s="879">
        <v>986296391</v>
      </c>
      <c r="E7" s="880">
        <v>0</v>
      </c>
      <c r="F7" s="879">
        <v>0</v>
      </c>
      <c r="G7" s="880">
        <f t="array" ref="G7">SUM(IF("131"&amp;B7=KHN&amp;KH,_TH))</f>
        <v>0</v>
      </c>
      <c r="H7" s="879">
        <f t="array" ref="H7">SUM(IF("131"&amp;B7=KHN&amp;KH,TH))</f>
        <v>0</v>
      </c>
      <c r="I7" s="880">
        <f t="array" ref="I7">SUM(IF("131"&amp;B7=KHC&amp;KH,_TH))</f>
        <v>4997</v>
      </c>
      <c r="J7" s="879">
        <f t="array" ref="J7">SUM(IF("131"&amp;B7=KHC&amp;KH,TH))</f>
        <v>111333160</v>
      </c>
      <c r="K7" s="878">
        <f t="shared" si="0"/>
        <v>39069.42</v>
      </c>
      <c r="L7" s="413">
        <f t="shared" si="1"/>
        <v>874963231</v>
      </c>
      <c r="M7" s="878">
        <f t="shared" si="2"/>
        <v>0</v>
      </c>
      <c r="N7" s="413">
        <f t="shared" si="3"/>
        <v>0</v>
      </c>
    </row>
    <row r="8" spans="1:14" s="10" customFormat="1" ht="18" customHeight="1">
      <c r="A8" s="884">
        <f t="shared" si="4"/>
        <v>4</v>
      </c>
      <c r="B8" s="7" t="s">
        <v>598</v>
      </c>
      <c r="C8" s="880">
        <v>0</v>
      </c>
      <c r="D8" s="880">
        <v>0</v>
      </c>
      <c r="E8" s="880">
        <v>0</v>
      </c>
      <c r="F8" s="879">
        <v>0</v>
      </c>
      <c r="G8" s="880">
        <f t="array" ref="G8">SUM(IF("131"&amp;B8=KHN&amp;KH,_TH))</f>
        <v>281381</v>
      </c>
      <c r="H8" s="879">
        <f t="array" ref="H8">SUM(IF("131"&amp;B8=KHN&amp;KH,TH))</f>
        <v>6281279351</v>
      </c>
      <c r="I8" s="880">
        <f t="array" ref="I8">SUM(IF("131"&amp;B8=KHC&amp;KH,_TH))</f>
        <v>281381.00000000006</v>
      </c>
      <c r="J8" s="879">
        <f t="array" ref="J8">SUM(IF("131"&amp;B8=KHC&amp;KH,TH))</f>
        <v>6281279351</v>
      </c>
      <c r="K8" s="878">
        <f t="shared" si="0"/>
        <v>0</v>
      </c>
      <c r="L8" s="413">
        <f t="shared" si="1"/>
        <v>0</v>
      </c>
      <c r="M8" s="878">
        <f t="shared" si="2"/>
        <v>0</v>
      </c>
      <c r="N8" s="413">
        <f t="shared" si="3"/>
        <v>0</v>
      </c>
    </row>
    <row r="9" spans="1:14" s="10" customFormat="1" ht="18" customHeight="1">
      <c r="A9" s="884">
        <f t="shared" si="4"/>
        <v>5</v>
      </c>
      <c r="B9" s="7" t="s">
        <v>597</v>
      </c>
      <c r="C9" s="880">
        <v>103545</v>
      </c>
      <c r="D9" s="880">
        <v>2233983375</v>
      </c>
      <c r="E9" s="880">
        <v>0</v>
      </c>
      <c r="F9" s="880">
        <v>0</v>
      </c>
      <c r="G9" s="880">
        <f t="array" ref="G9">SUM(IF("131"&amp;B9=KHN&amp;KH,_TH))</f>
        <v>0</v>
      </c>
      <c r="H9" s="879">
        <f t="array" ref="H9">SUM(IF("131"&amp;B9=KHN&amp;KH,TH))</f>
        <v>0</v>
      </c>
      <c r="I9" s="880">
        <f t="array" ref="I9">SUM(IF("131"&amp;B9=KHC&amp;KH,_TH))</f>
        <v>0</v>
      </c>
      <c r="J9" s="879">
        <f t="array" ref="J9">SUM(IF("131"&amp;B9=KHC&amp;KH,TH))</f>
        <v>0</v>
      </c>
      <c r="K9" s="878">
        <f t="shared" si="0"/>
        <v>103545</v>
      </c>
      <c r="L9" s="413">
        <f t="shared" si="1"/>
        <v>2233983375</v>
      </c>
      <c r="M9" s="878">
        <f t="shared" si="2"/>
        <v>0</v>
      </c>
      <c r="N9" s="413">
        <f t="shared" si="3"/>
        <v>0</v>
      </c>
    </row>
    <row r="10" spans="1:14" s="10" customFormat="1" ht="18" customHeight="1">
      <c r="A10" s="884">
        <f t="shared" si="4"/>
        <v>6</v>
      </c>
      <c r="B10" s="7" t="s">
        <v>596</v>
      </c>
      <c r="C10" s="880">
        <v>5219.6400000000003</v>
      </c>
      <c r="D10" s="880">
        <v>123101834</v>
      </c>
      <c r="E10" s="880">
        <v>0</v>
      </c>
      <c r="F10" s="880">
        <v>0</v>
      </c>
      <c r="G10" s="880">
        <f t="array" ref="G10">SUM(IF("131"&amp;B10=KHN&amp;KH,_TH))</f>
        <v>208335</v>
      </c>
      <c r="H10" s="879">
        <f t="array" ref="H10">SUM(IF("131"&amp;B10=KHN&amp;KH,TH))</f>
        <v>4640606700</v>
      </c>
      <c r="I10" s="880">
        <f t="array" ref="I10">SUM(IF("131"&amp;B10=KHC&amp;KH,_TH))</f>
        <v>213554.64</v>
      </c>
      <c r="J10" s="879">
        <f t="array" ref="J10">SUM(IF("131"&amp;B10=KHC&amp;KH,TH))</f>
        <v>4763708534</v>
      </c>
      <c r="K10" s="878">
        <f t="shared" si="0"/>
        <v>0</v>
      </c>
      <c r="L10" s="413">
        <f t="shared" si="1"/>
        <v>0</v>
      </c>
      <c r="M10" s="878">
        <f t="shared" si="2"/>
        <v>0</v>
      </c>
      <c r="N10" s="413">
        <f t="shared" si="3"/>
        <v>0</v>
      </c>
    </row>
    <row r="11" spans="1:14" s="10" customFormat="1" ht="18" customHeight="1">
      <c r="A11" s="884">
        <f t="shared" si="4"/>
        <v>7</v>
      </c>
      <c r="B11" s="881" t="s">
        <v>595</v>
      </c>
      <c r="C11" s="880">
        <v>0</v>
      </c>
      <c r="D11" s="880">
        <v>0</v>
      </c>
      <c r="E11" s="880">
        <v>0</v>
      </c>
      <c r="F11" s="880">
        <v>0</v>
      </c>
      <c r="G11" s="880">
        <f t="array" ref="G11">SUM(IF("131"&amp;B11=KHN&amp;KH,_TH))</f>
        <v>125280</v>
      </c>
      <c r="H11" s="879">
        <f t="array" ref="H11">SUM(IF("131"&amp;B11=KHN&amp;KH,TH))</f>
        <v>2795975999</v>
      </c>
      <c r="I11" s="880">
        <f t="array" ref="I11">SUM(IF("131"&amp;B11=KHC&amp;KH,_TH))</f>
        <v>125280</v>
      </c>
      <c r="J11" s="879">
        <f t="array" ref="J11">SUM(IF("131"&amp;B11=KHC&amp;KH,TH))</f>
        <v>2795975999</v>
      </c>
      <c r="K11" s="878">
        <f t="shared" si="0"/>
        <v>0</v>
      </c>
      <c r="L11" s="413">
        <f t="shared" si="1"/>
        <v>0</v>
      </c>
      <c r="M11" s="878">
        <f t="shared" si="2"/>
        <v>0</v>
      </c>
      <c r="N11" s="413">
        <f t="shared" si="3"/>
        <v>0</v>
      </c>
    </row>
    <row r="12" spans="1:14" s="10" customFormat="1" ht="18" customHeight="1">
      <c r="A12" s="884">
        <f t="shared" si="4"/>
        <v>8</v>
      </c>
      <c r="B12" s="881" t="s">
        <v>1363</v>
      </c>
      <c r="C12" s="880">
        <v>0</v>
      </c>
      <c r="D12" s="880">
        <v>0</v>
      </c>
      <c r="E12" s="880">
        <v>0</v>
      </c>
      <c r="F12" s="880">
        <v>0</v>
      </c>
      <c r="G12" s="880">
        <f t="array" ref="G12">SUM(IF("131"&amp;B12=KHN&amp;KH,_TH))</f>
        <v>118320</v>
      </c>
      <c r="H12" s="879">
        <f t="array" ref="H12">SUM(IF("131"&amp;B12=KHN&amp;KH,TH))</f>
        <v>2634220800</v>
      </c>
      <c r="I12" s="880">
        <f t="array" ref="I12">SUM(IF("131"&amp;B12=KHC&amp;KH,_TH))</f>
        <v>76560.000000000015</v>
      </c>
      <c r="J12" s="879">
        <f t="array" ref="J12">SUM(IF("131"&amp;B12=KHC&amp;KH,TH))</f>
        <v>1704225600</v>
      </c>
      <c r="K12" s="878">
        <f t="shared" ref="K12:K19" si="5">ROUND(MAX(C12+G12-E12-I12,0),2)</f>
        <v>41760</v>
      </c>
      <c r="L12" s="413">
        <f t="shared" ref="L12:L19" si="6">ROUND(MAX(D12+H12-F12-J12,0),0)</f>
        <v>929995200</v>
      </c>
      <c r="M12" s="878">
        <f t="shared" ref="M12:M19" si="7">ROUND(MAX(E12+I12-C12-G12,0),2)</f>
        <v>0</v>
      </c>
      <c r="N12" s="413">
        <f t="shared" ref="N12:N19" si="8">ROUND(MAX(F12+J12-D12-H12,0),0)</f>
        <v>0</v>
      </c>
    </row>
    <row r="13" spans="1:14" s="10" customFormat="1" ht="18" customHeight="1">
      <c r="A13" s="884">
        <f t="shared" si="4"/>
        <v>9</v>
      </c>
      <c r="B13" s="881" t="s">
        <v>1539</v>
      </c>
      <c r="C13" s="880">
        <v>0</v>
      </c>
      <c r="D13" s="880">
        <v>0</v>
      </c>
      <c r="E13" s="880">
        <v>0</v>
      </c>
      <c r="F13" s="880">
        <v>0</v>
      </c>
      <c r="G13" s="880">
        <f t="array" ref="G13">SUM(IF("131"&amp;B13=KHN&amp;KH,_TH))</f>
        <v>20528.09</v>
      </c>
      <c r="H13" s="879">
        <f t="array" ref="H13">SUM(IF("131"&amp;B13=KHN&amp;KH,TH))</f>
        <v>457874564</v>
      </c>
      <c r="I13" s="880">
        <f t="array" ref="I13">SUM(IF("131"&amp;B13=KHC&amp;KH,_TH))</f>
        <v>20528.09</v>
      </c>
      <c r="J13" s="879">
        <f t="array" ref="J13">SUM(IF("131"&amp;B13=KHC&amp;KH,TH))</f>
        <v>457874564</v>
      </c>
      <c r="K13" s="878">
        <f t="shared" si="5"/>
        <v>0</v>
      </c>
      <c r="L13" s="413">
        <f t="shared" si="6"/>
        <v>0</v>
      </c>
      <c r="M13" s="878">
        <f t="shared" si="7"/>
        <v>0</v>
      </c>
      <c r="N13" s="413">
        <f t="shared" si="8"/>
        <v>0</v>
      </c>
    </row>
    <row r="14" spans="1:14" s="10" customFormat="1" ht="18" customHeight="1">
      <c r="A14" s="884">
        <f t="shared" si="4"/>
        <v>10</v>
      </c>
      <c r="B14" s="72" t="s">
        <v>1552</v>
      </c>
      <c r="C14" s="880">
        <v>0</v>
      </c>
      <c r="D14" s="880">
        <v>0</v>
      </c>
      <c r="E14" s="880">
        <v>0</v>
      </c>
      <c r="F14" s="880">
        <v>0</v>
      </c>
      <c r="G14" s="880">
        <f t="array" ref="G14">SUM(IF("131"&amp;B14=KHN&amp;KH,_TH))</f>
        <v>224500</v>
      </c>
      <c r="H14" s="879">
        <f t="array" ref="H14">SUM(IF("131"&amp;B14=KHN&amp;KH,TH))</f>
        <v>5013612500</v>
      </c>
      <c r="I14" s="880">
        <f t="array" ref="I14">SUM(IF("131"&amp;B14=KHC&amp;KH,_TH))</f>
        <v>154500</v>
      </c>
      <c r="J14" s="879">
        <f t="array" ref="J14">SUM(IF("131"&amp;B14=KHC&amp;KH,TH))</f>
        <v>3453662500</v>
      </c>
      <c r="K14" s="878">
        <f t="shared" si="5"/>
        <v>70000</v>
      </c>
      <c r="L14" s="413">
        <f t="shared" si="6"/>
        <v>1559950000</v>
      </c>
      <c r="M14" s="878">
        <f t="shared" si="7"/>
        <v>0</v>
      </c>
      <c r="N14" s="413">
        <f t="shared" si="8"/>
        <v>0</v>
      </c>
    </row>
    <row r="15" spans="1:14" s="10" customFormat="1" ht="18" customHeight="1">
      <c r="A15" s="884">
        <f t="shared" si="4"/>
        <v>11</v>
      </c>
      <c r="B15" s="72" t="s">
        <v>1687</v>
      </c>
      <c r="C15" s="880">
        <v>0</v>
      </c>
      <c r="D15" s="880">
        <v>0</v>
      </c>
      <c r="E15" s="880">
        <v>0</v>
      </c>
      <c r="F15" s="880">
        <v>0</v>
      </c>
      <c r="G15" s="880">
        <f t="array" ref="G15">SUM(IF("131"&amp;B15=KHN&amp;KH,_TH))</f>
        <v>174900</v>
      </c>
      <c r="H15" s="879">
        <f t="array" ref="H15">SUM(IF("131"&amp;B15=KHN&amp;KH,TH))</f>
        <v>3906746722</v>
      </c>
      <c r="I15" s="880">
        <f t="array" ref="I15">SUM(IF("131"&amp;B15=KHC&amp;KH,_TH))</f>
        <v>174900.00100000002</v>
      </c>
      <c r="J15" s="879">
        <f t="array" ref="J15">SUM(IF("131"&amp;B15=KHC&amp;KH,TH))</f>
        <v>3906746722</v>
      </c>
      <c r="K15" s="878">
        <f t="shared" si="5"/>
        <v>0</v>
      </c>
      <c r="L15" s="413">
        <f t="shared" si="6"/>
        <v>0</v>
      </c>
      <c r="M15" s="878">
        <f t="shared" si="7"/>
        <v>0</v>
      </c>
      <c r="N15" s="413">
        <f t="shared" si="8"/>
        <v>0</v>
      </c>
    </row>
    <row r="16" spans="1:14" s="10" customFormat="1" ht="18" customHeight="1">
      <c r="A16" s="884">
        <f t="shared" si="4"/>
        <v>12</v>
      </c>
      <c r="B16" s="94" t="s">
        <v>1766</v>
      </c>
      <c r="C16" s="983"/>
      <c r="D16" s="983"/>
      <c r="E16" s="880"/>
      <c r="F16" s="880"/>
      <c r="G16" s="880">
        <f t="array" ref="G16">SUM(IF("131"&amp;B16=KHN&amp;KH,_TH))</f>
        <v>0</v>
      </c>
      <c r="H16" s="879">
        <f t="array" ref="H16">SUM(IF("131"&amp;B16=KHN&amp;KH,TH))</f>
        <v>629501191</v>
      </c>
      <c r="I16" s="880">
        <f t="array" ref="I16">SUM(IF("131"&amp;B16=KHC&amp;KH,_TH))</f>
        <v>0</v>
      </c>
      <c r="J16" s="879">
        <f t="array" ref="J16">SUM(IF("131"&amp;B16=KHC&amp;KH,TH))</f>
        <v>629501191</v>
      </c>
      <c r="K16" s="878">
        <f t="shared" si="5"/>
        <v>0</v>
      </c>
      <c r="L16" s="413">
        <f t="shared" si="6"/>
        <v>0</v>
      </c>
      <c r="M16" s="878">
        <f t="shared" si="7"/>
        <v>0</v>
      </c>
      <c r="N16" s="413">
        <f t="shared" si="8"/>
        <v>0</v>
      </c>
    </row>
    <row r="17" spans="1:14" s="10" customFormat="1" ht="18" customHeight="1">
      <c r="A17" s="884">
        <f t="shared" si="4"/>
        <v>13</v>
      </c>
      <c r="B17" s="72" t="s">
        <v>1877</v>
      </c>
      <c r="C17" s="983"/>
      <c r="D17" s="983"/>
      <c r="E17" s="880"/>
      <c r="F17" s="880"/>
      <c r="G17" s="880">
        <f t="array" ref="G17">SUM(IF("131"&amp;B17=KHN&amp;KH,_TH))</f>
        <v>6000</v>
      </c>
      <c r="H17" s="879">
        <f t="array" ref="H17">SUM(IF("131"&amp;B17=KHN&amp;KH,TH))</f>
        <v>133897161</v>
      </c>
      <c r="I17" s="880">
        <f t="array" ref="I17">SUM(IF("131"&amp;B17=KHC&amp;KH,_TH))</f>
        <v>6000</v>
      </c>
      <c r="J17" s="879">
        <f t="array" ref="J17">SUM(IF("131"&amp;B17=KHC&amp;KH,TH))</f>
        <v>133897161</v>
      </c>
      <c r="K17" s="878">
        <f t="shared" si="5"/>
        <v>0</v>
      </c>
      <c r="L17" s="413">
        <f t="shared" si="6"/>
        <v>0</v>
      </c>
      <c r="M17" s="878">
        <f t="shared" si="7"/>
        <v>0</v>
      </c>
      <c r="N17" s="413">
        <f t="shared" si="8"/>
        <v>0</v>
      </c>
    </row>
    <row r="18" spans="1:14" s="10" customFormat="1" ht="18" customHeight="1">
      <c r="A18" s="884">
        <f t="shared" si="4"/>
        <v>14</v>
      </c>
      <c r="B18" s="72" t="s">
        <v>1890</v>
      </c>
      <c r="C18" s="983"/>
      <c r="D18" s="983"/>
      <c r="E18" s="880"/>
      <c r="F18" s="880"/>
      <c r="G18" s="880">
        <f t="array" ref="G18">SUM(IF("131"&amp;B18=KHN&amp;KH,_TH))</f>
        <v>547115</v>
      </c>
      <c r="H18" s="879">
        <f t="array" ref="H18">SUM(IF("131"&amp;B18=KHN&amp;KH,TH))</f>
        <v>12184251050</v>
      </c>
      <c r="I18" s="880">
        <f t="array" ref="I18">SUM(IF("131"&amp;B18=KHC&amp;KH,_TH))</f>
        <v>459347</v>
      </c>
      <c r="J18" s="879">
        <f t="array" ref="J18">SUM(IF("131"&amp;B18=KHC&amp;KH,TH))</f>
        <v>10240846218</v>
      </c>
      <c r="K18" s="878">
        <f t="shared" si="5"/>
        <v>87768</v>
      </c>
      <c r="L18" s="413">
        <f t="shared" si="6"/>
        <v>1943404832</v>
      </c>
      <c r="M18" s="878">
        <f t="shared" si="7"/>
        <v>0</v>
      </c>
      <c r="N18" s="413">
        <f t="shared" si="8"/>
        <v>0</v>
      </c>
    </row>
    <row r="19" spans="1:14" s="10" customFormat="1" ht="18" customHeight="1">
      <c r="A19" s="884">
        <f t="shared" si="4"/>
        <v>15</v>
      </c>
      <c r="B19" s="80" t="s">
        <v>1902</v>
      </c>
      <c r="C19" s="983"/>
      <c r="D19" s="983"/>
      <c r="E19" s="880"/>
      <c r="F19" s="880"/>
      <c r="G19" s="880">
        <f t="array" ref="G19">SUM(IF("131"&amp;B19=KHN&amp;KH,_TH))</f>
        <v>1898000</v>
      </c>
      <c r="H19" s="879">
        <f t="array" ref="H19">SUM(IF("131"&amp;B19=KHN&amp;KH,TH))</f>
        <v>42435192992</v>
      </c>
      <c r="I19" s="880">
        <f t="array" ref="I19">SUM(IF("131"&amp;B19=KHC&amp;KH,_TH))</f>
        <v>296400</v>
      </c>
      <c r="J19" s="879">
        <f t="array" ref="J19">SUM(IF("131"&amp;B19=KHC&amp;KH,TH))</f>
        <v>6610312992</v>
      </c>
      <c r="K19" s="878">
        <f t="shared" si="5"/>
        <v>1601600</v>
      </c>
      <c r="L19" s="413">
        <f t="shared" si="6"/>
        <v>35824880000</v>
      </c>
      <c r="M19" s="878">
        <f t="shared" si="7"/>
        <v>0</v>
      </c>
      <c r="N19" s="413">
        <f t="shared" si="8"/>
        <v>0</v>
      </c>
    </row>
    <row r="20" spans="1:14" s="10" customFormat="1" ht="18" customHeight="1">
      <c r="A20" s="884">
        <f t="shared" ref="A20" si="9">IF(B20&lt;&gt;"",ROW()-4,"")</f>
        <v>16</v>
      </c>
      <c r="B20" s="80" t="s">
        <v>2202</v>
      </c>
      <c r="C20" s="983"/>
      <c r="D20" s="983"/>
      <c r="E20" s="880"/>
      <c r="F20" s="880"/>
      <c r="G20" s="880">
        <f t="array" ref="G20">SUM(IF("131"&amp;B20=KHN&amp;KH,_TH))</f>
        <v>85000</v>
      </c>
      <c r="H20" s="879">
        <f t="array" ref="H20">SUM(IF("131"&amp;B20=KHN&amp;KH,TH))</f>
        <v>1894225000</v>
      </c>
      <c r="I20" s="880">
        <f t="array" ref="I20">SUM(IF("131"&amp;B20=KHC&amp;KH,_TH))</f>
        <v>0</v>
      </c>
      <c r="J20" s="879">
        <f t="array" ref="J20">SUM(IF("131"&amp;B20=KHC&amp;KH,TH))</f>
        <v>0</v>
      </c>
      <c r="K20" s="878">
        <f t="shared" ref="K20" si="10">ROUND(MAX(C20+G20-E20-I20,0),2)</f>
        <v>85000</v>
      </c>
      <c r="L20" s="413">
        <f t="shared" ref="L20" si="11">ROUND(MAX(D20+H20-F20-J20,0),0)</f>
        <v>1894225000</v>
      </c>
      <c r="M20" s="878">
        <f t="shared" ref="M20" si="12">ROUND(MAX(E20+I20-C20-G20,0),2)</f>
        <v>0</v>
      </c>
      <c r="N20" s="413">
        <f t="shared" ref="N20" si="13">ROUND(MAX(F20+J20-D20-H20,0),0)</f>
        <v>0</v>
      </c>
    </row>
    <row r="21" spans="1:14" s="10" customFormat="1" ht="18" customHeight="1">
      <c r="A21" s="884"/>
      <c r="B21" s="94"/>
      <c r="C21" s="983"/>
      <c r="D21" s="983"/>
      <c r="E21" s="880"/>
      <c r="F21" s="880"/>
      <c r="G21" s="880"/>
      <c r="H21" s="879"/>
      <c r="I21" s="880"/>
      <c r="J21" s="879"/>
      <c r="K21" s="878"/>
      <c r="L21" s="413"/>
      <c r="M21" s="878"/>
      <c r="N21" s="413"/>
    </row>
    <row r="22" spans="1:14" ht="18" customHeight="1">
      <c r="A22" s="11"/>
      <c r="B22" s="12" t="s">
        <v>41</v>
      </c>
      <c r="C22" s="877">
        <f t="shared" ref="C22:N22" si="14">SUM(C5:C21)</f>
        <v>152831.06</v>
      </c>
      <c r="D22" s="876">
        <f t="shared" si="14"/>
        <v>3343381600</v>
      </c>
      <c r="E22" s="877">
        <f t="shared" si="14"/>
        <v>0</v>
      </c>
      <c r="F22" s="876">
        <f t="shared" si="14"/>
        <v>0</v>
      </c>
      <c r="G22" s="877">
        <f t="shared" si="14"/>
        <v>3689359.09</v>
      </c>
      <c r="H22" s="876">
        <f t="shared" si="14"/>
        <v>83007384030</v>
      </c>
      <c r="I22" s="877">
        <f t="shared" si="14"/>
        <v>1813447.7310000001</v>
      </c>
      <c r="J22" s="876">
        <f t="shared" si="14"/>
        <v>41089363992</v>
      </c>
      <c r="K22" s="877">
        <f t="shared" si="14"/>
        <v>2028742.42</v>
      </c>
      <c r="L22" s="876">
        <f t="shared" si="14"/>
        <v>45261401638</v>
      </c>
      <c r="M22" s="877">
        <f t="shared" si="14"/>
        <v>0</v>
      </c>
      <c r="N22" s="876">
        <f t="shared" si="14"/>
        <v>0</v>
      </c>
    </row>
    <row r="24" spans="1:14">
      <c r="D24" s="875">
        <f>D22-CDPS!C15</f>
        <v>0</v>
      </c>
      <c r="H24" s="875">
        <f>H22-CDPS!E15</f>
        <v>0</v>
      </c>
      <c r="J24" s="875">
        <f>J22-CDPS!F15</f>
        <v>0</v>
      </c>
      <c r="N24" s="875">
        <f>L22-N22-CDPS!G15</f>
        <v>0</v>
      </c>
    </row>
    <row r="26" spans="1:14">
      <c r="I26" s="875"/>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sheetPr>
    <tabColor rgb="FF00B0F0"/>
  </sheetPr>
  <dimension ref="A2:O129"/>
  <sheetViews>
    <sheetView topLeftCell="A6" zoomScale="90" zoomScaleNormal="90" workbookViewId="0">
      <pane ySplit="11" topLeftCell="A17" activePane="bottomLeft" state="frozen"/>
      <selection activeCell="B5" sqref="B5"/>
      <selection pane="bottomLeft" activeCell="D33" sqref="D33"/>
    </sheetView>
  </sheetViews>
  <sheetFormatPr defaultRowHeight="14.25"/>
  <cols>
    <col min="1" max="1" width="9.85546875" style="144" customWidth="1"/>
    <col min="2" max="2" width="10.140625" style="144" bestFit="1" customWidth="1"/>
    <col min="3" max="3" width="9.85546875" style="144" customWidth="1"/>
    <col min="4" max="4" width="38" style="144" customWidth="1"/>
    <col min="5" max="5" width="8.28515625" style="144" customWidth="1"/>
    <col min="6" max="6" width="8.42578125" style="144" customWidth="1"/>
    <col min="7" max="7" width="9" style="144" customWidth="1"/>
    <col min="8" max="8" width="11.42578125" style="144" customWidth="1"/>
    <col min="9" max="9" width="14.85546875" style="144" customWidth="1"/>
    <col min="10" max="10" width="12.140625" style="144" customWidth="1"/>
    <col min="11" max="11" width="15.140625" style="144" customWidth="1"/>
    <col min="12" max="12" width="12.5703125" style="144" customWidth="1"/>
    <col min="13" max="13" width="15.85546875" style="144" customWidth="1"/>
    <col min="14" max="14" width="11.85546875" style="144" customWidth="1"/>
    <col min="15" max="15" width="14.5703125" style="144" customWidth="1"/>
    <col min="16" max="16" width="11" style="144" bestFit="1" customWidth="1"/>
    <col min="17" max="16384" width="9.140625" style="144"/>
  </cols>
  <sheetData>
    <row r="2" spans="1:15" s="862" customFormat="1" ht="16.5" customHeight="1">
      <c r="A2" s="930" t="s">
        <v>316</v>
      </c>
      <c r="B2" s="929"/>
      <c r="C2" s="928"/>
      <c r="D2" s="482"/>
      <c r="E2" s="922"/>
      <c r="G2" s="921"/>
      <c r="H2" s="920"/>
      <c r="I2" s="927"/>
      <c r="J2" s="926"/>
      <c r="K2" s="2"/>
      <c r="L2" s="2"/>
      <c r="M2" s="861" t="s">
        <v>610</v>
      </c>
      <c r="N2" s="2"/>
      <c r="O2" s="2"/>
    </row>
    <row r="3" spans="1:15" s="862" customFormat="1" ht="16.5" customHeight="1">
      <c r="A3" s="1362" t="s">
        <v>609</v>
      </c>
      <c r="B3" s="1362"/>
      <c r="C3" s="1362"/>
      <c r="D3" s="1362"/>
      <c r="E3" s="922"/>
      <c r="G3" s="921"/>
      <c r="H3" s="920"/>
      <c r="I3" s="919"/>
      <c r="J3" s="918"/>
      <c r="K3" s="17"/>
      <c r="L3" s="17"/>
      <c r="M3" s="924" t="s">
        <v>319</v>
      </c>
      <c r="N3" s="17"/>
      <c r="O3" s="17"/>
    </row>
    <row r="4" spans="1:15" s="862" customFormat="1" ht="16.5" customHeight="1">
      <c r="A4" s="925"/>
      <c r="B4" s="925"/>
      <c r="C4" s="925"/>
      <c r="D4" s="925"/>
      <c r="E4" s="922"/>
      <c r="G4" s="921" t="s">
        <v>608</v>
      </c>
      <c r="H4" s="920"/>
      <c r="I4" s="919"/>
      <c r="J4" s="918"/>
      <c r="K4" s="17"/>
      <c r="L4" s="17"/>
      <c r="M4" s="924" t="s">
        <v>320</v>
      </c>
      <c r="N4" s="17"/>
      <c r="O4" s="17"/>
    </row>
    <row r="5" spans="1:15" s="862" customFormat="1" ht="6.75" customHeight="1">
      <c r="A5" s="923"/>
      <c r="B5" s="923"/>
      <c r="C5" s="923"/>
      <c r="E5" s="922"/>
      <c r="G5" s="921"/>
      <c r="H5" s="920"/>
      <c r="I5" s="919"/>
      <c r="J5" s="918"/>
      <c r="K5" s="917"/>
      <c r="L5" s="859"/>
      <c r="M5" s="859"/>
      <c r="N5" s="859"/>
      <c r="O5" s="859"/>
    </row>
    <row r="6" spans="1:15" s="5" customFormat="1" ht="23.25" customHeight="1">
      <c r="A6" s="1280" t="s">
        <v>607</v>
      </c>
      <c r="B6" s="1280"/>
      <c r="C6" s="1280"/>
      <c r="D6" s="1280"/>
      <c r="E6" s="1280"/>
      <c r="F6" s="1280"/>
      <c r="G6" s="1280"/>
      <c r="H6" s="1280"/>
      <c r="I6" s="1280"/>
      <c r="J6" s="1280"/>
      <c r="K6" s="1280"/>
      <c r="L6" s="1280"/>
      <c r="M6" s="1280"/>
      <c r="N6" s="1280"/>
      <c r="O6" s="1280"/>
    </row>
    <row r="7" spans="1:15" s="5" customFormat="1" ht="15">
      <c r="H7" s="860" t="s">
        <v>29</v>
      </c>
    </row>
    <row r="8" spans="1:15" s="5" customFormat="1" ht="15">
      <c r="H8" s="860" t="s">
        <v>606</v>
      </c>
    </row>
    <row r="9" spans="1:15" s="5" customFormat="1" ht="15">
      <c r="G9" s="245" t="s">
        <v>605</v>
      </c>
      <c r="H9" s="1363" t="s">
        <v>1902</v>
      </c>
      <c r="I9" s="1363"/>
      <c r="J9" s="1363"/>
    </row>
    <row r="10" spans="1:15" s="5" customFormat="1" ht="15">
      <c r="H10" s="860" t="s">
        <v>244</v>
      </c>
    </row>
    <row r="11" spans="1:15" s="5" customFormat="1" ht="15">
      <c r="A11" s="4"/>
      <c r="B11" s="4"/>
      <c r="C11" s="916"/>
      <c r="D11" s="916"/>
      <c r="E11" s="916"/>
      <c r="F11" s="916"/>
      <c r="G11" s="916"/>
      <c r="H11" s="916"/>
      <c r="I11" s="916"/>
      <c r="J11" s="916"/>
      <c r="K11" s="916"/>
      <c r="L11" s="916"/>
      <c r="M11" s="916"/>
      <c r="N11" s="916"/>
      <c r="O11" s="916"/>
    </row>
    <row r="12" spans="1:15" s="860" customFormat="1" ht="15.75" customHeight="1">
      <c r="A12" s="1364" t="s">
        <v>22</v>
      </c>
      <c r="B12" s="1355" t="s">
        <v>1</v>
      </c>
      <c r="C12" s="1367"/>
      <c r="D12" s="1364" t="s">
        <v>0</v>
      </c>
      <c r="E12" s="1364" t="s">
        <v>16</v>
      </c>
      <c r="F12" s="1364" t="s">
        <v>245</v>
      </c>
      <c r="G12" s="1368" t="s">
        <v>604</v>
      </c>
      <c r="H12" s="1355" t="s">
        <v>23</v>
      </c>
      <c r="I12" s="1371"/>
      <c r="J12" s="1371"/>
      <c r="K12" s="1367"/>
      <c r="L12" s="1355" t="s">
        <v>33</v>
      </c>
      <c r="M12" s="1356"/>
      <c r="N12" s="1356"/>
      <c r="O12" s="1357"/>
    </row>
    <row r="13" spans="1:15" s="860" customFormat="1" ht="15.75" customHeight="1">
      <c r="A13" s="1365"/>
      <c r="B13" s="1358" t="s">
        <v>17</v>
      </c>
      <c r="C13" s="1358" t="s">
        <v>34</v>
      </c>
      <c r="D13" s="1365"/>
      <c r="E13" s="1365"/>
      <c r="F13" s="1365"/>
      <c r="G13" s="1369"/>
      <c r="H13" s="1360" t="s">
        <v>24</v>
      </c>
      <c r="I13" s="1361"/>
      <c r="J13" s="1360" t="s">
        <v>25</v>
      </c>
      <c r="K13" s="1361"/>
      <c r="L13" s="1360" t="s">
        <v>24</v>
      </c>
      <c r="M13" s="1357"/>
      <c r="N13" s="1360" t="s">
        <v>25</v>
      </c>
      <c r="O13" s="1357"/>
    </row>
    <row r="14" spans="1:15" s="860" customFormat="1" ht="27.75" customHeight="1">
      <c r="A14" s="1366"/>
      <c r="B14" s="1359"/>
      <c r="C14" s="1359"/>
      <c r="D14" s="1366"/>
      <c r="E14" s="1366"/>
      <c r="F14" s="1366"/>
      <c r="G14" s="1370"/>
      <c r="H14" s="915" t="s">
        <v>246</v>
      </c>
      <c r="I14" s="913" t="s">
        <v>247</v>
      </c>
      <c r="J14" s="914" t="s">
        <v>246</v>
      </c>
      <c r="K14" s="913" t="s">
        <v>247</v>
      </c>
      <c r="L14" s="912" t="s">
        <v>246</v>
      </c>
      <c r="M14" s="912" t="s">
        <v>247</v>
      </c>
      <c r="N14" s="912" t="s">
        <v>246</v>
      </c>
      <c r="O14" s="912" t="s">
        <v>247</v>
      </c>
    </row>
    <row r="15" spans="1:15" s="860" customFormat="1" ht="15">
      <c r="A15" s="894" t="s">
        <v>2</v>
      </c>
      <c r="B15" s="911" t="s">
        <v>3</v>
      </c>
      <c r="C15" s="894" t="s">
        <v>4</v>
      </c>
      <c r="D15" s="894" t="s">
        <v>5</v>
      </c>
      <c r="E15" s="894" t="s">
        <v>6</v>
      </c>
      <c r="F15" s="894">
        <v>1</v>
      </c>
      <c r="G15" s="894">
        <v>2</v>
      </c>
      <c r="H15" s="894">
        <v>3</v>
      </c>
      <c r="I15" s="894">
        <v>4</v>
      </c>
      <c r="J15" s="894">
        <v>5</v>
      </c>
      <c r="K15" s="894">
        <v>6</v>
      </c>
      <c r="L15" s="894">
        <v>7</v>
      </c>
      <c r="M15" s="894">
        <v>8</v>
      </c>
      <c r="N15" s="894">
        <v>9</v>
      </c>
      <c r="O15" s="894">
        <v>10</v>
      </c>
    </row>
    <row r="16" spans="1:15" s="5" customFormat="1" ht="16.5" customHeight="1">
      <c r="A16" s="896"/>
      <c r="B16" s="896"/>
      <c r="C16" s="896"/>
      <c r="D16" s="895" t="s">
        <v>7</v>
      </c>
      <c r="E16" s="896"/>
      <c r="F16" s="894"/>
      <c r="G16" s="909"/>
      <c r="H16" s="908"/>
      <c r="I16" s="909"/>
      <c r="J16" s="910"/>
      <c r="K16" s="909"/>
      <c r="L16" s="908">
        <f>VLOOKUP($H$9,'131'!$B$5:$F$21,2,0)</f>
        <v>0</v>
      </c>
      <c r="M16" s="907">
        <f>VLOOKUP($H$9,'131'!$B$5:$F$21,3,0)</f>
        <v>0</v>
      </c>
      <c r="N16" s="908">
        <f>VLOOKUP($H$9,'131'!$B$5:$F$21,4,0)</f>
        <v>0</v>
      </c>
      <c r="O16" s="907">
        <f>VLOOKUP($H$9,'131'!$B$5:$F$21,5,0)</f>
        <v>0</v>
      </c>
    </row>
    <row r="17" spans="1:15" s="5" customFormat="1" ht="16.5" customHeight="1">
      <c r="A17" s="223">
        <f ca="1">IF(C17&lt;&gt;"",C17,"")</f>
        <v>42587</v>
      </c>
      <c r="B17" s="227" t="str">
        <f ca="1">IF(ROWS($1:1)&gt;COUNT(Dong14),"",OFFSET(TH!D$1,SMALL(Dong14,ROWS($1:1)),))</f>
        <v>TP/X02</v>
      </c>
      <c r="C17" s="223">
        <f ca="1">IF(ROWS($1:1)&gt;COUNT(Dong14),"",OFFSET(TH!E$1,SMALL(Dong14,ROWS($1:1)),))</f>
        <v>42587</v>
      </c>
      <c r="D17" s="906" t="str">
        <f ca="1">IF(ROWS($1:1)&gt;COUNT(Dong14),"",OFFSET(TH!F$1,SMALL(Dong14,ROWS($1:1)),))</f>
        <v>Khô cá cơm TP</v>
      </c>
      <c r="E17" s="904" t="str">
        <f ca="1">IF(ROWS($1:1)&gt;COUNT(Dong14),"",IF(OFFSET(TH!N$1,SMALL(Dong14,ROWS($1:1)),)="131",OFFSET(TH!O$1,SMALL(Dong14,ROWS($1:1)),),OFFSET(TH!N$1,SMALL(Dong14,ROWS($1:1)),)))</f>
        <v>5112X</v>
      </c>
      <c r="F17" s="904">
        <f ca="1">IF(ROWS($1:1)&gt;COUNT(Dong14),0,OFFSET(TH!L$1,SMALL(Dong14,ROWS($1:1)),))</f>
        <v>22260</v>
      </c>
      <c r="G17" s="904"/>
      <c r="H17" s="905">
        <f ca="1">IF(ROWS($1:1)&gt;COUNT(Dong14),0,IF(OFFSET(TH!N$1,SMALL(Dong14,ROWS($1:1)),)="131",OFFSET(TH!K$1,SMALL(Dong14,ROWS($1:1)),),0))</f>
        <v>148200</v>
      </c>
      <c r="I17" s="904">
        <f ca="1">IF(ROWS($1:1)&gt;COUNT(Dong14),0,IF(OFFSET(TH!N$1,SMALL(Dong14,ROWS($1:1)),)="131",OFFSET(TH!M$1,SMALL(Dong14,ROWS($1:1)),),0))</f>
        <v>3298932000</v>
      </c>
      <c r="J17" s="905">
        <f ca="1">IF(ROWS($1:1)&gt;COUNT(Dong14),0,IF(OFFSET(TH!O$1,SMALL(Dong14,ROWS($1:1)),)="131",OFFSET(TH!K$1,SMALL(Dong14,ROWS($1:1)),),0))</f>
        <v>0</v>
      </c>
      <c r="K17" s="904">
        <f ca="1">IF(ROWS($1:1)&gt;COUNT(Dong14),0,IF(OFFSET(TH!O$1,SMALL(Dong14,ROWS($1:1)),)="131",OFFSET(TH!M$1,SMALL(Dong14,ROWS($1:1)),),0))</f>
        <v>0</v>
      </c>
      <c r="L17" s="898">
        <f ca="1">IF(D17&lt;&gt;"",ROUND(MAX(L16+H17-J17-N16,0),2),0)</f>
        <v>148200</v>
      </c>
      <c r="M17" s="897">
        <f ca="1">IF(D17&lt;&gt;"",MAX(M16-O16+I17-K17,0),0)</f>
        <v>3298932000</v>
      </c>
      <c r="N17" s="898">
        <f ca="1">IF(D17&lt;&gt;"",ROUND(MAX(N16+J17-H17-L16,0),2),0)</f>
        <v>0</v>
      </c>
      <c r="O17" s="897">
        <f ca="1">IF(D17&lt;&gt;"",MAX(O16-M16+K17-I17,0),0)</f>
        <v>0</v>
      </c>
    </row>
    <row r="18" spans="1:15" s="5" customFormat="1" ht="16.5" customHeight="1">
      <c r="A18" s="223">
        <f t="shared" ref="A18:A81" ca="1" si="0">IF(C18&lt;&gt;"",C18,"")</f>
        <v>42594</v>
      </c>
      <c r="B18" s="227" t="str">
        <f ca="1">IF(ROWS($1:2)&gt;COUNT(Dong14),"",OFFSET(TH!D$1,SMALL(Dong14,ROWS($1:2)),))</f>
        <v>TP/X03</v>
      </c>
      <c r="C18" s="223">
        <f ca="1">IF(ROWS($1:2)&gt;COUNT(Dong14),"",OFFSET(TH!E$1,SMALL(Dong14,ROWS($1:2)),))</f>
        <v>42594</v>
      </c>
      <c r="D18" s="906" t="str">
        <f ca="1">IF(ROWS($1:2)&gt;COUNT(Dong14),"",OFFSET(TH!F$1,SMALL(Dong14,ROWS($1:2)),))</f>
        <v>Khô cá cơm TP</v>
      </c>
      <c r="E18" s="904" t="str">
        <f ca="1">IF(ROWS($1:2)&gt;COUNT(Dong14),"",IF(OFFSET(TH!N$1,SMALL(Dong14,ROWS($1:2)),)="131",OFFSET(TH!O$1,SMALL(Dong14,ROWS($1:2)),),OFFSET(TH!N$1,SMALL(Dong14,ROWS($1:2)),)))</f>
        <v>5112X</v>
      </c>
      <c r="F18" s="904">
        <f ca="1">IF(ROWS($1:2)&gt;COUNT(Dong14),0,OFFSET(TH!L$1,SMALL(Dong14,ROWS($1:2)),))</f>
        <v>22260</v>
      </c>
      <c r="G18" s="904"/>
      <c r="H18" s="905">
        <f ca="1">IF(ROWS($1:2)&gt;COUNT(Dong14),0,IF(OFFSET(TH!N$1,SMALL(Dong14,ROWS($1:2)),)="131",OFFSET(TH!K$1,SMALL(Dong14,ROWS($1:2)),),0))</f>
        <v>148200</v>
      </c>
      <c r="I18" s="904">
        <f ca="1">IF(ROWS($1:2)&gt;COUNT(Dong14),0,IF(OFFSET(TH!N$1,SMALL(Dong14,ROWS($1:2)),)="131",OFFSET(TH!M$1,SMALL(Dong14,ROWS($1:2)),),0))</f>
        <v>3298932000</v>
      </c>
      <c r="J18" s="905">
        <f ca="1">IF(ROWS($1:2)&gt;COUNT(Dong14),0,IF(OFFSET(TH!O$1,SMALL(Dong14,ROWS($1:2)),)="131",OFFSET(TH!K$1,SMALL(Dong14,ROWS($1:2)),),0))</f>
        <v>0</v>
      </c>
      <c r="K18" s="904">
        <f ca="1">IF(ROWS($1:2)&gt;COUNT(Dong14),0,IF(OFFSET(TH!O$1,SMALL(Dong14,ROWS($1:2)),)="131",OFFSET(TH!M$1,SMALL(Dong14,ROWS($1:2)),),0))</f>
        <v>0</v>
      </c>
      <c r="L18" s="898">
        <f t="shared" ref="L18:L81" ca="1" si="1">IF(D18&lt;&gt;"",ROUND(MAX(L17+H18-J18-N17,0),2),0)</f>
        <v>296400</v>
      </c>
      <c r="M18" s="897">
        <f t="shared" ref="M18:M81" ca="1" si="2">IF(D18&lt;&gt;"",MAX(M17-O17+I18-K18,0),0)</f>
        <v>6597864000</v>
      </c>
      <c r="N18" s="898">
        <f t="shared" ref="N18:N81" ca="1" si="3">IF(D18&lt;&gt;"",ROUND(MAX(N17+J18-H18-L17,0),2),0)</f>
        <v>0</v>
      </c>
      <c r="O18" s="897">
        <f t="shared" ref="O18:O81" ca="1" si="4">IF(D18&lt;&gt;"",MAX(O17-M17+K18-I18,0),0)</f>
        <v>0</v>
      </c>
    </row>
    <row r="19" spans="1:15" s="5" customFormat="1" ht="16.5" customHeight="1">
      <c r="A19" s="223">
        <f t="shared" ca="1" si="0"/>
        <v>42661</v>
      </c>
      <c r="B19" s="227" t="str">
        <f ca="1">IF(ROWS($1:3)&gt;COUNT(Dong14),"",OFFSET(TH!D$1,SMALL(Dong14,ROWS($1:3)),))</f>
        <v>TP/X03</v>
      </c>
      <c r="C19" s="223">
        <f ca="1">IF(ROWS($1:3)&gt;COUNT(Dong14),"",OFFSET(TH!E$1,SMALL(Dong14,ROWS($1:3)),))</f>
        <v>42661</v>
      </c>
      <c r="D19" s="906" t="str">
        <f ca="1">IF(ROWS($1:3)&gt;COUNT(Dong14),"",OFFSET(TH!F$1,SMALL(Dong14,ROWS($1:3)),))</f>
        <v>Khô cá cơm TP</v>
      </c>
      <c r="E19" s="904" t="str">
        <f ca="1">IF(ROWS($1:3)&gt;COUNT(Dong14),"",IF(OFFSET(TH!N$1,SMALL(Dong14,ROWS($1:3)),)="131",OFFSET(TH!O$1,SMALL(Dong14,ROWS($1:3)),),OFFSET(TH!N$1,SMALL(Dong14,ROWS($1:3)),)))</f>
        <v>5112X</v>
      </c>
      <c r="F19" s="904">
        <f ca="1">IF(ROWS($1:3)&gt;COUNT(Dong14),0,OFFSET(TH!L$1,SMALL(Dong14,ROWS($1:3)),))</f>
        <v>22270</v>
      </c>
      <c r="G19" s="904"/>
      <c r="H19" s="905">
        <f ca="1">IF(ROWS($1:3)&gt;COUNT(Dong14),0,IF(OFFSET(TH!N$1,SMALL(Dong14,ROWS($1:3)),)="131",OFFSET(TH!K$1,SMALL(Dong14,ROWS($1:3)),),0))</f>
        <v>145600</v>
      </c>
      <c r="I19" s="904">
        <f ca="1">IF(ROWS($1:3)&gt;COUNT(Dong14),0,IF(OFFSET(TH!N$1,SMALL(Dong14,ROWS($1:3)),)="131",OFFSET(TH!M$1,SMALL(Dong14,ROWS($1:3)),),0))</f>
        <v>3242512000</v>
      </c>
      <c r="J19" s="905">
        <f ca="1">IF(ROWS($1:3)&gt;COUNT(Dong14),0,IF(OFFSET(TH!O$1,SMALL(Dong14,ROWS($1:3)),)="131",OFFSET(TH!K$1,SMALL(Dong14,ROWS($1:3)),),0))</f>
        <v>0</v>
      </c>
      <c r="K19" s="904">
        <f ca="1">IF(ROWS($1:3)&gt;COUNT(Dong14),0,IF(OFFSET(TH!O$1,SMALL(Dong14,ROWS($1:3)),)="131",OFFSET(TH!M$1,SMALL(Dong14,ROWS($1:3)),),0))</f>
        <v>0</v>
      </c>
      <c r="L19" s="898">
        <f t="shared" ca="1" si="1"/>
        <v>442000</v>
      </c>
      <c r="M19" s="897">
        <f t="shared" ca="1" si="2"/>
        <v>9840376000</v>
      </c>
      <c r="N19" s="898">
        <f t="shared" ca="1" si="3"/>
        <v>0</v>
      </c>
      <c r="O19" s="897">
        <f t="shared" ca="1" si="4"/>
        <v>0</v>
      </c>
    </row>
    <row r="20" spans="1:15" s="5" customFormat="1" ht="16.5" customHeight="1">
      <c r="A20" s="223">
        <f t="shared" ca="1" si="0"/>
        <v>42674</v>
      </c>
      <c r="B20" s="227" t="str">
        <f ca="1">IF(ROWS($1:4)&gt;COUNT(Dong14),"",OFFSET(TH!D$1,SMALL(Dong14,ROWS($1:4)),))</f>
        <v>TP/X05</v>
      </c>
      <c r="C20" s="223">
        <f ca="1">IF(ROWS($1:4)&gt;COUNT(Dong14),"",OFFSET(TH!E$1,SMALL(Dong14,ROWS($1:4)),))</f>
        <v>42674</v>
      </c>
      <c r="D20" s="906" t="str">
        <f ca="1">IF(ROWS($1:4)&gt;COUNT(Dong14),"",OFFSET(TH!F$1,SMALL(Dong14,ROWS($1:4)),))</f>
        <v>Khô cá cơm TP</v>
      </c>
      <c r="E20" s="904" t="str">
        <f ca="1">IF(ROWS($1:4)&gt;COUNT(Dong14),"",IF(OFFSET(TH!N$1,SMALL(Dong14,ROWS($1:4)),)="131",OFFSET(TH!O$1,SMALL(Dong14,ROWS($1:4)),),OFFSET(TH!N$1,SMALL(Dong14,ROWS($1:4)),)))</f>
        <v>5112X</v>
      </c>
      <c r="F20" s="904">
        <f ca="1">IF(ROWS($1:4)&gt;COUNT(Dong14),0,OFFSET(TH!L$1,SMALL(Dong14,ROWS($1:4)),))</f>
        <v>22295</v>
      </c>
      <c r="G20" s="904"/>
      <c r="H20" s="905">
        <f ca="1">IF(ROWS($1:4)&gt;COUNT(Dong14),0,IF(OFFSET(TH!N$1,SMALL(Dong14,ROWS($1:4)),)="131",OFFSET(TH!K$1,SMALL(Dong14,ROWS($1:4)),),0))</f>
        <v>145600</v>
      </c>
      <c r="I20" s="904">
        <f ca="1">IF(ROWS($1:4)&gt;COUNT(Dong14),0,IF(OFFSET(TH!N$1,SMALL(Dong14,ROWS($1:4)),)="131",OFFSET(TH!M$1,SMALL(Dong14,ROWS($1:4)),),0))</f>
        <v>3246152000</v>
      </c>
      <c r="J20" s="905">
        <f ca="1">IF(ROWS($1:4)&gt;COUNT(Dong14),0,IF(OFFSET(TH!O$1,SMALL(Dong14,ROWS($1:4)),)="131",OFFSET(TH!K$1,SMALL(Dong14,ROWS($1:4)),),0))</f>
        <v>0</v>
      </c>
      <c r="K20" s="904">
        <f ca="1">IF(ROWS($1:4)&gt;COUNT(Dong14),0,IF(OFFSET(TH!O$1,SMALL(Dong14,ROWS($1:4)),)="131",OFFSET(TH!M$1,SMALL(Dong14,ROWS($1:4)),),0))</f>
        <v>0</v>
      </c>
      <c r="L20" s="898">
        <f t="shared" ca="1" si="1"/>
        <v>587600</v>
      </c>
      <c r="M20" s="897">
        <f t="shared" ca="1" si="2"/>
        <v>13086528000</v>
      </c>
      <c r="N20" s="898">
        <f t="shared" ca="1" si="3"/>
        <v>0</v>
      </c>
      <c r="O20" s="897">
        <f t="shared" ca="1" si="4"/>
        <v>0</v>
      </c>
    </row>
    <row r="21" spans="1:15" s="5" customFormat="1" ht="16.5" customHeight="1">
      <c r="A21" s="223">
        <f t="shared" ca="1" si="0"/>
        <v>42678</v>
      </c>
      <c r="B21" s="227" t="str">
        <f ca="1">IF(ROWS($1:5)&gt;COUNT(Dong14),"",OFFSET(TH!D$1,SMALL(Dong14,ROWS($1:5)),))</f>
        <v>TP/X01</v>
      </c>
      <c r="C21" s="223">
        <f ca="1">IF(ROWS($1:5)&gt;COUNT(Dong14),"",OFFSET(TH!E$1,SMALL(Dong14,ROWS($1:5)),))</f>
        <v>42678</v>
      </c>
      <c r="D21" s="906" t="str">
        <f ca="1">IF(ROWS($1:5)&gt;COUNT(Dong14),"",OFFSET(TH!F$1,SMALL(Dong14,ROWS($1:5)),))</f>
        <v>Khô cá cơm TP</v>
      </c>
      <c r="E21" s="904" t="str">
        <f ca="1">IF(ROWS($1:5)&gt;COUNT(Dong14),"",IF(OFFSET(TH!N$1,SMALL(Dong14,ROWS($1:5)),)="131",OFFSET(TH!O$1,SMALL(Dong14,ROWS($1:5)),),OFFSET(TH!N$1,SMALL(Dong14,ROWS($1:5)),)))</f>
        <v>5112X</v>
      </c>
      <c r="F21" s="904">
        <f ca="1">IF(ROWS($1:5)&gt;COUNT(Dong14),0,OFFSET(TH!L$1,SMALL(Dong14,ROWS($1:5)),))</f>
        <v>22295</v>
      </c>
      <c r="G21" s="904"/>
      <c r="H21" s="905">
        <f ca="1">IF(ROWS($1:5)&gt;COUNT(Dong14),0,IF(OFFSET(TH!N$1,SMALL(Dong14,ROWS($1:5)),)="131",OFFSET(TH!K$1,SMALL(Dong14,ROWS($1:5)),),0))</f>
        <v>145600</v>
      </c>
      <c r="I21" s="904">
        <f ca="1">IF(ROWS($1:5)&gt;COUNT(Dong14),0,IF(OFFSET(TH!N$1,SMALL(Dong14,ROWS($1:5)),)="131",OFFSET(TH!M$1,SMALL(Dong14,ROWS($1:5)),),0))</f>
        <v>3246152000</v>
      </c>
      <c r="J21" s="905">
        <f ca="1">IF(ROWS($1:5)&gt;COUNT(Dong14),0,IF(OFFSET(TH!O$1,SMALL(Dong14,ROWS($1:5)),)="131",OFFSET(TH!K$1,SMALL(Dong14,ROWS($1:5)),),0))</f>
        <v>0</v>
      </c>
      <c r="K21" s="904">
        <f ca="1">IF(ROWS($1:5)&gt;COUNT(Dong14),0,IF(OFFSET(TH!O$1,SMALL(Dong14,ROWS($1:5)),)="131",OFFSET(TH!M$1,SMALL(Dong14,ROWS($1:5)),),0))</f>
        <v>0</v>
      </c>
      <c r="L21" s="898">
        <f t="shared" ca="1" si="1"/>
        <v>733200</v>
      </c>
      <c r="M21" s="897">
        <f t="shared" ca="1" si="2"/>
        <v>16332680000</v>
      </c>
      <c r="N21" s="898">
        <f t="shared" ca="1" si="3"/>
        <v>0</v>
      </c>
      <c r="O21" s="897">
        <f t="shared" ca="1" si="4"/>
        <v>0</v>
      </c>
    </row>
    <row r="22" spans="1:15" s="5" customFormat="1" ht="16.5" customHeight="1">
      <c r="A22" s="223">
        <f t="shared" ca="1" si="0"/>
        <v>42678</v>
      </c>
      <c r="B22" s="227" t="str">
        <f ca="1">IF(ROWS($1:6)&gt;COUNT(Dong14),"",OFFSET(TH!D$1,SMALL(Dong14,ROWS($1:6)),))</f>
        <v>TP/X02</v>
      </c>
      <c r="C22" s="223">
        <f ca="1">IF(ROWS($1:6)&gt;COUNT(Dong14),"",OFFSET(TH!E$1,SMALL(Dong14,ROWS($1:6)),))</f>
        <v>42678</v>
      </c>
      <c r="D22" s="906" t="str">
        <f ca="1">IF(ROWS($1:6)&gt;COUNT(Dong14),"",OFFSET(TH!F$1,SMALL(Dong14,ROWS($1:6)),))</f>
        <v>Khô cá cơm TP</v>
      </c>
      <c r="E22" s="904" t="str">
        <f ca="1">IF(ROWS($1:6)&gt;COUNT(Dong14),"",IF(OFFSET(TH!N$1,SMALL(Dong14,ROWS($1:6)),)="131",OFFSET(TH!O$1,SMALL(Dong14,ROWS($1:6)),),OFFSET(TH!N$1,SMALL(Dong14,ROWS($1:6)),)))</f>
        <v>5112X</v>
      </c>
      <c r="F22" s="904">
        <f ca="1">IF(ROWS($1:6)&gt;COUNT(Dong14),0,OFFSET(TH!L$1,SMALL(Dong14,ROWS($1:6)),))</f>
        <v>22295</v>
      </c>
      <c r="G22" s="904"/>
      <c r="H22" s="905">
        <f ca="1">IF(ROWS($1:6)&gt;COUNT(Dong14),0,IF(OFFSET(TH!N$1,SMALL(Dong14,ROWS($1:6)),)="131",OFFSET(TH!K$1,SMALL(Dong14,ROWS($1:6)),),0))</f>
        <v>145600</v>
      </c>
      <c r="I22" s="904">
        <f ca="1">IF(ROWS($1:6)&gt;COUNT(Dong14),0,IF(OFFSET(TH!N$1,SMALL(Dong14,ROWS($1:6)),)="131",OFFSET(TH!M$1,SMALL(Dong14,ROWS($1:6)),),0))</f>
        <v>3246152000</v>
      </c>
      <c r="J22" s="905">
        <f ca="1">IF(ROWS($1:6)&gt;COUNT(Dong14),0,IF(OFFSET(TH!O$1,SMALL(Dong14,ROWS($1:6)),)="131",OFFSET(TH!K$1,SMALL(Dong14,ROWS($1:6)),),0))</f>
        <v>0</v>
      </c>
      <c r="K22" s="904">
        <f ca="1">IF(ROWS($1:6)&gt;COUNT(Dong14),0,IF(OFFSET(TH!O$1,SMALL(Dong14,ROWS($1:6)),)="131",OFFSET(TH!M$1,SMALL(Dong14,ROWS($1:6)),),0))</f>
        <v>0</v>
      </c>
      <c r="L22" s="898">
        <f t="shared" ca="1" si="1"/>
        <v>878800</v>
      </c>
      <c r="M22" s="897">
        <f t="shared" ca="1" si="2"/>
        <v>19578832000</v>
      </c>
      <c r="N22" s="898">
        <f t="shared" ca="1" si="3"/>
        <v>0</v>
      </c>
      <c r="O22" s="897">
        <f t="shared" ca="1" si="4"/>
        <v>0</v>
      </c>
    </row>
    <row r="23" spans="1:15" s="5" customFormat="1" ht="16.5" customHeight="1">
      <c r="A23" s="223">
        <f t="shared" ca="1" si="0"/>
        <v>42682</v>
      </c>
      <c r="B23" s="227" t="str">
        <f ca="1">IF(ROWS($1:7)&gt;COUNT(Dong14),"",OFFSET(TH!D$1,SMALL(Dong14,ROWS($1:7)),))</f>
        <v>TP/X03</v>
      </c>
      <c r="C23" s="223">
        <f ca="1">IF(ROWS($1:7)&gt;COUNT(Dong14),"",OFFSET(TH!E$1,SMALL(Dong14,ROWS($1:7)),))</f>
        <v>42682</v>
      </c>
      <c r="D23" s="906" t="str">
        <f ca="1">IF(ROWS($1:7)&gt;COUNT(Dong14),"",OFFSET(TH!F$1,SMALL(Dong14,ROWS($1:7)),))</f>
        <v>Khô cá cơm TP</v>
      </c>
      <c r="E23" s="904" t="str">
        <f ca="1">IF(ROWS($1:7)&gt;COUNT(Dong14),"",IF(OFFSET(TH!N$1,SMALL(Dong14,ROWS($1:7)),)="131",OFFSET(TH!O$1,SMALL(Dong14,ROWS($1:7)),),OFFSET(TH!N$1,SMALL(Dong14,ROWS($1:7)),)))</f>
        <v>5112X</v>
      </c>
      <c r="F23" s="904">
        <f ca="1">IF(ROWS($1:7)&gt;COUNT(Dong14),0,OFFSET(TH!L$1,SMALL(Dong14,ROWS($1:7)),))</f>
        <v>22285</v>
      </c>
      <c r="G23" s="904"/>
      <c r="H23" s="905">
        <f ca="1">IF(ROWS($1:7)&gt;COUNT(Dong14),0,IF(OFFSET(TH!N$1,SMALL(Dong14,ROWS($1:7)),)="131",OFFSET(TH!K$1,SMALL(Dong14,ROWS($1:7)),),0))</f>
        <v>145600</v>
      </c>
      <c r="I23" s="904">
        <f ca="1">IF(ROWS($1:7)&gt;COUNT(Dong14),0,IF(OFFSET(TH!N$1,SMALL(Dong14,ROWS($1:7)),)="131",OFFSET(TH!M$1,SMALL(Dong14,ROWS($1:7)),),0))</f>
        <v>3244696000</v>
      </c>
      <c r="J23" s="905">
        <f ca="1">IF(ROWS($1:7)&gt;COUNT(Dong14),0,IF(OFFSET(TH!O$1,SMALL(Dong14,ROWS($1:7)),)="131",OFFSET(TH!K$1,SMALL(Dong14,ROWS($1:7)),),0))</f>
        <v>0</v>
      </c>
      <c r="K23" s="904">
        <f ca="1">IF(ROWS($1:7)&gt;COUNT(Dong14),0,IF(OFFSET(TH!O$1,SMALL(Dong14,ROWS($1:7)),)="131",OFFSET(TH!M$1,SMALL(Dong14,ROWS($1:7)),),0))</f>
        <v>0</v>
      </c>
      <c r="L23" s="898">
        <f t="shared" ca="1" si="1"/>
        <v>1024400</v>
      </c>
      <c r="M23" s="897">
        <f t="shared" ca="1" si="2"/>
        <v>22823528000</v>
      </c>
      <c r="N23" s="898">
        <f t="shared" ca="1" si="3"/>
        <v>0</v>
      </c>
      <c r="O23" s="897">
        <f t="shared" ca="1" si="4"/>
        <v>0</v>
      </c>
    </row>
    <row r="24" spans="1:15" s="5" customFormat="1" ht="16.5" customHeight="1">
      <c r="A24" s="223">
        <f t="shared" ca="1" si="0"/>
        <v>42685</v>
      </c>
      <c r="B24" s="227" t="str">
        <f ca="1">IF(ROWS($1:8)&gt;COUNT(Dong14),"",OFFSET(TH!D$1,SMALL(Dong14,ROWS($1:8)),))</f>
        <v>TP/X05</v>
      </c>
      <c r="C24" s="223">
        <f ca="1">IF(ROWS($1:8)&gt;COUNT(Dong14),"",OFFSET(TH!E$1,SMALL(Dong14,ROWS($1:8)),))</f>
        <v>42685</v>
      </c>
      <c r="D24" s="906" t="str">
        <f ca="1">IF(ROWS($1:8)&gt;COUNT(Dong14),"",OFFSET(TH!F$1,SMALL(Dong14,ROWS($1:8)),))</f>
        <v>Khô cá cơm TP</v>
      </c>
      <c r="E24" s="904" t="str">
        <f ca="1">IF(ROWS($1:8)&gt;COUNT(Dong14),"",IF(OFFSET(TH!N$1,SMALL(Dong14,ROWS($1:8)),)="131",OFFSET(TH!O$1,SMALL(Dong14,ROWS($1:8)),),OFFSET(TH!N$1,SMALL(Dong14,ROWS($1:8)),)))</f>
        <v>5112X</v>
      </c>
      <c r="F24" s="904">
        <f ca="1">IF(ROWS($1:8)&gt;COUNT(Dong14),0,OFFSET(TH!L$1,SMALL(Dong14,ROWS($1:8)),))</f>
        <v>22285</v>
      </c>
      <c r="G24" s="904"/>
      <c r="H24" s="905">
        <f ca="1">IF(ROWS($1:8)&gt;COUNT(Dong14),0,IF(OFFSET(TH!N$1,SMALL(Dong14,ROWS($1:8)),)="131",OFFSET(TH!K$1,SMALL(Dong14,ROWS($1:8)),),0))</f>
        <v>145600</v>
      </c>
      <c r="I24" s="904">
        <f ca="1">IF(ROWS($1:8)&gt;COUNT(Dong14),0,IF(OFFSET(TH!N$1,SMALL(Dong14,ROWS($1:8)),)="131",OFFSET(TH!M$1,SMALL(Dong14,ROWS($1:8)),),0))</f>
        <v>3244696000</v>
      </c>
      <c r="J24" s="905">
        <f ca="1">IF(ROWS($1:8)&gt;COUNT(Dong14),0,IF(OFFSET(TH!O$1,SMALL(Dong14,ROWS($1:8)),)="131",OFFSET(TH!K$1,SMALL(Dong14,ROWS($1:8)),),0))</f>
        <v>0</v>
      </c>
      <c r="K24" s="904">
        <f ca="1">IF(ROWS($1:8)&gt;COUNT(Dong14),0,IF(OFFSET(TH!O$1,SMALL(Dong14,ROWS($1:8)),)="131",OFFSET(TH!M$1,SMALL(Dong14,ROWS($1:8)),),0))</f>
        <v>0</v>
      </c>
      <c r="L24" s="898">
        <f t="shared" ca="1" si="1"/>
        <v>1170000</v>
      </c>
      <c r="M24" s="897">
        <f t="shared" ca="1" si="2"/>
        <v>26068224000</v>
      </c>
      <c r="N24" s="898">
        <f t="shared" ca="1" si="3"/>
        <v>0</v>
      </c>
      <c r="O24" s="897">
        <f t="shared" ca="1" si="4"/>
        <v>0</v>
      </c>
    </row>
    <row r="25" spans="1:15" s="5" customFormat="1" ht="16.5" customHeight="1">
      <c r="A25" s="223">
        <f t="shared" ca="1" si="0"/>
        <v>42690</v>
      </c>
      <c r="B25" s="227" t="str">
        <f ca="1">IF(ROWS($1:9)&gt;COUNT(Dong14),"",OFFSET(TH!D$1,SMALL(Dong14,ROWS($1:9)),))</f>
        <v>TP/X07</v>
      </c>
      <c r="C25" s="223">
        <f ca="1">IF(ROWS($1:9)&gt;COUNT(Dong14),"",OFFSET(TH!E$1,SMALL(Dong14,ROWS($1:9)),))</f>
        <v>42690</v>
      </c>
      <c r="D25" s="906" t="str">
        <f ca="1">IF(ROWS($1:9)&gt;COUNT(Dong14),"",OFFSET(TH!F$1,SMALL(Dong14,ROWS($1:9)),))</f>
        <v>Khô cá cơm TP</v>
      </c>
      <c r="E25" s="904" t="str">
        <f ca="1">IF(ROWS($1:9)&gt;COUNT(Dong14),"",IF(OFFSET(TH!N$1,SMALL(Dong14,ROWS($1:9)),)="131",OFFSET(TH!O$1,SMALL(Dong14,ROWS($1:9)),),OFFSET(TH!N$1,SMALL(Dong14,ROWS($1:9)),)))</f>
        <v>5112X</v>
      </c>
      <c r="F25" s="904">
        <f ca="1">IF(ROWS($1:9)&gt;COUNT(Dong14),0,OFFSET(TH!L$1,SMALL(Dong14,ROWS($1:9)),))</f>
        <v>22285</v>
      </c>
      <c r="G25" s="904"/>
      <c r="H25" s="905">
        <f ca="1">IF(ROWS($1:9)&gt;COUNT(Dong14),0,IF(OFFSET(TH!N$1,SMALL(Dong14,ROWS($1:9)),)="131",OFFSET(TH!K$1,SMALL(Dong14,ROWS($1:9)),),0))</f>
        <v>145600</v>
      </c>
      <c r="I25" s="904">
        <f ca="1">IF(ROWS($1:9)&gt;COUNT(Dong14),0,IF(OFFSET(TH!N$1,SMALL(Dong14,ROWS($1:9)),)="131",OFFSET(TH!M$1,SMALL(Dong14,ROWS($1:9)),),0))</f>
        <v>3244696000</v>
      </c>
      <c r="J25" s="905">
        <f ca="1">IF(ROWS($1:9)&gt;COUNT(Dong14),0,IF(OFFSET(TH!O$1,SMALL(Dong14,ROWS($1:9)),)="131",OFFSET(TH!K$1,SMALL(Dong14,ROWS($1:9)),),0))</f>
        <v>0</v>
      </c>
      <c r="K25" s="904">
        <f ca="1">IF(ROWS($1:9)&gt;COUNT(Dong14),0,IF(OFFSET(TH!O$1,SMALL(Dong14,ROWS($1:9)),)="131",OFFSET(TH!M$1,SMALL(Dong14,ROWS($1:9)),),0))</f>
        <v>0</v>
      </c>
      <c r="L25" s="898">
        <f t="shared" ca="1" si="1"/>
        <v>1315600</v>
      </c>
      <c r="M25" s="897">
        <f t="shared" ca="1" si="2"/>
        <v>29312920000</v>
      </c>
      <c r="N25" s="898">
        <f t="shared" ca="1" si="3"/>
        <v>0</v>
      </c>
      <c r="O25" s="897">
        <f t="shared" ca="1" si="4"/>
        <v>0</v>
      </c>
    </row>
    <row r="26" spans="1:15" s="5" customFormat="1" ht="16.5" customHeight="1">
      <c r="A26" s="223">
        <f t="shared" ca="1" si="0"/>
        <v>42691</v>
      </c>
      <c r="B26" s="227" t="str">
        <f ca="1">IF(ROWS($1:10)&gt;COUNT(Dong14),"",OFFSET(TH!D$1,SMALL(Dong14,ROWS($1:10)),))</f>
        <v>TP/X08</v>
      </c>
      <c r="C26" s="223">
        <f ca="1">IF(ROWS($1:10)&gt;COUNT(Dong14),"",OFFSET(TH!E$1,SMALL(Dong14,ROWS($1:10)),))</f>
        <v>42691</v>
      </c>
      <c r="D26" s="906" t="str">
        <f ca="1">IF(ROWS($1:10)&gt;COUNT(Dong14),"",OFFSET(TH!F$1,SMALL(Dong14,ROWS($1:10)),))</f>
        <v>Khô cá cơm TP</v>
      </c>
      <c r="E26" s="904" t="str">
        <f ca="1">IF(ROWS($1:10)&gt;COUNT(Dong14),"",IF(OFFSET(TH!N$1,SMALL(Dong14,ROWS($1:10)),)="131",OFFSET(TH!O$1,SMALL(Dong14,ROWS($1:10)),),OFFSET(TH!N$1,SMALL(Dong14,ROWS($1:10)),)))</f>
        <v>5112X</v>
      </c>
      <c r="F26" s="904">
        <f ca="1">IF(ROWS($1:10)&gt;COUNT(Dong14),0,OFFSET(TH!L$1,SMALL(Dong14,ROWS($1:10)),))</f>
        <v>22285</v>
      </c>
      <c r="G26" s="904"/>
      <c r="H26" s="905">
        <f ca="1">IF(ROWS($1:10)&gt;COUNT(Dong14),0,IF(OFFSET(TH!N$1,SMALL(Dong14,ROWS($1:10)),)="131",OFFSET(TH!K$1,SMALL(Dong14,ROWS($1:10)),),0))</f>
        <v>145600</v>
      </c>
      <c r="I26" s="904">
        <f ca="1">IF(ROWS($1:10)&gt;COUNT(Dong14),0,IF(OFFSET(TH!N$1,SMALL(Dong14,ROWS($1:10)),)="131",OFFSET(TH!M$1,SMALL(Dong14,ROWS($1:10)),),0))</f>
        <v>3244696000</v>
      </c>
      <c r="J26" s="905">
        <f ca="1">IF(ROWS($1:10)&gt;COUNT(Dong14),0,IF(OFFSET(TH!O$1,SMALL(Dong14,ROWS($1:10)),)="131",OFFSET(TH!K$1,SMALL(Dong14,ROWS($1:10)),),0))</f>
        <v>0</v>
      </c>
      <c r="K26" s="904">
        <f ca="1">IF(ROWS($1:10)&gt;COUNT(Dong14),0,IF(OFFSET(TH!O$1,SMALL(Dong14,ROWS($1:10)),)="131",OFFSET(TH!M$1,SMALL(Dong14,ROWS($1:10)),),0))</f>
        <v>0</v>
      </c>
      <c r="L26" s="898">
        <f t="shared" ca="1" si="1"/>
        <v>1461200</v>
      </c>
      <c r="M26" s="897">
        <f t="shared" ca="1" si="2"/>
        <v>32557616000</v>
      </c>
      <c r="N26" s="898">
        <f t="shared" ca="1" si="3"/>
        <v>0</v>
      </c>
      <c r="O26" s="897">
        <f t="shared" ca="1" si="4"/>
        <v>0</v>
      </c>
    </row>
    <row r="27" spans="1:15" s="5" customFormat="1" ht="16.5" customHeight="1">
      <c r="A27" s="223">
        <f t="shared" ca="1" si="0"/>
        <v>42699</v>
      </c>
      <c r="B27" s="227" t="str">
        <f ca="1">IF(ROWS($1:11)&gt;COUNT(Dong14),"",OFFSET(TH!D$1,SMALL(Dong14,ROWS($1:11)),))</f>
        <v>TP/X09</v>
      </c>
      <c r="C27" s="223">
        <f ca="1">IF(ROWS($1:11)&gt;COUNT(Dong14),"",OFFSET(TH!E$1,SMALL(Dong14,ROWS($1:11)),))</f>
        <v>42699</v>
      </c>
      <c r="D27" s="906" t="str">
        <f ca="1">IF(ROWS($1:11)&gt;COUNT(Dong14),"",OFFSET(TH!F$1,SMALL(Dong14,ROWS($1:11)),))</f>
        <v>Khô cá cơm TP</v>
      </c>
      <c r="E27" s="904" t="str">
        <f ca="1">IF(ROWS($1:11)&gt;COUNT(Dong14),"",IF(OFFSET(TH!N$1,SMALL(Dong14,ROWS($1:11)),)="131",OFFSET(TH!O$1,SMALL(Dong14,ROWS($1:11)),),OFFSET(TH!N$1,SMALL(Dong14,ROWS($1:11)),)))</f>
        <v>5112X</v>
      </c>
      <c r="F27" s="904">
        <f ca="1">IF(ROWS($1:11)&gt;COUNT(Dong14),0,OFFSET(TH!L$1,SMALL(Dong14,ROWS($1:11)),))</f>
        <v>22395</v>
      </c>
      <c r="G27" s="904"/>
      <c r="H27" s="905">
        <f ca="1">IF(ROWS($1:11)&gt;COUNT(Dong14),0,IF(OFFSET(TH!N$1,SMALL(Dong14,ROWS($1:11)),)="131",OFFSET(TH!K$1,SMALL(Dong14,ROWS($1:11)),),0))</f>
        <v>145600</v>
      </c>
      <c r="I27" s="904">
        <f ca="1">IF(ROWS($1:11)&gt;COUNT(Dong14),0,IF(OFFSET(TH!N$1,SMALL(Dong14,ROWS($1:11)),)="131",OFFSET(TH!M$1,SMALL(Dong14,ROWS($1:11)),),0))</f>
        <v>3260712000</v>
      </c>
      <c r="J27" s="905">
        <f ca="1">IF(ROWS($1:11)&gt;COUNT(Dong14),0,IF(OFFSET(TH!O$1,SMALL(Dong14,ROWS($1:11)),)="131",OFFSET(TH!K$1,SMALL(Dong14,ROWS($1:11)),),0))</f>
        <v>0</v>
      </c>
      <c r="K27" s="904">
        <f ca="1">IF(ROWS($1:11)&gt;COUNT(Dong14),0,IF(OFFSET(TH!O$1,SMALL(Dong14,ROWS($1:11)),)="131",OFFSET(TH!M$1,SMALL(Dong14,ROWS($1:11)),),0))</f>
        <v>0</v>
      </c>
      <c r="L27" s="898">
        <f t="shared" ca="1" si="1"/>
        <v>1606800</v>
      </c>
      <c r="M27" s="897">
        <f t="shared" ca="1" si="2"/>
        <v>35818328000</v>
      </c>
      <c r="N27" s="898">
        <f t="shared" ca="1" si="3"/>
        <v>0</v>
      </c>
      <c r="O27" s="897">
        <f t="shared" ca="1" si="4"/>
        <v>0</v>
      </c>
    </row>
    <row r="28" spans="1:15" s="5" customFormat="1" ht="16.5" customHeight="1">
      <c r="A28" s="223">
        <f t="shared" ca="1" si="0"/>
        <v>42702</v>
      </c>
      <c r="B28" s="227" t="str">
        <f ca="1">IF(ROWS($1:12)&gt;COUNT(Dong14),"",OFFSET(TH!D$1,SMALL(Dong14,ROWS($1:12)),))</f>
        <v>TP/X10</v>
      </c>
      <c r="C28" s="223">
        <f ca="1">IF(ROWS($1:12)&gt;COUNT(Dong14),"",OFFSET(TH!E$1,SMALL(Dong14,ROWS($1:12)),))</f>
        <v>42702</v>
      </c>
      <c r="D28" s="906" t="str">
        <f ca="1">IF(ROWS($1:12)&gt;COUNT(Dong14),"",OFFSET(TH!F$1,SMALL(Dong14,ROWS($1:12)),))</f>
        <v>Khô cá cơm TP</v>
      </c>
      <c r="E28" s="904" t="str">
        <f ca="1">IF(ROWS($1:12)&gt;COUNT(Dong14),"",IF(OFFSET(TH!N$1,SMALL(Dong14,ROWS($1:12)),)="131",OFFSET(TH!O$1,SMALL(Dong14,ROWS($1:12)),),OFFSET(TH!N$1,SMALL(Dong14,ROWS($1:12)),)))</f>
        <v>5112X</v>
      </c>
      <c r="F28" s="904">
        <f ca="1">IF(ROWS($1:12)&gt;COUNT(Dong14),0,OFFSET(TH!L$1,SMALL(Dong14,ROWS($1:12)),))</f>
        <v>22680</v>
      </c>
      <c r="G28" s="904"/>
      <c r="H28" s="905">
        <f ca="1">IF(ROWS($1:12)&gt;COUNT(Dong14),0,IF(OFFSET(TH!N$1,SMALL(Dong14,ROWS($1:12)),)="131",OFFSET(TH!K$1,SMALL(Dong14,ROWS($1:12)),),0))</f>
        <v>291200</v>
      </c>
      <c r="I28" s="904">
        <f ca="1">IF(ROWS($1:12)&gt;COUNT(Dong14),0,IF(OFFSET(TH!N$1,SMALL(Dong14,ROWS($1:12)),)="131",OFFSET(TH!M$1,SMALL(Dong14,ROWS($1:12)),),0))</f>
        <v>6604416000</v>
      </c>
      <c r="J28" s="905">
        <f ca="1">IF(ROWS($1:12)&gt;COUNT(Dong14),0,IF(OFFSET(TH!O$1,SMALL(Dong14,ROWS($1:12)),)="131",OFFSET(TH!K$1,SMALL(Dong14,ROWS($1:12)),),0))</f>
        <v>0</v>
      </c>
      <c r="K28" s="904">
        <f ca="1">IF(ROWS($1:12)&gt;COUNT(Dong14),0,IF(OFFSET(TH!O$1,SMALL(Dong14,ROWS($1:12)),)="131",OFFSET(TH!M$1,SMALL(Dong14,ROWS($1:12)),),0))</f>
        <v>0</v>
      </c>
      <c r="L28" s="898">
        <f t="shared" ca="1" si="1"/>
        <v>1898000</v>
      </c>
      <c r="M28" s="897">
        <f t="shared" ca="1" si="2"/>
        <v>42422744000</v>
      </c>
      <c r="N28" s="898">
        <f t="shared" ca="1" si="3"/>
        <v>0</v>
      </c>
      <c r="O28" s="897">
        <f t="shared" ca="1" si="4"/>
        <v>0</v>
      </c>
    </row>
    <row r="29" spans="1:15" s="5" customFormat="1" ht="16.5" customHeight="1">
      <c r="A29" s="223">
        <f t="shared" ca="1" si="0"/>
        <v>42626</v>
      </c>
      <c r="B29" s="227" t="str">
        <f ca="1">IF(ROWS($1:13)&gt;COUNT(Dong14),"",OFFSET(TH!D$1,SMALL(Dong14,ROWS($1:13)),))</f>
        <v>GBC</v>
      </c>
      <c r="C29" s="223">
        <f ca="1">IF(ROWS($1:13)&gt;COUNT(Dong14),"",OFFSET(TH!E$1,SMALL(Dong14,ROWS($1:13)),))</f>
        <v>42626</v>
      </c>
      <c r="D29" s="906" t="str">
        <f ca="1">IF(ROWS($1:13)&gt;COUNT(Dong14),"",OFFSET(TH!F$1,SMALL(Dong14,ROWS($1:13)),))</f>
        <v>Thu tiền hàng</v>
      </c>
      <c r="E29" s="904" t="str">
        <f ca="1">IF(ROWS($1:13)&gt;COUNT(Dong14),"",IF(OFFSET(TH!N$1,SMALL(Dong14,ROWS($1:13)),)="131",OFFSET(TH!O$1,SMALL(Dong14,ROWS($1:13)),),OFFSET(TH!N$1,SMALL(Dong14,ROWS($1:13)),)))</f>
        <v>1122</v>
      </c>
      <c r="F29" s="904">
        <f ca="1">IF(ROWS($1:13)&gt;COUNT(Dong14),0,OFFSET(TH!L$1,SMALL(Dong14,ROWS($1:13)),))</f>
        <v>22294</v>
      </c>
      <c r="G29" s="904"/>
      <c r="H29" s="905">
        <f ca="1">IF(ROWS($1:13)&gt;COUNT(Dong14),0,IF(OFFSET(TH!N$1,SMALL(Dong14,ROWS($1:13)),)="131",OFFSET(TH!K$1,SMALL(Dong14,ROWS($1:13)),),0))</f>
        <v>0</v>
      </c>
      <c r="I29" s="904">
        <f ca="1">IF(ROWS($1:13)&gt;COUNT(Dong14),0,IF(OFFSET(TH!N$1,SMALL(Dong14,ROWS($1:13)),)="131",OFFSET(TH!M$1,SMALL(Dong14,ROWS($1:13)),),0))</f>
        <v>0</v>
      </c>
      <c r="J29" s="905">
        <f ca="1">IF(ROWS($1:13)&gt;COUNT(Dong14),0,IF(OFFSET(TH!O$1,SMALL(Dong14,ROWS($1:13)),)="131",OFFSET(TH!K$1,SMALL(Dong14,ROWS($1:13)),),0))</f>
        <v>148188</v>
      </c>
      <c r="K29" s="904">
        <f ca="1">IF(ROWS($1:13)&gt;COUNT(Dong14),0,IF(OFFSET(TH!O$1,SMALL(Dong14,ROWS($1:13)),)="131",OFFSET(TH!M$1,SMALL(Dong14,ROWS($1:13)),),0))</f>
        <v>3303703272</v>
      </c>
      <c r="L29" s="898">
        <f t="shared" ca="1" si="1"/>
        <v>1749812</v>
      </c>
      <c r="M29" s="897">
        <f t="shared" ca="1" si="2"/>
        <v>39119040728</v>
      </c>
      <c r="N29" s="898">
        <f t="shared" ca="1" si="3"/>
        <v>0</v>
      </c>
      <c r="O29" s="897">
        <f t="shared" ca="1" si="4"/>
        <v>0</v>
      </c>
    </row>
    <row r="30" spans="1:15" s="5" customFormat="1" ht="16.5" customHeight="1">
      <c r="A30" s="223">
        <f t="shared" ca="1" si="0"/>
        <v>42633</v>
      </c>
      <c r="B30" s="227" t="str">
        <f ca="1">IF(ROWS($1:14)&gt;COUNT(Dong14),"",OFFSET(TH!D$1,SMALL(Dong14,ROWS($1:14)),))</f>
        <v>GBC</v>
      </c>
      <c r="C30" s="223">
        <f ca="1">IF(ROWS($1:14)&gt;COUNT(Dong14),"",OFFSET(TH!E$1,SMALL(Dong14,ROWS($1:14)),))</f>
        <v>42633</v>
      </c>
      <c r="D30" s="906" t="str">
        <f ca="1">IF(ROWS($1:14)&gt;COUNT(Dong14),"",OFFSET(TH!F$1,SMALL(Dong14,ROWS($1:14)),))</f>
        <v>Thu tiền hàng</v>
      </c>
      <c r="E30" s="904" t="str">
        <f ca="1">IF(ROWS($1:14)&gt;COUNT(Dong14),"",IF(OFFSET(TH!N$1,SMALL(Dong14,ROWS($1:14)),)="131",OFFSET(TH!O$1,SMALL(Dong14,ROWS($1:14)),),OFFSET(TH!N$1,SMALL(Dong14,ROWS($1:14)),)))</f>
        <v>1122</v>
      </c>
      <c r="F30" s="904">
        <f ca="1">IF(ROWS($1:14)&gt;COUNT(Dong14),0,OFFSET(TH!L$1,SMALL(Dong14,ROWS($1:14)),))</f>
        <v>22310</v>
      </c>
      <c r="G30" s="904"/>
      <c r="H30" s="905">
        <f ca="1">IF(ROWS($1:14)&gt;COUNT(Dong14),0,IF(OFFSET(TH!N$1,SMALL(Dong14,ROWS($1:14)),)="131",OFFSET(TH!K$1,SMALL(Dong14,ROWS($1:14)),),0))</f>
        <v>0</v>
      </c>
      <c r="I30" s="904">
        <f ca="1">IF(ROWS($1:14)&gt;COUNT(Dong14),0,IF(OFFSET(TH!N$1,SMALL(Dong14,ROWS($1:14)),)="131",OFFSET(TH!M$1,SMALL(Dong14,ROWS($1:14)),),0))</f>
        <v>0</v>
      </c>
      <c r="J30" s="905">
        <f ca="1">IF(ROWS($1:14)&gt;COUNT(Dong14),0,IF(OFFSET(TH!O$1,SMALL(Dong14,ROWS($1:14)),)="131",OFFSET(TH!K$1,SMALL(Dong14,ROWS($1:14)),),0))</f>
        <v>148188</v>
      </c>
      <c r="K30" s="904">
        <f ca="1">IF(ROWS($1:14)&gt;COUNT(Dong14),0,IF(OFFSET(TH!O$1,SMALL(Dong14,ROWS($1:14)),)="131",OFFSET(TH!M$1,SMALL(Dong14,ROWS($1:14)),),0))</f>
        <v>3306074280</v>
      </c>
      <c r="L30" s="898">
        <f t="shared" ca="1" si="1"/>
        <v>1601624</v>
      </c>
      <c r="M30" s="897">
        <f t="shared" ca="1" si="2"/>
        <v>35812966448</v>
      </c>
      <c r="N30" s="898">
        <f t="shared" ca="1" si="3"/>
        <v>0</v>
      </c>
      <c r="O30" s="897">
        <f t="shared" ca="1" si="4"/>
        <v>0</v>
      </c>
    </row>
    <row r="31" spans="1:15" s="5" customFormat="1" ht="16.5" customHeight="1">
      <c r="A31" s="223">
        <f t="shared" ca="1" si="0"/>
        <v>42633</v>
      </c>
      <c r="B31" s="227" t="str">
        <f ca="1">IF(ROWS($1:15)&gt;COUNT(Dong14),"",OFFSET(TH!D$1,SMALL(Dong14,ROWS($1:15)),))</f>
        <v>CTGS</v>
      </c>
      <c r="C31" s="223">
        <f ca="1">IF(ROWS($1:15)&gt;COUNT(Dong14),"",OFFSET(TH!E$1,SMALL(Dong14,ROWS($1:15)),))</f>
        <v>42633</v>
      </c>
      <c r="D31" s="906" t="str">
        <f ca="1">IF(ROWS($1:15)&gt;COUNT(Dong14),"",OFFSET(TH!F$1,SMALL(Dong14,ROWS($1:15)),))</f>
        <v>Phí NH nước ngoài giảm trừ</v>
      </c>
      <c r="E31" s="904" t="str">
        <f ca="1">IF(ROWS($1:15)&gt;COUNT(Dong14),"",IF(OFFSET(TH!N$1,SMALL(Dong14,ROWS($1:15)),)="131",OFFSET(TH!O$1,SMALL(Dong14,ROWS($1:15)),),OFFSET(TH!N$1,SMALL(Dong14,ROWS($1:15)),)))</f>
        <v>642</v>
      </c>
      <c r="F31" s="904">
        <f ca="1">IF(ROWS($1:15)&gt;COUNT(Dong14),0,OFFSET(TH!L$1,SMALL(Dong14,ROWS($1:15)),))</f>
        <v>22310</v>
      </c>
      <c r="G31" s="904"/>
      <c r="H31" s="905">
        <f ca="1">IF(ROWS($1:15)&gt;COUNT(Dong14),0,IF(OFFSET(TH!N$1,SMALL(Dong14,ROWS($1:15)),)="131",OFFSET(TH!K$1,SMALL(Dong14,ROWS($1:15)),),0))</f>
        <v>0</v>
      </c>
      <c r="I31" s="904">
        <f ca="1">IF(ROWS($1:15)&gt;COUNT(Dong14),0,IF(OFFSET(TH!N$1,SMALL(Dong14,ROWS($1:15)),)="131",OFFSET(TH!M$1,SMALL(Dong14,ROWS($1:15)),),0))</f>
        <v>0</v>
      </c>
      <c r="J31" s="905">
        <f ca="1">IF(ROWS($1:15)&gt;COUNT(Dong14),0,IF(OFFSET(TH!O$1,SMALL(Dong14,ROWS($1:15)),)="131",OFFSET(TH!K$1,SMALL(Dong14,ROWS($1:15)),),0))</f>
        <v>24</v>
      </c>
      <c r="K31" s="904">
        <f ca="1">IF(ROWS($1:15)&gt;COUNT(Dong14),0,IF(OFFSET(TH!O$1,SMALL(Dong14,ROWS($1:15)),)="131",OFFSET(TH!M$1,SMALL(Dong14,ROWS($1:15)),),0))</f>
        <v>535440</v>
      </c>
      <c r="L31" s="898">
        <f t="shared" ca="1" si="1"/>
        <v>1601600</v>
      </c>
      <c r="M31" s="897">
        <f t="shared" ca="1" si="2"/>
        <v>35812431008</v>
      </c>
      <c r="N31" s="898">
        <f t="shared" ca="1" si="3"/>
        <v>0</v>
      </c>
      <c r="O31" s="897">
        <f t="shared" ca="1" si="4"/>
        <v>0</v>
      </c>
    </row>
    <row r="32" spans="1:15" s="5" customFormat="1" ht="16.5" customHeight="1">
      <c r="A32" s="223">
        <f t="shared" ca="1" si="0"/>
        <v>42633</v>
      </c>
      <c r="B32" s="227" t="str">
        <f ca="1">IF(ROWS($1:16)&gt;COUNT(Dong14),"",OFFSET(TH!D$1,SMALL(Dong14,ROWS($1:16)),))</f>
        <v>CTGS</v>
      </c>
      <c r="C32" s="223">
        <f ca="1">IF(ROWS($1:16)&gt;COUNT(Dong14),"",OFFSET(TH!E$1,SMALL(Dong14,ROWS($1:16)),))</f>
        <v>42633</v>
      </c>
      <c r="D32" s="906" t="str">
        <f ca="1">IF(ROWS($1:16)&gt;COUNT(Dong14),"",OFFSET(TH!F$1,SMALL(Dong14,ROWS($1:16)),))</f>
        <v>Chênh lệch tỷ giá</v>
      </c>
      <c r="E32" s="904" t="str">
        <f ca="1">IF(ROWS($1:16)&gt;COUNT(Dong14),"",IF(OFFSET(TH!N$1,SMALL(Dong14,ROWS($1:16)),)="131",OFFSET(TH!O$1,SMALL(Dong14,ROWS($1:16)),),OFFSET(TH!N$1,SMALL(Dong14,ROWS($1:16)),)))</f>
        <v>515</v>
      </c>
      <c r="F32" s="904">
        <f ca="1">IF(ROWS($1:16)&gt;COUNT(Dong14),0,OFFSET(TH!L$1,SMALL(Dong14,ROWS($1:16)),))</f>
        <v>0</v>
      </c>
      <c r="G32" s="904"/>
      <c r="H32" s="905">
        <f ca="1">IF(ROWS($1:16)&gt;COUNT(Dong14),0,IF(OFFSET(TH!N$1,SMALL(Dong14,ROWS($1:16)),)="131",OFFSET(TH!K$1,SMALL(Dong14,ROWS($1:16)),),0))</f>
        <v>0</v>
      </c>
      <c r="I32" s="904">
        <f ca="1">IF(ROWS($1:16)&gt;COUNT(Dong14),0,IF(OFFSET(TH!N$1,SMALL(Dong14,ROWS($1:16)),)="131",OFFSET(TH!M$1,SMALL(Dong14,ROWS($1:16)),),0))</f>
        <v>12448992</v>
      </c>
      <c r="J32" s="905">
        <f ca="1">IF(ROWS($1:16)&gt;COUNT(Dong14),0,IF(OFFSET(TH!O$1,SMALL(Dong14,ROWS($1:16)),)="131",OFFSET(TH!K$1,SMALL(Dong14,ROWS($1:16)),),0))</f>
        <v>0</v>
      </c>
      <c r="K32" s="904">
        <f ca="1">IF(ROWS($1:16)&gt;COUNT(Dong14),0,IF(OFFSET(TH!O$1,SMALL(Dong14,ROWS($1:16)),)="131",OFFSET(TH!M$1,SMALL(Dong14,ROWS($1:16)),),0))</f>
        <v>0</v>
      </c>
      <c r="L32" s="898">
        <f t="shared" ca="1" si="1"/>
        <v>1601600</v>
      </c>
      <c r="M32" s="897">
        <f t="shared" ca="1" si="2"/>
        <v>35824880000</v>
      </c>
      <c r="N32" s="898">
        <f t="shared" ca="1" si="3"/>
        <v>0</v>
      </c>
      <c r="O32" s="897">
        <f t="shared" ca="1" si="4"/>
        <v>0</v>
      </c>
    </row>
    <row r="33" spans="1:15" s="5" customFormat="1" ht="16.5" customHeight="1">
      <c r="A33" s="223" t="str">
        <f t="shared" ca="1" si="0"/>
        <v/>
      </c>
      <c r="B33" s="227" t="str">
        <f ca="1">IF(ROWS($1:17)&gt;COUNT(Dong14),"",OFFSET(TH!D$1,SMALL(Dong14,ROWS($1:17)),))</f>
        <v/>
      </c>
      <c r="C33" s="223" t="str">
        <f ca="1">IF(ROWS($1:17)&gt;COUNT(Dong14),"",OFFSET(TH!E$1,SMALL(Dong14,ROWS($1:17)),))</f>
        <v/>
      </c>
      <c r="D33" s="906" t="str">
        <f ca="1">IF(ROWS($1:17)&gt;COUNT(Dong14),"",OFFSET(TH!F$1,SMALL(Dong14,ROWS($1:17)),))</f>
        <v/>
      </c>
      <c r="E33" s="904" t="str">
        <f ca="1">IF(ROWS($1:17)&gt;COUNT(Dong14),"",IF(OFFSET(TH!N$1,SMALL(Dong14,ROWS($1:17)),)="131",OFFSET(TH!O$1,SMALL(Dong14,ROWS($1:17)),),OFFSET(TH!N$1,SMALL(Dong14,ROWS($1:17)),)))</f>
        <v/>
      </c>
      <c r="F33" s="904">
        <f ca="1">IF(ROWS($1:17)&gt;COUNT(Dong14),0,OFFSET(TH!L$1,SMALL(Dong14,ROWS($1:17)),))</f>
        <v>0</v>
      </c>
      <c r="G33" s="904"/>
      <c r="H33" s="905">
        <f ca="1">IF(ROWS($1:17)&gt;COUNT(Dong14),0,IF(OFFSET(TH!N$1,SMALL(Dong14,ROWS($1:17)),)="131",OFFSET(TH!K$1,SMALL(Dong14,ROWS($1:17)),),0))</f>
        <v>0</v>
      </c>
      <c r="I33" s="904">
        <f ca="1">IF(ROWS($1:17)&gt;COUNT(Dong14),0,IF(OFFSET(TH!N$1,SMALL(Dong14,ROWS($1:17)),)="131",OFFSET(TH!M$1,SMALL(Dong14,ROWS($1:17)),),0))</f>
        <v>0</v>
      </c>
      <c r="J33" s="905">
        <f ca="1">IF(ROWS($1:17)&gt;COUNT(Dong14),0,IF(OFFSET(TH!O$1,SMALL(Dong14,ROWS($1:17)),)="131",OFFSET(TH!K$1,SMALL(Dong14,ROWS($1:17)),),0))</f>
        <v>0</v>
      </c>
      <c r="K33" s="904">
        <f ca="1">IF(ROWS($1:17)&gt;COUNT(Dong14),0,IF(OFFSET(TH!O$1,SMALL(Dong14,ROWS($1:17)),)="131",OFFSET(TH!M$1,SMALL(Dong14,ROWS($1:17)),),0))</f>
        <v>0</v>
      </c>
      <c r="L33" s="898">
        <f t="shared" ca="1" si="1"/>
        <v>0</v>
      </c>
      <c r="M33" s="897">
        <f t="shared" ca="1" si="2"/>
        <v>0</v>
      </c>
      <c r="N33" s="898">
        <f t="shared" ca="1" si="3"/>
        <v>0</v>
      </c>
      <c r="O33" s="897">
        <f t="shared" ca="1" si="4"/>
        <v>0</v>
      </c>
    </row>
    <row r="34" spans="1:15" s="5" customFormat="1" ht="16.5" customHeight="1">
      <c r="A34" s="223" t="str">
        <f t="shared" ca="1" si="0"/>
        <v/>
      </c>
      <c r="B34" s="227" t="str">
        <f ca="1">IF(ROWS($1:18)&gt;COUNT(Dong14),"",OFFSET(TH!D$1,SMALL(Dong14,ROWS($1:18)),))</f>
        <v/>
      </c>
      <c r="C34" s="223" t="str">
        <f ca="1">IF(ROWS($1:18)&gt;COUNT(Dong14),"",OFFSET(TH!E$1,SMALL(Dong14,ROWS($1:18)),))</f>
        <v/>
      </c>
      <c r="D34" s="906" t="str">
        <f ca="1">IF(ROWS($1:18)&gt;COUNT(Dong14),"",OFFSET(TH!F$1,SMALL(Dong14,ROWS($1:18)),))</f>
        <v/>
      </c>
      <c r="E34" s="904" t="str">
        <f ca="1">IF(ROWS($1:18)&gt;COUNT(Dong14),"",IF(OFFSET(TH!N$1,SMALL(Dong14,ROWS($1:18)),)="131",OFFSET(TH!O$1,SMALL(Dong14,ROWS($1:18)),),OFFSET(TH!N$1,SMALL(Dong14,ROWS($1:18)),)))</f>
        <v/>
      </c>
      <c r="F34" s="904">
        <f ca="1">IF(ROWS($1:18)&gt;COUNT(Dong14),0,OFFSET(TH!L$1,SMALL(Dong14,ROWS($1:18)),))</f>
        <v>0</v>
      </c>
      <c r="G34" s="904"/>
      <c r="H34" s="905">
        <f ca="1">IF(ROWS($1:18)&gt;COUNT(Dong14),0,IF(OFFSET(TH!N$1,SMALL(Dong14,ROWS($1:18)),)="131",OFFSET(TH!K$1,SMALL(Dong14,ROWS($1:18)),),0))</f>
        <v>0</v>
      </c>
      <c r="I34" s="904">
        <f ca="1">IF(ROWS($1:18)&gt;COUNT(Dong14),0,IF(OFFSET(TH!N$1,SMALL(Dong14,ROWS($1:18)),)="131",OFFSET(TH!M$1,SMALL(Dong14,ROWS($1:18)),),0))</f>
        <v>0</v>
      </c>
      <c r="J34" s="905">
        <f ca="1">IF(ROWS($1:18)&gt;COUNT(Dong14),0,IF(OFFSET(TH!O$1,SMALL(Dong14,ROWS($1:18)),)="131",OFFSET(TH!K$1,SMALL(Dong14,ROWS($1:18)),),0))</f>
        <v>0</v>
      </c>
      <c r="K34" s="904">
        <f ca="1">IF(ROWS($1:18)&gt;COUNT(Dong14),0,IF(OFFSET(TH!O$1,SMALL(Dong14,ROWS($1:18)),)="131",OFFSET(TH!M$1,SMALL(Dong14,ROWS($1:18)),),0))</f>
        <v>0</v>
      </c>
      <c r="L34" s="898">
        <f t="shared" ca="1" si="1"/>
        <v>0</v>
      </c>
      <c r="M34" s="897">
        <f t="shared" ca="1" si="2"/>
        <v>0</v>
      </c>
      <c r="N34" s="898">
        <f t="shared" ca="1" si="3"/>
        <v>0</v>
      </c>
      <c r="O34" s="897">
        <f t="shared" ca="1" si="4"/>
        <v>0</v>
      </c>
    </row>
    <row r="35" spans="1:15" s="5" customFormat="1" ht="16.5" customHeight="1">
      <c r="A35" s="223" t="str">
        <f t="shared" ca="1" si="0"/>
        <v/>
      </c>
      <c r="B35" s="227" t="str">
        <f ca="1">IF(ROWS($1:19)&gt;COUNT(Dong14),"",OFFSET(TH!D$1,SMALL(Dong14,ROWS($1:19)),))</f>
        <v/>
      </c>
      <c r="C35" s="223" t="str">
        <f ca="1">IF(ROWS($1:19)&gt;COUNT(Dong14),"",OFFSET(TH!E$1,SMALL(Dong14,ROWS($1:19)),))</f>
        <v/>
      </c>
      <c r="D35" s="906" t="str">
        <f ca="1">IF(ROWS($1:19)&gt;COUNT(Dong14),"",OFFSET(TH!F$1,SMALL(Dong14,ROWS($1:19)),))</f>
        <v/>
      </c>
      <c r="E35" s="904" t="str">
        <f ca="1">IF(ROWS($1:19)&gt;COUNT(Dong14),"",IF(OFFSET(TH!N$1,SMALL(Dong14,ROWS($1:19)),)="131",OFFSET(TH!O$1,SMALL(Dong14,ROWS($1:19)),),OFFSET(TH!N$1,SMALL(Dong14,ROWS($1:19)),)))</f>
        <v/>
      </c>
      <c r="F35" s="904">
        <f ca="1">IF(ROWS($1:19)&gt;COUNT(Dong14),0,OFFSET(TH!L$1,SMALL(Dong14,ROWS($1:19)),))</f>
        <v>0</v>
      </c>
      <c r="G35" s="904"/>
      <c r="H35" s="905">
        <f ca="1">IF(ROWS($1:19)&gt;COUNT(Dong14),0,IF(OFFSET(TH!N$1,SMALL(Dong14,ROWS($1:19)),)="131",OFFSET(TH!K$1,SMALL(Dong14,ROWS($1:19)),),0))</f>
        <v>0</v>
      </c>
      <c r="I35" s="904">
        <f ca="1">IF(ROWS($1:19)&gt;COUNT(Dong14),0,IF(OFFSET(TH!N$1,SMALL(Dong14,ROWS($1:19)),)="131",OFFSET(TH!M$1,SMALL(Dong14,ROWS($1:19)),),0))</f>
        <v>0</v>
      </c>
      <c r="J35" s="905">
        <f ca="1">IF(ROWS($1:19)&gt;COUNT(Dong14),0,IF(OFFSET(TH!O$1,SMALL(Dong14,ROWS($1:19)),)="131",OFFSET(TH!K$1,SMALL(Dong14,ROWS($1:19)),),0))</f>
        <v>0</v>
      </c>
      <c r="K35" s="904">
        <f ca="1">IF(ROWS($1:19)&gt;COUNT(Dong14),0,IF(OFFSET(TH!O$1,SMALL(Dong14,ROWS($1:19)),)="131",OFFSET(TH!M$1,SMALL(Dong14,ROWS($1:19)),),0))</f>
        <v>0</v>
      </c>
      <c r="L35" s="898">
        <f t="shared" ca="1" si="1"/>
        <v>0</v>
      </c>
      <c r="M35" s="897">
        <f t="shared" ca="1" si="2"/>
        <v>0</v>
      </c>
      <c r="N35" s="898">
        <f t="shared" ca="1" si="3"/>
        <v>0</v>
      </c>
      <c r="O35" s="897">
        <f t="shared" ca="1" si="4"/>
        <v>0</v>
      </c>
    </row>
    <row r="36" spans="1:15" s="5" customFormat="1" ht="16.5" customHeight="1">
      <c r="A36" s="223" t="str">
        <f t="shared" ca="1" si="0"/>
        <v/>
      </c>
      <c r="B36" s="227" t="str">
        <f ca="1">IF(ROWS($1:20)&gt;COUNT(Dong14),"",OFFSET(TH!D$1,SMALL(Dong14,ROWS($1:20)),))</f>
        <v/>
      </c>
      <c r="C36" s="223" t="str">
        <f ca="1">IF(ROWS($1:20)&gt;COUNT(Dong14),"",OFFSET(TH!E$1,SMALL(Dong14,ROWS($1:20)),))</f>
        <v/>
      </c>
      <c r="D36" s="906" t="str">
        <f ca="1">IF(ROWS($1:20)&gt;COUNT(Dong14),"",OFFSET(TH!F$1,SMALL(Dong14,ROWS($1:20)),))</f>
        <v/>
      </c>
      <c r="E36" s="904" t="str">
        <f ca="1">IF(ROWS($1:20)&gt;COUNT(Dong14),"",IF(OFFSET(TH!N$1,SMALL(Dong14,ROWS($1:20)),)="131",OFFSET(TH!O$1,SMALL(Dong14,ROWS($1:20)),),OFFSET(TH!N$1,SMALL(Dong14,ROWS($1:20)),)))</f>
        <v/>
      </c>
      <c r="F36" s="904">
        <f ca="1">IF(ROWS($1:20)&gt;COUNT(Dong14),0,OFFSET(TH!L$1,SMALL(Dong14,ROWS($1:20)),))</f>
        <v>0</v>
      </c>
      <c r="G36" s="904"/>
      <c r="H36" s="905">
        <f ca="1">IF(ROWS($1:20)&gt;COUNT(Dong14),0,IF(OFFSET(TH!N$1,SMALL(Dong14,ROWS($1:20)),)="131",OFFSET(TH!K$1,SMALL(Dong14,ROWS($1:20)),),0))</f>
        <v>0</v>
      </c>
      <c r="I36" s="904">
        <f ca="1">IF(ROWS($1:20)&gt;COUNT(Dong14),0,IF(OFFSET(TH!N$1,SMALL(Dong14,ROWS($1:20)),)="131",OFFSET(TH!M$1,SMALL(Dong14,ROWS($1:20)),),0))</f>
        <v>0</v>
      </c>
      <c r="J36" s="905">
        <f ca="1">IF(ROWS($1:20)&gt;COUNT(Dong14),0,IF(OFFSET(TH!O$1,SMALL(Dong14,ROWS($1:20)),)="131",OFFSET(TH!K$1,SMALL(Dong14,ROWS($1:20)),),0))</f>
        <v>0</v>
      </c>
      <c r="K36" s="904">
        <f ca="1">IF(ROWS($1:20)&gt;COUNT(Dong14),0,IF(OFFSET(TH!O$1,SMALL(Dong14,ROWS($1:20)),)="131",OFFSET(TH!M$1,SMALL(Dong14,ROWS($1:20)),),0))</f>
        <v>0</v>
      </c>
      <c r="L36" s="898">
        <f t="shared" ca="1" si="1"/>
        <v>0</v>
      </c>
      <c r="M36" s="897">
        <f t="shared" ca="1" si="2"/>
        <v>0</v>
      </c>
      <c r="N36" s="898">
        <f t="shared" ca="1" si="3"/>
        <v>0</v>
      </c>
      <c r="O36" s="897">
        <f t="shared" ca="1" si="4"/>
        <v>0</v>
      </c>
    </row>
    <row r="37" spans="1:15" s="5" customFormat="1" ht="16.5" customHeight="1">
      <c r="A37" s="223" t="str">
        <f t="shared" ca="1" si="0"/>
        <v/>
      </c>
      <c r="B37" s="227" t="str">
        <f ca="1">IF(ROWS($1:21)&gt;COUNT(Dong14),"",OFFSET(TH!D$1,SMALL(Dong14,ROWS($1:21)),))</f>
        <v/>
      </c>
      <c r="C37" s="223" t="str">
        <f ca="1">IF(ROWS($1:21)&gt;COUNT(Dong14),"",OFFSET(TH!E$1,SMALL(Dong14,ROWS($1:21)),))</f>
        <v/>
      </c>
      <c r="D37" s="906" t="str">
        <f ca="1">IF(ROWS($1:21)&gt;COUNT(Dong14),"",OFFSET(TH!F$1,SMALL(Dong14,ROWS($1:21)),))</f>
        <v/>
      </c>
      <c r="E37" s="904" t="str">
        <f ca="1">IF(ROWS($1:21)&gt;COUNT(Dong14),"",IF(OFFSET(TH!N$1,SMALL(Dong14,ROWS($1:21)),)="131",OFFSET(TH!O$1,SMALL(Dong14,ROWS($1:21)),),OFFSET(TH!N$1,SMALL(Dong14,ROWS($1:21)),)))</f>
        <v/>
      </c>
      <c r="F37" s="904">
        <f ca="1">IF(ROWS($1:21)&gt;COUNT(Dong14),0,OFFSET(TH!L$1,SMALL(Dong14,ROWS($1:21)),))</f>
        <v>0</v>
      </c>
      <c r="G37" s="904"/>
      <c r="H37" s="905">
        <f ca="1">IF(ROWS($1:21)&gt;COUNT(Dong14),0,IF(OFFSET(TH!N$1,SMALL(Dong14,ROWS($1:21)),)="131",OFFSET(TH!K$1,SMALL(Dong14,ROWS($1:21)),),0))</f>
        <v>0</v>
      </c>
      <c r="I37" s="904">
        <f ca="1">IF(ROWS($1:21)&gt;COUNT(Dong14),0,IF(OFFSET(TH!N$1,SMALL(Dong14,ROWS($1:21)),)="131",OFFSET(TH!M$1,SMALL(Dong14,ROWS($1:21)),),0))</f>
        <v>0</v>
      </c>
      <c r="J37" s="905">
        <f ca="1">IF(ROWS($1:21)&gt;COUNT(Dong14),0,IF(OFFSET(TH!O$1,SMALL(Dong14,ROWS($1:21)),)="131",OFFSET(TH!K$1,SMALL(Dong14,ROWS($1:21)),),0))</f>
        <v>0</v>
      </c>
      <c r="K37" s="904">
        <f ca="1">IF(ROWS($1:21)&gt;COUNT(Dong14),0,IF(OFFSET(TH!O$1,SMALL(Dong14,ROWS($1:21)),)="131",OFFSET(TH!M$1,SMALL(Dong14,ROWS($1:21)),),0))</f>
        <v>0</v>
      </c>
      <c r="L37" s="898">
        <f t="shared" ca="1" si="1"/>
        <v>0</v>
      </c>
      <c r="M37" s="897">
        <f t="shared" ca="1" si="2"/>
        <v>0</v>
      </c>
      <c r="N37" s="898">
        <f t="shared" ca="1" si="3"/>
        <v>0</v>
      </c>
      <c r="O37" s="897">
        <f t="shared" ca="1" si="4"/>
        <v>0</v>
      </c>
    </row>
    <row r="38" spans="1:15" s="5" customFormat="1" ht="16.5" customHeight="1">
      <c r="A38" s="223" t="str">
        <f t="shared" ca="1" si="0"/>
        <v/>
      </c>
      <c r="B38" s="227" t="str">
        <f ca="1">IF(ROWS($1:22)&gt;COUNT(Dong14),"",OFFSET(TH!D$1,SMALL(Dong14,ROWS($1:22)),))</f>
        <v/>
      </c>
      <c r="C38" s="223" t="str">
        <f ca="1">IF(ROWS($1:22)&gt;COUNT(Dong14),"",OFFSET(TH!E$1,SMALL(Dong14,ROWS($1:22)),))</f>
        <v/>
      </c>
      <c r="D38" s="906" t="str">
        <f ca="1">IF(ROWS($1:22)&gt;COUNT(Dong14),"",OFFSET(TH!F$1,SMALL(Dong14,ROWS($1:22)),))</f>
        <v/>
      </c>
      <c r="E38" s="904" t="str">
        <f ca="1">IF(ROWS($1:22)&gt;COUNT(Dong14),"",IF(OFFSET(TH!N$1,SMALL(Dong14,ROWS($1:22)),)="131",OFFSET(TH!O$1,SMALL(Dong14,ROWS($1:22)),),OFFSET(TH!N$1,SMALL(Dong14,ROWS($1:22)),)))</f>
        <v/>
      </c>
      <c r="F38" s="904">
        <f ca="1">IF(ROWS($1:22)&gt;COUNT(Dong14),0,OFFSET(TH!L$1,SMALL(Dong14,ROWS($1:22)),))</f>
        <v>0</v>
      </c>
      <c r="G38" s="904"/>
      <c r="H38" s="905">
        <f ca="1">IF(ROWS($1:22)&gt;COUNT(Dong14),0,IF(OFFSET(TH!N$1,SMALL(Dong14,ROWS($1:22)),)="131",OFFSET(TH!K$1,SMALL(Dong14,ROWS($1:22)),),0))</f>
        <v>0</v>
      </c>
      <c r="I38" s="904">
        <f ca="1">IF(ROWS($1:22)&gt;COUNT(Dong14),0,IF(OFFSET(TH!N$1,SMALL(Dong14,ROWS($1:22)),)="131",OFFSET(TH!M$1,SMALL(Dong14,ROWS($1:22)),),0))</f>
        <v>0</v>
      </c>
      <c r="J38" s="905">
        <f ca="1">IF(ROWS($1:22)&gt;COUNT(Dong14),0,IF(OFFSET(TH!O$1,SMALL(Dong14,ROWS($1:22)),)="131",OFFSET(TH!K$1,SMALL(Dong14,ROWS($1:22)),),0))</f>
        <v>0</v>
      </c>
      <c r="K38" s="904">
        <f ca="1">IF(ROWS($1:22)&gt;COUNT(Dong14),0,IF(OFFSET(TH!O$1,SMALL(Dong14,ROWS($1:22)),)="131",OFFSET(TH!M$1,SMALL(Dong14,ROWS($1:22)),),0))</f>
        <v>0</v>
      </c>
      <c r="L38" s="898">
        <f t="shared" ca="1" si="1"/>
        <v>0</v>
      </c>
      <c r="M38" s="897">
        <f t="shared" ca="1" si="2"/>
        <v>0</v>
      </c>
      <c r="N38" s="898">
        <f t="shared" ca="1" si="3"/>
        <v>0</v>
      </c>
      <c r="O38" s="897">
        <f t="shared" ca="1" si="4"/>
        <v>0</v>
      </c>
    </row>
    <row r="39" spans="1:15" s="5" customFormat="1" ht="16.5" customHeight="1">
      <c r="A39" s="223" t="str">
        <f t="shared" ca="1" si="0"/>
        <v/>
      </c>
      <c r="B39" s="227" t="str">
        <f ca="1">IF(ROWS($1:23)&gt;COUNT(Dong14),"",OFFSET(TH!D$1,SMALL(Dong14,ROWS($1:23)),))</f>
        <v/>
      </c>
      <c r="C39" s="223" t="str">
        <f ca="1">IF(ROWS($1:23)&gt;COUNT(Dong14),"",OFFSET(TH!E$1,SMALL(Dong14,ROWS($1:23)),))</f>
        <v/>
      </c>
      <c r="D39" s="906" t="str">
        <f ca="1">IF(ROWS($1:23)&gt;COUNT(Dong14),"",OFFSET(TH!F$1,SMALL(Dong14,ROWS($1:23)),))</f>
        <v/>
      </c>
      <c r="E39" s="904" t="str">
        <f ca="1">IF(ROWS($1:23)&gt;COUNT(Dong14),"",IF(OFFSET(TH!N$1,SMALL(Dong14,ROWS($1:23)),)="131",OFFSET(TH!O$1,SMALL(Dong14,ROWS($1:23)),),OFFSET(TH!N$1,SMALL(Dong14,ROWS($1:23)),)))</f>
        <v/>
      </c>
      <c r="F39" s="904">
        <f ca="1">IF(ROWS($1:23)&gt;COUNT(Dong14),0,OFFSET(TH!L$1,SMALL(Dong14,ROWS($1:23)),))</f>
        <v>0</v>
      </c>
      <c r="G39" s="904"/>
      <c r="H39" s="905">
        <f ca="1">IF(ROWS($1:23)&gt;COUNT(Dong14),0,IF(OFFSET(TH!N$1,SMALL(Dong14,ROWS($1:23)),)="131",OFFSET(TH!K$1,SMALL(Dong14,ROWS($1:23)),),0))</f>
        <v>0</v>
      </c>
      <c r="I39" s="904">
        <f ca="1">IF(ROWS($1:23)&gt;COUNT(Dong14),0,IF(OFFSET(TH!N$1,SMALL(Dong14,ROWS($1:23)),)="131",OFFSET(TH!M$1,SMALL(Dong14,ROWS($1:23)),),0))</f>
        <v>0</v>
      </c>
      <c r="J39" s="905">
        <f ca="1">IF(ROWS($1:23)&gt;COUNT(Dong14),0,IF(OFFSET(TH!O$1,SMALL(Dong14,ROWS($1:23)),)="131",OFFSET(TH!K$1,SMALL(Dong14,ROWS($1:23)),),0))</f>
        <v>0</v>
      </c>
      <c r="K39" s="904">
        <f ca="1">IF(ROWS($1:23)&gt;COUNT(Dong14),0,IF(OFFSET(TH!O$1,SMALL(Dong14,ROWS($1:23)),)="131",OFFSET(TH!M$1,SMALL(Dong14,ROWS($1:23)),),0))</f>
        <v>0</v>
      </c>
      <c r="L39" s="898">
        <f t="shared" ca="1" si="1"/>
        <v>0</v>
      </c>
      <c r="M39" s="897">
        <f t="shared" ca="1" si="2"/>
        <v>0</v>
      </c>
      <c r="N39" s="898">
        <f t="shared" ca="1" si="3"/>
        <v>0</v>
      </c>
      <c r="O39" s="897">
        <f t="shared" ca="1" si="4"/>
        <v>0</v>
      </c>
    </row>
    <row r="40" spans="1:15" s="5" customFormat="1" ht="16.5" customHeight="1">
      <c r="A40" s="223" t="str">
        <f t="shared" ca="1" si="0"/>
        <v/>
      </c>
      <c r="B40" s="227" t="str">
        <f ca="1">IF(ROWS($1:24)&gt;COUNT(Dong14),"",OFFSET(TH!D$1,SMALL(Dong14,ROWS($1:24)),))</f>
        <v/>
      </c>
      <c r="C40" s="223" t="str">
        <f ca="1">IF(ROWS($1:24)&gt;COUNT(Dong14),"",OFFSET(TH!E$1,SMALL(Dong14,ROWS($1:24)),))</f>
        <v/>
      </c>
      <c r="D40" s="906" t="str">
        <f ca="1">IF(ROWS($1:24)&gt;COUNT(Dong14),"",OFFSET(TH!F$1,SMALL(Dong14,ROWS($1:24)),))</f>
        <v/>
      </c>
      <c r="E40" s="904" t="str">
        <f ca="1">IF(ROWS($1:24)&gt;COUNT(Dong14),"",IF(OFFSET(TH!N$1,SMALL(Dong14,ROWS($1:24)),)="131",OFFSET(TH!O$1,SMALL(Dong14,ROWS($1:24)),),OFFSET(TH!N$1,SMALL(Dong14,ROWS($1:24)),)))</f>
        <v/>
      </c>
      <c r="F40" s="904">
        <f ca="1">IF(ROWS($1:24)&gt;COUNT(Dong14),0,OFFSET(TH!L$1,SMALL(Dong14,ROWS($1:24)),))</f>
        <v>0</v>
      </c>
      <c r="G40" s="904"/>
      <c r="H40" s="905">
        <f ca="1">IF(ROWS($1:24)&gt;COUNT(Dong14),0,IF(OFFSET(TH!N$1,SMALL(Dong14,ROWS($1:24)),)="131",OFFSET(TH!K$1,SMALL(Dong14,ROWS($1:24)),),0))</f>
        <v>0</v>
      </c>
      <c r="I40" s="904">
        <f ca="1">IF(ROWS($1:24)&gt;COUNT(Dong14),0,IF(OFFSET(TH!N$1,SMALL(Dong14,ROWS($1:24)),)="131",OFFSET(TH!M$1,SMALL(Dong14,ROWS($1:24)),),0))</f>
        <v>0</v>
      </c>
      <c r="J40" s="905">
        <f ca="1">IF(ROWS($1:24)&gt;COUNT(Dong14),0,IF(OFFSET(TH!O$1,SMALL(Dong14,ROWS($1:24)),)="131",OFFSET(TH!K$1,SMALL(Dong14,ROWS($1:24)),),0))</f>
        <v>0</v>
      </c>
      <c r="K40" s="904">
        <f ca="1">IF(ROWS($1:24)&gt;COUNT(Dong14),0,IF(OFFSET(TH!O$1,SMALL(Dong14,ROWS($1:24)),)="131",OFFSET(TH!M$1,SMALL(Dong14,ROWS($1:24)),),0))</f>
        <v>0</v>
      </c>
      <c r="L40" s="898">
        <f t="shared" ca="1" si="1"/>
        <v>0</v>
      </c>
      <c r="M40" s="897">
        <f t="shared" ca="1" si="2"/>
        <v>0</v>
      </c>
      <c r="N40" s="898">
        <f t="shared" ca="1" si="3"/>
        <v>0</v>
      </c>
      <c r="O40" s="897">
        <f t="shared" ca="1" si="4"/>
        <v>0</v>
      </c>
    </row>
    <row r="41" spans="1:15" s="5" customFormat="1" ht="16.5" customHeight="1">
      <c r="A41" s="223" t="str">
        <f t="shared" ca="1" si="0"/>
        <v/>
      </c>
      <c r="B41" s="227" t="str">
        <f ca="1">IF(ROWS($1:25)&gt;COUNT(Dong14),"",OFFSET(TH!D$1,SMALL(Dong14,ROWS($1:25)),))</f>
        <v/>
      </c>
      <c r="C41" s="223" t="str">
        <f ca="1">IF(ROWS($1:25)&gt;COUNT(Dong14),"",OFFSET(TH!E$1,SMALL(Dong14,ROWS($1:25)),))</f>
        <v/>
      </c>
      <c r="D41" s="906" t="str">
        <f ca="1">IF(ROWS($1:25)&gt;COUNT(Dong14),"",OFFSET(TH!F$1,SMALL(Dong14,ROWS($1:25)),))</f>
        <v/>
      </c>
      <c r="E41" s="904" t="str">
        <f ca="1">IF(ROWS($1:25)&gt;COUNT(Dong14),"",IF(OFFSET(TH!N$1,SMALL(Dong14,ROWS($1:25)),)="131",OFFSET(TH!O$1,SMALL(Dong14,ROWS($1:25)),),OFFSET(TH!N$1,SMALL(Dong14,ROWS($1:25)),)))</f>
        <v/>
      </c>
      <c r="F41" s="904">
        <f ca="1">IF(ROWS($1:25)&gt;COUNT(Dong14),0,OFFSET(TH!L$1,SMALL(Dong14,ROWS($1:25)),))</f>
        <v>0</v>
      </c>
      <c r="G41" s="904"/>
      <c r="H41" s="905">
        <f ca="1">IF(ROWS($1:25)&gt;COUNT(Dong14),0,IF(OFFSET(TH!N$1,SMALL(Dong14,ROWS($1:25)),)="131",OFFSET(TH!K$1,SMALL(Dong14,ROWS($1:25)),),0))</f>
        <v>0</v>
      </c>
      <c r="I41" s="904">
        <f ca="1">IF(ROWS($1:25)&gt;COUNT(Dong14),0,IF(OFFSET(TH!N$1,SMALL(Dong14,ROWS($1:25)),)="131",OFFSET(TH!M$1,SMALL(Dong14,ROWS($1:25)),),0))</f>
        <v>0</v>
      </c>
      <c r="J41" s="905">
        <f ca="1">IF(ROWS($1:25)&gt;COUNT(Dong14),0,IF(OFFSET(TH!O$1,SMALL(Dong14,ROWS($1:25)),)="131",OFFSET(TH!K$1,SMALL(Dong14,ROWS($1:25)),),0))</f>
        <v>0</v>
      </c>
      <c r="K41" s="904">
        <f ca="1">IF(ROWS($1:25)&gt;COUNT(Dong14),0,IF(OFFSET(TH!O$1,SMALL(Dong14,ROWS($1:25)),)="131",OFFSET(TH!M$1,SMALL(Dong14,ROWS($1:25)),),0))</f>
        <v>0</v>
      </c>
      <c r="L41" s="898">
        <f t="shared" ca="1" si="1"/>
        <v>0</v>
      </c>
      <c r="M41" s="897">
        <f t="shared" ca="1" si="2"/>
        <v>0</v>
      </c>
      <c r="N41" s="898">
        <f t="shared" ca="1" si="3"/>
        <v>0</v>
      </c>
      <c r="O41" s="897">
        <f t="shared" ca="1" si="4"/>
        <v>0</v>
      </c>
    </row>
    <row r="42" spans="1:15" s="5" customFormat="1" ht="16.5" customHeight="1">
      <c r="A42" s="223" t="str">
        <f t="shared" ca="1" si="0"/>
        <v/>
      </c>
      <c r="B42" s="227" t="str">
        <f ca="1">IF(ROWS($1:26)&gt;COUNT(Dong14),"",OFFSET(TH!D$1,SMALL(Dong14,ROWS($1:26)),))</f>
        <v/>
      </c>
      <c r="C42" s="223" t="str">
        <f ca="1">IF(ROWS($1:26)&gt;COUNT(Dong14),"",OFFSET(TH!E$1,SMALL(Dong14,ROWS($1:26)),))</f>
        <v/>
      </c>
      <c r="D42" s="906" t="str">
        <f ca="1">IF(ROWS($1:26)&gt;COUNT(Dong14),"",OFFSET(TH!F$1,SMALL(Dong14,ROWS($1:26)),))</f>
        <v/>
      </c>
      <c r="E42" s="904" t="str">
        <f ca="1">IF(ROWS($1:26)&gt;COUNT(Dong14),"",IF(OFFSET(TH!N$1,SMALL(Dong14,ROWS($1:26)),)="131",OFFSET(TH!O$1,SMALL(Dong14,ROWS($1:26)),),OFFSET(TH!N$1,SMALL(Dong14,ROWS($1:26)),)))</f>
        <v/>
      </c>
      <c r="F42" s="904">
        <f ca="1">IF(ROWS($1:26)&gt;COUNT(Dong14),0,OFFSET(TH!L$1,SMALL(Dong14,ROWS($1:26)),))</f>
        <v>0</v>
      </c>
      <c r="G42" s="904"/>
      <c r="H42" s="905">
        <f ca="1">IF(ROWS($1:26)&gt;COUNT(Dong14),0,IF(OFFSET(TH!N$1,SMALL(Dong14,ROWS($1:26)),)="131",OFFSET(TH!K$1,SMALL(Dong14,ROWS($1:26)),),0))</f>
        <v>0</v>
      </c>
      <c r="I42" s="904">
        <f ca="1">IF(ROWS($1:26)&gt;COUNT(Dong14),0,IF(OFFSET(TH!N$1,SMALL(Dong14,ROWS($1:26)),)="131",OFFSET(TH!M$1,SMALL(Dong14,ROWS($1:26)),),0))</f>
        <v>0</v>
      </c>
      <c r="J42" s="905">
        <f ca="1">IF(ROWS($1:26)&gt;COUNT(Dong14),0,IF(OFFSET(TH!O$1,SMALL(Dong14,ROWS($1:26)),)="131",OFFSET(TH!K$1,SMALL(Dong14,ROWS($1:26)),),0))</f>
        <v>0</v>
      </c>
      <c r="K42" s="904">
        <f ca="1">IF(ROWS($1:26)&gt;COUNT(Dong14),0,IF(OFFSET(TH!O$1,SMALL(Dong14,ROWS($1:26)),)="131",OFFSET(TH!M$1,SMALL(Dong14,ROWS($1:26)),),0))</f>
        <v>0</v>
      </c>
      <c r="L42" s="898">
        <f t="shared" ca="1" si="1"/>
        <v>0</v>
      </c>
      <c r="M42" s="897">
        <f t="shared" ca="1" si="2"/>
        <v>0</v>
      </c>
      <c r="N42" s="898">
        <f t="shared" ca="1" si="3"/>
        <v>0</v>
      </c>
      <c r="O42" s="897">
        <f t="shared" ca="1" si="4"/>
        <v>0</v>
      </c>
    </row>
    <row r="43" spans="1:15" s="5" customFormat="1" ht="16.5" customHeight="1">
      <c r="A43" s="223" t="str">
        <f t="shared" ca="1" si="0"/>
        <v/>
      </c>
      <c r="B43" s="227" t="str">
        <f ca="1">IF(ROWS($1:27)&gt;COUNT(Dong14),"",OFFSET(TH!D$1,SMALL(Dong14,ROWS($1:27)),))</f>
        <v/>
      </c>
      <c r="C43" s="223" t="str">
        <f ca="1">IF(ROWS($1:27)&gt;COUNT(Dong14),"",OFFSET(TH!E$1,SMALL(Dong14,ROWS($1:27)),))</f>
        <v/>
      </c>
      <c r="D43" s="906" t="str">
        <f ca="1">IF(ROWS($1:27)&gt;COUNT(Dong14),"",OFFSET(TH!F$1,SMALL(Dong14,ROWS($1:27)),))</f>
        <v/>
      </c>
      <c r="E43" s="904" t="str">
        <f ca="1">IF(ROWS($1:27)&gt;COUNT(Dong14),"",IF(OFFSET(TH!N$1,SMALL(Dong14,ROWS($1:27)),)="131",OFFSET(TH!O$1,SMALL(Dong14,ROWS($1:27)),),OFFSET(TH!N$1,SMALL(Dong14,ROWS($1:27)),)))</f>
        <v/>
      </c>
      <c r="F43" s="904">
        <f ca="1">IF(ROWS($1:27)&gt;COUNT(Dong14),0,OFFSET(TH!L$1,SMALL(Dong14,ROWS($1:27)),))</f>
        <v>0</v>
      </c>
      <c r="G43" s="904"/>
      <c r="H43" s="905">
        <f ca="1">IF(ROWS($1:27)&gt;COUNT(Dong14),0,IF(OFFSET(TH!N$1,SMALL(Dong14,ROWS($1:27)),)="131",OFFSET(TH!K$1,SMALL(Dong14,ROWS($1:27)),),0))</f>
        <v>0</v>
      </c>
      <c r="I43" s="904">
        <f ca="1">IF(ROWS($1:27)&gt;COUNT(Dong14),0,IF(OFFSET(TH!N$1,SMALL(Dong14,ROWS($1:27)),)="131",OFFSET(TH!M$1,SMALL(Dong14,ROWS($1:27)),),0))</f>
        <v>0</v>
      </c>
      <c r="J43" s="905">
        <f ca="1">IF(ROWS($1:27)&gt;COUNT(Dong14),0,IF(OFFSET(TH!O$1,SMALL(Dong14,ROWS($1:27)),)="131",OFFSET(TH!K$1,SMALL(Dong14,ROWS($1:27)),),0))</f>
        <v>0</v>
      </c>
      <c r="K43" s="904">
        <f ca="1">IF(ROWS($1:27)&gt;COUNT(Dong14),0,IF(OFFSET(TH!O$1,SMALL(Dong14,ROWS($1:27)),)="131",OFFSET(TH!M$1,SMALL(Dong14,ROWS($1:27)),),0))</f>
        <v>0</v>
      </c>
      <c r="L43" s="898">
        <f t="shared" ca="1" si="1"/>
        <v>0</v>
      </c>
      <c r="M43" s="897">
        <f t="shared" ca="1" si="2"/>
        <v>0</v>
      </c>
      <c r="N43" s="898">
        <f t="shared" ca="1" si="3"/>
        <v>0</v>
      </c>
      <c r="O43" s="897">
        <f t="shared" ca="1" si="4"/>
        <v>0</v>
      </c>
    </row>
    <row r="44" spans="1:15" s="5" customFormat="1" ht="16.5" customHeight="1">
      <c r="A44" s="223" t="str">
        <f t="shared" ca="1" si="0"/>
        <v/>
      </c>
      <c r="B44" s="227" t="str">
        <f ca="1">IF(ROWS($1:28)&gt;COUNT(Dong14),"",OFFSET(TH!D$1,SMALL(Dong14,ROWS($1:28)),))</f>
        <v/>
      </c>
      <c r="C44" s="223" t="str">
        <f ca="1">IF(ROWS($1:28)&gt;COUNT(Dong14),"",OFFSET(TH!E$1,SMALL(Dong14,ROWS($1:28)),))</f>
        <v/>
      </c>
      <c r="D44" s="906" t="str">
        <f ca="1">IF(ROWS($1:28)&gt;COUNT(Dong14),"",OFFSET(TH!F$1,SMALL(Dong14,ROWS($1:28)),))</f>
        <v/>
      </c>
      <c r="E44" s="904" t="str">
        <f ca="1">IF(ROWS($1:28)&gt;COUNT(Dong14),"",IF(OFFSET(TH!N$1,SMALL(Dong14,ROWS($1:28)),)="131",OFFSET(TH!O$1,SMALL(Dong14,ROWS($1:28)),),OFFSET(TH!N$1,SMALL(Dong14,ROWS($1:28)),)))</f>
        <v/>
      </c>
      <c r="F44" s="904">
        <f ca="1">IF(ROWS($1:28)&gt;COUNT(Dong14),0,OFFSET(TH!L$1,SMALL(Dong14,ROWS($1:28)),))</f>
        <v>0</v>
      </c>
      <c r="G44" s="904"/>
      <c r="H44" s="905">
        <f ca="1">IF(ROWS($1:28)&gt;COUNT(Dong14),0,IF(OFFSET(TH!N$1,SMALL(Dong14,ROWS($1:28)),)="131",OFFSET(TH!K$1,SMALL(Dong14,ROWS($1:28)),),0))</f>
        <v>0</v>
      </c>
      <c r="I44" s="904">
        <f ca="1">IF(ROWS($1:28)&gt;COUNT(Dong14),0,IF(OFFSET(TH!N$1,SMALL(Dong14,ROWS($1:28)),)="131",OFFSET(TH!M$1,SMALL(Dong14,ROWS($1:28)),),0))</f>
        <v>0</v>
      </c>
      <c r="J44" s="905">
        <f ca="1">IF(ROWS($1:28)&gt;COUNT(Dong14),0,IF(OFFSET(TH!O$1,SMALL(Dong14,ROWS($1:28)),)="131",OFFSET(TH!K$1,SMALL(Dong14,ROWS($1:28)),),0))</f>
        <v>0</v>
      </c>
      <c r="K44" s="904">
        <f ca="1">IF(ROWS($1:28)&gt;COUNT(Dong14),0,IF(OFFSET(TH!O$1,SMALL(Dong14,ROWS($1:28)),)="131",OFFSET(TH!M$1,SMALL(Dong14,ROWS($1:28)),),0))</f>
        <v>0</v>
      </c>
      <c r="L44" s="898">
        <f t="shared" ca="1" si="1"/>
        <v>0</v>
      </c>
      <c r="M44" s="897">
        <f t="shared" ca="1" si="2"/>
        <v>0</v>
      </c>
      <c r="N44" s="898">
        <f t="shared" ca="1" si="3"/>
        <v>0</v>
      </c>
      <c r="O44" s="897">
        <f t="shared" ca="1" si="4"/>
        <v>0</v>
      </c>
    </row>
    <row r="45" spans="1:15" s="5" customFormat="1" ht="16.5" customHeight="1">
      <c r="A45" s="223" t="str">
        <f t="shared" ca="1" si="0"/>
        <v/>
      </c>
      <c r="B45" s="227" t="str">
        <f ca="1">IF(ROWS($1:29)&gt;COUNT(Dong14),"",OFFSET(TH!D$1,SMALL(Dong14,ROWS($1:29)),))</f>
        <v/>
      </c>
      <c r="C45" s="223" t="str">
        <f ca="1">IF(ROWS($1:29)&gt;COUNT(Dong14),"",OFFSET(TH!E$1,SMALL(Dong14,ROWS($1:29)),))</f>
        <v/>
      </c>
      <c r="D45" s="906" t="str">
        <f ca="1">IF(ROWS($1:29)&gt;COUNT(Dong14),"",OFFSET(TH!F$1,SMALL(Dong14,ROWS($1:29)),))</f>
        <v/>
      </c>
      <c r="E45" s="904" t="str">
        <f ca="1">IF(ROWS($1:29)&gt;COUNT(Dong14),"",IF(OFFSET(TH!N$1,SMALL(Dong14,ROWS($1:29)),)="131",OFFSET(TH!O$1,SMALL(Dong14,ROWS($1:29)),),OFFSET(TH!N$1,SMALL(Dong14,ROWS($1:29)),)))</f>
        <v/>
      </c>
      <c r="F45" s="904">
        <f ca="1">IF(ROWS($1:29)&gt;COUNT(Dong14),0,OFFSET(TH!L$1,SMALL(Dong14,ROWS($1:29)),))</f>
        <v>0</v>
      </c>
      <c r="G45" s="904"/>
      <c r="H45" s="905">
        <f ca="1">IF(ROWS($1:29)&gt;COUNT(Dong14),0,IF(OFFSET(TH!N$1,SMALL(Dong14,ROWS($1:29)),)="131",OFFSET(TH!K$1,SMALL(Dong14,ROWS($1:29)),),0))</f>
        <v>0</v>
      </c>
      <c r="I45" s="904">
        <f ca="1">IF(ROWS($1:29)&gt;COUNT(Dong14),0,IF(OFFSET(TH!N$1,SMALL(Dong14,ROWS($1:29)),)="131",OFFSET(TH!M$1,SMALL(Dong14,ROWS($1:29)),),0))</f>
        <v>0</v>
      </c>
      <c r="J45" s="905">
        <f ca="1">IF(ROWS($1:29)&gt;COUNT(Dong14),0,IF(OFFSET(TH!O$1,SMALL(Dong14,ROWS($1:29)),)="131",OFFSET(TH!K$1,SMALL(Dong14,ROWS($1:29)),),0))</f>
        <v>0</v>
      </c>
      <c r="K45" s="904">
        <f ca="1">IF(ROWS($1:29)&gt;COUNT(Dong14),0,IF(OFFSET(TH!O$1,SMALL(Dong14,ROWS($1:29)),)="131",OFFSET(TH!M$1,SMALL(Dong14,ROWS($1:29)),),0))</f>
        <v>0</v>
      </c>
      <c r="L45" s="898">
        <f t="shared" ca="1" si="1"/>
        <v>0</v>
      </c>
      <c r="M45" s="897">
        <f t="shared" ca="1" si="2"/>
        <v>0</v>
      </c>
      <c r="N45" s="898">
        <f t="shared" ca="1" si="3"/>
        <v>0</v>
      </c>
      <c r="O45" s="897">
        <f t="shared" ca="1" si="4"/>
        <v>0</v>
      </c>
    </row>
    <row r="46" spans="1:15" s="5" customFormat="1" ht="16.5" customHeight="1">
      <c r="A46" s="223" t="str">
        <f t="shared" ca="1" si="0"/>
        <v/>
      </c>
      <c r="B46" s="227" t="str">
        <f ca="1">IF(ROWS($1:30)&gt;COUNT(Dong14),"",OFFSET(TH!D$1,SMALL(Dong14,ROWS($1:30)),))</f>
        <v/>
      </c>
      <c r="C46" s="223" t="str">
        <f ca="1">IF(ROWS($1:30)&gt;COUNT(Dong14),"",OFFSET(TH!E$1,SMALL(Dong14,ROWS($1:30)),))</f>
        <v/>
      </c>
      <c r="D46" s="906" t="str">
        <f ca="1">IF(ROWS($1:30)&gt;COUNT(Dong14),"",OFFSET(TH!F$1,SMALL(Dong14,ROWS($1:30)),))</f>
        <v/>
      </c>
      <c r="E46" s="904" t="str">
        <f ca="1">IF(ROWS($1:30)&gt;COUNT(Dong14),"",IF(OFFSET(TH!N$1,SMALL(Dong14,ROWS($1:30)),)="131",OFFSET(TH!O$1,SMALL(Dong14,ROWS($1:30)),),OFFSET(TH!N$1,SMALL(Dong14,ROWS($1:30)),)))</f>
        <v/>
      </c>
      <c r="F46" s="904">
        <f ca="1">IF(ROWS($1:30)&gt;COUNT(Dong14),0,OFFSET(TH!L$1,SMALL(Dong14,ROWS($1:30)),))</f>
        <v>0</v>
      </c>
      <c r="G46" s="904"/>
      <c r="H46" s="905">
        <f ca="1">IF(ROWS($1:30)&gt;COUNT(Dong14),0,IF(OFFSET(TH!N$1,SMALL(Dong14,ROWS($1:30)),)="131",OFFSET(TH!K$1,SMALL(Dong14,ROWS($1:30)),),0))</f>
        <v>0</v>
      </c>
      <c r="I46" s="904">
        <f ca="1">IF(ROWS($1:30)&gt;COUNT(Dong14),0,IF(OFFSET(TH!N$1,SMALL(Dong14,ROWS($1:30)),)="131",OFFSET(TH!M$1,SMALL(Dong14,ROWS($1:30)),),0))</f>
        <v>0</v>
      </c>
      <c r="J46" s="905">
        <f ca="1">IF(ROWS($1:30)&gt;COUNT(Dong14),0,IF(OFFSET(TH!O$1,SMALL(Dong14,ROWS($1:30)),)="131",OFFSET(TH!K$1,SMALL(Dong14,ROWS($1:30)),),0))</f>
        <v>0</v>
      </c>
      <c r="K46" s="904">
        <f ca="1">IF(ROWS($1:30)&gt;COUNT(Dong14),0,IF(OFFSET(TH!O$1,SMALL(Dong14,ROWS($1:30)),)="131",OFFSET(TH!M$1,SMALL(Dong14,ROWS($1:30)),),0))</f>
        <v>0</v>
      </c>
      <c r="L46" s="898">
        <f t="shared" ca="1" si="1"/>
        <v>0</v>
      </c>
      <c r="M46" s="897">
        <f t="shared" ca="1" si="2"/>
        <v>0</v>
      </c>
      <c r="N46" s="898">
        <f t="shared" ca="1" si="3"/>
        <v>0</v>
      </c>
      <c r="O46" s="897">
        <f t="shared" ca="1" si="4"/>
        <v>0</v>
      </c>
    </row>
    <row r="47" spans="1:15" s="5" customFormat="1" ht="16.5" customHeight="1">
      <c r="A47" s="223" t="str">
        <f t="shared" ca="1" si="0"/>
        <v/>
      </c>
      <c r="B47" s="227" t="str">
        <f ca="1">IF(ROWS($1:31)&gt;COUNT(Dong14),"",OFFSET(TH!D$1,SMALL(Dong14,ROWS($1:31)),))</f>
        <v/>
      </c>
      <c r="C47" s="223" t="str">
        <f ca="1">IF(ROWS($1:31)&gt;COUNT(Dong14),"",OFFSET(TH!E$1,SMALL(Dong14,ROWS($1:31)),))</f>
        <v/>
      </c>
      <c r="D47" s="906" t="str">
        <f ca="1">IF(ROWS($1:31)&gt;COUNT(Dong14),"",OFFSET(TH!F$1,SMALL(Dong14,ROWS($1:31)),))</f>
        <v/>
      </c>
      <c r="E47" s="904" t="str">
        <f ca="1">IF(ROWS($1:31)&gt;COUNT(Dong14),"",IF(OFFSET(TH!N$1,SMALL(Dong14,ROWS($1:31)),)="131",OFFSET(TH!O$1,SMALL(Dong14,ROWS($1:31)),),OFFSET(TH!N$1,SMALL(Dong14,ROWS($1:31)),)))</f>
        <v/>
      </c>
      <c r="F47" s="904">
        <f ca="1">IF(ROWS($1:31)&gt;COUNT(Dong14),0,OFFSET(TH!L$1,SMALL(Dong14,ROWS($1:31)),))</f>
        <v>0</v>
      </c>
      <c r="G47" s="904"/>
      <c r="H47" s="905">
        <f ca="1">IF(ROWS($1:31)&gt;COUNT(Dong14),0,IF(OFFSET(TH!N$1,SMALL(Dong14,ROWS($1:31)),)="131",OFFSET(TH!K$1,SMALL(Dong14,ROWS($1:31)),),0))</f>
        <v>0</v>
      </c>
      <c r="I47" s="904">
        <f ca="1">IF(ROWS($1:31)&gt;COUNT(Dong14),0,IF(OFFSET(TH!N$1,SMALL(Dong14,ROWS($1:31)),)="131",OFFSET(TH!M$1,SMALL(Dong14,ROWS($1:31)),),0))</f>
        <v>0</v>
      </c>
      <c r="J47" s="905">
        <f ca="1">IF(ROWS($1:31)&gt;COUNT(Dong14),0,IF(OFFSET(TH!O$1,SMALL(Dong14,ROWS($1:31)),)="131",OFFSET(TH!K$1,SMALL(Dong14,ROWS($1:31)),),0))</f>
        <v>0</v>
      </c>
      <c r="K47" s="904">
        <f ca="1">IF(ROWS($1:31)&gt;COUNT(Dong14),0,IF(OFFSET(TH!O$1,SMALL(Dong14,ROWS($1:31)),)="131",OFFSET(TH!M$1,SMALL(Dong14,ROWS($1:31)),),0))</f>
        <v>0</v>
      </c>
      <c r="L47" s="898">
        <f t="shared" ca="1" si="1"/>
        <v>0</v>
      </c>
      <c r="M47" s="897">
        <f t="shared" ca="1" si="2"/>
        <v>0</v>
      </c>
      <c r="N47" s="898">
        <f t="shared" ca="1" si="3"/>
        <v>0</v>
      </c>
      <c r="O47" s="897">
        <f t="shared" ca="1" si="4"/>
        <v>0</v>
      </c>
    </row>
    <row r="48" spans="1:15" s="5" customFormat="1" ht="16.5" customHeight="1">
      <c r="A48" s="223" t="str">
        <f t="shared" ca="1" si="0"/>
        <v/>
      </c>
      <c r="B48" s="227" t="str">
        <f ca="1">IF(ROWS($1:32)&gt;COUNT(Dong14),"",OFFSET(TH!D$1,SMALL(Dong14,ROWS($1:32)),))</f>
        <v/>
      </c>
      <c r="C48" s="223" t="str">
        <f ca="1">IF(ROWS($1:32)&gt;COUNT(Dong14),"",OFFSET(TH!E$1,SMALL(Dong14,ROWS($1:32)),))</f>
        <v/>
      </c>
      <c r="D48" s="906" t="str">
        <f ca="1">IF(ROWS($1:32)&gt;COUNT(Dong14),"",OFFSET(TH!F$1,SMALL(Dong14,ROWS($1:32)),))</f>
        <v/>
      </c>
      <c r="E48" s="904" t="str">
        <f ca="1">IF(ROWS($1:32)&gt;COUNT(Dong14),"",IF(OFFSET(TH!N$1,SMALL(Dong14,ROWS($1:32)),)="131",OFFSET(TH!O$1,SMALL(Dong14,ROWS($1:32)),),OFFSET(TH!N$1,SMALL(Dong14,ROWS($1:32)),)))</f>
        <v/>
      </c>
      <c r="F48" s="904">
        <f ca="1">IF(ROWS($1:32)&gt;COUNT(Dong14),0,OFFSET(TH!L$1,SMALL(Dong14,ROWS($1:32)),))</f>
        <v>0</v>
      </c>
      <c r="G48" s="904"/>
      <c r="H48" s="905">
        <f ca="1">IF(ROWS($1:32)&gt;COUNT(Dong14),0,IF(OFFSET(TH!N$1,SMALL(Dong14,ROWS($1:32)),)="131",OFFSET(TH!K$1,SMALL(Dong14,ROWS($1:32)),),0))</f>
        <v>0</v>
      </c>
      <c r="I48" s="904">
        <f ca="1">IF(ROWS($1:32)&gt;COUNT(Dong14),0,IF(OFFSET(TH!N$1,SMALL(Dong14,ROWS($1:32)),)="131",OFFSET(TH!M$1,SMALL(Dong14,ROWS($1:32)),),0))</f>
        <v>0</v>
      </c>
      <c r="J48" s="905">
        <f ca="1">IF(ROWS($1:32)&gt;COUNT(Dong14),0,IF(OFFSET(TH!O$1,SMALL(Dong14,ROWS($1:32)),)="131",OFFSET(TH!K$1,SMALL(Dong14,ROWS($1:32)),),0))</f>
        <v>0</v>
      </c>
      <c r="K48" s="904">
        <f ca="1">IF(ROWS($1:32)&gt;COUNT(Dong14),0,IF(OFFSET(TH!O$1,SMALL(Dong14,ROWS($1:32)),)="131",OFFSET(TH!M$1,SMALL(Dong14,ROWS($1:32)),),0))</f>
        <v>0</v>
      </c>
      <c r="L48" s="898">
        <f t="shared" ca="1" si="1"/>
        <v>0</v>
      </c>
      <c r="M48" s="897">
        <f t="shared" ca="1" si="2"/>
        <v>0</v>
      </c>
      <c r="N48" s="898">
        <f t="shared" ca="1" si="3"/>
        <v>0</v>
      </c>
      <c r="O48" s="897">
        <f t="shared" ca="1" si="4"/>
        <v>0</v>
      </c>
    </row>
    <row r="49" spans="1:15" s="5" customFormat="1" ht="16.5" customHeight="1">
      <c r="A49" s="223" t="str">
        <f t="shared" ca="1" si="0"/>
        <v/>
      </c>
      <c r="B49" s="227" t="str">
        <f ca="1">IF(ROWS($1:33)&gt;COUNT(Dong14),"",OFFSET(TH!D$1,SMALL(Dong14,ROWS($1:33)),))</f>
        <v/>
      </c>
      <c r="C49" s="223" t="str">
        <f ca="1">IF(ROWS($1:33)&gt;COUNT(Dong14),"",OFFSET(TH!E$1,SMALL(Dong14,ROWS($1:33)),))</f>
        <v/>
      </c>
      <c r="D49" s="906" t="str">
        <f ca="1">IF(ROWS($1:33)&gt;COUNT(Dong14),"",OFFSET(TH!F$1,SMALL(Dong14,ROWS($1:33)),))</f>
        <v/>
      </c>
      <c r="E49" s="904" t="str">
        <f ca="1">IF(ROWS($1:33)&gt;COUNT(Dong14),"",IF(OFFSET(TH!N$1,SMALL(Dong14,ROWS($1:33)),)="131",OFFSET(TH!O$1,SMALL(Dong14,ROWS($1:33)),),OFFSET(TH!N$1,SMALL(Dong14,ROWS($1:33)),)))</f>
        <v/>
      </c>
      <c r="F49" s="904">
        <f ca="1">IF(ROWS($1:33)&gt;COUNT(Dong14),0,OFFSET(TH!L$1,SMALL(Dong14,ROWS($1:33)),))</f>
        <v>0</v>
      </c>
      <c r="G49" s="904"/>
      <c r="H49" s="905">
        <f ca="1">IF(ROWS($1:33)&gt;COUNT(Dong14),0,IF(OFFSET(TH!N$1,SMALL(Dong14,ROWS($1:33)),)="131",OFFSET(TH!K$1,SMALL(Dong14,ROWS($1:33)),),0))</f>
        <v>0</v>
      </c>
      <c r="I49" s="904">
        <f ca="1">IF(ROWS($1:33)&gt;COUNT(Dong14),0,IF(OFFSET(TH!N$1,SMALL(Dong14,ROWS($1:33)),)="131",OFFSET(TH!M$1,SMALL(Dong14,ROWS($1:33)),),0))</f>
        <v>0</v>
      </c>
      <c r="J49" s="905">
        <f ca="1">IF(ROWS($1:33)&gt;COUNT(Dong14),0,IF(OFFSET(TH!O$1,SMALL(Dong14,ROWS($1:33)),)="131",OFFSET(TH!K$1,SMALL(Dong14,ROWS($1:33)),),0))</f>
        <v>0</v>
      </c>
      <c r="K49" s="904">
        <f ca="1">IF(ROWS($1:33)&gt;COUNT(Dong14),0,IF(OFFSET(TH!O$1,SMALL(Dong14,ROWS($1:33)),)="131",OFFSET(TH!M$1,SMALL(Dong14,ROWS($1:33)),),0))</f>
        <v>0</v>
      </c>
      <c r="L49" s="898">
        <f t="shared" ca="1" si="1"/>
        <v>0</v>
      </c>
      <c r="M49" s="897">
        <f t="shared" ca="1" si="2"/>
        <v>0</v>
      </c>
      <c r="N49" s="898">
        <f t="shared" ca="1" si="3"/>
        <v>0</v>
      </c>
      <c r="O49" s="897">
        <f t="shared" ca="1" si="4"/>
        <v>0</v>
      </c>
    </row>
    <row r="50" spans="1:15" s="5" customFormat="1" ht="16.5" customHeight="1">
      <c r="A50" s="223" t="str">
        <f t="shared" ca="1" si="0"/>
        <v/>
      </c>
      <c r="B50" s="227" t="str">
        <f ca="1">IF(ROWS($1:34)&gt;COUNT(Dong14),"",OFFSET(TH!D$1,SMALL(Dong14,ROWS($1:34)),))</f>
        <v/>
      </c>
      <c r="C50" s="223" t="str">
        <f ca="1">IF(ROWS($1:34)&gt;COUNT(Dong14),"",OFFSET(TH!E$1,SMALL(Dong14,ROWS($1:34)),))</f>
        <v/>
      </c>
      <c r="D50" s="906" t="str">
        <f ca="1">IF(ROWS($1:34)&gt;COUNT(Dong14),"",OFFSET(TH!F$1,SMALL(Dong14,ROWS($1:34)),))</f>
        <v/>
      </c>
      <c r="E50" s="904" t="str">
        <f ca="1">IF(ROWS($1:34)&gt;COUNT(Dong14),"",IF(OFFSET(TH!N$1,SMALL(Dong14,ROWS($1:34)),)="131",OFFSET(TH!O$1,SMALL(Dong14,ROWS($1:34)),),OFFSET(TH!N$1,SMALL(Dong14,ROWS($1:34)),)))</f>
        <v/>
      </c>
      <c r="F50" s="904">
        <f ca="1">IF(ROWS($1:34)&gt;COUNT(Dong14),0,OFFSET(TH!L$1,SMALL(Dong14,ROWS($1:34)),))</f>
        <v>0</v>
      </c>
      <c r="G50" s="904"/>
      <c r="H50" s="905">
        <f ca="1">IF(ROWS($1:34)&gt;COUNT(Dong14),0,IF(OFFSET(TH!N$1,SMALL(Dong14,ROWS($1:34)),)="131",OFFSET(TH!K$1,SMALL(Dong14,ROWS($1:34)),),0))</f>
        <v>0</v>
      </c>
      <c r="I50" s="904">
        <f ca="1">IF(ROWS($1:34)&gt;COUNT(Dong14),0,IF(OFFSET(TH!N$1,SMALL(Dong14,ROWS($1:34)),)="131",OFFSET(TH!M$1,SMALL(Dong14,ROWS($1:34)),),0))</f>
        <v>0</v>
      </c>
      <c r="J50" s="905">
        <f ca="1">IF(ROWS($1:34)&gt;COUNT(Dong14),0,IF(OFFSET(TH!O$1,SMALL(Dong14,ROWS($1:34)),)="131",OFFSET(TH!K$1,SMALL(Dong14,ROWS($1:34)),),0))</f>
        <v>0</v>
      </c>
      <c r="K50" s="904">
        <f ca="1">IF(ROWS($1:34)&gt;COUNT(Dong14),0,IF(OFFSET(TH!O$1,SMALL(Dong14,ROWS($1:34)),)="131",OFFSET(TH!M$1,SMALL(Dong14,ROWS($1:34)),),0))</f>
        <v>0</v>
      </c>
      <c r="L50" s="898">
        <f t="shared" ca="1" si="1"/>
        <v>0</v>
      </c>
      <c r="M50" s="897">
        <f t="shared" ca="1" si="2"/>
        <v>0</v>
      </c>
      <c r="N50" s="898">
        <f t="shared" ca="1" si="3"/>
        <v>0</v>
      </c>
      <c r="O50" s="897">
        <f t="shared" ca="1" si="4"/>
        <v>0</v>
      </c>
    </row>
    <row r="51" spans="1:15" s="5" customFormat="1" ht="16.5" customHeight="1">
      <c r="A51" s="223" t="str">
        <f t="shared" ca="1" si="0"/>
        <v/>
      </c>
      <c r="B51" s="227" t="str">
        <f ca="1">IF(ROWS($1:35)&gt;COUNT(Dong14),"",OFFSET(TH!D$1,SMALL(Dong14,ROWS($1:35)),))</f>
        <v/>
      </c>
      <c r="C51" s="223" t="str">
        <f ca="1">IF(ROWS($1:35)&gt;COUNT(Dong14),"",OFFSET(TH!E$1,SMALL(Dong14,ROWS($1:35)),))</f>
        <v/>
      </c>
      <c r="D51" s="906" t="str">
        <f ca="1">IF(ROWS($1:35)&gt;COUNT(Dong14),"",OFFSET(TH!F$1,SMALL(Dong14,ROWS($1:35)),))</f>
        <v/>
      </c>
      <c r="E51" s="904" t="str">
        <f ca="1">IF(ROWS($1:35)&gt;COUNT(Dong14),"",IF(OFFSET(TH!N$1,SMALL(Dong14,ROWS($1:35)),)="131",OFFSET(TH!O$1,SMALL(Dong14,ROWS($1:35)),),OFFSET(TH!N$1,SMALL(Dong14,ROWS($1:35)),)))</f>
        <v/>
      </c>
      <c r="F51" s="904">
        <f ca="1">IF(ROWS($1:35)&gt;COUNT(Dong14),0,OFFSET(TH!L$1,SMALL(Dong14,ROWS($1:35)),))</f>
        <v>0</v>
      </c>
      <c r="G51" s="904"/>
      <c r="H51" s="905">
        <f ca="1">IF(ROWS($1:35)&gt;COUNT(Dong14),0,IF(OFFSET(TH!N$1,SMALL(Dong14,ROWS($1:35)),)="131",OFFSET(TH!K$1,SMALL(Dong14,ROWS($1:35)),),0))</f>
        <v>0</v>
      </c>
      <c r="I51" s="904">
        <f ca="1">IF(ROWS($1:35)&gt;COUNT(Dong14),0,IF(OFFSET(TH!N$1,SMALL(Dong14,ROWS($1:35)),)="131",OFFSET(TH!M$1,SMALL(Dong14,ROWS($1:35)),),0))</f>
        <v>0</v>
      </c>
      <c r="J51" s="905">
        <f ca="1">IF(ROWS($1:35)&gt;COUNT(Dong14),0,IF(OFFSET(TH!O$1,SMALL(Dong14,ROWS($1:35)),)="131",OFFSET(TH!K$1,SMALL(Dong14,ROWS($1:35)),),0))</f>
        <v>0</v>
      </c>
      <c r="K51" s="904">
        <f ca="1">IF(ROWS($1:35)&gt;COUNT(Dong14),0,IF(OFFSET(TH!O$1,SMALL(Dong14,ROWS($1:35)),)="131",OFFSET(TH!M$1,SMALL(Dong14,ROWS($1:35)),),0))</f>
        <v>0</v>
      </c>
      <c r="L51" s="898">
        <f t="shared" ca="1" si="1"/>
        <v>0</v>
      </c>
      <c r="M51" s="897">
        <f t="shared" ca="1" si="2"/>
        <v>0</v>
      </c>
      <c r="N51" s="898">
        <f t="shared" ca="1" si="3"/>
        <v>0</v>
      </c>
      <c r="O51" s="897">
        <f t="shared" ca="1" si="4"/>
        <v>0</v>
      </c>
    </row>
    <row r="52" spans="1:15" s="5" customFormat="1" ht="16.5" customHeight="1">
      <c r="A52" s="223" t="str">
        <f t="shared" ca="1" si="0"/>
        <v/>
      </c>
      <c r="B52" s="227" t="str">
        <f ca="1">IF(ROWS($1:36)&gt;COUNT(Dong14),"",OFFSET(TH!D$1,SMALL(Dong14,ROWS($1:36)),))</f>
        <v/>
      </c>
      <c r="C52" s="223" t="str">
        <f ca="1">IF(ROWS($1:36)&gt;COUNT(Dong14),"",OFFSET(TH!E$1,SMALL(Dong14,ROWS($1:36)),))</f>
        <v/>
      </c>
      <c r="D52" s="906" t="str">
        <f ca="1">IF(ROWS($1:36)&gt;COUNT(Dong14),"",OFFSET(TH!F$1,SMALL(Dong14,ROWS($1:36)),))</f>
        <v/>
      </c>
      <c r="E52" s="904" t="str">
        <f ca="1">IF(ROWS($1:36)&gt;COUNT(Dong14),"",IF(OFFSET(TH!N$1,SMALL(Dong14,ROWS($1:36)),)="131",OFFSET(TH!O$1,SMALL(Dong14,ROWS($1:36)),),OFFSET(TH!N$1,SMALL(Dong14,ROWS($1:36)),)))</f>
        <v/>
      </c>
      <c r="F52" s="904">
        <f ca="1">IF(ROWS($1:36)&gt;COUNT(Dong14),0,OFFSET(TH!L$1,SMALL(Dong14,ROWS($1:36)),))</f>
        <v>0</v>
      </c>
      <c r="G52" s="904"/>
      <c r="H52" s="905">
        <f ca="1">IF(ROWS($1:36)&gt;COUNT(Dong14),0,IF(OFFSET(TH!N$1,SMALL(Dong14,ROWS($1:36)),)="131",OFFSET(TH!K$1,SMALL(Dong14,ROWS($1:36)),),0))</f>
        <v>0</v>
      </c>
      <c r="I52" s="904">
        <f ca="1">IF(ROWS($1:36)&gt;COUNT(Dong14),0,IF(OFFSET(TH!N$1,SMALL(Dong14,ROWS($1:36)),)="131",OFFSET(TH!M$1,SMALL(Dong14,ROWS($1:36)),),0))</f>
        <v>0</v>
      </c>
      <c r="J52" s="905">
        <f ca="1">IF(ROWS($1:36)&gt;COUNT(Dong14),0,IF(OFFSET(TH!O$1,SMALL(Dong14,ROWS($1:36)),)="131",OFFSET(TH!K$1,SMALL(Dong14,ROWS($1:36)),),0))</f>
        <v>0</v>
      </c>
      <c r="K52" s="904">
        <f ca="1">IF(ROWS($1:36)&gt;COUNT(Dong14),0,IF(OFFSET(TH!O$1,SMALL(Dong14,ROWS($1:36)),)="131",OFFSET(TH!M$1,SMALL(Dong14,ROWS($1:36)),),0))</f>
        <v>0</v>
      </c>
      <c r="L52" s="898">
        <f t="shared" ca="1" si="1"/>
        <v>0</v>
      </c>
      <c r="M52" s="897">
        <f t="shared" ca="1" si="2"/>
        <v>0</v>
      </c>
      <c r="N52" s="898">
        <f t="shared" ca="1" si="3"/>
        <v>0</v>
      </c>
      <c r="O52" s="897">
        <f t="shared" ca="1" si="4"/>
        <v>0</v>
      </c>
    </row>
    <row r="53" spans="1:15" s="5" customFormat="1" ht="16.5" customHeight="1">
      <c r="A53" s="223" t="str">
        <f t="shared" ca="1" si="0"/>
        <v/>
      </c>
      <c r="B53" s="227" t="str">
        <f ca="1">IF(ROWS($1:37)&gt;COUNT(Dong14),"",OFFSET(TH!D$1,SMALL(Dong14,ROWS($1:37)),))</f>
        <v/>
      </c>
      <c r="C53" s="223" t="str">
        <f ca="1">IF(ROWS($1:37)&gt;COUNT(Dong14),"",OFFSET(TH!E$1,SMALL(Dong14,ROWS($1:37)),))</f>
        <v/>
      </c>
      <c r="D53" s="906" t="str">
        <f ca="1">IF(ROWS($1:37)&gt;COUNT(Dong14),"",OFFSET(TH!F$1,SMALL(Dong14,ROWS($1:37)),))</f>
        <v/>
      </c>
      <c r="E53" s="904" t="str">
        <f ca="1">IF(ROWS($1:37)&gt;COUNT(Dong14),"",IF(OFFSET(TH!N$1,SMALL(Dong14,ROWS($1:37)),)="131",OFFSET(TH!O$1,SMALL(Dong14,ROWS($1:37)),),OFFSET(TH!N$1,SMALL(Dong14,ROWS($1:37)),)))</f>
        <v/>
      </c>
      <c r="F53" s="904">
        <f ca="1">IF(ROWS($1:37)&gt;COUNT(Dong14),0,OFFSET(TH!L$1,SMALL(Dong14,ROWS($1:37)),))</f>
        <v>0</v>
      </c>
      <c r="G53" s="904"/>
      <c r="H53" s="905">
        <f ca="1">IF(ROWS($1:37)&gt;COUNT(Dong14),0,IF(OFFSET(TH!N$1,SMALL(Dong14,ROWS($1:37)),)="131",OFFSET(TH!K$1,SMALL(Dong14,ROWS($1:37)),),0))</f>
        <v>0</v>
      </c>
      <c r="I53" s="904">
        <f ca="1">IF(ROWS($1:37)&gt;COUNT(Dong14),0,IF(OFFSET(TH!N$1,SMALL(Dong14,ROWS($1:37)),)="131",OFFSET(TH!M$1,SMALL(Dong14,ROWS($1:37)),),0))</f>
        <v>0</v>
      </c>
      <c r="J53" s="905">
        <f ca="1">IF(ROWS($1:37)&gt;COUNT(Dong14),0,IF(OFFSET(TH!O$1,SMALL(Dong14,ROWS($1:37)),)="131",OFFSET(TH!K$1,SMALL(Dong14,ROWS($1:37)),),0))</f>
        <v>0</v>
      </c>
      <c r="K53" s="904">
        <f ca="1">IF(ROWS($1:37)&gt;COUNT(Dong14),0,IF(OFFSET(TH!O$1,SMALL(Dong14,ROWS($1:37)),)="131",OFFSET(TH!M$1,SMALL(Dong14,ROWS($1:37)),),0))</f>
        <v>0</v>
      </c>
      <c r="L53" s="898">
        <f t="shared" ca="1" si="1"/>
        <v>0</v>
      </c>
      <c r="M53" s="897">
        <f t="shared" ca="1" si="2"/>
        <v>0</v>
      </c>
      <c r="N53" s="898">
        <f t="shared" ca="1" si="3"/>
        <v>0</v>
      </c>
      <c r="O53" s="897">
        <f t="shared" ca="1" si="4"/>
        <v>0</v>
      </c>
    </row>
    <row r="54" spans="1:15" s="5" customFormat="1" ht="16.5" customHeight="1">
      <c r="A54" s="223" t="str">
        <f t="shared" ca="1" si="0"/>
        <v/>
      </c>
      <c r="B54" s="227" t="str">
        <f ca="1">IF(ROWS($1:38)&gt;COUNT(Dong14),"",OFFSET(TH!D$1,SMALL(Dong14,ROWS($1:38)),))</f>
        <v/>
      </c>
      <c r="C54" s="223" t="str">
        <f ca="1">IF(ROWS($1:38)&gt;COUNT(Dong14),"",OFFSET(TH!E$1,SMALL(Dong14,ROWS($1:38)),))</f>
        <v/>
      </c>
      <c r="D54" s="906" t="str">
        <f ca="1">IF(ROWS($1:38)&gt;COUNT(Dong14),"",OFFSET(TH!F$1,SMALL(Dong14,ROWS($1:38)),))</f>
        <v/>
      </c>
      <c r="E54" s="904" t="str">
        <f ca="1">IF(ROWS($1:38)&gt;COUNT(Dong14),"",IF(OFFSET(TH!N$1,SMALL(Dong14,ROWS($1:38)),)="131",OFFSET(TH!O$1,SMALL(Dong14,ROWS($1:38)),),OFFSET(TH!N$1,SMALL(Dong14,ROWS($1:38)),)))</f>
        <v/>
      </c>
      <c r="F54" s="904">
        <f ca="1">IF(ROWS($1:38)&gt;COUNT(Dong14),0,OFFSET(TH!L$1,SMALL(Dong14,ROWS($1:38)),))</f>
        <v>0</v>
      </c>
      <c r="G54" s="904"/>
      <c r="H54" s="905">
        <f ca="1">IF(ROWS($1:38)&gt;COUNT(Dong14),0,IF(OFFSET(TH!N$1,SMALL(Dong14,ROWS($1:38)),)="131",OFFSET(TH!K$1,SMALL(Dong14,ROWS($1:38)),),0))</f>
        <v>0</v>
      </c>
      <c r="I54" s="904">
        <f ca="1">IF(ROWS($1:38)&gt;COUNT(Dong14),0,IF(OFFSET(TH!N$1,SMALL(Dong14,ROWS($1:38)),)="131",OFFSET(TH!M$1,SMALL(Dong14,ROWS($1:38)),),0))</f>
        <v>0</v>
      </c>
      <c r="J54" s="905">
        <f ca="1">IF(ROWS($1:38)&gt;COUNT(Dong14),0,IF(OFFSET(TH!O$1,SMALL(Dong14,ROWS($1:38)),)="131",OFFSET(TH!K$1,SMALL(Dong14,ROWS($1:38)),),0))</f>
        <v>0</v>
      </c>
      <c r="K54" s="904">
        <f ca="1">IF(ROWS($1:38)&gt;COUNT(Dong14),0,IF(OFFSET(TH!O$1,SMALL(Dong14,ROWS($1:38)),)="131",OFFSET(TH!M$1,SMALL(Dong14,ROWS($1:38)),),0))</f>
        <v>0</v>
      </c>
      <c r="L54" s="898">
        <f t="shared" ca="1" si="1"/>
        <v>0</v>
      </c>
      <c r="M54" s="897">
        <f t="shared" ca="1" si="2"/>
        <v>0</v>
      </c>
      <c r="N54" s="898">
        <f t="shared" ca="1" si="3"/>
        <v>0</v>
      </c>
      <c r="O54" s="897">
        <f t="shared" ca="1" si="4"/>
        <v>0</v>
      </c>
    </row>
    <row r="55" spans="1:15" s="5" customFormat="1" ht="16.5" customHeight="1">
      <c r="A55" s="223" t="str">
        <f t="shared" ca="1" si="0"/>
        <v/>
      </c>
      <c r="B55" s="227" t="str">
        <f ca="1">IF(ROWS($1:39)&gt;COUNT(Dong14),"",OFFSET(TH!D$1,SMALL(Dong14,ROWS($1:39)),))</f>
        <v/>
      </c>
      <c r="C55" s="223" t="str">
        <f ca="1">IF(ROWS($1:39)&gt;COUNT(Dong14),"",OFFSET(TH!E$1,SMALL(Dong14,ROWS($1:39)),))</f>
        <v/>
      </c>
      <c r="D55" s="906" t="str">
        <f ca="1">IF(ROWS($1:39)&gt;COUNT(Dong14),"",OFFSET(TH!F$1,SMALL(Dong14,ROWS($1:39)),))</f>
        <v/>
      </c>
      <c r="E55" s="904" t="str">
        <f ca="1">IF(ROWS($1:39)&gt;COUNT(Dong14),"",IF(OFFSET(TH!N$1,SMALL(Dong14,ROWS($1:39)),)="131",OFFSET(TH!O$1,SMALL(Dong14,ROWS($1:39)),),OFFSET(TH!N$1,SMALL(Dong14,ROWS($1:39)),)))</f>
        <v/>
      </c>
      <c r="F55" s="904">
        <f ca="1">IF(ROWS($1:39)&gt;COUNT(Dong14),0,OFFSET(TH!L$1,SMALL(Dong14,ROWS($1:39)),))</f>
        <v>0</v>
      </c>
      <c r="G55" s="904"/>
      <c r="H55" s="905">
        <f ca="1">IF(ROWS($1:39)&gt;COUNT(Dong14),0,IF(OFFSET(TH!N$1,SMALL(Dong14,ROWS($1:39)),)="131",OFFSET(TH!K$1,SMALL(Dong14,ROWS($1:39)),),0))</f>
        <v>0</v>
      </c>
      <c r="I55" s="904">
        <f ca="1">IF(ROWS($1:39)&gt;COUNT(Dong14),0,IF(OFFSET(TH!N$1,SMALL(Dong14,ROWS($1:39)),)="131",OFFSET(TH!M$1,SMALL(Dong14,ROWS($1:39)),),0))</f>
        <v>0</v>
      </c>
      <c r="J55" s="905">
        <f ca="1">IF(ROWS($1:39)&gt;COUNT(Dong14),0,IF(OFFSET(TH!O$1,SMALL(Dong14,ROWS($1:39)),)="131",OFFSET(TH!K$1,SMALL(Dong14,ROWS($1:39)),),0))</f>
        <v>0</v>
      </c>
      <c r="K55" s="904">
        <f ca="1">IF(ROWS($1:39)&gt;COUNT(Dong14),0,IF(OFFSET(TH!O$1,SMALL(Dong14,ROWS($1:39)),)="131",OFFSET(TH!M$1,SMALL(Dong14,ROWS($1:39)),),0))</f>
        <v>0</v>
      </c>
      <c r="L55" s="898">
        <f t="shared" ca="1" si="1"/>
        <v>0</v>
      </c>
      <c r="M55" s="897">
        <f t="shared" ca="1" si="2"/>
        <v>0</v>
      </c>
      <c r="N55" s="898">
        <f t="shared" ca="1" si="3"/>
        <v>0</v>
      </c>
      <c r="O55" s="897">
        <f t="shared" ca="1" si="4"/>
        <v>0</v>
      </c>
    </row>
    <row r="56" spans="1:15" s="5" customFormat="1" ht="16.5" customHeight="1">
      <c r="A56" s="223" t="str">
        <f t="shared" ca="1" si="0"/>
        <v/>
      </c>
      <c r="B56" s="227" t="str">
        <f ca="1">IF(ROWS($1:40)&gt;COUNT(Dong14),"",OFFSET(TH!D$1,SMALL(Dong14,ROWS($1:40)),))</f>
        <v/>
      </c>
      <c r="C56" s="223" t="str">
        <f ca="1">IF(ROWS($1:40)&gt;COUNT(Dong14),"",OFFSET(TH!E$1,SMALL(Dong14,ROWS($1:40)),))</f>
        <v/>
      </c>
      <c r="D56" s="906" t="str">
        <f ca="1">IF(ROWS($1:40)&gt;COUNT(Dong14),"",OFFSET(TH!F$1,SMALL(Dong14,ROWS($1:40)),))</f>
        <v/>
      </c>
      <c r="E56" s="904" t="str">
        <f ca="1">IF(ROWS($1:40)&gt;COUNT(Dong14),"",IF(OFFSET(TH!N$1,SMALL(Dong14,ROWS($1:40)),)="131",OFFSET(TH!O$1,SMALL(Dong14,ROWS($1:40)),),OFFSET(TH!N$1,SMALL(Dong14,ROWS($1:40)),)))</f>
        <v/>
      </c>
      <c r="F56" s="904">
        <f ca="1">IF(ROWS($1:40)&gt;COUNT(Dong14),0,OFFSET(TH!L$1,SMALL(Dong14,ROWS($1:40)),))</f>
        <v>0</v>
      </c>
      <c r="G56" s="904"/>
      <c r="H56" s="905">
        <f ca="1">IF(ROWS($1:40)&gt;COUNT(Dong14),0,IF(OFFSET(TH!N$1,SMALL(Dong14,ROWS($1:40)),)="131",OFFSET(TH!K$1,SMALL(Dong14,ROWS($1:40)),),0))</f>
        <v>0</v>
      </c>
      <c r="I56" s="904">
        <f ca="1">IF(ROWS($1:40)&gt;COUNT(Dong14),0,IF(OFFSET(TH!N$1,SMALL(Dong14,ROWS($1:40)),)="131",OFFSET(TH!M$1,SMALL(Dong14,ROWS($1:40)),),0))</f>
        <v>0</v>
      </c>
      <c r="J56" s="905">
        <f ca="1">IF(ROWS($1:40)&gt;COUNT(Dong14),0,IF(OFFSET(TH!O$1,SMALL(Dong14,ROWS($1:40)),)="131",OFFSET(TH!K$1,SMALL(Dong14,ROWS($1:40)),),0))</f>
        <v>0</v>
      </c>
      <c r="K56" s="904">
        <f ca="1">IF(ROWS($1:40)&gt;COUNT(Dong14),0,IF(OFFSET(TH!O$1,SMALL(Dong14,ROWS($1:40)),)="131",OFFSET(TH!M$1,SMALL(Dong14,ROWS($1:40)),),0))</f>
        <v>0</v>
      </c>
      <c r="L56" s="898">
        <f t="shared" ca="1" si="1"/>
        <v>0</v>
      </c>
      <c r="M56" s="897">
        <f t="shared" ca="1" si="2"/>
        <v>0</v>
      </c>
      <c r="N56" s="898">
        <f t="shared" ca="1" si="3"/>
        <v>0</v>
      </c>
      <c r="O56" s="897">
        <f t="shared" ca="1" si="4"/>
        <v>0</v>
      </c>
    </row>
    <row r="57" spans="1:15" s="5" customFormat="1" ht="16.5" customHeight="1">
      <c r="A57" s="223" t="str">
        <f t="shared" ca="1" si="0"/>
        <v/>
      </c>
      <c r="B57" s="227" t="str">
        <f ca="1">IF(ROWS($1:41)&gt;COUNT(Dong14),"",OFFSET(TH!D$1,SMALL(Dong14,ROWS($1:41)),))</f>
        <v/>
      </c>
      <c r="C57" s="223" t="str">
        <f ca="1">IF(ROWS($1:41)&gt;COUNT(Dong14),"",OFFSET(TH!E$1,SMALL(Dong14,ROWS($1:41)),))</f>
        <v/>
      </c>
      <c r="D57" s="906" t="str">
        <f ca="1">IF(ROWS($1:41)&gt;COUNT(Dong14),"",OFFSET(TH!F$1,SMALL(Dong14,ROWS($1:41)),))</f>
        <v/>
      </c>
      <c r="E57" s="904" t="str">
        <f ca="1">IF(ROWS($1:41)&gt;COUNT(Dong14),"",IF(OFFSET(TH!N$1,SMALL(Dong14,ROWS($1:41)),)="131",OFFSET(TH!O$1,SMALL(Dong14,ROWS($1:41)),),OFFSET(TH!N$1,SMALL(Dong14,ROWS($1:41)),)))</f>
        <v/>
      </c>
      <c r="F57" s="904">
        <f ca="1">IF(ROWS($1:41)&gt;COUNT(Dong14),0,OFFSET(TH!L$1,SMALL(Dong14,ROWS($1:41)),))</f>
        <v>0</v>
      </c>
      <c r="G57" s="904"/>
      <c r="H57" s="905">
        <f ca="1">IF(ROWS($1:41)&gt;COUNT(Dong14),0,IF(OFFSET(TH!N$1,SMALL(Dong14,ROWS($1:41)),)="131",OFFSET(TH!K$1,SMALL(Dong14,ROWS($1:41)),),0))</f>
        <v>0</v>
      </c>
      <c r="I57" s="904">
        <f ca="1">IF(ROWS($1:41)&gt;COUNT(Dong14),0,IF(OFFSET(TH!N$1,SMALL(Dong14,ROWS($1:41)),)="131",OFFSET(TH!M$1,SMALL(Dong14,ROWS($1:41)),),0))</f>
        <v>0</v>
      </c>
      <c r="J57" s="905">
        <f ca="1">IF(ROWS($1:41)&gt;COUNT(Dong14),0,IF(OFFSET(TH!O$1,SMALL(Dong14,ROWS($1:41)),)="131",OFFSET(TH!K$1,SMALL(Dong14,ROWS($1:41)),),0))</f>
        <v>0</v>
      </c>
      <c r="K57" s="904">
        <f ca="1">IF(ROWS($1:41)&gt;COUNT(Dong14),0,IF(OFFSET(TH!O$1,SMALL(Dong14,ROWS($1:41)),)="131",OFFSET(TH!M$1,SMALL(Dong14,ROWS($1:41)),),0))</f>
        <v>0</v>
      </c>
      <c r="L57" s="898">
        <f t="shared" ca="1" si="1"/>
        <v>0</v>
      </c>
      <c r="M57" s="897">
        <f t="shared" ca="1" si="2"/>
        <v>0</v>
      </c>
      <c r="N57" s="898">
        <f t="shared" ca="1" si="3"/>
        <v>0</v>
      </c>
      <c r="O57" s="897">
        <f t="shared" ca="1" si="4"/>
        <v>0</v>
      </c>
    </row>
    <row r="58" spans="1:15" s="5" customFormat="1" ht="16.5" customHeight="1">
      <c r="A58" s="223" t="str">
        <f t="shared" ca="1" si="0"/>
        <v/>
      </c>
      <c r="B58" s="227" t="str">
        <f ca="1">IF(ROWS($1:42)&gt;COUNT(Dong14),"",OFFSET(TH!D$1,SMALL(Dong14,ROWS($1:42)),))</f>
        <v/>
      </c>
      <c r="C58" s="223" t="str">
        <f ca="1">IF(ROWS($1:42)&gt;COUNT(Dong14),"",OFFSET(TH!E$1,SMALL(Dong14,ROWS($1:42)),))</f>
        <v/>
      </c>
      <c r="D58" s="906" t="str">
        <f ca="1">IF(ROWS($1:42)&gt;COUNT(Dong14),"",OFFSET(TH!F$1,SMALL(Dong14,ROWS($1:42)),))</f>
        <v/>
      </c>
      <c r="E58" s="904" t="str">
        <f ca="1">IF(ROWS($1:42)&gt;COUNT(Dong14),"",IF(OFFSET(TH!N$1,SMALL(Dong14,ROWS($1:42)),)="131",OFFSET(TH!O$1,SMALL(Dong14,ROWS($1:42)),),OFFSET(TH!N$1,SMALL(Dong14,ROWS($1:42)),)))</f>
        <v/>
      </c>
      <c r="F58" s="904">
        <f ca="1">IF(ROWS($1:42)&gt;COUNT(Dong14),0,OFFSET(TH!L$1,SMALL(Dong14,ROWS($1:42)),))</f>
        <v>0</v>
      </c>
      <c r="G58" s="904"/>
      <c r="H58" s="905">
        <f ca="1">IF(ROWS($1:42)&gt;COUNT(Dong14),0,IF(OFFSET(TH!N$1,SMALL(Dong14,ROWS($1:42)),)="131",OFFSET(TH!K$1,SMALL(Dong14,ROWS($1:42)),),0))</f>
        <v>0</v>
      </c>
      <c r="I58" s="904">
        <f ca="1">IF(ROWS($1:42)&gt;COUNT(Dong14),0,IF(OFFSET(TH!N$1,SMALL(Dong14,ROWS($1:42)),)="131",OFFSET(TH!M$1,SMALL(Dong14,ROWS($1:42)),),0))</f>
        <v>0</v>
      </c>
      <c r="J58" s="905">
        <f ca="1">IF(ROWS($1:42)&gt;COUNT(Dong14),0,IF(OFFSET(TH!O$1,SMALL(Dong14,ROWS($1:42)),)="131",OFFSET(TH!K$1,SMALL(Dong14,ROWS($1:42)),),0))</f>
        <v>0</v>
      </c>
      <c r="K58" s="904">
        <f ca="1">IF(ROWS($1:42)&gt;COUNT(Dong14),0,IF(OFFSET(TH!O$1,SMALL(Dong14,ROWS($1:42)),)="131",OFFSET(TH!M$1,SMALL(Dong14,ROWS($1:42)),),0))</f>
        <v>0</v>
      </c>
      <c r="L58" s="898">
        <f t="shared" ca="1" si="1"/>
        <v>0</v>
      </c>
      <c r="M58" s="897">
        <f t="shared" ca="1" si="2"/>
        <v>0</v>
      </c>
      <c r="N58" s="898">
        <f t="shared" ca="1" si="3"/>
        <v>0</v>
      </c>
      <c r="O58" s="897">
        <f t="shared" ca="1" si="4"/>
        <v>0</v>
      </c>
    </row>
    <row r="59" spans="1:15" s="5" customFormat="1" ht="16.5" customHeight="1">
      <c r="A59" s="223" t="str">
        <f t="shared" ca="1" si="0"/>
        <v/>
      </c>
      <c r="B59" s="227" t="str">
        <f ca="1">IF(ROWS($1:43)&gt;COUNT(Dong14),"",OFFSET(TH!D$1,SMALL(Dong14,ROWS($1:43)),))</f>
        <v/>
      </c>
      <c r="C59" s="223" t="str">
        <f ca="1">IF(ROWS($1:43)&gt;COUNT(Dong14),"",OFFSET(TH!E$1,SMALL(Dong14,ROWS($1:43)),))</f>
        <v/>
      </c>
      <c r="D59" s="906" t="str">
        <f ca="1">IF(ROWS($1:43)&gt;COUNT(Dong14),"",OFFSET(TH!F$1,SMALL(Dong14,ROWS($1:43)),))</f>
        <v/>
      </c>
      <c r="E59" s="904" t="str">
        <f ca="1">IF(ROWS($1:43)&gt;COUNT(Dong14),"",IF(OFFSET(TH!N$1,SMALL(Dong14,ROWS($1:43)),)="131",OFFSET(TH!O$1,SMALL(Dong14,ROWS($1:43)),),OFFSET(TH!N$1,SMALL(Dong14,ROWS($1:43)),)))</f>
        <v/>
      </c>
      <c r="F59" s="904">
        <f ca="1">IF(ROWS($1:43)&gt;COUNT(Dong14),0,OFFSET(TH!L$1,SMALL(Dong14,ROWS($1:43)),))</f>
        <v>0</v>
      </c>
      <c r="G59" s="904"/>
      <c r="H59" s="905">
        <f ca="1">IF(ROWS($1:43)&gt;COUNT(Dong14),0,IF(OFFSET(TH!N$1,SMALL(Dong14,ROWS($1:43)),)="131",OFFSET(TH!K$1,SMALL(Dong14,ROWS($1:43)),),0))</f>
        <v>0</v>
      </c>
      <c r="I59" s="904">
        <f ca="1">IF(ROWS($1:43)&gt;COUNT(Dong14),0,IF(OFFSET(TH!N$1,SMALL(Dong14,ROWS($1:43)),)="131",OFFSET(TH!M$1,SMALL(Dong14,ROWS($1:43)),),0))</f>
        <v>0</v>
      </c>
      <c r="J59" s="905">
        <f ca="1">IF(ROWS($1:43)&gt;COUNT(Dong14),0,IF(OFFSET(TH!O$1,SMALL(Dong14,ROWS($1:43)),)="131",OFFSET(TH!K$1,SMALL(Dong14,ROWS($1:43)),),0))</f>
        <v>0</v>
      </c>
      <c r="K59" s="904">
        <f ca="1">IF(ROWS($1:43)&gt;COUNT(Dong14),0,IF(OFFSET(TH!O$1,SMALL(Dong14,ROWS($1:43)),)="131",OFFSET(TH!M$1,SMALL(Dong14,ROWS($1:43)),),0))</f>
        <v>0</v>
      </c>
      <c r="L59" s="898">
        <f t="shared" ca="1" si="1"/>
        <v>0</v>
      </c>
      <c r="M59" s="897">
        <f t="shared" ca="1" si="2"/>
        <v>0</v>
      </c>
      <c r="N59" s="898">
        <f t="shared" ca="1" si="3"/>
        <v>0</v>
      </c>
      <c r="O59" s="897">
        <f t="shared" ca="1" si="4"/>
        <v>0</v>
      </c>
    </row>
    <row r="60" spans="1:15" s="5" customFormat="1" ht="16.5" customHeight="1">
      <c r="A60" s="223" t="str">
        <f t="shared" ca="1" si="0"/>
        <v/>
      </c>
      <c r="B60" s="227" t="str">
        <f ca="1">IF(ROWS($1:44)&gt;COUNT(Dong14),"",OFFSET(TH!D$1,SMALL(Dong14,ROWS($1:44)),))</f>
        <v/>
      </c>
      <c r="C60" s="223" t="str">
        <f ca="1">IF(ROWS($1:44)&gt;COUNT(Dong14),"",OFFSET(TH!E$1,SMALL(Dong14,ROWS($1:44)),))</f>
        <v/>
      </c>
      <c r="D60" s="906" t="str">
        <f ca="1">IF(ROWS($1:44)&gt;COUNT(Dong14),"",OFFSET(TH!F$1,SMALL(Dong14,ROWS($1:44)),))</f>
        <v/>
      </c>
      <c r="E60" s="904" t="str">
        <f ca="1">IF(ROWS($1:44)&gt;COUNT(Dong14),"",IF(OFFSET(TH!N$1,SMALL(Dong14,ROWS($1:44)),)="131",OFFSET(TH!O$1,SMALL(Dong14,ROWS($1:44)),),OFFSET(TH!N$1,SMALL(Dong14,ROWS($1:44)),)))</f>
        <v/>
      </c>
      <c r="F60" s="904">
        <f ca="1">IF(ROWS($1:44)&gt;COUNT(Dong14),0,OFFSET(TH!L$1,SMALL(Dong14,ROWS($1:44)),))</f>
        <v>0</v>
      </c>
      <c r="G60" s="904"/>
      <c r="H60" s="905">
        <f ca="1">IF(ROWS($1:44)&gt;COUNT(Dong14),0,IF(OFFSET(TH!N$1,SMALL(Dong14,ROWS($1:44)),)="131",OFFSET(TH!K$1,SMALL(Dong14,ROWS($1:44)),),0))</f>
        <v>0</v>
      </c>
      <c r="I60" s="904">
        <f ca="1">IF(ROWS($1:44)&gt;COUNT(Dong14),0,IF(OFFSET(TH!N$1,SMALL(Dong14,ROWS($1:44)),)="131",OFFSET(TH!M$1,SMALL(Dong14,ROWS($1:44)),),0))</f>
        <v>0</v>
      </c>
      <c r="J60" s="905">
        <f ca="1">IF(ROWS($1:44)&gt;COUNT(Dong14),0,IF(OFFSET(TH!O$1,SMALL(Dong14,ROWS($1:44)),)="131",OFFSET(TH!K$1,SMALL(Dong14,ROWS($1:44)),),0))</f>
        <v>0</v>
      </c>
      <c r="K60" s="904">
        <f ca="1">IF(ROWS($1:44)&gt;COUNT(Dong14),0,IF(OFFSET(TH!O$1,SMALL(Dong14,ROWS($1:44)),)="131",OFFSET(TH!M$1,SMALL(Dong14,ROWS($1:44)),),0))</f>
        <v>0</v>
      </c>
      <c r="L60" s="898">
        <f t="shared" ca="1" si="1"/>
        <v>0</v>
      </c>
      <c r="M60" s="897">
        <f t="shared" ca="1" si="2"/>
        <v>0</v>
      </c>
      <c r="N60" s="898">
        <f t="shared" ca="1" si="3"/>
        <v>0</v>
      </c>
      <c r="O60" s="897">
        <f t="shared" ca="1" si="4"/>
        <v>0</v>
      </c>
    </row>
    <row r="61" spans="1:15" s="5" customFormat="1" ht="16.5" customHeight="1">
      <c r="A61" s="223" t="str">
        <f t="shared" ca="1" si="0"/>
        <v/>
      </c>
      <c r="B61" s="227" t="str">
        <f ca="1">IF(ROWS($1:45)&gt;COUNT(Dong14),"",OFFSET(TH!D$1,SMALL(Dong14,ROWS($1:45)),))</f>
        <v/>
      </c>
      <c r="C61" s="223" t="str">
        <f ca="1">IF(ROWS($1:45)&gt;COUNT(Dong14),"",OFFSET(TH!E$1,SMALL(Dong14,ROWS($1:45)),))</f>
        <v/>
      </c>
      <c r="D61" s="906" t="str">
        <f ca="1">IF(ROWS($1:45)&gt;COUNT(Dong14),"",OFFSET(TH!F$1,SMALL(Dong14,ROWS($1:45)),))</f>
        <v/>
      </c>
      <c r="E61" s="904" t="str">
        <f ca="1">IF(ROWS($1:45)&gt;COUNT(Dong14),"",IF(OFFSET(TH!N$1,SMALL(Dong14,ROWS($1:45)),)="131",OFFSET(TH!O$1,SMALL(Dong14,ROWS($1:45)),),OFFSET(TH!N$1,SMALL(Dong14,ROWS($1:45)),)))</f>
        <v/>
      </c>
      <c r="F61" s="904">
        <f ca="1">IF(ROWS($1:45)&gt;COUNT(Dong14),0,OFFSET(TH!L$1,SMALL(Dong14,ROWS($1:45)),))</f>
        <v>0</v>
      </c>
      <c r="G61" s="904"/>
      <c r="H61" s="905">
        <f ca="1">IF(ROWS($1:45)&gt;COUNT(Dong14),0,IF(OFFSET(TH!N$1,SMALL(Dong14,ROWS($1:45)),)="131",OFFSET(TH!K$1,SMALL(Dong14,ROWS($1:45)),),0))</f>
        <v>0</v>
      </c>
      <c r="I61" s="904">
        <f ca="1">IF(ROWS($1:45)&gt;COUNT(Dong14),0,IF(OFFSET(TH!N$1,SMALL(Dong14,ROWS($1:45)),)="131",OFFSET(TH!M$1,SMALL(Dong14,ROWS($1:45)),),0))</f>
        <v>0</v>
      </c>
      <c r="J61" s="905">
        <f ca="1">IF(ROWS($1:45)&gt;COUNT(Dong14),0,IF(OFFSET(TH!O$1,SMALL(Dong14,ROWS($1:45)),)="131",OFFSET(TH!K$1,SMALL(Dong14,ROWS($1:45)),),0))</f>
        <v>0</v>
      </c>
      <c r="K61" s="904">
        <f ca="1">IF(ROWS($1:45)&gt;COUNT(Dong14),0,IF(OFFSET(TH!O$1,SMALL(Dong14,ROWS($1:45)),)="131",OFFSET(TH!M$1,SMALL(Dong14,ROWS($1:45)),),0))</f>
        <v>0</v>
      </c>
      <c r="L61" s="898">
        <f t="shared" ca="1" si="1"/>
        <v>0</v>
      </c>
      <c r="M61" s="897">
        <f t="shared" ca="1" si="2"/>
        <v>0</v>
      </c>
      <c r="N61" s="898">
        <f t="shared" ca="1" si="3"/>
        <v>0</v>
      </c>
      <c r="O61" s="897">
        <f t="shared" ca="1" si="4"/>
        <v>0</v>
      </c>
    </row>
    <row r="62" spans="1:15" s="5" customFormat="1" ht="16.5" customHeight="1">
      <c r="A62" s="223" t="str">
        <f t="shared" ca="1" si="0"/>
        <v/>
      </c>
      <c r="B62" s="227" t="str">
        <f ca="1">IF(ROWS($1:46)&gt;COUNT(Dong14),"",OFFSET(TH!D$1,SMALL(Dong14,ROWS($1:46)),))</f>
        <v/>
      </c>
      <c r="C62" s="223" t="str">
        <f ca="1">IF(ROWS($1:46)&gt;COUNT(Dong14),"",OFFSET(TH!E$1,SMALL(Dong14,ROWS($1:46)),))</f>
        <v/>
      </c>
      <c r="D62" s="906" t="str">
        <f ca="1">IF(ROWS($1:46)&gt;COUNT(Dong14),"",OFFSET(TH!F$1,SMALL(Dong14,ROWS($1:46)),))</f>
        <v/>
      </c>
      <c r="E62" s="904" t="str">
        <f ca="1">IF(ROWS($1:46)&gt;COUNT(Dong14),"",IF(OFFSET(TH!N$1,SMALL(Dong14,ROWS($1:46)),)="131",OFFSET(TH!O$1,SMALL(Dong14,ROWS($1:46)),),OFFSET(TH!N$1,SMALL(Dong14,ROWS($1:46)),)))</f>
        <v/>
      </c>
      <c r="F62" s="904">
        <f ca="1">IF(ROWS($1:46)&gt;COUNT(Dong14),0,OFFSET(TH!L$1,SMALL(Dong14,ROWS($1:46)),))</f>
        <v>0</v>
      </c>
      <c r="G62" s="904"/>
      <c r="H62" s="905">
        <f ca="1">IF(ROWS($1:46)&gt;COUNT(Dong14),0,IF(OFFSET(TH!N$1,SMALL(Dong14,ROWS($1:46)),)="131",OFFSET(TH!K$1,SMALL(Dong14,ROWS($1:46)),),0))</f>
        <v>0</v>
      </c>
      <c r="I62" s="904">
        <f ca="1">IF(ROWS($1:46)&gt;COUNT(Dong14),0,IF(OFFSET(TH!N$1,SMALL(Dong14,ROWS($1:46)),)="131",OFFSET(TH!M$1,SMALL(Dong14,ROWS($1:46)),),0))</f>
        <v>0</v>
      </c>
      <c r="J62" s="905">
        <f ca="1">IF(ROWS($1:46)&gt;COUNT(Dong14),0,IF(OFFSET(TH!O$1,SMALL(Dong14,ROWS($1:46)),)="131",OFFSET(TH!K$1,SMALL(Dong14,ROWS($1:46)),),0))</f>
        <v>0</v>
      </c>
      <c r="K62" s="904">
        <f ca="1">IF(ROWS($1:46)&gt;COUNT(Dong14),0,IF(OFFSET(TH!O$1,SMALL(Dong14,ROWS($1:46)),)="131",OFFSET(TH!M$1,SMALL(Dong14,ROWS($1:46)),),0))</f>
        <v>0</v>
      </c>
      <c r="L62" s="898">
        <f t="shared" ca="1" si="1"/>
        <v>0</v>
      </c>
      <c r="M62" s="897">
        <f t="shared" ca="1" si="2"/>
        <v>0</v>
      </c>
      <c r="N62" s="898">
        <f t="shared" ca="1" si="3"/>
        <v>0</v>
      </c>
      <c r="O62" s="897">
        <f t="shared" ca="1" si="4"/>
        <v>0</v>
      </c>
    </row>
    <row r="63" spans="1:15" s="5" customFormat="1" ht="16.5" customHeight="1">
      <c r="A63" s="223" t="str">
        <f t="shared" ca="1" si="0"/>
        <v/>
      </c>
      <c r="B63" s="227" t="str">
        <f ca="1">IF(ROWS($1:47)&gt;COUNT(Dong14),"",OFFSET(TH!D$1,SMALL(Dong14,ROWS($1:47)),))</f>
        <v/>
      </c>
      <c r="C63" s="223" t="str">
        <f ca="1">IF(ROWS($1:47)&gt;COUNT(Dong14),"",OFFSET(TH!E$1,SMALL(Dong14,ROWS($1:47)),))</f>
        <v/>
      </c>
      <c r="D63" s="906" t="str">
        <f ca="1">IF(ROWS($1:47)&gt;COUNT(Dong14),"",OFFSET(TH!F$1,SMALL(Dong14,ROWS($1:47)),))</f>
        <v/>
      </c>
      <c r="E63" s="904" t="str">
        <f ca="1">IF(ROWS($1:47)&gt;COUNT(Dong14),"",IF(OFFSET(TH!N$1,SMALL(Dong14,ROWS($1:47)),)="131",OFFSET(TH!O$1,SMALL(Dong14,ROWS($1:47)),),OFFSET(TH!N$1,SMALL(Dong14,ROWS($1:47)),)))</f>
        <v/>
      </c>
      <c r="F63" s="904">
        <f ca="1">IF(ROWS($1:47)&gt;COUNT(Dong14),0,OFFSET(TH!L$1,SMALL(Dong14,ROWS($1:47)),))</f>
        <v>0</v>
      </c>
      <c r="G63" s="904"/>
      <c r="H63" s="905">
        <f ca="1">IF(ROWS($1:47)&gt;COUNT(Dong14),0,IF(OFFSET(TH!N$1,SMALL(Dong14,ROWS($1:47)),)="131",OFFSET(TH!K$1,SMALL(Dong14,ROWS($1:47)),),0))</f>
        <v>0</v>
      </c>
      <c r="I63" s="904">
        <f ca="1">IF(ROWS($1:47)&gt;COUNT(Dong14),0,IF(OFFSET(TH!N$1,SMALL(Dong14,ROWS($1:47)),)="131",OFFSET(TH!M$1,SMALL(Dong14,ROWS($1:47)),),0))</f>
        <v>0</v>
      </c>
      <c r="J63" s="905">
        <f ca="1">IF(ROWS($1:47)&gt;COUNT(Dong14),0,IF(OFFSET(TH!O$1,SMALL(Dong14,ROWS($1:47)),)="131",OFFSET(TH!K$1,SMALL(Dong14,ROWS($1:47)),),0))</f>
        <v>0</v>
      </c>
      <c r="K63" s="904">
        <f ca="1">IF(ROWS($1:47)&gt;COUNT(Dong14),0,IF(OFFSET(TH!O$1,SMALL(Dong14,ROWS($1:47)),)="131",OFFSET(TH!M$1,SMALL(Dong14,ROWS($1:47)),),0))</f>
        <v>0</v>
      </c>
      <c r="L63" s="898">
        <f t="shared" ca="1" si="1"/>
        <v>0</v>
      </c>
      <c r="M63" s="897">
        <f t="shared" ca="1" si="2"/>
        <v>0</v>
      </c>
      <c r="N63" s="898">
        <f t="shared" ca="1" si="3"/>
        <v>0</v>
      </c>
      <c r="O63" s="897">
        <f t="shared" ca="1" si="4"/>
        <v>0</v>
      </c>
    </row>
    <row r="64" spans="1:15" s="5" customFormat="1" ht="16.5" customHeight="1">
      <c r="A64" s="223" t="str">
        <f t="shared" ca="1" si="0"/>
        <v/>
      </c>
      <c r="B64" s="227" t="str">
        <f ca="1">IF(ROWS($1:48)&gt;COUNT(Dong14),"",OFFSET(TH!D$1,SMALL(Dong14,ROWS($1:48)),))</f>
        <v/>
      </c>
      <c r="C64" s="223" t="str">
        <f ca="1">IF(ROWS($1:48)&gt;COUNT(Dong14),"",OFFSET(TH!E$1,SMALL(Dong14,ROWS($1:48)),))</f>
        <v/>
      </c>
      <c r="D64" s="906" t="str">
        <f ca="1">IF(ROWS($1:48)&gt;COUNT(Dong14),"",OFFSET(TH!F$1,SMALL(Dong14,ROWS($1:48)),))</f>
        <v/>
      </c>
      <c r="E64" s="904" t="str">
        <f ca="1">IF(ROWS($1:48)&gt;COUNT(Dong14),"",IF(OFFSET(TH!N$1,SMALL(Dong14,ROWS($1:48)),)="131",OFFSET(TH!O$1,SMALL(Dong14,ROWS($1:48)),),OFFSET(TH!N$1,SMALL(Dong14,ROWS($1:48)),)))</f>
        <v/>
      </c>
      <c r="F64" s="904">
        <f ca="1">IF(ROWS($1:48)&gt;COUNT(Dong14),0,OFFSET(TH!L$1,SMALL(Dong14,ROWS($1:48)),))</f>
        <v>0</v>
      </c>
      <c r="G64" s="904"/>
      <c r="H64" s="905">
        <f ca="1">IF(ROWS($1:48)&gt;COUNT(Dong14),0,IF(OFFSET(TH!N$1,SMALL(Dong14,ROWS($1:48)),)="131",OFFSET(TH!K$1,SMALL(Dong14,ROWS($1:48)),),0))</f>
        <v>0</v>
      </c>
      <c r="I64" s="904">
        <f ca="1">IF(ROWS($1:48)&gt;COUNT(Dong14),0,IF(OFFSET(TH!N$1,SMALL(Dong14,ROWS($1:48)),)="131",OFFSET(TH!M$1,SMALL(Dong14,ROWS($1:48)),),0))</f>
        <v>0</v>
      </c>
      <c r="J64" s="905">
        <f ca="1">IF(ROWS($1:48)&gt;COUNT(Dong14),0,IF(OFFSET(TH!O$1,SMALL(Dong14,ROWS($1:48)),)="131",OFFSET(TH!K$1,SMALL(Dong14,ROWS($1:48)),),0))</f>
        <v>0</v>
      </c>
      <c r="K64" s="904">
        <f ca="1">IF(ROWS($1:48)&gt;COUNT(Dong14),0,IF(OFFSET(TH!O$1,SMALL(Dong14,ROWS($1:48)),)="131",OFFSET(TH!M$1,SMALL(Dong14,ROWS($1:48)),),0))</f>
        <v>0</v>
      </c>
      <c r="L64" s="898">
        <f t="shared" ca="1" si="1"/>
        <v>0</v>
      </c>
      <c r="M64" s="897">
        <f t="shared" ca="1" si="2"/>
        <v>0</v>
      </c>
      <c r="N64" s="898">
        <f t="shared" ca="1" si="3"/>
        <v>0</v>
      </c>
      <c r="O64" s="897">
        <f t="shared" ca="1" si="4"/>
        <v>0</v>
      </c>
    </row>
    <row r="65" spans="1:15" s="5" customFormat="1" ht="16.5" customHeight="1">
      <c r="A65" s="223" t="str">
        <f t="shared" ca="1" si="0"/>
        <v/>
      </c>
      <c r="B65" s="227" t="str">
        <f ca="1">IF(ROWS($1:49)&gt;COUNT(Dong14),"",OFFSET(TH!D$1,SMALL(Dong14,ROWS($1:49)),))</f>
        <v/>
      </c>
      <c r="C65" s="223" t="str">
        <f ca="1">IF(ROWS($1:49)&gt;COUNT(Dong14),"",OFFSET(TH!E$1,SMALL(Dong14,ROWS($1:49)),))</f>
        <v/>
      </c>
      <c r="D65" s="906" t="str">
        <f ca="1">IF(ROWS($1:49)&gt;COUNT(Dong14),"",OFFSET(TH!F$1,SMALL(Dong14,ROWS($1:49)),))</f>
        <v/>
      </c>
      <c r="E65" s="904" t="str">
        <f ca="1">IF(ROWS($1:49)&gt;COUNT(Dong14),"",IF(OFFSET(TH!N$1,SMALL(Dong14,ROWS($1:49)),)="131",OFFSET(TH!O$1,SMALL(Dong14,ROWS($1:49)),),OFFSET(TH!N$1,SMALL(Dong14,ROWS($1:49)),)))</f>
        <v/>
      </c>
      <c r="F65" s="904">
        <f ca="1">IF(ROWS($1:49)&gt;COUNT(Dong14),0,OFFSET(TH!L$1,SMALL(Dong14,ROWS($1:49)),))</f>
        <v>0</v>
      </c>
      <c r="G65" s="904"/>
      <c r="H65" s="905">
        <f ca="1">IF(ROWS($1:49)&gt;COUNT(Dong14),0,IF(OFFSET(TH!N$1,SMALL(Dong14,ROWS($1:49)),)="131",OFFSET(TH!K$1,SMALL(Dong14,ROWS($1:49)),),0))</f>
        <v>0</v>
      </c>
      <c r="I65" s="904">
        <f ca="1">IF(ROWS($1:49)&gt;COUNT(Dong14),0,IF(OFFSET(TH!N$1,SMALL(Dong14,ROWS($1:49)),)="131",OFFSET(TH!M$1,SMALL(Dong14,ROWS($1:49)),),0))</f>
        <v>0</v>
      </c>
      <c r="J65" s="905">
        <f ca="1">IF(ROWS($1:49)&gt;COUNT(Dong14),0,IF(OFFSET(TH!O$1,SMALL(Dong14,ROWS($1:49)),)="131",OFFSET(TH!K$1,SMALL(Dong14,ROWS($1:49)),),0))</f>
        <v>0</v>
      </c>
      <c r="K65" s="904">
        <f ca="1">IF(ROWS($1:49)&gt;COUNT(Dong14),0,IF(OFFSET(TH!O$1,SMALL(Dong14,ROWS($1:49)),)="131",OFFSET(TH!M$1,SMALL(Dong14,ROWS($1:49)),),0))</f>
        <v>0</v>
      </c>
      <c r="L65" s="898">
        <f t="shared" ca="1" si="1"/>
        <v>0</v>
      </c>
      <c r="M65" s="897">
        <f t="shared" ca="1" si="2"/>
        <v>0</v>
      </c>
      <c r="N65" s="898">
        <f t="shared" ca="1" si="3"/>
        <v>0</v>
      </c>
      <c r="O65" s="897">
        <f t="shared" ca="1" si="4"/>
        <v>0</v>
      </c>
    </row>
    <row r="66" spans="1:15" s="5" customFormat="1" ht="16.5" customHeight="1">
      <c r="A66" s="223" t="str">
        <f t="shared" ca="1" si="0"/>
        <v/>
      </c>
      <c r="B66" s="227" t="str">
        <f ca="1">IF(ROWS($1:50)&gt;COUNT(Dong14),"",OFFSET(TH!D$1,SMALL(Dong14,ROWS($1:50)),))</f>
        <v/>
      </c>
      <c r="C66" s="223" t="str">
        <f ca="1">IF(ROWS($1:50)&gt;COUNT(Dong14),"",OFFSET(TH!E$1,SMALL(Dong14,ROWS($1:50)),))</f>
        <v/>
      </c>
      <c r="D66" s="906" t="str">
        <f ca="1">IF(ROWS($1:50)&gt;COUNT(Dong14),"",OFFSET(TH!F$1,SMALL(Dong14,ROWS($1:50)),))</f>
        <v/>
      </c>
      <c r="E66" s="904" t="str">
        <f ca="1">IF(ROWS($1:50)&gt;COUNT(Dong14),"",IF(OFFSET(TH!N$1,SMALL(Dong14,ROWS($1:50)),)="131",OFFSET(TH!O$1,SMALL(Dong14,ROWS($1:50)),),OFFSET(TH!N$1,SMALL(Dong14,ROWS($1:50)),)))</f>
        <v/>
      </c>
      <c r="F66" s="904">
        <f ca="1">IF(ROWS($1:50)&gt;COUNT(Dong14),0,OFFSET(TH!L$1,SMALL(Dong14,ROWS($1:50)),))</f>
        <v>0</v>
      </c>
      <c r="G66" s="904"/>
      <c r="H66" s="905">
        <f ca="1">IF(ROWS($1:50)&gt;COUNT(Dong14),0,IF(OFFSET(TH!N$1,SMALL(Dong14,ROWS($1:50)),)="131",OFFSET(TH!K$1,SMALL(Dong14,ROWS($1:50)),),0))</f>
        <v>0</v>
      </c>
      <c r="I66" s="904">
        <f ca="1">IF(ROWS($1:50)&gt;COUNT(Dong14),0,IF(OFFSET(TH!N$1,SMALL(Dong14,ROWS($1:50)),)="131",OFFSET(TH!M$1,SMALL(Dong14,ROWS($1:50)),),0))</f>
        <v>0</v>
      </c>
      <c r="J66" s="905">
        <f ca="1">IF(ROWS($1:50)&gt;COUNT(Dong14),0,IF(OFFSET(TH!O$1,SMALL(Dong14,ROWS($1:50)),)="131",OFFSET(TH!K$1,SMALL(Dong14,ROWS($1:50)),),0))</f>
        <v>0</v>
      </c>
      <c r="K66" s="904">
        <f ca="1">IF(ROWS($1:50)&gt;COUNT(Dong14),0,IF(OFFSET(TH!O$1,SMALL(Dong14,ROWS($1:50)),)="131",OFFSET(TH!M$1,SMALL(Dong14,ROWS($1:50)),),0))</f>
        <v>0</v>
      </c>
      <c r="L66" s="898">
        <f t="shared" ca="1" si="1"/>
        <v>0</v>
      </c>
      <c r="M66" s="897">
        <f t="shared" ca="1" si="2"/>
        <v>0</v>
      </c>
      <c r="N66" s="898">
        <f t="shared" ca="1" si="3"/>
        <v>0</v>
      </c>
      <c r="O66" s="897">
        <f t="shared" ca="1" si="4"/>
        <v>0</v>
      </c>
    </row>
    <row r="67" spans="1:15" s="5" customFormat="1" ht="16.5" customHeight="1">
      <c r="A67" s="223" t="str">
        <f t="shared" ca="1" si="0"/>
        <v/>
      </c>
      <c r="B67" s="227" t="str">
        <f ca="1">IF(ROWS($1:51)&gt;COUNT(Dong14),"",OFFSET(TH!D$1,SMALL(Dong14,ROWS($1:51)),))</f>
        <v/>
      </c>
      <c r="C67" s="223" t="str">
        <f ca="1">IF(ROWS($1:51)&gt;COUNT(Dong14),"",OFFSET(TH!E$1,SMALL(Dong14,ROWS($1:51)),))</f>
        <v/>
      </c>
      <c r="D67" s="906" t="str">
        <f ca="1">IF(ROWS($1:51)&gt;COUNT(Dong14),"",OFFSET(TH!F$1,SMALL(Dong14,ROWS($1:51)),))</f>
        <v/>
      </c>
      <c r="E67" s="904" t="str">
        <f ca="1">IF(ROWS($1:51)&gt;COUNT(Dong14),"",IF(OFFSET(TH!N$1,SMALL(Dong14,ROWS($1:51)),)="131",OFFSET(TH!O$1,SMALL(Dong14,ROWS($1:51)),),OFFSET(TH!N$1,SMALL(Dong14,ROWS($1:51)),)))</f>
        <v/>
      </c>
      <c r="F67" s="904">
        <f ca="1">IF(ROWS($1:51)&gt;COUNT(Dong14),0,OFFSET(TH!L$1,SMALL(Dong14,ROWS($1:51)),))</f>
        <v>0</v>
      </c>
      <c r="G67" s="904"/>
      <c r="H67" s="905">
        <f ca="1">IF(ROWS($1:51)&gt;COUNT(Dong14),0,IF(OFFSET(TH!N$1,SMALL(Dong14,ROWS($1:51)),)="131",OFFSET(TH!K$1,SMALL(Dong14,ROWS($1:51)),),0))</f>
        <v>0</v>
      </c>
      <c r="I67" s="904">
        <f ca="1">IF(ROWS($1:51)&gt;COUNT(Dong14),0,IF(OFFSET(TH!N$1,SMALL(Dong14,ROWS($1:51)),)="131",OFFSET(TH!M$1,SMALL(Dong14,ROWS($1:51)),),0))</f>
        <v>0</v>
      </c>
      <c r="J67" s="905">
        <f ca="1">IF(ROWS($1:51)&gt;COUNT(Dong14),0,IF(OFFSET(TH!O$1,SMALL(Dong14,ROWS($1:51)),)="131",OFFSET(TH!K$1,SMALL(Dong14,ROWS($1:51)),),0))</f>
        <v>0</v>
      </c>
      <c r="K67" s="904">
        <f ca="1">IF(ROWS($1:51)&gt;COUNT(Dong14),0,IF(OFFSET(TH!O$1,SMALL(Dong14,ROWS($1:51)),)="131",OFFSET(TH!M$1,SMALL(Dong14,ROWS($1:51)),),0))</f>
        <v>0</v>
      </c>
      <c r="L67" s="898">
        <f t="shared" ca="1" si="1"/>
        <v>0</v>
      </c>
      <c r="M67" s="897">
        <f t="shared" ca="1" si="2"/>
        <v>0</v>
      </c>
      <c r="N67" s="898">
        <f t="shared" ca="1" si="3"/>
        <v>0</v>
      </c>
      <c r="O67" s="897">
        <f t="shared" ca="1" si="4"/>
        <v>0</v>
      </c>
    </row>
    <row r="68" spans="1:15" s="5" customFormat="1" ht="16.5" customHeight="1">
      <c r="A68" s="223" t="str">
        <f t="shared" ca="1" si="0"/>
        <v/>
      </c>
      <c r="B68" s="227" t="str">
        <f ca="1">IF(ROWS($1:52)&gt;COUNT(Dong14),"",OFFSET(TH!D$1,SMALL(Dong14,ROWS($1:52)),))</f>
        <v/>
      </c>
      <c r="C68" s="223" t="str">
        <f ca="1">IF(ROWS($1:52)&gt;COUNT(Dong14),"",OFFSET(TH!E$1,SMALL(Dong14,ROWS($1:52)),))</f>
        <v/>
      </c>
      <c r="D68" s="906" t="str">
        <f ca="1">IF(ROWS($1:52)&gt;COUNT(Dong14),"",OFFSET(TH!F$1,SMALL(Dong14,ROWS($1:52)),))</f>
        <v/>
      </c>
      <c r="E68" s="904" t="str">
        <f ca="1">IF(ROWS($1:52)&gt;COUNT(Dong14),"",IF(OFFSET(TH!N$1,SMALL(Dong14,ROWS($1:52)),)="131",OFFSET(TH!O$1,SMALL(Dong14,ROWS($1:52)),),OFFSET(TH!N$1,SMALL(Dong14,ROWS($1:52)),)))</f>
        <v/>
      </c>
      <c r="F68" s="904">
        <f ca="1">IF(ROWS($1:52)&gt;COUNT(Dong14),0,OFFSET(TH!L$1,SMALL(Dong14,ROWS($1:52)),))</f>
        <v>0</v>
      </c>
      <c r="G68" s="904"/>
      <c r="H68" s="905">
        <f ca="1">IF(ROWS($1:52)&gt;COUNT(Dong14),0,IF(OFFSET(TH!N$1,SMALL(Dong14,ROWS($1:52)),)="131",OFFSET(TH!K$1,SMALL(Dong14,ROWS($1:52)),),0))</f>
        <v>0</v>
      </c>
      <c r="I68" s="904">
        <f ca="1">IF(ROWS($1:52)&gt;COUNT(Dong14),0,IF(OFFSET(TH!N$1,SMALL(Dong14,ROWS($1:52)),)="131",OFFSET(TH!M$1,SMALL(Dong14,ROWS($1:52)),),0))</f>
        <v>0</v>
      </c>
      <c r="J68" s="905">
        <f ca="1">IF(ROWS($1:52)&gt;COUNT(Dong14),0,IF(OFFSET(TH!O$1,SMALL(Dong14,ROWS($1:52)),)="131",OFFSET(TH!K$1,SMALL(Dong14,ROWS($1:52)),),0))</f>
        <v>0</v>
      </c>
      <c r="K68" s="904">
        <f ca="1">IF(ROWS($1:52)&gt;COUNT(Dong14),0,IF(OFFSET(TH!O$1,SMALL(Dong14,ROWS($1:52)),)="131",OFFSET(TH!M$1,SMALL(Dong14,ROWS($1:52)),),0))</f>
        <v>0</v>
      </c>
      <c r="L68" s="898">
        <f t="shared" ca="1" si="1"/>
        <v>0</v>
      </c>
      <c r="M68" s="897">
        <f t="shared" ca="1" si="2"/>
        <v>0</v>
      </c>
      <c r="N68" s="898">
        <f t="shared" ca="1" si="3"/>
        <v>0</v>
      </c>
      <c r="O68" s="897">
        <f t="shared" ca="1" si="4"/>
        <v>0</v>
      </c>
    </row>
    <row r="69" spans="1:15" s="5" customFormat="1" ht="16.5" customHeight="1">
      <c r="A69" s="223" t="str">
        <f t="shared" ca="1" si="0"/>
        <v/>
      </c>
      <c r="B69" s="227" t="str">
        <f ca="1">IF(ROWS($1:53)&gt;COUNT(Dong14),"",OFFSET(TH!D$1,SMALL(Dong14,ROWS($1:53)),))</f>
        <v/>
      </c>
      <c r="C69" s="223" t="str">
        <f ca="1">IF(ROWS($1:53)&gt;COUNT(Dong14),"",OFFSET(TH!E$1,SMALL(Dong14,ROWS($1:53)),))</f>
        <v/>
      </c>
      <c r="D69" s="906" t="str">
        <f ca="1">IF(ROWS($1:53)&gt;COUNT(Dong14),"",OFFSET(TH!F$1,SMALL(Dong14,ROWS($1:53)),))</f>
        <v/>
      </c>
      <c r="E69" s="904" t="str">
        <f ca="1">IF(ROWS($1:53)&gt;COUNT(Dong14),"",IF(OFFSET(TH!N$1,SMALL(Dong14,ROWS($1:53)),)="131",OFFSET(TH!O$1,SMALL(Dong14,ROWS($1:53)),),OFFSET(TH!N$1,SMALL(Dong14,ROWS($1:53)),)))</f>
        <v/>
      </c>
      <c r="F69" s="904">
        <f ca="1">IF(ROWS($1:53)&gt;COUNT(Dong14),0,OFFSET(TH!L$1,SMALL(Dong14,ROWS($1:53)),))</f>
        <v>0</v>
      </c>
      <c r="G69" s="904"/>
      <c r="H69" s="905">
        <f ca="1">IF(ROWS($1:53)&gt;COUNT(Dong14),0,IF(OFFSET(TH!N$1,SMALL(Dong14,ROWS($1:53)),)="131",OFFSET(TH!K$1,SMALL(Dong14,ROWS($1:53)),),0))</f>
        <v>0</v>
      </c>
      <c r="I69" s="904">
        <f ca="1">IF(ROWS($1:53)&gt;COUNT(Dong14),0,IF(OFFSET(TH!N$1,SMALL(Dong14,ROWS($1:53)),)="131",OFFSET(TH!M$1,SMALL(Dong14,ROWS($1:53)),),0))</f>
        <v>0</v>
      </c>
      <c r="J69" s="905">
        <f ca="1">IF(ROWS($1:53)&gt;COUNT(Dong14),0,IF(OFFSET(TH!O$1,SMALL(Dong14,ROWS($1:53)),)="131",OFFSET(TH!K$1,SMALL(Dong14,ROWS($1:53)),),0))</f>
        <v>0</v>
      </c>
      <c r="K69" s="904">
        <f ca="1">IF(ROWS($1:53)&gt;COUNT(Dong14),0,IF(OFFSET(TH!O$1,SMALL(Dong14,ROWS($1:53)),)="131",OFFSET(TH!M$1,SMALL(Dong14,ROWS($1:53)),),0))</f>
        <v>0</v>
      </c>
      <c r="L69" s="898">
        <f t="shared" ca="1" si="1"/>
        <v>0</v>
      </c>
      <c r="M69" s="897">
        <f t="shared" ca="1" si="2"/>
        <v>0</v>
      </c>
      <c r="N69" s="898">
        <f t="shared" ca="1" si="3"/>
        <v>0</v>
      </c>
      <c r="O69" s="897">
        <f t="shared" ca="1" si="4"/>
        <v>0</v>
      </c>
    </row>
    <row r="70" spans="1:15" s="5" customFormat="1" ht="16.5" customHeight="1">
      <c r="A70" s="223" t="str">
        <f t="shared" ca="1" si="0"/>
        <v/>
      </c>
      <c r="B70" s="227" t="str">
        <f ca="1">IF(ROWS($1:54)&gt;COUNT(Dong14),"",OFFSET(TH!D$1,SMALL(Dong14,ROWS($1:54)),))</f>
        <v/>
      </c>
      <c r="C70" s="223" t="str">
        <f ca="1">IF(ROWS($1:54)&gt;COUNT(Dong14),"",OFFSET(TH!E$1,SMALL(Dong14,ROWS($1:54)),))</f>
        <v/>
      </c>
      <c r="D70" s="906" t="str">
        <f ca="1">IF(ROWS($1:54)&gt;COUNT(Dong14),"",OFFSET(TH!F$1,SMALL(Dong14,ROWS($1:54)),))</f>
        <v/>
      </c>
      <c r="E70" s="904" t="str">
        <f ca="1">IF(ROWS($1:54)&gt;COUNT(Dong14),"",IF(OFFSET(TH!N$1,SMALL(Dong14,ROWS($1:54)),)="131",OFFSET(TH!O$1,SMALL(Dong14,ROWS($1:54)),),OFFSET(TH!N$1,SMALL(Dong14,ROWS($1:54)),)))</f>
        <v/>
      </c>
      <c r="F70" s="904">
        <f ca="1">IF(ROWS($1:54)&gt;COUNT(Dong14),0,OFFSET(TH!L$1,SMALL(Dong14,ROWS($1:54)),))</f>
        <v>0</v>
      </c>
      <c r="G70" s="904"/>
      <c r="H70" s="905">
        <f ca="1">IF(ROWS($1:54)&gt;COUNT(Dong14),0,IF(OFFSET(TH!N$1,SMALL(Dong14,ROWS($1:54)),)="131",OFFSET(TH!K$1,SMALL(Dong14,ROWS($1:54)),),0))</f>
        <v>0</v>
      </c>
      <c r="I70" s="904">
        <f ca="1">IF(ROWS($1:54)&gt;COUNT(Dong14),0,IF(OFFSET(TH!N$1,SMALL(Dong14,ROWS($1:54)),)="131",OFFSET(TH!M$1,SMALL(Dong14,ROWS($1:54)),),0))</f>
        <v>0</v>
      </c>
      <c r="J70" s="905">
        <f ca="1">IF(ROWS($1:54)&gt;COUNT(Dong14),0,IF(OFFSET(TH!O$1,SMALL(Dong14,ROWS($1:54)),)="131",OFFSET(TH!K$1,SMALL(Dong14,ROWS($1:54)),),0))</f>
        <v>0</v>
      </c>
      <c r="K70" s="904">
        <f ca="1">IF(ROWS($1:54)&gt;COUNT(Dong14),0,IF(OFFSET(TH!O$1,SMALL(Dong14,ROWS($1:54)),)="131",OFFSET(TH!M$1,SMALL(Dong14,ROWS($1:54)),),0))</f>
        <v>0</v>
      </c>
      <c r="L70" s="898">
        <f t="shared" ca="1" si="1"/>
        <v>0</v>
      </c>
      <c r="M70" s="897">
        <f t="shared" ca="1" si="2"/>
        <v>0</v>
      </c>
      <c r="N70" s="898">
        <f t="shared" ca="1" si="3"/>
        <v>0</v>
      </c>
      <c r="O70" s="897">
        <f t="shared" ca="1" si="4"/>
        <v>0</v>
      </c>
    </row>
    <row r="71" spans="1:15" s="5" customFormat="1" ht="16.5" customHeight="1">
      <c r="A71" s="223" t="str">
        <f t="shared" ca="1" si="0"/>
        <v/>
      </c>
      <c r="B71" s="227" t="str">
        <f ca="1">IF(ROWS($1:55)&gt;COUNT(Dong14),"",OFFSET(TH!D$1,SMALL(Dong14,ROWS($1:55)),))</f>
        <v/>
      </c>
      <c r="C71" s="223" t="str">
        <f ca="1">IF(ROWS($1:55)&gt;COUNT(Dong14),"",OFFSET(TH!E$1,SMALL(Dong14,ROWS($1:55)),))</f>
        <v/>
      </c>
      <c r="D71" s="906" t="str">
        <f ca="1">IF(ROWS($1:55)&gt;COUNT(Dong14),"",OFFSET(TH!F$1,SMALL(Dong14,ROWS($1:55)),))</f>
        <v/>
      </c>
      <c r="E71" s="904" t="str">
        <f ca="1">IF(ROWS($1:55)&gt;COUNT(Dong14),"",IF(OFFSET(TH!N$1,SMALL(Dong14,ROWS($1:55)),)="131",OFFSET(TH!O$1,SMALL(Dong14,ROWS($1:55)),),OFFSET(TH!N$1,SMALL(Dong14,ROWS($1:55)),)))</f>
        <v/>
      </c>
      <c r="F71" s="904">
        <f ca="1">IF(ROWS($1:55)&gt;COUNT(Dong14),0,OFFSET(TH!L$1,SMALL(Dong14,ROWS($1:55)),))</f>
        <v>0</v>
      </c>
      <c r="G71" s="904"/>
      <c r="H71" s="905">
        <f ca="1">IF(ROWS($1:55)&gt;COUNT(Dong14),0,IF(OFFSET(TH!N$1,SMALL(Dong14,ROWS($1:55)),)="131",OFFSET(TH!K$1,SMALL(Dong14,ROWS($1:55)),),0))</f>
        <v>0</v>
      </c>
      <c r="I71" s="904">
        <f ca="1">IF(ROWS($1:55)&gt;COUNT(Dong14),0,IF(OFFSET(TH!N$1,SMALL(Dong14,ROWS($1:55)),)="131",OFFSET(TH!M$1,SMALL(Dong14,ROWS($1:55)),),0))</f>
        <v>0</v>
      </c>
      <c r="J71" s="905">
        <f ca="1">IF(ROWS($1:55)&gt;COUNT(Dong14),0,IF(OFFSET(TH!O$1,SMALL(Dong14,ROWS($1:55)),)="131",OFFSET(TH!K$1,SMALL(Dong14,ROWS($1:55)),),0))</f>
        <v>0</v>
      </c>
      <c r="K71" s="904">
        <f ca="1">IF(ROWS($1:55)&gt;COUNT(Dong14),0,IF(OFFSET(TH!O$1,SMALL(Dong14,ROWS($1:55)),)="131",OFFSET(TH!M$1,SMALL(Dong14,ROWS($1:55)),),0))</f>
        <v>0</v>
      </c>
      <c r="L71" s="898">
        <f t="shared" ca="1" si="1"/>
        <v>0</v>
      </c>
      <c r="M71" s="897">
        <f t="shared" ca="1" si="2"/>
        <v>0</v>
      </c>
      <c r="N71" s="898">
        <f t="shared" ca="1" si="3"/>
        <v>0</v>
      </c>
      <c r="O71" s="897">
        <f t="shared" ca="1" si="4"/>
        <v>0</v>
      </c>
    </row>
    <row r="72" spans="1:15" s="5" customFormat="1" ht="16.5" customHeight="1">
      <c r="A72" s="223" t="str">
        <f t="shared" ca="1" si="0"/>
        <v/>
      </c>
      <c r="B72" s="227" t="str">
        <f ca="1">IF(ROWS($1:56)&gt;COUNT(Dong14),"",OFFSET(TH!D$1,SMALL(Dong14,ROWS($1:56)),))</f>
        <v/>
      </c>
      <c r="C72" s="223" t="str">
        <f ca="1">IF(ROWS($1:56)&gt;COUNT(Dong14),"",OFFSET(TH!E$1,SMALL(Dong14,ROWS($1:56)),))</f>
        <v/>
      </c>
      <c r="D72" s="906" t="str">
        <f ca="1">IF(ROWS($1:56)&gt;COUNT(Dong14),"",OFFSET(TH!F$1,SMALL(Dong14,ROWS($1:56)),))</f>
        <v/>
      </c>
      <c r="E72" s="904" t="str">
        <f ca="1">IF(ROWS($1:56)&gt;COUNT(Dong14),"",IF(OFFSET(TH!N$1,SMALL(Dong14,ROWS($1:56)),)="131",OFFSET(TH!O$1,SMALL(Dong14,ROWS($1:56)),),OFFSET(TH!N$1,SMALL(Dong14,ROWS($1:56)),)))</f>
        <v/>
      </c>
      <c r="F72" s="904">
        <f ca="1">IF(ROWS($1:56)&gt;COUNT(Dong14),0,OFFSET(TH!L$1,SMALL(Dong14,ROWS($1:56)),))</f>
        <v>0</v>
      </c>
      <c r="G72" s="904"/>
      <c r="H72" s="905">
        <f ca="1">IF(ROWS($1:56)&gt;COUNT(Dong14),0,IF(OFFSET(TH!N$1,SMALL(Dong14,ROWS($1:56)),)="131",OFFSET(TH!K$1,SMALL(Dong14,ROWS($1:56)),),0))</f>
        <v>0</v>
      </c>
      <c r="I72" s="904">
        <f ca="1">IF(ROWS($1:56)&gt;COUNT(Dong14),0,IF(OFFSET(TH!N$1,SMALL(Dong14,ROWS($1:56)),)="131",OFFSET(TH!M$1,SMALL(Dong14,ROWS($1:56)),),0))</f>
        <v>0</v>
      </c>
      <c r="J72" s="905">
        <f ca="1">IF(ROWS($1:56)&gt;COUNT(Dong14),0,IF(OFFSET(TH!O$1,SMALL(Dong14,ROWS($1:56)),)="131",OFFSET(TH!K$1,SMALL(Dong14,ROWS($1:56)),),0))</f>
        <v>0</v>
      </c>
      <c r="K72" s="904">
        <f ca="1">IF(ROWS($1:56)&gt;COUNT(Dong14),0,IF(OFFSET(TH!O$1,SMALL(Dong14,ROWS($1:56)),)="131",OFFSET(TH!M$1,SMALL(Dong14,ROWS($1:56)),),0))</f>
        <v>0</v>
      </c>
      <c r="L72" s="898">
        <f t="shared" ca="1" si="1"/>
        <v>0</v>
      </c>
      <c r="M72" s="897">
        <f t="shared" ca="1" si="2"/>
        <v>0</v>
      </c>
      <c r="N72" s="898">
        <f t="shared" ca="1" si="3"/>
        <v>0</v>
      </c>
      <c r="O72" s="897">
        <f t="shared" ca="1" si="4"/>
        <v>0</v>
      </c>
    </row>
    <row r="73" spans="1:15" s="5" customFormat="1" ht="16.5" customHeight="1">
      <c r="A73" s="223" t="str">
        <f t="shared" ca="1" si="0"/>
        <v/>
      </c>
      <c r="B73" s="227" t="str">
        <f ca="1">IF(ROWS($1:57)&gt;COUNT(Dong14),"",OFFSET(TH!D$1,SMALL(Dong14,ROWS($1:57)),))</f>
        <v/>
      </c>
      <c r="C73" s="223" t="str">
        <f ca="1">IF(ROWS($1:57)&gt;COUNT(Dong14),"",OFFSET(TH!E$1,SMALL(Dong14,ROWS($1:57)),))</f>
        <v/>
      </c>
      <c r="D73" s="906" t="str">
        <f ca="1">IF(ROWS($1:57)&gt;COUNT(Dong14),"",OFFSET(TH!F$1,SMALL(Dong14,ROWS($1:57)),))</f>
        <v/>
      </c>
      <c r="E73" s="904" t="str">
        <f ca="1">IF(ROWS($1:57)&gt;COUNT(Dong14),"",IF(OFFSET(TH!N$1,SMALL(Dong14,ROWS($1:57)),)="131",OFFSET(TH!O$1,SMALL(Dong14,ROWS($1:57)),),OFFSET(TH!N$1,SMALL(Dong14,ROWS($1:57)),)))</f>
        <v/>
      </c>
      <c r="F73" s="904">
        <f ca="1">IF(ROWS($1:57)&gt;COUNT(Dong14),0,OFFSET(TH!L$1,SMALL(Dong14,ROWS($1:57)),))</f>
        <v>0</v>
      </c>
      <c r="G73" s="904"/>
      <c r="H73" s="905">
        <f ca="1">IF(ROWS($1:57)&gt;COUNT(Dong14),0,IF(OFFSET(TH!N$1,SMALL(Dong14,ROWS($1:57)),)="131",OFFSET(TH!K$1,SMALL(Dong14,ROWS($1:57)),),0))</f>
        <v>0</v>
      </c>
      <c r="I73" s="904">
        <f ca="1">IF(ROWS($1:57)&gt;COUNT(Dong14),0,IF(OFFSET(TH!N$1,SMALL(Dong14,ROWS($1:57)),)="131",OFFSET(TH!M$1,SMALL(Dong14,ROWS($1:57)),),0))</f>
        <v>0</v>
      </c>
      <c r="J73" s="905">
        <f ca="1">IF(ROWS($1:57)&gt;COUNT(Dong14),0,IF(OFFSET(TH!O$1,SMALL(Dong14,ROWS($1:57)),)="131",OFFSET(TH!K$1,SMALL(Dong14,ROWS($1:57)),),0))</f>
        <v>0</v>
      </c>
      <c r="K73" s="904">
        <f ca="1">IF(ROWS($1:57)&gt;COUNT(Dong14),0,IF(OFFSET(TH!O$1,SMALL(Dong14,ROWS($1:57)),)="131",OFFSET(TH!M$1,SMALL(Dong14,ROWS($1:57)),),0))</f>
        <v>0</v>
      </c>
      <c r="L73" s="898">
        <f t="shared" ca="1" si="1"/>
        <v>0</v>
      </c>
      <c r="M73" s="897">
        <f t="shared" ca="1" si="2"/>
        <v>0</v>
      </c>
      <c r="N73" s="898">
        <f t="shared" ca="1" si="3"/>
        <v>0</v>
      </c>
      <c r="O73" s="897">
        <f t="shared" ca="1" si="4"/>
        <v>0</v>
      </c>
    </row>
    <row r="74" spans="1:15" s="5" customFormat="1" ht="16.5" customHeight="1">
      <c r="A74" s="223" t="str">
        <f t="shared" ca="1" si="0"/>
        <v/>
      </c>
      <c r="B74" s="227" t="str">
        <f ca="1">IF(ROWS($1:58)&gt;COUNT(Dong14),"",OFFSET(TH!D$1,SMALL(Dong14,ROWS($1:58)),))</f>
        <v/>
      </c>
      <c r="C74" s="223" t="str">
        <f ca="1">IF(ROWS($1:58)&gt;COUNT(Dong14),"",OFFSET(TH!E$1,SMALL(Dong14,ROWS($1:58)),))</f>
        <v/>
      </c>
      <c r="D74" s="906" t="str">
        <f ca="1">IF(ROWS($1:58)&gt;COUNT(Dong14),"",OFFSET(TH!F$1,SMALL(Dong14,ROWS($1:58)),))</f>
        <v/>
      </c>
      <c r="E74" s="904" t="str">
        <f ca="1">IF(ROWS($1:58)&gt;COUNT(Dong14),"",IF(OFFSET(TH!N$1,SMALL(Dong14,ROWS($1:58)),)="131",OFFSET(TH!O$1,SMALL(Dong14,ROWS($1:58)),),OFFSET(TH!N$1,SMALL(Dong14,ROWS($1:58)),)))</f>
        <v/>
      </c>
      <c r="F74" s="904">
        <f ca="1">IF(ROWS($1:58)&gt;COUNT(Dong14),0,OFFSET(TH!L$1,SMALL(Dong14,ROWS($1:58)),))</f>
        <v>0</v>
      </c>
      <c r="G74" s="904"/>
      <c r="H74" s="905">
        <f ca="1">IF(ROWS($1:58)&gt;COUNT(Dong14),0,IF(OFFSET(TH!N$1,SMALL(Dong14,ROWS($1:58)),)="131",OFFSET(TH!K$1,SMALL(Dong14,ROWS($1:58)),),0))</f>
        <v>0</v>
      </c>
      <c r="I74" s="904">
        <f ca="1">IF(ROWS($1:58)&gt;COUNT(Dong14),0,IF(OFFSET(TH!N$1,SMALL(Dong14,ROWS($1:58)),)="131",OFFSET(TH!M$1,SMALL(Dong14,ROWS($1:58)),),0))</f>
        <v>0</v>
      </c>
      <c r="J74" s="905">
        <f ca="1">IF(ROWS($1:58)&gt;COUNT(Dong14),0,IF(OFFSET(TH!O$1,SMALL(Dong14,ROWS($1:58)),)="131",OFFSET(TH!K$1,SMALL(Dong14,ROWS($1:58)),),0))</f>
        <v>0</v>
      </c>
      <c r="K74" s="904">
        <f ca="1">IF(ROWS($1:58)&gt;COUNT(Dong14),0,IF(OFFSET(TH!O$1,SMALL(Dong14,ROWS($1:58)),)="131",OFFSET(TH!M$1,SMALL(Dong14,ROWS($1:58)),),0))</f>
        <v>0</v>
      </c>
      <c r="L74" s="898">
        <f t="shared" ca="1" si="1"/>
        <v>0</v>
      </c>
      <c r="M74" s="897">
        <f t="shared" ca="1" si="2"/>
        <v>0</v>
      </c>
      <c r="N74" s="898">
        <f t="shared" ca="1" si="3"/>
        <v>0</v>
      </c>
      <c r="O74" s="897">
        <f t="shared" ca="1" si="4"/>
        <v>0</v>
      </c>
    </row>
    <row r="75" spans="1:15" s="5" customFormat="1" ht="16.5" customHeight="1">
      <c r="A75" s="223" t="str">
        <f t="shared" ca="1" si="0"/>
        <v/>
      </c>
      <c r="B75" s="227" t="str">
        <f ca="1">IF(ROWS($1:59)&gt;COUNT(Dong14),"",OFFSET(TH!D$1,SMALL(Dong14,ROWS($1:59)),))</f>
        <v/>
      </c>
      <c r="C75" s="223" t="str">
        <f ca="1">IF(ROWS($1:59)&gt;COUNT(Dong14),"",OFFSET(TH!E$1,SMALL(Dong14,ROWS($1:59)),))</f>
        <v/>
      </c>
      <c r="D75" s="906" t="str">
        <f ca="1">IF(ROWS($1:59)&gt;COUNT(Dong14),"",OFFSET(TH!F$1,SMALL(Dong14,ROWS($1:59)),))</f>
        <v/>
      </c>
      <c r="E75" s="904" t="str">
        <f ca="1">IF(ROWS($1:59)&gt;COUNT(Dong14),"",IF(OFFSET(TH!N$1,SMALL(Dong14,ROWS($1:59)),)="131",OFFSET(TH!O$1,SMALL(Dong14,ROWS($1:59)),),OFFSET(TH!N$1,SMALL(Dong14,ROWS($1:59)),)))</f>
        <v/>
      </c>
      <c r="F75" s="904">
        <f ca="1">IF(ROWS($1:59)&gt;COUNT(Dong14),0,OFFSET(TH!L$1,SMALL(Dong14,ROWS($1:59)),))</f>
        <v>0</v>
      </c>
      <c r="G75" s="904"/>
      <c r="H75" s="905">
        <f ca="1">IF(ROWS($1:59)&gt;COUNT(Dong14),0,IF(OFFSET(TH!N$1,SMALL(Dong14,ROWS($1:59)),)="131",OFFSET(TH!K$1,SMALL(Dong14,ROWS($1:59)),),0))</f>
        <v>0</v>
      </c>
      <c r="I75" s="904">
        <f ca="1">IF(ROWS($1:59)&gt;COUNT(Dong14),0,IF(OFFSET(TH!N$1,SMALL(Dong14,ROWS($1:59)),)="131",OFFSET(TH!M$1,SMALL(Dong14,ROWS($1:59)),),0))</f>
        <v>0</v>
      </c>
      <c r="J75" s="905">
        <f ca="1">IF(ROWS($1:59)&gt;COUNT(Dong14),0,IF(OFFSET(TH!O$1,SMALL(Dong14,ROWS($1:59)),)="131",OFFSET(TH!K$1,SMALL(Dong14,ROWS($1:59)),),0))</f>
        <v>0</v>
      </c>
      <c r="K75" s="904">
        <f ca="1">IF(ROWS($1:59)&gt;COUNT(Dong14),0,IF(OFFSET(TH!O$1,SMALL(Dong14,ROWS($1:59)),)="131",OFFSET(TH!M$1,SMALL(Dong14,ROWS($1:59)),),0))</f>
        <v>0</v>
      </c>
      <c r="L75" s="898">
        <f t="shared" ca="1" si="1"/>
        <v>0</v>
      </c>
      <c r="M75" s="897">
        <f t="shared" ca="1" si="2"/>
        <v>0</v>
      </c>
      <c r="N75" s="898">
        <f t="shared" ca="1" si="3"/>
        <v>0</v>
      </c>
      <c r="O75" s="897">
        <f t="shared" ca="1" si="4"/>
        <v>0</v>
      </c>
    </row>
    <row r="76" spans="1:15" s="5" customFormat="1" ht="16.5" customHeight="1">
      <c r="A76" s="223" t="str">
        <f t="shared" ca="1" si="0"/>
        <v/>
      </c>
      <c r="B76" s="227" t="str">
        <f ca="1">IF(ROWS($1:60)&gt;COUNT(Dong14),"",OFFSET(TH!D$1,SMALL(Dong14,ROWS($1:60)),))</f>
        <v/>
      </c>
      <c r="C76" s="223" t="str">
        <f ca="1">IF(ROWS($1:60)&gt;COUNT(Dong14),"",OFFSET(TH!E$1,SMALL(Dong14,ROWS($1:60)),))</f>
        <v/>
      </c>
      <c r="D76" s="906" t="str">
        <f ca="1">IF(ROWS($1:60)&gt;COUNT(Dong14),"",OFFSET(TH!F$1,SMALL(Dong14,ROWS($1:60)),))</f>
        <v/>
      </c>
      <c r="E76" s="904" t="str">
        <f ca="1">IF(ROWS($1:60)&gt;COUNT(Dong14),"",IF(OFFSET(TH!N$1,SMALL(Dong14,ROWS($1:60)),)="131",OFFSET(TH!O$1,SMALL(Dong14,ROWS($1:60)),),OFFSET(TH!N$1,SMALL(Dong14,ROWS($1:60)),)))</f>
        <v/>
      </c>
      <c r="F76" s="904">
        <f ca="1">IF(ROWS($1:60)&gt;COUNT(Dong14),0,OFFSET(TH!L$1,SMALL(Dong14,ROWS($1:60)),))</f>
        <v>0</v>
      </c>
      <c r="G76" s="904"/>
      <c r="H76" s="905">
        <f ca="1">IF(ROWS($1:60)&gt;COUNT(Dong14),0,IF(OFFSET(TH!N$1,SMALL(Dong14,ROWS($1:60)),)="131",OFFSET(TH!K$1,SMALL(Dong14,ROWS($1:60)),),0))</f>
        <v>0</v>
      </c>
      <c r="I76" s="904">
        <f ca="1">IF(ROWS($1:60)&gt;COUNT(Dong14),0,IF(OFFSET(TH!N$1,SMALL(Dong14,ROWS($1:60)),)="131",OFFSET(TH!M$1,SMALL(Dong14,ROWS($1:60)),),0))</f>
        <v>0</v>
      </c>
      <c r="J76" s="905">
        <f ca="1">IF(ROWS($1:60)&gt;COUNT(Dong14),0,IF(OFFSET(TH!O$1,SMALL(Dong14,ROWS($1:60)),)="131",OFFSET(TH!K$1,SMALL(Dong14,ROWS($1:60)),),0))</f>
        <v>0</v>
      </c>
      <c r="K76" s="904">
        <f ca="1">IF(ROWS($1:60)&gt;COUNT(Dong14),0,IF(OFFSET(TH!O$1,SMALL(Dong14,ROWS($1:60)),)="131",OFFSET(TH!M$1,SMALL(Dong14,ROWS($1:60)),),0))</f>
        <v>0</v>
      </c>
      <c r="L76" s="898">
        <f t="shared" ca="1" si="1"/>
        <v>0</v>
      </c>
      <c r="M76" s="897">
        <f t="shared" ca="1" si="2"/>
        <v>0</v>
      </c>
      <c r="N76" s="898">
        <f t="shared" ca="1" si="3"/>
        <v>0</v>
      </c>
      <c r="O76" s="897">
        <f t="shared" ca="1" si="4"/>
        <v>0</v>
      </c>
    </row>
    <row r="77" spans="1:15" s="5" customFormat="1" ht="16.5" customHeight="1">
      <c r="A77" s="223" t="str">
        <f t="shared" ca="1" si="0"/>
        <v/>
      </c>
      <c r="B77" s="227" t="str">
        <f ca="1">IF(ROWS($1:61)&gt;COUNT(Dong14),"",OFFSET(TH!D$1,SMALL(Dong14,ROWS($1:61)),))</f>
        <v/>
      </c>
      <c r="C77" s="223" t="str">
        <f ca="1">IF(ROWS($1:61)&gt;COUNT(Dong14),"",OFFSET(TH!E$1,SMALL(Dong14,ROWS($1:61)),))</f>
        <v/>
      </c>
      <c r="D77" s="906" t="str">
        <f ca="1">IF(ROWS($1:61)&gt;COUNT(Dong14),"",OFFSET(TH!F$1,SMALL(Dong14,ROWS($1:61)),))</f>
        <v/>
      </c>
      <c r="E77" s="904" t="str">
        <f ca="1">IF(ROWS($1:61)&gt;COUNT(Dong14),"",IF(OFFSET(TH!N$1,SMALL(Dong14,ROWS($1:61)),)="131",OFFSET(TH!O$1,SMALL(Dong14,ROWS($1:61)),),OFFSET(TH!N$1,SMALL(Dong14,ROWS($1:61)),)))</f>
        <v/>
      </c>
      <c r="F77" s="904">
        <f ca="1">IF(ROWS($1:61)&gt;COUNT(Dong14),0,OFFSET(TH!L$1,SMALL(Dong14,ROWS($1:61)),))</f>
        <v>0</v>
      </c>
      <c r="G77" s="904"/>
      <c r="H77" s="905">
        <f ca="1">IF(ROWS($1:61)&gt;COUNT(Dong14),0,IF(OFFSET(TH!N$1,SMALL(Dong14,ROWS($1:61)),)="131",OFFSET(TH!K$1,SMALL(Dong14,ROWS($1:61)),),0))</f>
        <v>0</v>
      </c>
      <c r="I77" s="904">
        <f ca="1">IF(ROWS($1:61)&gt;COUNT(Dong14),0,IF(OFFSET(TH!N$1,SMALL(Dong14,ROWS($1:61)),)="131",OFFSET(TH!M$1,SMALL(Dong14,ROWS($1:61)),),0))</f>
        <v>0</v>
      </c>
      <c r="J77" s="905">
        <f ca="1">IF(ROWS($1:61)&gt;COUNT(Dong14),0,IF(OFFSET(TH!O$1,SMALL(Dong14,ROWS($1:61)),)="131",OFFSET(TH!K$1,SMALL(Dong14,ROWS($1:61)),),0))</f>
        <v>0</v>
      </c>
      <c r="K77" s="904">
        <f ca="1">IF(ROWS($1:61)&gt;COUNT(Dong14),0,IF(OFFSET(TH!O$1,SMALL(Dong14,ROWS($1:61)),)="131",OFFSET(TH!M$1,SMALL(Dong14,ROWS($1:61)),),0))</f>
        <v>0</v>
      </c>
      <c r="L77" s="898">
        <f t="shared" ca="1" si="1"/>
        <v>0</v>
      </c>
      <c r="M77" s="897">
        <f t="shared" ca="1" si="2"/>
        <v>0</v>
      </c>
      <c r="N77" s="898">
        <f t="shared" ca="1" si="3"/>
        <v>0</v>
      </c>
      <c r="O77" s="897">
        <f t="shared" ca="1" si="4"/>
        <v>0</v>
      </c>
    </row>
    <row r="78" spans="1:15" s="5" customFormat="1" ht="16.5" customHeight="1">
      <c r="A78" s="223" t="str">
        <f t="shared" ca="1" si="0"/>
        <v/>
      </c>
      <c r="B78" s="227" t="str">
        <f ca="1">IF(ROWS($1:62)&gt;COUNT(Dong14),"",OFFSET(TH!D$1,SMALL(Dong14,ROWS($1:62)),))</f>
        <v/>
      </c>
      <c r="C78" s="223" t="str">
        <f ca="1">IF(ROWS($1:62)&gt;COUNT(Dong14),"",OFFSET(TH!E$1,SMALL(Dong14,ROWS($1:62)),))</f>
        <v/>
      </c>
      <c r="D78" s="906" t="str">
        <f ca="1">IF(ROWS($1:62)&gt;COUNT(Dong14),"",OFFSET(TH!F$1,SMALL(Dong14,ROWS($1:62)),))</f>
        <v/>
      </c>
      <c r="E78" s="904" t="str">
        <f ca="1">IF(ROWS($1:62)&gt;COUNT(Dong14),"",IF(OFFSET(TH!N$1,SMALL(Dong14,ROWS($1:62)),)="131",OFFSET(TH!O$1,SMALL(Dong14,ROWS($1:62)),),OFFSET(TH!N$1,SMALL(Dong14,ROWS($1:62)),)))</f>
        <v/>
      </c>
      <c r="F78" s="904">
        <f ca="1">IF(ROWS($1:62)&gt;COUNT(Dong14),0,OFFSET(TH!L$1,SMALL(Dong14,ROWS($1:62)),))</f>
        <v>0</v>
      </c>
      <c r="G78" s="904"/>
      <c r="H78" s="905">
        <f ca="1">IF(ROWS($1:62)&gt;COUNT(Dong14),0,IF(OFFSET(TH!N$1,SMALL(Dong14,ROWS($1:62)),)="131",OFFSET(TH!K$1,SMALL(Dong14,ROWS($1:62)),),0))</f>
        <v>0</v>
      </c>
      <c r="I78" s="904">
        <f ca="1">IF(ROWS($1:62)&gt;COUNT(Dong14),0,IF(OFFSET(TH!N$1,SMALL(Dong14,ROWS($1:62)),)="131",OFFSET(TH!M$1,SMALL(Dong14,ROWS($1:62)),),0))</f>
        <v>0</v>
      </c>
      <c r="J78" s="905">
        <f ca="1">IF(ROWS($1:62)&gt;COUNT(Dong14),0,IF(OFFSET(TH!O$1,SMALL(Dong14,ROWS($1:62)),)="131",OFFSET(TH!K$1,SMALL(Dong14,ROWS($1:62)),),0))</f>
        <v>0</v>
      </c>
      <c r="K78" s="904">
        <f ca="1">IF(ROWS($1:62)&gt;COUNT(Dong14),0,IF(OFFSET(TH!O$1,SMALL(Dong14,ROWS($1:62)),)="131",OFFSET(TH!M$1,SMALL(Dong14,ROWS($1:62)),),0))</f>
        <v>0</v>
      </c>
      <c r="L78" s="898">
        <f t="shared" ca="1" si="1"/>
        <v>0</v>
      </c>
      <c r="M78" s="897">
        <f t="shared" ca="1" si="2"/>
        <v>0</v>
      </c>
      <c r="N78" s="898">
        <f t="shared" ca="1" si="3"/>
        <v>0</v>
      </c>
      <c r="O78" s="897">
        <f t="shared" ca="1" si="4"/>
        <v>0</v>
      </c>
    </row>
    <row r="79" spans="1:15" s="5" customFormat="1" ht="16.5" customHeight="1">
      <c r="A79" s="223" t="str">
        <f t="shared" ca="1" si="0"/>
        <v/>
      </c>
      <c r="B79" s="227" t="str">
        <f ca="1">IF(ROWS($1:63)&gt;COUNT(Dong14),"",OFFSET(TH!D$1,SMALL(Dong14,ROWS($1:63)),))</f>
        <v/>
      </c>
      <c r="C79" s="223" t="str">
        <f ca="1">IF(ROWS($1:63)&gt;COUNT(Dong14),"",OFFSET(TH!E$1,SMALL(Dong14,ROWS($1:63)),))</f>
        <v/>
      </c>
      <c r="D79" s="906" t="str">
        <f ca="1">IF(ROWS($1:63)&gt;COUNT(Dong14),"",OFFSET(TH!F$1,SMALL(Dong14,ROWS($1:63)),))</f>
        <v/>
      </c>
      <c r="E79" s="904" t="str">
        <f ca="1">IF(ROWS($1:63)&gt;COUNT(Dong14),"",IF(OFFSET(TH!N$1,SMALL(Dong14,ROWS($1:63)),)="131",OFFSET(TH!O$1,SMALL(Dong14,ROWS($1:63)),),OFFSET(TH!N$1,SMALL(Dong14,ROWS($1:63)),)))</f>
        <v/>
      </c>
      <c r="F79" s="904">
        <f ca="1">IF(ROWS($1:63)&gt;COUNT(Dong14),0,OFFSET(TH!L$1,SMALL(Dong14,ROWS($1:63)),))</f>
        <v>0</v>
      </c>
      <c r="G79" s="904"/>
      <c r="H79" s="905">
        <f ca="1">IF(ROWS($1:63)&gt;COUNT(Dong14),0,IF(OFFSET(TH!N$1,SMALL(Dong14,ROWS($1:63)),)="131",OFFSET(TH!K$1,SMALL(Dong14,ROWS($1:63)),),0))</f>
        <v>0</v>
      </c>
      <c r="I79" s="904">
        <f ca="1">IF(ROWS($1:63)&gt;COUNT(Dong14),0,IF(OFFSET(TH!N$1,SMALL(Dong14,ROWS($1:63)),)="131",OFFSET(TH!M$1,SMALL(Dong14,ROWS($1:63)),),0))</f>
        <v>0</v>
      </c>
      <c r="J79" s="905">
        <f ca="1">IF(ROWS($1:63)&gt;COUNT(Dong14),0,IF(OFFSET(TH!O$1,SMALL(Dong14,ROWS($1:63)),)="131",OFFSET(TH!K$1,SMALL(Dong14,ROWS($1:63)),),0))</f>
        <v>0</v>
      </c>
      <c r="K79" s="904">
        <f ca="1">IF(ROWS($1:63)&gt;COUNT(Dong14),0,IF(OFFSET(TH!O$1,SMALL(Dong14,ROWS($1:63)),)="131",OFFSET(TH!M$1,SMALL(Dong14,ROWS($1:63)),),0))</f>
        <v>0</v>
      </c>
      <c r="L79" s="898">
        <f t="shared" ca="1" si="1"/>
        <v>0</v>
      </c>
      <c r="M79" s="897">
        <f t="shared" ca="1" si="2"/>
        <v>0</v>
      </c>
      <c r="N79" s="898">
        <f t="shared" ca="1" si="3"/>
        <v>0</v>
      </c>
      <c r="O79" s="897">
        <f t="shared" ca="1" si="4"/>
        <v>0</v>
      </c>
    </row>
    <row r="80" spans="1:15" s="5" customFormat="1" ht="16.5" customHeight="1">
      <c r="A80" s="223" t="str">
        <f t="shared" ca="1" si="0"/>
        <v/>
      </c>
      <c r="B80" s="227" t="str">
        <f ca="1">IF(ROWS($1:64)&gt;COUNT(Dong14),"",OFFSET(TH!D$1,SMALL(Dong14,ROWS($1:64)),))</f>
        <v/>
      </c>
      <c r="C80" s="223" t="str">
        <f ca="1">IF(ROWS($1:64)&gt;COUNT(Dong14),"",OFFSET(TH!E$1,SMALL(Dong14,ROWS($1:64)),))</f>
        <v/>
      </c>
      <c r="D80" s="906" t="str">
        <f ca="1">IF(ROWS($1:64)&gt;COUNT(Dong14),"",OFFSET(TH!F$1,SMALL(Dong14,ROWS($1:64)),))</f>
        <v/>
      </c>
      <c r="E80" s="904" t="str">
        <f ca="1">IF(ROWS($1:64)&gt;COUNT(Dong14),"",IF(OFFSET(TH!N$1,SMALL(Dong14,ROWS($1:64)),)="131",OFFSET(TH!O$1,SMALL(Dong14,ROWS($1:64)),),OFFSET(TH!N$1,SMALL(Dong14,ROWS($1:64)),)))</f>
        <v/>
      </c>
      <c r="F80" s="904">
        <f ca="1">IF(ROWS($1:64)&gt;COUNT(Dong14),0,OFFSET(TH!L$1,SMALL(Dong14,ROWS($1:64)),))</f>
        <v>0</v>
      </c>
      <c r="G80" s="904"/>
      <c r="H80" s="905">
        <f ca="1">IF(ROWS($1:64)&gt;COUNT(Dong14),0,IF(OFFSET(TH!N$1,SMALL(Dong14,ROWS($1:64)),)="131",OFFSET(TH!K$1,SMALL(Dong14,ROWS($1:64)),),0))</f>
        <v>0</v>
      </c>
      <c r="I80" s="904">
        <f ca="1">IF(ROWS($1:64)&gt;COUNT(Dong14),0,IF(OFFSET(TH!N$1,SMALL(Dong14,ROWS($1:64)),)="131",OFFSET(TH!M$1,SMALL(Dong14,ROWS($1:64)),),0))</f>
        <v>0</v>
      </c>
      <c r="J80" s="905">
        <f ca="1">IF(ROWS($1:64)&gt;COUNT(Dong14),0,IF(OFFSET(TH!O$1,SMALL(Dong14,ROWS($1:64)),)="131",OFFSET(TH!K$1,SMALL(Dong14,ROWS($1:64)),),0))</f>
        <v>0</v>
      </c>
      <c r="K80" s="904">
        <f ca="1">IF(ROWS($1:64)&gt;COUNT(Dong14),0,IF(OFFSET(TH!O$1,SMALL(Dong14,ROWS($1:64)),)="131",OFFSET(TH!M$1,SMALL(Dong14,ROWS($1:64)),),0))</f>
        <v>0</v>
      </c>
      <c r="L80" s="898">
        <f t="shared" ca="1" si="1"/>
        <v>0</v>
      </c>
      <c r="M80" s="897">
        <f t="shared" ca="1" si="2"/>
        <v>0</v>
      </c>
      <c r="N80" s="898">
        <f t="shared" ca="1" si="3"/>
        <v>0</v>
      </c>
      <c r="O80" s="897">
        <f t="shared" ca="1" si="4"/>
        <v>0</v>
      </c>
    </row>
    <row r="81" spans="1:15" s="5" customFormat="1" ht="16.5" customHeight="1">
      <c r="A81" s="223" t="str">
        <f t="shared" ca="1" si="0"/>
        <v/>
      </c>
      <c r="B81" s="227" t="str">
        <f ca="1">IF(ROWS($1:65)&gt;COUNT(Dong14),"",OFFSET(TH!D$1,SMALL(Dong14,ROWS($1:65)),))</f>
        <v/>
      </c>
      <c r="C81" s="223" t="str">
        <f ca="1">IF(ROWS($1:65)&gt;COUNT(Dong14),"",OFFSET(TH!E$1,SMALL(Dong14,ROWS($1:65)),))</f>
        <v/>
      </c>
      <c r="D81" s="906" t="str">
        <f ca="1">IF(ROWS($1:65)&gt;COUNT(Dong14),"",OFFSET(TH!F$1,SMALL(Dong14,ROWS($1:65)),))</f>
        <v/>
      </c>
      <c r="E81" s="904" t="str">
        <f ca="1">IF(ROWS($1:65)&gt;COUNT(Dong14),"",IF(OFFSET(TH!N$1,SMALL(Dong14,ROWS($1:65)),)="131",OFFSET(TH!O$1,SMALL(Dong14,ROWS($1:65)),),OFFSET(TH!N$1,SMALL(Dong14,ROWS($1:65)),)))</f>
        <v/>
      </c>
      <c r="F81" s="904">
        <f ca="1">IF(ROWS($1:65)&gt;COUNT(Dong14),0,OFFSET(TH!L$1,SMALL(Dong14,ROWS($1:65)),))</f>
        <v>0</v>
      </c>
      <c r="G81" s="904"/>
      <c r="H81" s="905">
        <f ca="1">IF(ROWS($1:65)&gt;COUNT(Dong14),0,IF(OFFSET(TH!N$1,SMALL(Dong14,ROWS($1:65)),)="131",OFFSET(TH!K$1,SMALL(Dong14,ROWS($1:65)),),0))</f>
        <v>0</v>
      </c>
      <c r="I81" s="904">
        <f ca="1">IF(ROWS($1:65)&gt;COUNT(Dong14),0,IF(OFFSET(TH!N$1,SMALL(Dong14,ROWS($1:65)),)="131",OFFSET(TH!M$1,SMALL(Dong14,ROWS($1:65)),),0))</f>
        <v>0</v>
      </c>
      <c r="J81" s="905">
        <f ca="1">IF(ROWS($1:65)&gt;COUNT(Dong14),0,IF(OFFSET(TH!O$1,SMALL(Dong14,ROWS($1:65)),)="131",OFFSET(TH!K$1,SMALL(Dong14,ROWS($1:65)),),0))</f>
        <v>0</v>
      </c>
      <c r="K81" s="904">
        <f ca="1">IF(ROWS($1:65)&gt;COUNT(Dong14),0,IF(OFFSET(TH!O$1,SMALL(Dong14,ROWS($1:65)),)="131",OFFSET(TH!M$1,SMALL(Dong14,ROWS($1:65)),),0))</f>
        <v>0</v>
      </c>
      <c r="L81" s="898">
        <f t="shared" ca="1" si="1"/>
        <v>0</v>
      </c>
      <c r="M81" s="897">
        <f t="shared" ca="1" si="2"/>
        <v>0</v>
      </c>
      <c r="N81" s="898">
        <f t="shared" ca="1" si="3"/>
        <v>0</v>
      </c>
      <c r="O81" s="897">
        <f t="shared" ca="1" si="4"/>
        <v>0</v>
      </c>
    </row>
    <row r="82" spans="1:15" s="5" customFormat="1" ht="16.5" customHeight="1">
      <c r="A82" s="223" t="str">
        <f t="shared" ref="A82:A109" ca="1" si="5">IF(C82&lt;&gt;"",C82,"")</f>
        <v/>
      </c>
      <c r="B82" s="227" t="str">
        <f ca="1">IF(ROWS($1:66)&gt;COUNT(Dong14),"",OFFSET(TH!D$1,SMALL(Dong14,ROWS($1:66)),))</f>
        <v/>
      </c>
      <c r="C82" s="223" t="str">
        <f ca="1">IF(ROWS($1:66)&gt;COUNT(Dong14),"",OFFSET(TH!E$1,SMALL(Dong14,ROWS($1:66)),))</f>
        <v/>
      </c>
      <c r="D82" s="906" t="str">
        <f ca="1">IF(ROWS($1:66)&gt;COUNT(Dong14),"",OFFSET(TH!F$1,SMALL(Dong14,ROWS($1:66)),))</f>
        <v/>
      </c>
      <c r="E82" s="904" t="str">
        <f ca="1">IF(ROWS($1:66)&gt;COUNT(Dong14),"",IF(OFFSET(TH!N$1,SMALL(Dong14,ROWS($1:66)),)="131",OFFSET(TH!O$1,SMALL(Dong14,ROWS($1:66)),),OFFSET(TH!N$1,SMALL(Dong14,ROWS($1:66)),)))</f>
        <v/>
      </c>
      <c r="F82" s="904">
        <f ca="1">IF(ROWS($1:66)&gt;COUNT(Dong14),0,OFFSET(TH!L$1,SMALL(Dong14,ROWS($1:66)),))</f>
        <v>0</v>
      </c>
      <c r="G82" s="904"/>
      <c r="H82" s="905">
        <f ca="1">IF(ROWS($1:66)&gt;COUNT(Dong14),0,IF(OFFSET(TH!N$1,SMALL(Dong14,ROWS($1:66)),)="131",OFFSET(TH!K$1,SMALL(Dong14,ROWS($1:66)),),0))</f>
        <v>0</v>
      </c>
      <c r="I82" s="904">
        <f ca="1">IF(ROWS($1:66)&gt;COUNT(Dong14),0,IF(OFFSET(TH!N$1,SMALL(Dong14,ROWS($1:66)),)="131",OFFSET(TH!M$1,SMALL(Dong14,ROWS($1:66)),),0))</f>
        <v>0</v>
      </c>
      <c r="J82" s="905">
        <f ca="1">IF(ROWS($1:66)&gt;COUNT(Dong14),0,IF(OFFSET(TH!O$1,SMALL(Dong14,ROWS($1:66)),)="131",OFFSET(TH!K$1,SMALL(Dong14,ROWS($1:66)),),0))</f>
        <v>0</v>
      </c>
      <c r="K82" s="904">
        <f ca="1">IF(ROWS($1:66)&gt;COUNT(Dong14),0,IF(OFFSET(TH!O$1,SMALL(Dong14,ROWS($1:66)),)="131",OFFSET(TH!M$1,SMALL(Dong14,ROWS($1:66)),),0))</f>
        <v>0</v>
      </c>
      <c r="L82" s="898">
        <f t="shared" ref="L82:L109" ca="1" si="6">IF(D82&lt;&gt;"",ROUND(MAX(L81+H82-J82-N81,0),2),0)</f>
        <v>0</v>
      </c>
      <c r="M82" s="897">
        <f t="shared" ref="M82:M109" ca="1" si="7">IF(D82&lt;&gt;"",MAX(M81-O81+I82-K82,0),0)</f>
        <v>0</v>
      </c>
      <c r="N82" s="898">
        <f t="shared" ref="N82:N109" ca="1" si="8">IF(D82&lt;&gt;"",ROUND(MAX(N81+J82-H82-L81,0),2),0)</f>
        <v>0</v>
      </c>
      <c r="O82" s="897">
        <f t="shared" ref="O82:O109" ca="1" si="9">IF(D82&lt;&gt;"",MAX(O81-M81+K82-I82,0),0)</f>
        <v>0</v>
      </c>
    </row>
    <row r="83" spans="1:15" s="5" customFormat="1" ht="16.5" customHeight="1">
      <c r="A83" s="223" t="str">
        <f t="shared" ca="1" si="5"/>
        <v/>
      </c>
      <c r="B83" s="227" t="str">
        <f ca="1">IF(ROWS($1:67)&gt;COUNT(Dong14),"",OFFSET(TH!D$1,SMALL(Dong14,ROWS($1:67)),))</f>
        <v/>
      </c>
      <c r="C83" s="223" t="str">
        <f ca="1">IF(ROWS($1:67)&gt;COUNT(Dong14),"",OFFSET(TH!E$1,SMALL(Dong14,ROWS($1:67)),))</f>
        <v/>
      </c>
      <c r="D83" s="906" t="str">
        <f ca="1">IF(ROWS($1:67)&gt;COUNT(Dong14),"",OFFSET(TH!F$1,SMALL(Dong14,ROWS($1:67)),))</f>
        <v/>
      </c>
      <c r="E83" s="904" t="str">
        <f ca="1">IF(ROWS($1:67)&gt;COUNT(Dong14),"",IF(OFFSET(TH!N$1,SMALL(Dong14,ROWS($1:67)),)="131",OFFSET(TH!O$1,SMALL(Dong14,ROWS($1:67)),),OFFSET(TH!N$1,SMALL(Dong14,ROWS($1:67)),)))</f>
        <v/>
      </c>
      <c r="F83" s="904">
        <f ca="1">IF(ROWS($1:67)&gt;COUNT(Dong14),0,OFFSET(TH!L$1,SMALL(Dong14,ROWS($1:67)),))</f>
        <v>0</v>
      </c>
      <c r="G83" s="904"/>
      <c r="H83" s="905">
        <f ca="1">IF(ROWS($1:67)&gt;COUNT(Dong14),0,IF(OFFSET(TH!N$1,SMALL(Dong14,ROWS($1:67)),)="131",OFFSET(TH!K$1,SMALL(Dong14,ROWS($1:67)),),0))</f>
        <v>0</v>
      </c>
      <c r="I83" s="904">
        <f ca="1">IF(ROWS($1:67)&gt;COUNT(Dong14),0,IF(OFFSET(TH!N$1,SMALL(Dong14,ROWS($1:67)),)="131",OFFSET(TH!M$1,SMALL(Dong14,ROWS($1:67)),),0))</f>
        <v>0</v>
      </c>
      <c r="J83" s="905">
        <f ca="1">IF(ROWS($1:67)&gt;COUNT(Dong14),0,IF(OFFSET(TH!O$1,SMALL(Dong14,ROWS($1:67)),)="131",OFFSET(TH!K$1,SMALL(Dong14,ROWS($1:67)),),0))</f>
        <v>0</v>
      </c>
      <c r="K83" s="904">
        <f ca="1">IF(ROWS($1:67)&gt;COUNT(Dong14),0,IF(OFFSET(TH!O$1,SMALL(Dong14,ROWS($1:67)),)="131",OFFSET(TH!M$1,SMALL(Dong14,ROWS($1:67)),),0))</f>
        <v>0</v>
      </c>
      <c r="L83" s="898">
        <f t="shared" ca="1" si="6"/>
        <v>0</v>
      </c>
      <c r="M83" s="897">
        <f t="shared" ca="1" si="7"/>
        <v>0</v>
      </c>
      <c r="N83" s="898">
        <f t="shared" ca="1" si="8"/>
        <v>0</v>
      </c>
      <c r="O83" s="897">
        <f t="shared" ca="1" si="9"/>
        <v>0</v>
      </c>
    </row>
    <row r="84" spans="1:15" s="5" customFormat="1" ht="16.5" customHeight="1">
      <c r="A84" s="223" t="str">
        <f t="shared" ca="1" si="5"/>
        <v/>
      </c>
      <c r="B84" s="227" t="str">
        <f ca="1">IF(ROWS($1:68)&gt;COUNT(Dong14),"",OFFSET(TH!D$1,SMALL(Dong14,ROWS($1:68)),))</f>
        <v/>
      </c>
      <c r="C84" s="223" t="str">
        <f ca="1">IF(ROWS($1:68)&gt;COUNT(Dong14),"",OFFSET(TH!E$1,SMALL(Dong14,ROWS($1:68)),))</f>
        <v/>
      </c>
      <c r="D84" s="906" t="str">
        <f ca="1">IF(ROWS($1:68)&gt;COUNT(Dong14),"",OFFSET(TH!F$1,SMALL(Dong14,ROWS($1:68)),))</f>
        <v/>
      </c>
      <c r="E84" s="904" t="str">
        <f ca="1">IF(ROWS($1:68)&gt;COUNT(Dong14),"",IF(OFFSET(TH!N$1,SMALL(Dong14,ROWS($1:68)),)="131",OFFSET(TH!O$1,SMALL(Dong14,ROWS($1:68)),),OFFSET(TH!N$1,SMALL(Dong14,ROWS($1:68)),)))</f>
        <v/>
      </c>
      <c r="F84" s="904">
        <f ca="1">IF(ROWS($1:68)&gt;COUNT(Dong14),0,OFFSET(TH!L$1,SMALL(Dong14,ROWS($1:68)),))</f>
        <v>0</v>
      </c>
      <c r="G84" s="904"/>
      <c r="H84" s="905">
        <f ca="1">IF(ROWS($1:68)&gt;COUNT(Dong14),0,IF(OFFSET(TH!N$1,SMALL(Dong14,ROWS($1:68)),)="131",OFFSET(TH!K$1,SMALL(Dong14,ROWS($1:68)),),0))</f>
        <v>0</v>
      </c>
      <c r="I84" s="904">
        <f ca="1">IF(ROWS($1:68)&gt;COUNT(Dong14),0,IF(OFFSET(TH!N$1,SMALL(Dong14,ROWS($1:68)),)="131",OFFSET(TH!M$1,SMALL(Dong14,ROWS($1:68)),),0))</f>
        <v>0</v>
      </c>
      <c r="J84" s="905">
        <f ca="1">IF(ROWS($1:68)&gt;COUNT(Dong14),0,IF(OFFSET(TH!O$1,SMALL(Dong14,ROWS($1:68)),)="131",OFFSET(TH!K$1,SMALL(Dong14,ROWS($1:68)),),0))</f>
        <v>0</v>
      </c>
      <c r="K84" s="904">
        <f ca="1">IF(ROWS($1:68)&gt;COUNT(Dong14),0,IF(OFFSET(TH!O$1,SMALL(Dong14,ROWS($1:68)),)="131",OFFSET(TH!M$1,SMALL(Dong14,ROWS($1:68)),),0))</f>
        <v>0</v>
      </c>
      <c r="L84" s="898">
        <f t="shared" ca="1" si="6"/>
        <v>0</v>
      </c>
      <c r="M84" s="897">
        <f t="shared" ca="1" si="7"/>
        <v>0</v>
      </c>
      <c r="N84" s="898">
        <f t="shared" ca="1" si="8"/>
        <v>0</v>
      </c>
      <c r="O84" s="897">
        <f t="shared" ca="1" si="9"/>
        <v>0</v>
      </c>
    </row>
    <row r="85" spans="1:15" s="5" customFormat="1" ht="16.5" customHeight="1">
      <c r="A85" s="223" t="str">
        <f t="shared" ca="1" si="5"/>
        <v/>
      </c>
      <c r="B85" s="227" t="str">
        <f ca="1">IF(ROWS($1:69)&gt;COUNT(Dong14),"",OFFSET(TH!D$1,SMALL(Dong14,ROWS($1:69)),))</f>
        <v/>
      </c>
      <c r="C85" s="223" t="str">
        <f ca="1">IF(ROWS($1:69)&gt;COUNT(Dong14),"",OFFSET(TH!E$1,SMALL(Dong14,ROWS($1:69)),))</f>
        <v/>
      </c>
      <c r="D85" s="906" t="str">
        <f ca="1">IF(ROWS($1:69)&gt;COUNT(Dong14),"",OFFSET(TH!F$1,SMALL(Dong14,ROWS($1:69)),))</f>
        <v/>
      </c>
      <c r="E85" s="904" t="str">
        <f ca="1">IF(ROWS($1:69)&gt;COUNT(Dong14),"",IF(OFFSET(TH!N$1,SMALL(Dong14,ROWS($1:69)),)="131",OFFSET(TH!O$1,SMALL(Dong14,ROWS($1:69)),),OFFSET(TH!N$1,SMALL(Dong14,ROWS($1:69)),)))</f>
        <v/>
      </c>
      <c r="F85" s="904">
        <f ca="1">IF(ROWS($1:69)&gt;COUNT(Dong14),0,OFFSET(TH!L$1,SMALL(Dong14,ROWS($1:69)),))</f>
        <v>0</v>
      </c>
      <c r="G85" s="904"/>
      <c r="H85" s="905">
        <f ca="1">IF(ROWS($1:69)&gt;COUNT(Dong14),0,IF(OFFSET(TH!N$1,SMALL(Dong14,ROWS($1:69)),)="131",OFFSET(TH!K$1,SMALL(Dong14,ROWS($1:69)),),0))</f>
        <v>0</v>
      </c>
      <c r="I85" s="904">
        <f ca="1">IF(ROWS($1:69)&gt;COUNT(Dong14),0,IF(OFFSET(TH!N$1,SMALL(Dong14,ROWS($1:69)),)="131",OFFSET(TH!M$1,SMALL(Dong14,ROWS($1:69)),),0))</f>
        <v>0</v>
      </c>
      <c r="J85" s="905">
        <f ca="1">IF(ROWS($1:69)&gt;COUNT(Dong14),0,IF(OFFSET(TH!O$1,SMALL(Dong14,ROWS($1:69)),)="131",OFFSET(TH!K$1,SMALL(Dong14,ROWS($1:69)),),0))</f>
        <v>0</v>
      </c>
      <c r="K85" s="904">
        <f ca="1">IF(ROWS($1:69)&gt;COUNT(Dong14),0,IF(OFFSET(TH!O$1,SMALL(Dong14,ROWS($1:69)),)="131",OFFSET(TH!M$1,SMALL(Dong14,ROWS($1:69)),),0))</f>
        <v>0</v>
      </c>
      <c r="L85" s="898">
        <f t="shared" ca="1" si="6"/>
        <v>0</v>
      </c>
      <c r="M85" s="897">
        <f t="shared" ca="1" si="7"/>
        <v>0</v>
      </c>
      <c r="N85" s="898">
        <f t="shared" ca="1" si="8"/>
        <v>0</v>
      </c>
      <c r="O85" s="897">
        <f t="shared" ca="1" si="9"/>
        <v>0</v>
      </c>
    </row>
    <row r="86" spans="1:15" s="5" customFormat="1" ht="16.5" customHeight="1">
      <c r="A86" s="223" t="str">
        <f t="shared" ca="1" si="5"/>
        <v/>
      </c>
      <c r="B86" s="227" t="str">
        <f ca="1">IF(ROWS($1:70)&gt;COUNT(Dong14),"",OFFSET(TH!D$1,SMALL(Dong14,ROWS($1:70)),))</f>
        <v/>
      </c>
      <c r="C86" s="223" t="str">
        <f ca="1">IF(ROWS($1:70)&gt;COUNT(Dong14),"",OFFSET(TH!E$1,SMALL(Dong14,ROWS($1:70)),))</f>
        <v/>
      </c>
      <c r="D86" s="906" t="str">
        <f ca="1">IF(ROWS($1:70)&gt;COUNT(Dong14),"",OFFSET(TH!F$1,SMALL(Dong14,ROWS($1:70)),))</f>
        <v/>
      </c>
      <c r="E86" s="904" t="str">
        <f ca="1">IF(ROWS($1:70)&gt;COUNT(Dong14),"",IF(OFFSET(TH!N$1,SMALL(Dong14,ROWS($1:70)),)="131",OFFSET(TH!O$1,SMALL(Dong14,ROWS($1:70)),),OFFSET(TH!N$1,SMALL(Dong14,ROWS($1:70)),)))</f>
        <v/>
      </c>
      <c r="F86" s="904">
        <f ca="1">IF(ROWS($1:70)&gt;COUNT(Dong14),0,OFFSET(TH!L$1,SMALL(Dong14,ROWS($1:70)),))</f>
        <v>0</v>
      </c>
      <c r="G86" s="904"/>
      <c r="H86" s="905">
        <f ca="1">IF(ROWS($1:70)&gt;COUNT(Dong14),0,IF(OFFSET(TH!N$1,SMALL(Dong14,ROWS($1:70)),)="131",OFFSET(TH!K$1,SMALL(Dong14,ROWS($1:70)),),0))</f>
        <v>0</v>
      </c>
      <c r="I86" s="904">
        <f ca="1">IF(ROWS($1:70)&gt;COUNT(Dong14),0,IF(OFFSET(TH!N$1,SMALL(Dong14,ROWS($1:70)),)="131",OFFSET(TH!M$1,SMALL(Dong14,ROWS($1:70)),),0))</f>
        <v>0</v>
      </c>
      <c r="J86" s="905">
        <f ca="1">IF(ROWS($1:70)&gt;COUNT(Dong14),0,IF(OFFSET(TH!O$1,SMALL(Dong14,ROWS($1:70)),)="131",OFFSET(TH!K$1,SMALL(Dong14,ROWS($1:70)),),0))</f>
        <v>0</v>
      </c>
      <c r="K86" s="904">
        <f ca="1">IF(ROWS($1:70)&gt;COUNT(Dong14),0,IF(OFFSET(TH!O$1,SMALL(Dong14,ROWS($1:70)),)="131",OFFSET(TH!M$1,SMALL(Dong14,ROWS($1:70)),),0))</f>
        <v>0</v>
      </c>
      <c r="L86" s="898">
        <f t="shared" ca="1" si="6"/>
        <v>0</v>
      </c>
      <c r="M86" s="897">
        <f t="shared" ca="1" si="7"/>
        <v>0</v>
      </c>
      <c r="N86" s="898">
        <f t="shared" ca="1" si="8"/>
        <v>0</v>
      </c>
      <c r="O86" s="897">
        <f t="shared" ca="1" si="9"/>
        <v>0</v>
      </c>
    </row>
    <row r="87" spans="1:15" s="5" customFormat="1" ht="16.5" customHeight="1">
      <c r="A87" s="223" t="str">
        <f t="shared" ca="1" si="5"/>
        <v/>
      </c>
      <c r="B87" s="227" t="str">
        <f ca="1">IF(ROWS($1:71)&gt;COUNT(Dong14),"",OFFSET(TH!D$1,SMALL(Dong14,ROWS($1:71)),))</f>
        <v/>
      </c>
      <c r="C87" s="223" t="str">
        <f ca="1">IF(ROWS($1:71)&gt;COUNT(Dong14),"",OFFSET(TH!E$1,SMALL(Dong14,ROWS($1:71)),))</f>
        <v/>
      </c>
      <c r="D87" s="906" t="str">
        <f ca="1">IF(ROWS($1:71)&gt;COUNT(Dong14),"",OFFSET(TH!F$1,SMALL(Dong14,ROWS($1:71)),))</f>
        <v/>
      </c>
      <c r="E87" s="904" t="str">
        <f ca="1">IF(ROWS($1:71)&gt;COUNT(Dong14),"",IF(OFFSET(TH!N$1,SMALL(Dong14,ROWS($1:71)),)="131",OFFSET(TH!O$1,SMALL(Dong14,ROWS($1:71)),),OFFSET(TH!N$1,SMALL(Dong14,ROWS($1:71)),)))</f>
        <v/>
      </c>
      <c r="F87" s="904">
        <f ca="1">IF(ROWS($1:71)&gt;COUNT(Dong14),0,OFFSET(TH!L$1,SMALL(Dong14,ROWS($1:71)),))</f>
        <v>0</v>
      </c>
      <c r="G87" s="904"/>
      <c r="H87" s="905">
        <f ca="1">IF(ROWS($1:71)&gt;COUNT(Dong14),0,IF(OFFSET(TH!N$1,SMALL(Dong14,ROWS($1:71)),)="131",OFFSET(TH!K$1,SMALL(Dong14,ROWS($1:71)),),0))</f>
        <v>0</v>
      </c>
      <c r="I87" s="904">
        <f ca="1">IF(ROWS($1:71)&gt;COUNT(Dong14),0,IF(OFFSET(TH!N$1,SMALL(Dong14,ROWS($1:71)),)="131",OFFSET(TH!M$1,SMALL(Dong14,ROWS($1:71)),),0))</f>
        <v>0</v>
      </c>
      <c r="J87" s="905">
        <f ca="1">IF(ROWS($1:71)&gt;COUNT(Dong14),0,IF(OFFSET(TH!O$1,SMALL(Dong14,ROWS($1:71)),)="131",OFFSET(TH!K$1,SMALL(Dong14,ROWS($1:71)),),0))</f>
        <v>0</v>
      </c>
      <c r="K87" s="904">
        <f ca="1">IF(ROWS($1:71)&gt;COUNT(Dong14),0,IF(OFFSET(TH!O$1,SMALL(Dong14,ROWS($1:71)),)="131",OFFSET(TH!M$1,SMALL(Dong14,ROWS($1:71)),),0))</f>
        <v>0</v>
      </c>
      <c r="L87" s="898">
        <f t="shared" ca="1" si="6"/>
        <v>0</v>
      </c>
      <c r="M87" s="897">
        <f t="shared" ca="1" si="7"/>
        <v>0</v>
      </c>
      <c r="N87" s="898">
        <f t="shared" ca="1" si="8"/>
        <v>0</v>
      </c>
      <c r="O87" s="897">
        <f t="shared" ca="1" si="9"/>
        <v>0</v>
      </c>
    </row>
    <row r="88" spans="1:15" s="5" customFormat="1" ht="16.5" customHeight="1">
      <c r="A88" s="223" t="str">
        <f t="shared" ca="1" si="5"/>
        <v/>
      </c>
      <c r="B88" s="227" t="str">
        <f ca="1">IF(ROWS($1:72)&gt;COUNT(Dong14),"",OFFSET(TH!D$1,SMALL(Dong14,ROWS($1:72)),))</f>
        <v/>
      </c>
      <c r="C88" s="223" t="str">
        <f ca="1">IF(ROWS($1:72)&gt;COUNT(Dong14),"",OFFSET(TH!E$1,SMALL(Dong14,ROWS($1:72)),))</f>
        <v/>
      </c>
      <c r="D88" s="906" t="str">
        <f ca="1">IF(ROWS($1:72)&gt;COUNT(Dong14),"",OFFSET(TH!F$1,SMALL(Dong14,ROWS($1:72)),))</f>
        <v/>
      </c>
      <c r="E88" s="904" t="str">
        <f ca="1">IF(ROWS($1:72)&gt;COUNT(Dong14),"",IF(OFFSET(TH!N$1,SMALL(Dong14,ROWS($1:72)),)="131",OFFSET(TH!O$1,SMALL(Dong14,ROWS($1:72)),),OFFSET(TH!N$1,SMALL(Dong14,ROWS($1:72)),)))</f>
        <v/>
      </c>
      <c r="F88" s="904">
        <f ca="1">IF(ROWS($1:72)&gt;COUNT(Dong14),0,OFFSET(TH!L$1,SMALL(Dong14,ROWS($1:72)),))</f>
        <v>0</v>
      </c>
      <c r="G88" s="904"/>
      <c r="H88" s="905">
        <f ca="1">IF(ROWS($1:72)&gt;COUNT(Dong14),0,IF(OFFSET(TH!N$1,SMALL(Dong14,ROWS($1:72)),)="131",OFFSET(TH!K$1,SMALL(Dong14,ROWS($1:72)),),0))</f>
        <v>0</v>
      </c>
      <c r="I88" s="904">
        <f ca="1">IF(ROWS($1:72)&gt;COUNT(Dong14),0,IF(OFFSET(TH!N$1,SMALL(Dong14,ROWS($1:72)),)="131",OFFSET(TH!M$1,SMALL(Dong14,ROWS($1:72)),),0))</f>
        <v>0</v>
      </c>
      <c r="J88" s="905">
        <f ca="1">IF(ROWS($1:72)&gt;COUNT(Dong14),0,IF(OFFSET(TH!O$1,SMALL(Dong14,ROWS($1:72)),)="131",OFFSET(TH!K$1,SMALL(Dong14,ROWS($1:72)),),0))</f>
        <v>0</v>
      </c>
      <c r="K88" s="904">
        <f ca="1">IF(ROWS($1:72)&gt;COUNT(Dong14),0,IF(OFFSET(TH!O$1,SMALL(Dong14,ROWS($1:72)),)="131",OFFSET(TH!M$1,SMALL(Dong14,ROWS($1:72)),),0))</f>
        <v>0</v>
      </c>
      <c r="L88" s="898">
        <f t="shared" ca="1" si="6"/>
        <v>0</v>
      </c>
      <c r="M88" s="897">
        <f t="shared" ca="1" si="7"/>
        <v>0</v>
      </c>
      <c r="N88" s="898">
        <f t="shared" ca="1" si="8"/>
        <v>0</v>
      </c>
      <c r="O88" s="897">
        <f t="shared" ca="1" si="9"/>
        <v>0</v>
      </c>
    </row>
    <row r="89" spans="1:15" s="5" customFormat="1" ht="16.5" customHeight="1">
      <c r="A89" s="223" t="str">
        <f t="shared" ca="1" si="5"/>
        <v/>
      </c>
      <c r="B89" s="227" t="str">
        <f ca="1">IF(ROWS($1:73)&gt;COUNT(Dong14),"",OFFSET(TH!D$1,SMALL(Dong14,ROWS($1:73)),))</f>
        <v/>
      </c>
      <c r="C89" s="223" t="str">
        <f ca="1">IF(ROWS($1:73)&gt;COUNT(Dong14),"",OFFSET(TH!E$1,SMALL(Dong14,ROWS($1:73)),))</f>
        <v/>
      </c>
      <c r="D89" s="906" t="str">
        <f ca="1">IF(ROWS($1:73)&gt;COUNT(Dong14),"",OFFSET(TH!F$1,SMALL(Dong14,ROWS($1:73)),))</f>
        <v/>
      </c>
      <c r="E89" s="904" t="str">
        <f ca="1">IF(ROWS($1:73)&gt;COUNT(Dong14),"",IF(OFFSET(TH!N$1,SMALL(Dong14,ROWS($1:73)),)="131",OFFSET(TH!O$1,SMALL(Dong14,ROWS($1:73)),),OFFSET(TH!N$1,SMALL(Dong14,ROWS($1:73)),)))</f>
        <v/>
      </c>
      <c r="F89" s="904">
        <f ca="1">IF(ROWS($1:73)&gt;COUNT(Dong14),0,OFFSET(TH!L$1,SMALL(Dong14,ROWS($1:73)),))</f>
        <v>0</v>
      </c>
      <c r="G89" s="904"/>
      <c r="H89" s="905">
        <f ca="1">IF(ROWS($1:73)&gt;COUNT(Dong14),0,IF(OFFSET(TH!N$1,SMALL(Dong14,ROWS($1:73)),)="131",OFFSET(TH!K$1,SMALL(Dong14,ROWS($1:73)),),0))</f>
        <v>0</v>
      </c>
      <c r="I89" s="904">
        <f ca="1">IF(ROWS($1:73)&gt;COUNT(Dong14),0,IF(OFFSET(TH!N$1,SMALL(Dong14,ROWS($1:73)),)="131",OFFSET(TH!M$1,SMALL(Dong14,ROWS($1:73)),),0))</f>
        <v>0</v>
      </c>
      <c r="J89" s="905">
        <f ca="1">IF(ROWS($1:73)&gt;COUNT(Dong14),0,IF(OFFSET(TH!O$1,SMALL(Dong14,ROWS($1:73)),)="131",OFFSET(TH!K$1,SMALL(Dong14,ROWS($1:73)),),0))</f>
        <v>0</v>
      </c>
      <c r="K89" s="904">
        <f ca="1">IF(ROWS($1:73)&gt;COUNT(Dong14),0,IF(OFFSET(TH!O$1,SMALL(Dong14,ROWS($1:73)),)="131",OFFSET(TH!M$1,SMALL(Dong14,ROWS($1:73)),),0))</f>
        <v>0</v>
      </c>
      <c r="L89" s="898">
        <f t="shared" ca="1" si="6"/>
        <v>0</v>
      </c>
      <c r="M89" s="897">
        <f t="shared" ca="1" si="7"/>
        <v>0</v>
      </c>
      <c r="N89" s="898">
        <f t="shared" ca="1" si="8"/>
        <v>0</v>
      </c>
      <c r="O89" s="897">
        <f t="shared" ca="1" si="9"/>
        <v>0</v>
      </c>
    </row>
    <row r="90" spans="1:15" s="5" customFormat="1" ht="16.5" customHeight="1">
      <c r="A90" s="223" t="str">
        <f t="shared" ca="1" si="5"/>
        <v/>
      </c>
      <c r="B90" s="227" t="str">
        <f ca="1">IF(ROWS($1:74)&gt;COUNT(Dong14),"",OFFSET(TH!D$1,SMALL(Dong14,ROWS($1:74)),))</f>
        <v/>
      </c>
      <c r="C90" s="223" t="str">
        <f ca="1">IF(ROWS($1:74)&gt;COUNT(Dong14),"",OFFSET(TH!E$1,SMALL(Dong14,ROWS($1:74)),))</f>
        <v/>
      </c>
      <c r="D90" s="906" t="str">
        <f ca="1">IF(ROWS($1:74)&gt;COUNT(Dong14),"",OFFSET(TH!F$1,SMALL(Dong14,ROWS($1:74)),))</f>
        <v/>
      </c>
      <c r="E90" s="904" t="str">
        <f ca="1">IF(ROWS($1:74)&gt;COUNT(Dong14),"",IF(OFFSET(TH!N$1,SMALL(Dong14,ROWS($1:74)),)="131",OFFSET(TH!O$1,SMALL(Dong14,ROWS($1:74)),),OFFSET(TH!N$1,SMALL(Dong14,ROWS($1:74)),)))</f>
        <v/>
      </c>
      <c r="F90" s="904">
        <f ca="1">IF(ROWS($1:74)&gt;COUNT(Dong14),0,OFFSET(TH!L$1,SMALL(Dong14,ROWS($1:74)),))</f>
        <v>0</v>
      </c>
      <c r="G90" s="904"/>
      <c r="H90" s="905">
        <f ca="1">IF(ROWS($1:74)&gt;COUNT(Dong14),0,IF(OFFSET(TH!N$1,SMALL(Dong14,ROWS($1:74)),)="131",OFFSET(TH!K$1,SMALL(Dong14,ROWS($1:74)),),0))</f>
        <v>0</v>
      </c>
      <c r="I90" s="904">
        <f ca="1">IF(ROWS($1:74)&gt;COUNT(Dong14),0,IF(OFFSET(TH!N$1,SMALL(Dong14,ROWS($1:74)),)="131",OFFSET(TH!M$1,SMALL(Dong14,ROWS($1:74)),),0))</f>
        <v>0</v>
      </c>
      <c r="J90" s="905">
        <f ca="1">IF(ROWS($1:74)&gt;COUNT(Dong14),0,IF(OFFSET(TH!O$1,SMALL(Dong14,ROWS($1:74)),)="131",OFFSET(TH!K$1,SMALL(Dong14,ROWS($1:74)),),0))</f>
        <v>0</v>
      </c>
      <c r="K90" s="904">
        <f ca="1">IF(ROWS($1:74)&gt;COUNT(Dong14),0,IF(OFFSET(TH!O$1,SMALL(Dong14,ROWS($1:74)),)="131",OFFSET(TH!M$1,SMALL(Dong14,ROWS($1:74)),),0))</f>
        <v>0</v>
      </c>
      <c r="L90" s="898">
        <f t="shared" ca="1" si="6"/>
        <v>0</v>
      </c>
      <c r="M90" s="897">
        <f t="shared" ca="1" si="7"/>
        <v>0</v>
      </c>
      <c r="N90" s="898">
        <f t="shared" ca="1" si="8"/>
        <v>0</v>
      </c>
      <c r="O90" s="897">
        <f t="shared" ca="1" si="9"/>
        <v>0</v>
      </c>
    </row>
    <row r="91" spans="1:15" s="5" customFormat="1" ht="16.5" customHeight="1">
      <c r="A91" s="223" t="str">
        <f t="shared" ca="1" si="5"/>
        <v/>
      </c>
      <c r="B91" s="227" t="str">
        <f ca="1">IF(ROWS($1:75)&gt;COUNT(Dong14),"",OFFSET(TH!D$1,SMALL(Dong14,ROWS($1:75)),))</f>
        <v/>
      </c>
      <c r="C91" s="223" t="str">
        <f ca="1">IF(ROWS($1:75)&gt;COUNT(Dong14),"",OFFSET(TH!E$1,SMALL(Dong14,ROWS($1:75)),))</f>
        <v/>
      </c>
      <c r="D91" s="906" t="str">
        <f ca="1">IF(ROWS($1:75)&gt;COUNT(Dong14),"",OFFSET(TH!F$1,SMALL(Dong14,ROWS($1:75)),))</f>
        <v/>
      </c>
      <c r="E91" s="904" t="str">
        <f ca="1">IF(ROWS($1:75)&gt;COUNT(Dong14),"",IF(OFFSET(TH!N$1,SMALL(Dong14,ROWS($1:75)),)="131",OFFSET(TH!O$1,SMALL(Dong14,ROWS($1:75)),),OFFSET(TH!N$1,SMALL(Dong14,ROWS($1:75)),)))</f>
        <v/>
      </c>
      <c r="F91" s="904">
        <f ca="1">IF(ROWS($1:75)&gt;COUNT(Dong14),0,OFFSET(TH!L$1,SMALL(Dong14,ROWS($1:75)),))</f>
        <v>0</v>
      </c>
      <c r="G91" s="904"/>
      <c r="H91" s="905">
        <f ca="1">IF(ROWS($1:75)&gt;COUNT(Dong14),0,IF(OFFSET(TH!N$1,SMALL(Dong14,ROWS($1:75)),)="131",OFFSET(TH!K$1,SMALL(Dong14,ROWS($1:75)),),0))</f>
        <v>0</v>
      </c>
      <c r="I91" s="904">
        <f ca="1">IF(ROWS($1:75)&gt;COUNT(Dong14),0,IF(OFFSET(TH!N$1,SMALL(Dong14,ROWS($1:75)),)="131",OFFSET(TH!M$1,SMALL(Dong14,ROWS($1:75)),),0))</f>
        <v>0</v>
      </c>
      <c r="J91" s="905">
        <f ca="1">IF(ROWS($1:75)&gt;COUNT(Dong14),0,IF(OFFSET(TH!O$1,SMALL(Dong14,ROWS($1:75)),)="131",OFFSET(TH!K$1,SMALL(Dong14,ROWS($1:75)),),0))</f>
        <v>0</v>
      </c>
      <c r="K91" s="904">
        <f ca="1">IF(ROWS($1:75)&gt;COUNT(Dong14),0,IF(OFFSET(TH!O$1,SMALL(Dong14,ROWS($1:75)),)="131",OFFSET(TH!M$1,SMALL(Dong14,ROWS($1:75)),),0))</f>
        <v>0</v>
      </c>
      <c r="L91" s="898">
        <f t="shared" ca="1" si="6"/>
        <v>0</v>
      </c>
      <c r="M91" s="897">
        <f t="shared" ca="1" si="7"/>
        <v>0</v>
      </c>
      <c r="N91" s="898">
        <f t="shared" ca="1" si="8"/>
        <v>0</v>
      </c>
      <c r="O91" s="897">
        <f t="shared" ca="1" si="9"/>
        <v>0</v>
      </c>
    </row>
    <row r="92" spans="1:15" s="5" customFormat="1" ht="16.5" customHeight="1">
      <c r="A92" s="223" t="str">
        <f t="shared" ca="1" si="5"/>
        <v/>
      </c>
      <c r="B92" s="227" t="str">
        <f ca="1">IF(ROWS($1:76)&gt;COUNT(Dong14),"",OFFSET(TH!D$1,SMALL(Dong14,ROWS($1:76)),))</f>
        <v/>
      </c>
      <c r="C92" s="223" t="str">
        <f ca="1">IF(ROWS($1:76)&gt;COUNT(Dong14),"",OFFSET(TH!E$1,SMALL(Dong14,ROWS($1:76)),))</f>
        <v/>
      </c>
      <c r="D92" s="906" t="str">
        <f ca="1">IF(ROWS($1:76)&gt;COUNT(Dong14),"",OFFSET(TH!F$1,SMALL(Dong14,ROWS($1:76)),))</f>
        <v/>
      </c>
      <c r="E92" s="904" t="str">
        <f ca="1">IF(ROWS($1:76)&gt;COUNT(Dong14),"",IF(OFFSET(TH!N$1,SMALL(Dong14,ROWS($1:76)),)="131",OFFSET(TH!O$1,SMALL(Dong14,ROWS($1:76)),),OFFSET(TH!N$1,SMALL(Dong14,ROWS($1:76)),)))</f>
        <v/>
      </c>
      <c r="F92" s="904">
        <f ca="1">IF(ROWS($1:76)&gt;COUNT(Dong14),0,OFFSET(TH!L$1,SMALL(Dong14,ROWS($1:76)),))</f>
        <v>0</v>
      </c>
      <c r="G92" s="904"/>
      <c r="H92" s="905">
        <f ca="1">IF(ROWS($1:76)&gt;COUNT(Dong14),0,IF(OFFSET(TH!N$1,SMALL(Dong14,ROWS($1:76)),)="131",OFFSET(TH!K$1,SMALL(Dong14,ROWS($1:76)),),0))</f>
        <v>0</v>
      </c>
      <c r="I92" s="904">
        <f ca="1">IF(ROWS($1:76)&gt;COUNT(Dong14),0,IF(OFFSET(TH!N$1,SMALL(Dong14,ROWS($1:76)),)="131",OFFSET(TH!M$1,SMALL(Dong14,ROWS($1:76)),),0))</f>
        <v>0</v>
      </c>
      <c r="J92" s="905">
        <f ca="1">IF(ROWS($1:76)&gt;COUNT(Dong14),0,IF(OFFSET(TH!O$1,SMALL(Dong14,ROWS($1:76)),)="131",OFFSET(TH!K$1,SMALL(Dong14,ROWS($1:76)),),0))</f>
        <v>0</v>
      </c>
      <c r="K92" s="904">
        <f ca="1">IF(ROWS($1:76)&gt;COUNT(Dong14),0,IF(OFFSET(TH!O$1,SMALL(Dong14,ROWS($1:76)),)="131",OFFSET(TH!M$1,SMALL(Dong14,ROWS($1:76)),),0))</f>
        <v>0</v>
      </c>
      <c r="L92" s="898">
        <f t="shared" ca="1" si="6"/>
        <v>0</v>
      </c>
      <c r="M92" s="897">
        <f t="shared" ca="1" si="7"/>
        <v>0</v>
      </c>
      <c r="N92" s="898">
        <f t="shared" ca="1" si="8"/>
        <v>0</v>
      </c>
      <c r="O92" s="897">
        <f t="shared" ca="1" si="9"/>
        <v>0</v>
      </c>
    </row>
    <row r="93" spans="1:15" s="5" customFormat="1" ht="16.5" customHeight="1">
      <c r="A93" s="223" t="str">
        <f t="shared" ca="1" si="5"/>
        <v/>
      </c>
      <c r="B93" s="227" t="str">
        <f ca="1">IF(ROWS($1:77)&gt;COUNT(Dong14),"",OFFSET(TH!D$1,SMALL(Dong14,ROWS($1:77)),))</f>
        <v/>
      </c>
      <c r="C93" s="223" t="str">
        <f ca="1">IF(ROWS($1:77)&gt;COUNT(Dong14),"",OFFSET(TH!E$1,SMALL(Dong14,ROWS($1:77)),))</f>
        <v/>
      </c>
      <c r="D93" s="906" t="str">
        <f ca="1">IF(ROWS($1:77)&gt;COUNT(Dong14),"",OFFSET(TH!F$1,SMALL(Dong14,ROWS($1:77)),))</f>
        <v/>
      </c>
      <c r="E93" s="904" t="str">
        <f ca="1">IF(ROWS($1:77)&gt;COUNT(Dong14),"",IF(OFFSET(TH!N$1,SMALL(Dong14,ROWS($1:77)),)="131",OFFSET(TH!O$1,SMALL(Dong14,ROWS($1:77)),),OFFSET(TH!N$1,SMALL(Dong14,ROWS($1:77)),)))</f>
        <v/>
      </c>
      <c r="F93" s="904">
        <f ca="1">IF(ROWS($1:77)&gt;COUNT(Dong14),0,OFFSET(TH!L$1,SMALL(Dong14,ROWS($1:77)),))</f>
        <v>0</v>
      </c>
      <c r="G93" s="904"/>
      <c r="H93" s="905">
        <f ca="1">IF(ROWS($1:77)&gt;COUNT(Dong14),0,IF(OFFSET(TH!N$1,SMALL(Dong14,ROWS($1:77)),)="131",OFFSET(TH!K$1,SMALL(Dong14,ROWS($1:77)),),0))</f>
        <v>0</v>
      </c>
      <c r="I93" s="904">
        <f ca="1">IF(ROWS($1:77)&gt;COUNT(Dong14),0,IF(OFFSET(TH!N$1,SMALL(Dong14,ROWS($1:77)),)="131",OFFSET(TH!M$1,SMALL(Dong14,ROWS($1:77)),),0))</f>
        <v>0</v>
      </c>
      <c r="J93" s="905">
        <f ca="1">IF(ROWS($1:77)&gt;COUNT(Dong14),0,IF(OFFSET(TH!O$1,SMALL(Dong14,ROWS($1:77)),)="131",OFFSET(TH!K$1,SMALL(Dong14,ROWS($1:77)),),0))</f>
        <v>0</v>
      </c>
      <c r="K93" s="904">
        <f ca="1">IF(ROWS($1:77)&gt;COUNT(Dong14),0,IF(OFFSET(TH!O$1,SMALL(Dong14,ROWS($1:77)),)="131",OFFSET(TH!M$1,SMALL(Dong14,ROWS($1:77)),),0))</f>
        <v>0</v>
      </c>
      <c r="L93" s="898">
        <f t="shared" ca="1" si="6"/>
        <v>0</v>
      </c>
      <c r="M93" s="897">
        <f t="shared" ca="1" si="7"/>
        <v>0</v>
      </c>
      <c r="N93" s="898">
        <f t="shared" ca="1" si="8"/>
        <v>0</v>
      </c>
      <c r="O93" s="897">
        <f t="shared" ca="1" si="9"/>
        <v>0</v>
      </c>
    </row>
    <row r="94" spans="1:15" s="5" customFormat="1" ht="16.5" customHeight="1">
      <c r="A94" s="223" t="str">
        <f t="shared" ca="1" si="5"/>
        <v/>
      </c>
      <c r="B94" s="227" t="str">
        <f ca="1">IF(ROWS($1:78)&gt;COUNT(Dong14),"",OFFSET(TH!D$1,SMALL(Dong14,ROWS($1:78)),))</f>
        <v/>
      </c>
      <c r="C94" s="223" t="str">
        <f ca="1">IF(ROWS($1:78)&gt;COUNT(Dong14),"",OFFSET(TH!E$1,SMALL(Dong14,ROWS($1:78)),))</f>
        <v/>
      </c>
      <c r="D94" s="906" t="str">
        <f ca="1">IF(ROWS($1:78)&gt;COUNT(Dong14),"",OFFSET(TH!F$1,SMALL(Dong14,ROWS($1:78)),))</f>
        <v/>
      </c>
      <c r="E94" s="904" t="str">
        <f ca="1">IF(ROWS($1:78)&gt;COUNT(Dong14),"",IF(OFFSET(TH!N$1,SMALL(Dong14,ROWS($1:78)),)="131",OFFSET(TH!O$1,SMALL(Dong14,ROWS($1:78)),),OFFSET(TH!N$1,SMALL(Dong14,ROWS($1:78)),)))</f>
        <v/>
      </c>
      <c r="F94" s="904">
        <f ca="1">IF(ROWS($1:78)&gt;COUNT(Dong14),0,OFFSET(TH!L$1,SMALL(Dong14,ROWS($1:78)),))</f>
        <v>0</v>
      </c>
      <c r="G94" s="904"/>
      <c r="H94" s="905">
        <f ca="1">IF(ROWS($1:78)&gt;COUNT(Dong14),0,IF(OFFSET(TH!N$1,SMALL(Dong14,ROWS($1:78)),)="131",OFFSET(TH!K$1,SMALL(Dong14,ROWS($1:78)),),0))</f>
        <v>0</v>
      </c>
      <c r="I94" s="904">
        <f ca="1">IF(ROWS($1:78)&gt;COUNT(Dong14),0,IF(OFFSET(TH!N$1,SMALL(Dong14,ROWS($1:78)),)="131",OFFSET(TH!M$1,SMALL(Dong14,ROWS($1:78)),),0))</f>
        <v>0</v>
      </c>
      <c r="J94" s="905">
        <f ca="1">IF(ROWS($1:78)&gt;COUNT(Dong14),0,IF(OFFSET(TH!O$1,SMALL(Dong14,ROWS($1:78)),)="131",OFFSET(TH!K$1,SMALL(Dong14,ROWS($1:78)),),0))</f>
        <v>0</v>
      </c>
      <c r="K94" s="904">
        <f ca="1">IF(ROWS($1:78)&gt;COUNT(Dong14),0,IF(OFFSET(TH!O$1,SMALL(Dong14,ROWS($1:78)),)="131",OFFSET(TH!M$1,SMALL(Dong14,ROWS($1:78)),),0))</f>
        <v>0</v>
      </c>
      <c r="L94" s="898">
        <f t="shared" ca="1" si="6"/>
        <v>0</v>
      </c>
      <c r="M94" s="897">
        <f t="shared" ca="1" si="7"/>
        <v>0</v>
      </c>
      <c r="N94" s="898">
        <f t="shared" ca="1" si="8"/>
        <v>0</v>
      </c>
      <c r="O94" s="897">
        <f t="shared" ca="1" si="9"/>
        <v>0</v>
      </c>
    </row>
    <row r="95" spans="1:15" s="5" customFormat="1" ht="16.5" customHeight="1">
      <c r="A95" s="223" t="str">
        <f t="shared" ca="1" si="5"/>
        <v/>
      </c>
      <c r="B95" s="227" t="str">
        <f ca="1">IF(ROWS($1:79)&gt;COUNT(Dong14),"",OFFSET(TH!D$1,SMALL(Dong14,ROWS($1:79)),))</f>
        <v/>
      </c>
      <c r="C95" s="223" t="str">
        <f ca="1">IF(ROWS($1:79)&gt;COUNT(Dong14),"",OFFSET(TH!E$1,SMALL(Dong14,ROWS($1:79)),))</f>
        <v/>
      </c>
      <c r="D95" s="906" t="str">
        <f ca="1">IF(ROWS($1:79)&gt;COUNT(Dong14),"",OFFSET(TH!F$1,SMALL(Dong14,ROWS($1:79)),))</f>
        <v/>
      </c>
      <c r="E95" s="904" t="str">
        <f ca="1">IF(ROWS($1:79)&gt;COUNT(Dong14),"",IF(OFFSET(TH!N$1,SMALL(Dong14,ROWS($1:79)),)="131",OFFSET(TH!O$1,SMALL(Dong14,ROWS($1:79)),),OFFSET(TH!N$1,SMALL(Dong14,ROWS($1:79)),)))</f>
        <v/>
      </c>
      <c r="F95" s="904">
        <f ca="1">IF(ROWS($1:79)&gt;COUNT(Dong14),0,OFFSET(TH!L$1,SMALL(Dong14,ROWS($1:79)),))</f>
        <v>0</v>
      </c>
      <c r="G95" s="904"/>
      <c r="H95" s="905">
        <f ca="1">IF(ROWS($1:79)&gt;COUNT(Dong14),0,IF(OFFSET(TH!N$1,SMALL(Dong14,ROWS($1:79)),)="131",OFFSET(TH!K$1,SMALL(Dong14,ROWS($1:79)),),0))</f>
        <v>0</v>
      </c>
      <c r="I95" s="904">
        <f ca="1">IF(ROWS($1:79)&gt;COUNT(Dong14),0,IF(OFFSET(TH!N$1,SMALL(Dong14,ROWS($1:79)),)="131",OFFSET(TH!M$1,SMALL(Dong14,ROWS($1:79)),),0))</f>
        <v>0</v>
      </c>
      <c r="J95" s="905">
        <f ca="1">IF(ROWS($1:79)&gt;COUNT(Dong14),0,IF(OFFSET(TH!O$1,SMALL(Dong14,ROWS($1:79)),)="131",OFFSET(TH!K$1,SMALL(Dong14,ROWS($1:79)),),0))</f>
        <v>0</v>
      </c>
      <c r="K95" s="904">
        <f ca="1">IF(ROWS($1:79)&gt;COUNT(Dong14),0,IF(OFFSET(TH!O$1,SMALL(Dong14,ROWS($1:79)),)="131",OFFSET(TH!M$1,SMALL(Dong14,ROWS($1:79)),),0))</f>
        <v>0</v>
      </c>
      <c r="L95" s="898">
        <f t="shared" ca="1" si="6"/>
        <v>0</v>
      </c>
      <c r="M95" s="897">
        <f t="shared" ca="1" si="7"/>
        <v>0</v>
      </c>
      <c r="N95" s="898">
        <f t="shared" ca="1" si="8"/>
        <v>0</v>
      </c>
      <c r="O95" s="897">
        <f t="shared" ca="1" si="9"/>
        <v>0</v>
      </c>
    </row>
    <row r="96" spans="1:15" s="5" customFormat="1" ht="16.5" customHeight="1">
      <c r="A96" s="223" t="str">
        <f t="shared" ca="1" si="5"/>
        <v/>
      </c>
      <c r="B96" s="227" t="str">
        <f ca="1">IF(ROWS($1:80)&gt;COUNT(Dong14),"",OFFSET(TH!D$1,SMALL(Dong14,ROWS($1:80)),))</f>
        <v/>
      </c>
      <c r="C96" s="223" t="str">
        <f ca="1">IF(ROWS($1:80)&gt;COUNT(Dong14),"",OFFSET(TH!E$1,SMALL(Dong14,ROWS($1:80)),))</f>
        <v/>
      </c>
      <c r="D96" s="906" t="str">
        <f ca="1">IF(ROWS($1:80)&gt;COUNT(Dong14),"",OFFSET(TH!F$1,SMALL(Dong14,ROWS($1:80)),))</f>
        <v/>
      </c>
      <c r="E96" s="904" t="str">
        <f ca="1">IF(ROWS($1:80)&gt;COUNT(Dong14),"",IF(OFFSET(TH!N$1,SMALL(Dong14,ROWS($1:80)),)="131",OFFSET(TH!O$1,SMALL(Dong14,ROWS($1:80)),),OFFSET(TH!N$1,SMALL(Dong14,ROWS($1:80)),)))</f>
        <v/>
      </c>
      <c r="F96" s="904">
        <f ca="1">IF(ROWS($1:80)&gt;COUNT(Dong14),0,OFFSET(TH!L$1,SMALL(Dong14,ROWS($1:80)),))</f>
        <v>0</v>
      </c>
      <c r="G96" s="904"/>
      <c r="H96" s="905">
        <f ca="1">IF(ROWS($1:80)&gt;COUNT(Dong14),0,IF(OFFSET(TH!N$1,SMALL(Dong14,ROWS($1:80)),)="131",OFFSET(TH!K$1,SMALL(Dong14,ROWS($1:80)),),0))</f>
        <v>0</v>
      </c>
      <c r="I96" s="904">
        <f ca="1">IF(ROWS($1:80)&gt;COUNT(Dong14),0,IF(OFFSET(TH!N$1,SMALL(Dong14,ROWS($1:80)),)="131",OFFSET(TH!M$1,SMALL(Dong14,ROWS($1:80)),),0))</f>
        <v>0</v>
      </c>
      <c r="J96" s="905">
        <f ca="1">IF(ROWS($1:80)&gt;COUNT(Dong14),0,IF(OFFSET(TH!O$1,SMALL(Dong14,ROWS($1:80)),)="131",OFFSET(TH!K$1,SMALL(Dong14,ROWS($1:80)),),0))</f>
        <v>0</v>
      </c>
      <c r="K96" s="904">
        <f ca="1">IF(ROWS($1:80)&gt;COUNT(Dong14),0,IF(OFFSET(TH!O$1,SMALL(Dong14,ROWS($1:80)),)="131",OFFSET(TH!M$1,SMALL(Dong14,ROWS($1:80)),),0))</f>
        <v>0</v>
      </c>
      <c r="L96" s="898">
        <f t="shared" ca="1" si="6"/>
        <v>0</v>
      </c>
      <c r="M96" s="897">
        <f t="shared" ca="1" si="7"/>
        <v>0</v>
      </c>
      <c r="N96" s="898">
        <f t="shared" ca="1" si="8"/>
        <v>0</v>
      </c>
      <c r="O96" s="897">
        <f t="shared" ca="1" si="9"/>
        <v>0</v>
      </c>
    </row>
    <row r="97" spans="1:15" s="5" customFormat="1" ht="16.5" customHeight="1">
      <c r="A97" s="223" t="str">
        <f t="shared" ca="1" si="5"/>
        <v/>
      </c>
      <c r="B97" s="227" t="str">
        <f ca="1">IF(ROWS($1:81)&gt;COUNT(Dong14),"",OFFSET(TH!D$1,SMALL(Dong14,ROWS($1:81)),))</f>
        <v/>
      </c>
      <c r="C97" s="223" t="str">
        <f ca="1">IF(ROWS($1:81)&gt;COUNT(Dong14),"",OFFSET(TH!E$1,SMALL(Dong14,ROWS($1:81)),))</f>
        <v/>
      </c>
      <c r="D97" s="906" t="str">
        <f ca="1">IF(ROWS($1:81)&gt;COUNT(Dong14),"",OFFSET(TH!F$1,SMALL(Dong14,ROWS($1:81)),))</f>
        <v/>
      </c>
      <c r="E97" s="904" t="str">
        <f ca="1">IF(ROWS($1:81)&gt;COUNT(Dong14),"",IF(OFFSET(TH!N$1,SMALL(Dong14,ROWS($1:81)),)="131",OFFSET(TH!O$1,SMALL(Dong14,ROWS($1:81)),),OFFSET(TH!N$1,SMALL(Dong14,ROWS($1:81)),)))</f>
        <v/>
      </c>
      <c r="F97" s="904">
        <f ca="1">IF(ROWS($1:81)&gt;COUNT(Dong14),0,OFFSET(TH!L$1,SMALL(Dong14,ROWS($1:81)),))</f>
        <v>0</v>
      </c>
      <c r="G97" s="904"/>
      <c r="H97" s="905">
        <f ca="1">IF(ROWS($1:81)&gt;COUNT(Dong14),0,IF(OFFSET(TH!N$1,SMALL(Dong14,ROWS($1:81)),)="131",OFFSET(TH!K$1,SMALL(Dong14,ROWS($1:81)),),0))</f>
        <v>0</v>
      </c>
      <c r="I97" s="904">
        <f ca="1">IF(ROWS($1:81)&gt;COUNT(Dong14),0,IF(OFFSET(TH!N$1,SMALL(Dong14,ROWS($1:81)),)="131",OFFSET(TH!M$1,SMALL(Dong14,ROWS($1:81)),),0))</f>
        <v>0</v>
      </c>
      <c r="J97" s="905">
        <f ca="1">IF(ROWS($1:81)&gt;COUNT(Dong14),0,IF(OFFSET(TH!O$1,SMALL(Dong14,ROWS($1:81)),)="131",OFFSET(TH!K$1,SMALL(Dong14,ROWS($1:81)),),0))</f>
        <v>0</v>
      </c>
      <c r="K97" s="904">
        <f ca="1">IF(ROWS($1:81)&gt;COUNT(Dong14),0,IF(OFFSET(TH!O$1,SMALL(Dong14,ROWS($1:81)),)="131",OFFSET(TH!M$1,SMALL(Dong14,ROWS($1:81)),),0))</f>
        <v>0</v>
      </c>
      <c r="L97" s="898">
        <f t="shared" ca="1" si="6"/>
        <v>0</v>
      </c>
      <c r="M97" s="897">
        <f t="shared" ca="1" si="7"/>
        <v>0</v>
      </c>
      <c r="N97" s="898">
        <f t="shared" ca="1" si="8"/>
        <v>0</v>
      </c>
      <c r="O97" s="897">
        <f t="shared" ca="1" si="9"/>
        <v>0</v>
      </c>
    </row>
    <row r="98" spans="1:15" s="5" customFormat="1" ht="16.5" customHeight="1">
      <c r="A98" s="223" t="str">
        <f t="shared" ca="1" si="5"/>
        <v/>
      </c>
      <c r="B98" s="227" t="str">
        <f ca="1">IF(ROWS($1:82)&gt;COUNT(Dong14),"",OFFSET(TH!D$1,SMALL(Dong14,ROWS($1:82)),))</f>
        <v/>
      </c>
      <c r="C98" s="223" t="str">
        <f ca="1">IF(ROWS($1:82)&gt;COUNT(Dong14),"",OFFSET(TH!E$1,SMALL(Dong14,ROWS($1:82)),))</f>
        <v/>
      </c>
      <c r="D98" s="906" t="str">
        <f ca="1">IF(ROWS($1:82)&gt;COUNT(Dong14),"",OFFSET(TH!F$1,SMALL(Dong14,ROWS($1:82)),))</f>
        <v/>
      </c>
      <c r="E98" s="904" t="str">
        <f ca="1">IF(ROWS($1:82)&gt;COUNT(Dong14),"",IF(OFFSET(TH!N$1,SMALL(Dong14,ROWS($1:82)),)="131",OFFSET(TH!O$1,SMALL(Dong14,ROWS($1:82)),),OFFSET(TH!N$1,SMALL(Dong14,ROWS($1:82)),)))</f>
        <v/>
      </c>
      <c r="F98" s="904">
        <f ca="1">IF(ROWS($1:82)&gt;COUNT(Dong14),0,OFFSET(TH!L$1,SMALL(Dong14,ROWS($1:82)),))</f>
        <v>0</v>
      </c>
      <c r="G98" s="904"/>
      <c r="H98" s="905">
        <f ca="1">IF(ROWS($1:82)&gt;COUNT(Dong14),0,IF(OFFSET(TH!N$1,SMALL(Dong14,ROWS($1:82)),)="131",OFFSET(TH!K$1,SMALL(Dong14,ROWS($1:82)),),0))</f>
        <v>0</v>
      </c>
      <c r="I98" s="904">
        <f ca="1">IF(ROWS($1:82)&gt;COUNT(Dong14),0,IF(OFFSET(TH!N$1,SMALL(Dong14,ROWS($1:82)),)="131",OFFSET(TH!M$1,SMALL(Dong14,ROWS($1:82)),),0))</f>
        <v>0</v>
      </c>
      <c r="J98" s="905">
        <f ca="1">IF(ROWS($1:82)&gt;COUNT(Dong14),0,IF(OFFSET(TH!O$1,SMALL(Dong14,ROWS($1:82)),)="131",OFFSET(TH!K$1,SMALL(Dong14,ROWS($1:82)),),0))</f>
        <v>0</v>
      </c>
      <c r="K98" s="904">
        <f ca="1">IF(ROWS($1:82)&gt;COUNT(Dong14),0,IF(OFFSET(TH!O$1,SMALL(Dong14,ROWS($1:82)),)="131",OFFSET(TH!M$1,SMALL(Dong14,ROWS($1:82)),),0))</f>
        <v>0</v>
      </c>
      <c r="L98" s="898">
        <f t="shared" ca="1" si="6"/>
        <v>0</v>
      </c>
      <c r="M98" s="897">
        <f t="shared" ca="1" si="7"/>
        <v>0</v>
      </c>
      <c r="N98" s="898">
        <f t="shared" ca="1" si="8"/>
        <v>0</v>
      </c>
      <c r="O98" s="897">
        <f t="shared" ca="1" si="9"/>
        <v>0</v>
      </c>
    </row>
    <row r="99" spans="1:15" s="5" customFormat="1" ht="16.5" customHeight="1">
      <c r="A99" s="223" t="str">
        <f t="shared" ca="1" si="5"/>
        <v/>
      </c>
      <c r="B99" s="227" t="str">
        <f ca="1">IF(ROWS($1:83)&gt;COUNT(Dong14),"",OFFSET(TH!D$1,SMALL(Dong14,ROWS($1:83)),))</f>
        <v/>
      </c>
      <c r="C99" s="223" t="str">
        <f ca="1">IF(ROWS($1:83)&gt;COUNT(Dong14),"",OFFSET(TH!E$1,SMALL(Dong14,ROWS($1:83)),))</f>
        <v/>
      </c>
      <c r="D99" s="906" t="str">
        <f ca="1">IF(ROWS($1:83)&gt;COUNT(Dong14),"",OFFSET(TH!F$1,SMALL(Dong14,ROWS($1:83)),))</f>
        <v/>
      </c>
      <c r="E99" s="904" t="str">
        <f ca="1">IF(ROWS($1:83)&gt;COUNT(Dong14),"",IF(OFFSET(TH!N$1,SMALL(Dong14,ROWS($1:83)),)="131",OFFSET(TH!O$1,SMALL(Dong14,ROWS($1:83)),),OFFSET(TH!N$1,SMALL(Dong14,ROWS($1:83)),)))</f>
        <v/>
      </c>
      <c r="F99" s="904">
        <f ca="1">IF(ROWS($1:83)&gt;COUNT(Dong14),0,OFFSET(TH!L$1,SMALL(Dong14,ROWS($1:83)),))</f>
        <v>0</v>
      </c>
      <c r="G99" s="904"/>
      <c r="H99" s="905">
        <f ca="1">IF(ROWS($1:83)&gt;COUNT(Dong14),0,IF(OFFSET(TH!N$1,SMALL(Dong14,ROWS($1:83)),)="131",OFFSET(TH!K$1,SMALL(Dong14,ROWS($1:83)),),0))</f>
        <v>0</v>
      </c>
      <c r="I99" s="904">
        <f ca="1">IF(ROWS($1:83)&gt;COUNT(Dong14),0,IF(OFFSET(TH!N$1,SMALL(Dong14,ROWS($1:83)),)="131",OFFSET(TH!M$1,SMALL(Dong14,ROWS($1:83)),),0))</f>
        <v>0</v>
      </c>
      <c r="J99" s="905">
        <f ca="1">IF(ROWS($1:83)&gt;COUNT(Dong14),0,IF(OFFSET(TH!O$1,SMALL(Dong14,ROWS($1:83)),)="131",OFFSET(TH!K$1,SMALL(Dong14,ROWS($1:83)),),0))</f>
        <v>0</v>
      </c>
      <c r="K99" s="904">
        <f ca="1">IF(ROWS($1:83)&gt;COUNT(Dong14),0,IF(OFFSET(TH!O$1,SMALL(Dong14,ROWS($1:83)),)="131",OFFSET(TH!M$1,SMALL(Dong14,ROWS($1:83)),),0))</f>
        <v>0</v>
      </c>
      <c r="L99" s="898">
        <f t="shared" ca="1" si="6"/>
        <v>0</v>
      </c>
      <c r="M99" s="897">
        <f t="shared" ca="1" si="7"/>
        <v>0</v>
      </c>
      <c r="N99" s="898">
        <f t="shared" ca="1" si="8"/>
        <v>0</v>
      </c>
      <c r="O99" s="897">
        <f t="shared" ca="1" si="9"/>
        <v>0</v>
      </c>
    </row>
    <row r="100" spans="1:15" s="5" customFormat="1" ht="16.5" customHeight="1">
      <c r="A100" s="223" t="str">
        <f t="shared" ca="1" si="5"/>
        <v/>
      </c>
      <c r="B100" s="227" t="str">
        <f ca="1">IF(ROWS($1:84)&gt;COUNT(Dong14),"",OFFSET(TH!D$1,SMALL(Dong14,ROWS($1:84)),))</f>
        <v/>
      </c>
      <c r="C100" s="223" t="str">
        <f ca="1">IF(ROWS($1:84)&gt;COUNT(Dong14),"",OFFSET(TH!E$1,SMALL(Dong14,ROWS($1:84)),))</f>
        <v/>
      </c>
      <c r="D100" s="906" t="str">
        <f ca="1">IF(ROWS($1:84)&gt;COUNT(Dong14),"",OFFSET(TH!F$1,SMALL(Dong14,ROWS($1:84)),))</f>
        <v/>
      </c>
      <c r="E100" s="904" t="str">
        <f ca="1">IF(ROWS($1:84)&gt;COUNT(Dong14),"",IF(OFFSET(TH!N$1,SMALL(Dong14,ROWS($1:84)),)="131",OFFSET(TH!O$1,SMALL(Dong14,ROWS($1:84)),),OFFSET(TH!N$1,SMALL(Dong14,ROWS($1:84)),)))</f>
        <v/>
      </c>
      <c r="F100" s="904">
        <f ca="1">IF(ROWS($1:84)&gt;COUNT(Dong14),0,OFFSET(TH!L$1,SMALL(Dong14,ROWS($1:84)),))</f>
        <v>0</v>
      </c>
      <c r="G100" s="904"/>
      <c r="H100" s="905">
        <f ca="1">IF(ROWS($1:84)&gt;COUNT(Dong14),0,IF(OFFSET(TH!N$1,SMALL(Dong14,ROWS($1:84)),)="131",OFFSET(TH!K$1,SMALL(Dong14,ROWS($1:84)),),0))</f>
        <v>0</v>
      </c>
      <c r="I100" s="904">
        <f ca="1">IF(ROWS($1:84)&gt;COUNT(Dong14),0,IF(OFFSET(TH!N$1,SMALL(Dong14,ROWS($1:84)),)="131",OFFSET(TH!M$1,SMALL(Dong14,ROWS($1:84)),),0))</f>
        <v>0</v>
      </c>
      <c r="J100" s="905">
        <f ca="1">IF(ROWS($1:84)&gt;COUNT(Dong14),0,IF(OFFSET(TH!O$1,SMALL(Dong14,ROWS($1:84)),)="131",OFFSET(TH!K$1,SMALL(Dong14,ROWS($1:84)),),0))</f>
        <v>0</v>
      </c>
      <c r="K100" s="904">
        <f ca="1">IF(ROWS($1:84)&gt;COUNT(Dong14),0,IF(OFFSET(TH!O$1,SMALL(Dong14,ROWS($1:84)),)="131",OFFSET(TH!M$1,SMALL(Dong14,ROWS($1:84)),),0))</f>
        <v>0</v>
      </c>
      <c r="L100" s="898">
        <f t="shared" ca="1" si="6"/>
        <v>0</v>
      </c>
      <c r="M100" s="897">
        <f t="shared" ca="1" si="7"/>
        <v>0</v>
      </c>
      <c r="N100" s="898">
        <f t="shared" ca="1" si="8"/>
        <v>0</v>
      </c>
      <c r="O100" s="897">
        <f t="shared" ca="1" si="9"/>
        <v>0</v>
      </c>
    </row>
    <row r="101" spans="1:15" s="5" customFormat="1" ht="16.5" customHeight="1">
      <c r="A101" s="223" t="str">
        <f t="shared" ca="1" si="5"/>
        <v/>
      </c>
      <c r="B101" s="227" t="str">
        <f ca="1">IF(ROWS($1:85)&gt;COUNT(Dong14),"",OFFSET(TH!D$1,SMALL(Dong14,ROWS($1:85)),))</f>
        <v/>
      </c>
      <c r="C101" s="223" t="str">
        <f ca="1">IF(ROWS($1:85)&gt;COUNT(Dong14),"",OFFSET(TH!E$1,SMALL(Dong14,ROWS($1:85)),))</f>
        <v/>
      </c>
      <c r="D101" s="906" t="str">
        <f ca="1">IF(ROWS($1:85)&gt;COUNT(Dong14),"",OFFSET(TH!F$1,SMALL(Dong14,ROWS($1:85)),))</f>
        <v/>
      </c>
      <c r="E101" s="904" t="str">
        <f ca="1">IF(ROWS($1:85)&gt;COUNT(Dong14),"",IF(OFFSET(TH!N$1,SMALL(Dong14,ROWS($1:85)),)="131",OFFSET(TH!O$1,SMALL(Dong14,ROWS($1:85)),),OFFSET(TH!N$1,SMALL(Dong14,ROWS($1:85)),)))</f>
        <v/>
      </c>
      <c r="F101" s="904">
        <f ca="1">IF(ROWS($1:85)&gt;COUNT(Dong14),0,OFFSET(TH!L$1,SMALL(Dong14,ROWS($1:85)),))</f>
        <v>0</v>
      </c>
      <c r="G101" s="904"/>
      <c r="H101" s="905">
        <f ca="1">IF(ROWS($1:85)&gt;COUNT(Dong14),0,IF(OFFSET(TH!N$1,SMALL(Dong14,ROWS($1:85)),)="131",OFFSET(TH!K$1,SMALL(Dong14,ROWS($1:85)),),0))</f>
        <v>0</v>
      </c>
      <c r="I101" s="904">
        <f ca="1">IF(ROWS($1:85)&gt;COUNT(Dong14),0,IF(OFFSET(TH!N$1,SMALL(Dong14,ROWS($1:85)),)="131",OFFSET(TH!M$1,SMALL(Dong14,ROWS($1:85)),),0))</f>
        <v>0</v>
      </c>
      <c r="J101" s="905">
        <f ca="1">IF(ROWS($1:85)&gt;COUNT(Dong14),0,IF(OFFSET(TH!O$1,SMALL(Dong14,ROWS($1:85)),)="131",OFFSET(TH!K$1,SMALL(Dong14,ROWS($1:85)),),0))</f>
        <v>0</v>
      </c>
      <c r="K101" s="904">
        <f ca="1">IF(ROWS($1:85)&gt;COUNT(Dong14),0,IF(OFFSET(TH!O$1,SMALL(Dong14,ROWS($1:85)),)="131",OFFSET(TH!M$1,SMALL(Dong14,ROWS($1:85)),),0))</f>
        <v>0</v>
      </c>
      <c r="L101" s="898">
        <f t="shared" ca="1" si="6"/>
        <v>0</v>
      </c>
      <c r="M101" s="897">
        <f t="shared" ca="1" si="7"/>
        <v>0</v>
      </c>
      <c r="N101" s="898">
        <f t="shared" ca="1" si="8"/>
        <v>0</v>
      </c>
      <c r="O101" s="897">
        <f t="shared" ca="1" si="9"/>
        <v>0</v>
      </c>
    </row>
    <row r="102" spans="1:15" s="5" customFormat="1" ht="16.5" customHeight="1">
      <c r="A102" s="223" t="str">
        <f t="shared" ca="1" si="5"/>
        <v/>
      </c>
      <c r="B102" s="227" t="str">
        <f ca="1">IF(ROWS($1:86)&gt;COUNT(Dong14),"",OFFSET(TH!D$1,SMALL(Dong14,ROWS($1:86)),))</f>
        <v/>
      </c>
      <c r="C102" s="223" t="str">
        <f ca="1">IF(ROWS($1:86)&gt;COUNT(Dong14),"",OFFSET(TH!E$1,SMALL(Dong14,ROWS($1:86)),))</f>
        <v/>
      </c>
      <c r="D102" s="906" t="str">
        <f ca="1">IF(ROWS($1:86)&gt;COUNT(Dong14),"",OFFSET(TH!F$1,SMALL(Dong14,ROWS($1:86)),))</f>
        <v/>
      </c>
      <c r="E102" s="904" t="str">
        <f ca="1">IF(ROWS($1:86)&gt;COUNT(Dong14),"",IF(OFFSET(TH!N$1,SMALL(Dong14,ROWS($1:86)),)="131",OFFSET(TH!O$1,SMALL(Dong14,ROWS($1:86)),),OFFSET(TH!N$1,SMALL(Dong14,ROWS($1:86)),)))</f>
        <v/>
      </c>
      <c r="F102" s="904">
        <f ca="1">IF(ROWS($1:86)&gt;COUNT(Dong14),0,OFFSET(TH!L$1,SMALL(Dong14,ROWS($1:86)),))</f>
        <v>0</v>
      </c>
      <c r="G102" s="904"/>
      <c r="H102" s="905">
        <f ca="1">IF(ROWS($1:86)&gt;COUNT(Dong14),0,IF(OFFSET(TH!N$1,SMALL(Dong14,ROWS($1:86)),)="131",OFFSET(TH!K$1,SMALL(Dong14,ROWS($1:86)),),0))</f>
        <v>0</v>
      </c>
      <c r="I102" s="904">
        <f ca="1">IF(ROWS($1:86)&gt;COUNT(Dong14),0,IF(OFFSET(TH!N$1,SMALL(Dong14,ROWS($1:86)),)="131",OFFSET(TH!M$1,SMALL(Dong14,ROWS($1:86)),),0))</f>
        <v>0</v>
      </c>
      <c r="J102" s="905">
        <f ca="1">IF(ROWS($1:86)&gt;COUNT(Dong14),0,IF(OFFSET(TH!O$1,SMALL(Dong14,ROWS($1:86)),)="131",OFFSET(TH!K$1,SMALL(Dong14,ROWS($1:86)),),0))</f>
        <v>0</v>
      </c>
      <c r="K102" s="904">
        <f ca="1">IF(ROWS($1:86)&gt;COUNT(Dong14),0,IF(OFFSET(TH!O$1,SMALL(Dong14,ROWS($1:86)),)="131",OFFSET(TH!M$1,SMALL(Dong14,ROWS($1:86)),),0))</f>
        <v>0</v>
      </c>
      <c r="L102" s="898">
        <f t="shared" ca="1" si="6"/>
        <v>0</v>
      </c>
      <c r="M102" s="897">
        <f t="shared" ca="1" si="7"/>
        <v>0</v>
      </c>
      <c r="N102" s="898">
        <f t="shared" ca="1" si="8"/>
        <v>0</v>
      </c>
      <c r="O102" s="897">
        <f t="shared" ca="1" si="9"/>
        <v>0</v>
      </c>
    </row>
    <row r="103" spans="1:15" s="5" customFormat="1" ht="16.5" customHeight="1">
      <c r="A103" s="223" t="str">
        <f t="shared" ca="1" si="5"/>
        <v/>
      </c>
      <c r="B103" s="227" t="str">
        <f ca="1">IF(ROWS($1:87)&gt;COUNT(Dong14),"",OFFSET(TH!D$1,SMALL(Dong14,ROWS($1:87)),))</f>
        <v/>
      </c>
      <c r="C103" s="223" t="str">
        <f ca="1">IF(ROWS($1:87)&gt;COUNT(Dong14),"",OFFSET(TH!E$1,SMALL(Dong14,ROWS($1:87)),))</f>
        <v/>
      </c>
      <c r="D103" s="906" t="str">
        <f ca="1">IF(ROWS($1:87)&gt;COUNT(Dong14),"",OFFSET(TH!F$1,SMALL(Dong14,ROWS($1:87)),))</f>
        <v/>
      </c>
      <c r="E103" s="904" t="str">
        <f ca="1">IF(ROWS($1:87)&gt;COUNT(Dong14),"",IF(OFFSET(TH!N$1,SMALL(Dong14,ROWS($1:87)),)="131",OFFSET(TH!O$1,SMALL(Dong14,ROWS($1:87)),),OFFSET(TH!N$1,SMALL(Dong14,ROWS($1:87)),)))</f>
        <v/>
      </c>
      <c r="F103" s="904">
        <f ca="1">IF(ROWS($1:87)&gt;COUNT(Dong14),0,OFFSET(TH!L$1,SMALL(Dong14,ROWS($1:87)),))</f>
        <v>0</v>
      </c>
      <c r="G103" s="904"/>
      <c r="H103" s="905">
        <f ca="1">IF(ROWS($1:87)&gt;COUNT(Dong14),0,IF(OFFSET(TH!N$1,SMALL(Dong14,ROWS($1:87)),)="131",OFFSET(TH!K$1,SMALL(Dong14,ROWS($1:87)),),0))</f>
        <v>0</v>
      </c>
      <c r="I103" s="904">
        <f ca="1">IF(ROWS($1:87)&gt;COUNT(Dong14),0,IF(OFFSET(TH!N$1,SMALL(Dong14,ROWS($1:87)),)="131",OFFSET(TH!M$1,SMALL(Dong14,ROWS($1:87)),),0))</f>
        <v>0</v>
      </c>
      <c r="J103" s="905">
        <f ca="1">IF(ROWS($1:87)&gt;COUNT(Dong14),0,IF(OFFSET(TH!O$1,SMALL(Dong14,ROWS($1:87)),)="131",OFFSET(TH!K$1,SMALL(Dong14,ROWS($1:87)),),0))</f>
        <v>0</v>
      </c>
      <c r="K103" s="904">
        <f ca="1">IF(ROWS($1:87)&gt;COUNT(Dong14),0,IF(OFFSET(TH!O$1,SMALL(Dong14,ROWS($1:87)),)="131",OFFSET(TH!M$1,SMALL(Dong14,ROWS($1:87)),),0))</f>
        <v>0</v>
      </c>
      <c r="L103" s="898">
        <f t="shared" ca="1" si="6"/>
        <v>0</v>
      </c>
      <c r="M103" s="897">
        <f t="shared" ca="1" si="7"/>
        <v>0</v>
      </c>
      <c r="N103" s="898">
        <f t="shared" ca="1" si="8"/>
        <v>0</v>
      </c>
      <c r="O103" s="897">
        <f t="shared" ca="1" si="9"/>
        <v>0</v>
      </c>
    </row>
    <row r="104" spans="1:15" s="5" customFormat="1" ht="16.5" customHeight="1">
      <c r="A104" s="223" t="str">
        <f t="shared" ca="1" si="5"/>
        <v/>
      </c>
      <c r="B104" s="227" t="str">
        <f ca="1">IF(ROWS($1:88)&gt;COUNT(Dong14),"",OFFSET(TH!D$1,SMALL(Dong14,ROWS($1:88)),))</f>
        <v/>
      </c>
      <c r="C104" s="223" t="str">
        <f ca="1">IF(ROWS($1:88)&gt;COUNT(Dong14),"",OFFSET(TH!E$1,SMALL(Dong14,ROWS($1:88)),))</f>
        <v/>
      </c>
      <c r="D104" s="906" t="str">
        <f ca="1">IF(ROWS($1:88)&gt;COUNT(Dong14),"",OFFSET(TH!F$1,SMALL(Dong14,ROWS($1:88)),))</f>
        <v/>
      </c>
      <c r="E104" s="904" t="str">
        <f ca="1">IF(ROWS($1:88)&gt;COUNT(Dong14),"",IF(OFFSET(TH!N$1,SMALL(Dong14,ROWS($1:88)),)="131",OFFSET(TH!O$1,SMALL(Dong14,ROWS($1:88)),),OFFSET(TH!N$1,SMALL(Dong14,ROWS($1:88)),)))</f>
        <v/>
      </c>
      <c r="F104" s="904">
        <f ca="1">IF(ROWS($1:88)&gt;COUNT(Dong14),0,OFFSET(TH!L$1,SMALL(Dong14,ROWS($1:88)),))</f>
        <v>0</v>
      </c>
      <c r="G104" s="904"/>
      <c r="H104" s="905">
        <f ca="1">IF(ROWS($1:88)&gt;COUNT(Dong14),0,IF(OFFSET(TH!N$1,SMALL(Dong14,ROWS($1:88)),)="131",OFFSET(TH!K$1,SMALL(Dong14,ROWS($1:88)),),0))</f>
        <v>0</v>
      </c>
      <c r="I104" s="904">
        <f ca="1">IF(ROWS($1:88)&gt;COUNT(Dong14),0,IF(OFFSET(TH!N$1,SMALL(Dong14,ROWS($1:88)),)="131",OFFSET(TH!M$1,SMALL(Dong14,ROWS($1:88)),),0))</f>
        <v>0</v>
      </c>
      <c r="J104" s="905">
        <f ca="1">IF(ROWS($1:88)&gt;COUNT(Dong14),0,IF(OFFSET(TH!O$1,SMALL(Dong14,ROWS($1:88)),)="131",OFFSET(TH!K$1,SMALL(Dong14,ROWS($1:88)),),0))</f>
        <v>0</v>
      </c>
      <c r="K104" s="904">
        <f ca="1">IF(ROWS($1:88)&gt;COUNT(Dong14),0,IF(OFFSET(TH!O$1,SMALL(Dong14,ROWS($1:88)),)="131",OFFSET(TH!M$1,SMALL(Dong14,ROWS($1:88)),),0))</f>
        <v>0</v>
      </c>
      <c r="L104" s="898">
        <f t="shared" ca="1" si="6"/>
        <v>0</v>
      </c>
      <c r="M104" s="897">
        <f t="shared" ca="1" si="7"/>
        <v>0</v>
      </c>
      <c r="N104" s="898">
        <f t="shared" ca="1" si="8"/>
        <v>0</v>
      </c>
      <c r="O104" s="897">
        <f t="shared" ca="1" si="9"/>
        <v>0</v>
      </c>
    </row>
    <row r="105" spans="1:15" s="5" customFormat="1" ht="16.5" customHeight="1">
      <c r="A105" s="223" t="str">
        <f t="shared" ca="1" si="5"/>
        <v/>
      </c>
      <c r="B105" s="227" t="str">
        <f ca="1">IF(ROWS($1:89)&gt;COUNT(Dong14),"",OFFSET(TH!D$1,SMALL(Dong14,ROWS($1:89)),))</f>
        <v/>
      </c>
      <c r="C105" s="223" t="str">
        <f ca="1">IF(ROWS($1:89)&gt;COUNT(Dong14),"",OFFSET(TH!E$1,SMALL(Dong14,ROWS($1:89)),))</f>
        <v/>
      </c>
      <c r="D105" s="906" t="str">
        <f ca="1">IF(ROWS($1:89)&gt;COUNT(Dong14),"",OFFSET(TH!F$1,SMALL(Dong14,ROWS($1:89)),))</f>
        <v/>
      </c>
      <c r="E105" s="904" t="str">
        <f ca="1">IF(ROWS($1:89)&gt;COUNT(Dong14),"",IF(OFFSET(TH!N$1,SMALL(Dong14,ROWS($1:89)),)="131",OFFSET(TH!O$1,SMALL(Dong14,ROWS($1:89)),),OFFSET(TH!N$1,SMALL(Dong14,ROWS($1:89)),)))</f>
        <v/>
      </c>
      <c r="F105" s="904">
        <f ca="1">IF(ROWS($1:89)&gt;COUNT(Dong14),0,OFFSET(TH!L$1,SMALL(Dong14,ROWS($1:89)),))</f>
        <v>0</v>
      </c>
      <c r="G105" s="904"/>
      <c r="H105" s="905">
        <f ca="1">IF(ROWS($1:89)&gt;COUNT(Dong14),0,IF(OFFSET(TH!N$1,SMALL(Dong14,ROWS($1:89)),)="131",OFFSET(TH!K$1,SMALL(Dong14,ROWS($1:89)),),0))</f>
        <v>0</v>
      </c>
      <c r="I105" s="904">
        <f ca="1">IF(ROWS($1:89)&gt;COUNT(Dong14),0,IF(OFFSET(TH!N$1,SMALL(Dong14,ROWS($1:89)),)="131",OFFSET(TH!M$1,SMALL(Dong14,ROWS($1:89)),),0))</f>
        <v>0</v>
      </c>
      <c r="J105" s="905">
        <f ca="1">IF(ROWS($1:89)&gt;COUNT(Dong14),0,IF(OFFSET(TH!O$1,SMALL(Dong14,ROWS($1:89)),)="131",OFFSET(TH!K$1,SMALL(Dong14,ROWS($1:89)),),0))</f>
        <v>0</v>
      </c>
      <c r="K105" s="904">
        <f ca="1">IF(ROWS($1:89)&gt;COUNT(Dong14),0,IF(OFFSET(TH!O$1,SMALL(Dong14,ROWS($1:89)),)="131",OFFSET(TH!M$1,SMALL(Dong14,ROWS($1:89)),),0))</f>
        <v>0</v>
      </c>
      <c r="L105" s="898">
        <f t="shared" ca="1" si="6"/>
        <v>0</v>
      </c>
      <c r="M105" s="897">
        <f t="shared" ca="1" si="7"/>
        <v>0</v>
      </c>
      <c r="N105" s="898">
        <f t="shared" ca="1" si="8"/>
        <v>0</v>
      </c>
      <c r="O105" s="897">
        <f t="shared" ca="1" si="9"/>
        <v>0</v>
      </c>
    </row>
    <row r="106" spans="1:15" s="5" customFormat="1" ht="16.5" customHeight="1">
      <c r="A106" s="223" t="str">
        <f t="shared" ca="1" si="5"/>
        <v/>
      </c>
      <c r="B106" s="227" t="str">
        <f ca="1">IF(ROWS($1:90)&gt;COUNT(Dong14),"",OFFSET(TH!D$1,SMALL(Dong14,ROWS($1:90)),))</f>
        <v/>
      </c>
      <c r="C106" s="223" t="str">
        <f ca="1">IF(ROWS($1:90)&gt;COUNT(Dong14),"",OFFSET(TH!E$1,SMALL(Dong14,ROWS($1:90)),))</f>
        <v/>
      </c>
      <c r="D106" s="906" t="str">
        <f ca="1">IF(ROWS($1:90)&gt;COUNT(Dong14),"",OFFSET(TH!F$1,SMALL(Dong14,ROWS($1:90)),))</f>
        <v/>
      </c>
      <c r="E106" s="904" t="str">
        <f ca="1">IF(ROWS($1:90)&gt;COUNT(Dong14),"",IF(OFFSET(TH!N$1,SMALL(Dong14,ROWS($1:90)),)="131",OFFSET(TH!O$1,SMALL(Dong14,ROWS($1:90)),),OFFSET(TH!N$1,SMALL(Dong14,ROWS($1:90)),)))</f>
        <v/>
      </c>
      <c r="F106" s="904">
        <f ca="1">IF(ROWS($1:90)&gt;COUNT(Dong14),0,OFFSET(TH!L$1,SMALL(Dong14,ROWS($1:90)),))</f>
        <v>0</v>
      </c>
      <c r="G106" s="904"/>
      <c r="H106" s="905">
        <f ca="1">IF(ROWS($1:90)&gt;COUNT(Dong14),0,IF(OFFSET(TH!N$1,SMALL(Dong14,ROWS($1:90)),)="131",OFFSET(TH!K$1,SMALL(Dong14,ROWS($1:90)),),0))</f>
        <v>0</v>
      </c>
      <c r="I106" s="904">
        <f ca="1">IF(ROWS($1:90)&gt;COUNT(Dong14),0,IF(OFFSET(TH!N$1,SMALL(Dong14,ROWS($1:90)),)="131",OFFSET(TH!M$1,SMALL(Dong14,ROWS($1:90)),),0))</f>
        <v>0</v>
      </c>
      <c r="J106" s="905">
        <f ca="1">IF(ROWS($1:90)&gt;COUNT(Dong14),0,IF(OFFSET(TH!O$1,SMALL(Dong14,ROWS($1:90)),)="131",OFFSET(TH!K$1,SMALL(Dong14,ROWS($1:90)),),0))</f>
        <v>0</v>
      </c>
      <c r="K106" s="904">
        <f ca="1">IF(ROWS($1:90)&gt;COUNT(Dong14),0,IF(OFFSET(TH!O$1,SMALL(Dong14,ROWS($1:90)),)="131",OFFSET(TH!M$1,SMALL(Dong14,ROWS($1:90)),),0))</f>
        <v>0</v>
      </c>
      <c r="L106" s="898">
        <f t="shared" ca="1" si="6"/>
        <v>0</v>
      </c>
      <c r="M106" s="897">
        <f t="shared" ca="1" si="7"/>
        <v>0</v>
      </c>
      <c r="N106" s="898">
        <f t="shared" ca="1" si="8"/>
        <v>0</v>
      </c>
      <c r="O106" s="897">
        <f t="shared" ca="1" si="9"/>
        <v>0</v>
      </c>
    </row>
    <row r="107" spans="1:15" s="5" customFormat="1" ht="16.5" customHeight="1">
      <c r="A107" s="223" t="str">
        <f t="shared" ca="1" si="5"/>
        <v/>
      </c>
      <c r="B107" s="227" t="str">
        <f ca="1">IF(ROWS($1:91)&gt;COUNT(Dong14),"",OFFSET(TH!D$1,SMALL(Dong14,ROWS($1:91)),))</f>
        <v/>
      </c>
      <c r="C107" s="223" t="str">
        <f ca="1">IF(ROWS($1:91)&gt;COUNT(Dong14),"",OFFSET(TH!E$1,SMALL(Dong14,ROWS($1:91)),))</f>
        <v/>
      </c>
      <c r="D107" s="906" t="str">
        <f ca="1">IF(ROWS($1:91)&gt;COUNT(Dong14),"",OFFSET(TH!F$1,SMALL(Dong14,ROWS($1:91)),))</f>
        <v/>
      </c>
      <c r="E107" s="904" t="str">
        <f ca="1">IF(ROWS($1:91)&gt;COUNT(Dong14),"",IF(OFFSET(TH!N$1,SMALL(Dong14,ROWS($1:91)),)="131",OFFSET(TH!O$1,SMALL(Dong14,ROWS($1:91)),),OFFSET(TH!N$1,SMALL(Dong14,ROWS($1:91)),)))</f>
        <v/>
      </c>
      <c r="F107" s="904">
        <f ca="1">IF(ROWS($1:91)&gt;COUNT(Dong14),0,OFFSET(TH!L$1,SMALL(Dong14,ROWS($1:91)),))</f>
        <v>0</v>
      </c>
      <c r="G107" s="904"/>
      <c r="H107" s="905">
        <f ca="1">IF(ROWS($1:91)&gt;COUNT(Dong14),0,IF(OFFSET(TH!N$1,SMALL(Dong14,ROWS($1:91)),)="131",OFFSET(TH!K$1,SMALL(Dong14,ROWS($1:91)),),0))</f>
        <v>0</v>
      </c>
      <c r="I107" s="904">
        <f ca="1">IF(ROWS($1:91)&gt;COUNT(Dong14),0,IF(OFFSET(TH!N$1,SMALL(Dong14,ROWS($1:91)),)="131",OFFSET(TH!M$1,SMALL(Dong14,ROWS($1:91)),),0))</f>
        <v>0</v>
      </c>
      <c r="J107" s="905">
        <f ca="1">IF(ROWS($1:91)&gt;COUNT(Dong14),0,IF(OFFSET(TH!O$1,SMALL(Dong14,ROWS($1:91)),)="131",OFFSET(TH!K$1,SMALL(Dong14,ROWS($1:91)),),0))</f>
        <v>0</v>
      </c>
      <c r="K107" s="904">
        <f ca="1">IF(ROWS($1:91)&gt;COUNT(Dong14),0,IF(OFFSET(TH!O$1,SMALL(Dong14,ROWS($1:91)),)="131",OFFSET(TH!M$1,SMALL(Dong14,ROWS($1:91)),),0))</f>
        <v>0</v>
      </c>
      <c r="L107" s="898">
        <f t="shared" ca="1" si="6"/>
        <v>0</v>
      </c>
      <c r="M107" s="897">
        <f t="shared" ca="1" si="7"/>
        <v>0</v>
      </c>
      <c r="N107" s="898">
        <f t="shared" ca="1" si="8"/>
        <v>0</v>
      </c>
      <c r="O107" s="897">
        <f t="shared" ca="1" si="9"/>
        <v>0</v>
      </c>
    </row>
    <row r="108" spans="1:15" s="5" customFormat="1" ht="16.5" customHeight="1">
      <c r="A108" s="223" t="str">
        <f t="shared" ca="1" si="5"/>
        <v/>
      </c>
      <c r="B108" s="227" t="str">
        <f ca="1">IF(ROWS($1:92)&gt;COUNT(Dong14),"",OFFSET(TH!D$1,SMALL(Dong14,ROWS($1:92)),))</f>
        <v/>
      </c>
      <c r="C108" s="223" t="str">
        <f ca="1">IF(ROWS($1:92)&gt;COUNT(Dong14),"",OFFSET(TH!E$1,SMALL(Dong14,ROWS($1:92)),))</f>
        <v/>
      </c>
      <c r="D108" s="906" t="str">
        <f ca="1">IF(ROWS($1:92)&gt;COUNT(Dong14),"",OFFSET(TH!F$1,SMALL(Dong14,ROWS($1:92)),))</f>
        <v/>
      </c>
      <c r="E108" s="904" t="str">
        <f ca="1">IF(ROWS($1:92)&gt;COUNT(Dong14),"",IF(OFFSET(TH!N$1,SMALL(Dong14,ROWS($1:92)),)="131",OFFSET(TH!O$1,SMALL(Dong14,ROWS($1:92)),),OFFSET(TH!N$1,SMALL(Dong14,ROWS($1:92)),)))</f>
        <v/>
      </c>
      <c r="F108" s="904">
        <f ca="1">IF(ROWS($1:92)&gt;COUNT(Dong14),0,OFFSET(TH!L$1,SMALL(Dong14,ROWS($1:92)),))</f>
        <v>0</v>
      </c>
      <c r="G108" s="904"/>
      <c r="H108" s="905">
        <f ca="1">IF(ROWS($1:92)&gt;COUNT(Dong14),0,IF(OFFSET(TH!N$1,SMALL(Dong14,ROWS($1:92)),)="131",OFFSET(TH!K$1,SMALL(Dong14,ROWS($1:92)),),0))</f>
        <v>0</v>
      </c>
      <c r="I108" s="904">
        <f ca="1">IF(ROWS($1:92)&gt;COUNT(Dong14),0,IF(OFFSET(TH!N$1,SMALL(Dong14,ROWS($1:92)),)="131",OFFSET(TH!M$1,SMALL(Dong14,ROWS($1:92)),),0))</f>
        <v>0</v>
      </c>
      <c r="J108" s="905">
        <f ca="1">IF(ROWS($1:92)&gt;COUNT(Dong14),0,IF(OFFSET(TH!O$1,SMALL(Dong14,ROWS($1:92)),)="131",OFFSET(TH!K$1,SMALL(Dong14,ROWS($1:92)),),0))</f>
        <v>0</v>
      </c>
      <c r="K108" s="904">
        <f ca="1">IF(ROWS($1:92)&gt;COUNT(Dong14),0,IF(OFFSET(TH!O$1,SMALL(Dong14,ROWS($1:92)),)="131",OFFSET(TH!M$1,SMALL(Dong14,ROWS($1:92)),),0))</f>
        <v>0</v>
      </c>
      <c r="L108" s="898">
        <f t="shared" ca="1" si="6"/>
        <v>0</v>
      </c>
      <c r="M108" s="897">
        <f t="shared" ca="1" si="7"/>
        <v>0</v>
      </c>
      <c r="N108" s="898">
        <f t="shared" ca="1" si="8"/>
        <v>0</v>
      </c>
      <c r="O108" s="897">
        <f t="shared" ca="1" si="9"/>
        <v>0</v>
      </c>
    </row>
    <row r="109" spans="1:15" s="5" customFormat="1" ht="16.5" customHeight="1">
      <c r="A109" s="223" t="str">
        <f t="shared" ca="1" si="5"/>
        <v/>
      </c>
      <c r="B109" s="227" t="str">
        <f ca="1">IF(ROWS($1:93)&gt;COUNT(Dong14),"",OFFSET(TH!D$1,SMALL(Dong14,ROWS($1:93)),))</f>
        <v/>
      </c>
      <c r="C109" s="223" t="str">
        <f ca="1">IF(ROWS($1:93)&gt;COUNT(Dong14),"",OFFSET(TH!E$1,SMALL(Dong14,ROWS($1:93)),))</f>
        <v/>
      </c>
      <c r="D109" s="906" t="str">
        <f ca="1">IF(ROWS($1:93)&gt;COUNT(Dong14),"",OFFSET(TH!F$1,SMALL(Dong14,ROWS($1:93)),))</f>
        <v/>
      </c>
      <c r="E109" s="904" t="str">
        <f ca="1">IF(ROWS($1:93)&gt;COUNT(Dong14),"",IF(OFFSET(TH!N$1,SMALL(Dong14,ROWS($1:93)),)="131",OFFSET(TH!O$1,SMALL(Dong14,ROWS($1:93)),),OFFSET(TH!N$1,SMALL(Dong14,ROWS($1:93)),)))</f>
        <v/>
      </c>
      <c r="F109" s="904">
        <f ca="1">IF(ROWS($1:93)&gt;COUNT(Dong14),0,OFFSET(TH!L$1,SMALL(Dong14,ROWS($1:93)),))</f>
        <v>0</v>
      </c>
      <c r="G109" s="904"/>
      <c r="H109" s="905">
        <f ca="1">IF(ROWS($1:93)&gt;COUNT(Dong14),0,IF(OFFSET(TH!N$1,SMALL(Dong14,ROWS($1:93)),)="131",OFFSET(TH!K$1,SMALL(Dong14,ROWS($1:93)),),0))</f>
        <v>0</v>
      </c>
      <c r="I109" s="904">
        <f ca="1">IF(ROWS($1:93)&gt;COUNT(Dong14),0,IF(OFFSET(TH!N$1,SMALL(Dong14,ROWS($1:93)),)="131",OFFSET(TH!M$1,SMALL(Dong14,ROWS($1:93)),),0))</f>
        <v>0</v>
      </c>
      <c r="J109" s="905">
        <f ca="1">IF(ROWS($1:93)&gt;COUNT(Dong14),0,IF(OFFSET(TH!O$1,SMALL(Dong14,ROWS($1:93)),)="131",OFFSET(TH!K$1,SMALL(Dong14,ROWS($1:93)),),0))</f>
        <v>0</v>
      </c>
      <c r="K109" s="904">
        <f ca="1">IF(ROWS($1:93)&gt;COUNT(Dong14),0,IF(OFFSET(TH!O$1,SMALL(Dong14,ROWS($1:93)),)="131",OFFSET(TH!M$1,SMALL(Dong14,ROWS($1:93)),),0))</f>
        <v>0</v>
      </c>
      <c r="L109" s="898">
        <f t="shared" ca="1" si="6"/>
        <v>0</v>
      </c>
      <c r="M109" s="897">
        <f t="shared" ca="1" si="7"/>
        <v>0</v>
      </c>
      <c r="N109" s="898">
        <f t="shared" ca="1" si="8"/>
        <v>0</v>
      </c>
      <c r="O109" s="897">
        <f t="shared" ca="1" si="9"/>
        <v>0</v>
      </c>
    </row>
    <row r="110" spans="1:15" s="5" customFormat="1" ht="16.5" customHeight="1">
      <c r="A110" s="223"/>
      <c r="B110" s="901"/>
      <c r="C110" s="1209"/>
      <c r="D110" s="902"/>
      <c r="E110" s="1210"/>
      <c r="F110" s="1210"/>
      <c r="G110" s="1210"/>
      <c r="H110" s="1211"/>
      <c r="I110" s="904"/>
      <c r="J110" s="1211"/>
      <c r="K110" s="1210"/>
      <c r="L110" s="898"/>
      <c r="M110" s="897"/>
      <c r="N110" s="898"/>
      <c r="O110" s="897"/>
    </row>
    <row r="111" spans="1:15" s="5" customFormat="1" ht="16.5" customHeight="1">
      <c r="A111" s="223"/>
      <c r="B111" s="901"/>
      <c r="C111" s="1209"/>
      <c r="D111" s="902"/>
      <c r="E111" s="1210"/>
      <c r="F111" s="1210"/>
      <c r="G111" s="1210"/>
      <c r="H111" s="1211"/>
      <c r="I111" s="904"/>
      <c r="J111" s="1211"/>
      <c r="K111" s="1210"/>
      <c r="L111" s="898"/>
      <c r="M111" s="897"/>
      <c r="N111" s="898"/>
      <c r="O111" s="897"/>
    </row>
    <row r="112" spans="1:15" s="5" customFormat="1" ht="16.5" customHeight="1">
      <c r="A112" s="223"/>
      <c r="B112" s="901"/>
      <c r="C112" s="1209"/>
      <c r="D112" s="902"/>
      <c r="E112" s="1210"/>
      <c r="F112" s="1210"/>
      <c r="G112" s="1210"/>
      <c r="H112" s="1211"/>
      <c r="I112" s="904"/>
      <c r="J112" s="1211"/>
      <c r="K112" s="1210"/>
      <c r="L112" s="898"/>
      <c r="M112" s="897"/>
      <c r="N112" s="898"/>
      <c r="O112" s="897"/>
    </row>
    <row r="113" spans="1:15" s="5" customFormat="1" ht="16.5" customHeight="1">
      <c r="A113" s="223"/>
      <c r="B113" s="901"/>
      <c r="C113" s="1209"/>
      <c r="D113" s="902"/>
      <c r="E113" s="1210"/>
      <c r="F113" s="1210"/>
      <c r="G113" s="1210"/>
      <c r="H113" s="1211"/>
      <c r="I113" s="904"/>
      <c r="J113" s="1211"/>
      <c r="K113" s="1210"/>
      <c r="L113" s="898"/>
      <c r="M113" s="897"/>
      <c r="N113" s="898"/>
      <c r="O113" s="897"/>
    </row>
    <row r="114" spans="1:15" s="5" customFormat="1" ht="16.5" customHeight="1">
      <c r="A114" s="223" t="str">
        <f t="shared" ref="A114" si="10">IF(C114&lt;&gt;"",C114,"")</f>
        <v/>
      </c>
      <c r="B114" s="902"/>
      <c r="C114" s="902"/>
      <c r="D114" s="903"/>
      <c r="E114" s="902"/>
      <c r="F114" s="901"/>
      <c r="G114" s="899"/>
      <c r="H114" s="900"/>
      <c r="I114" s="897"/>
      <c r="J114" s="900"/>
      <c r="K114" s="899"/>
      <c r="L114" s="898"/>
      <c r="M114" s="897"/>
      <c r="N114" s="898"/>
      <c r="O114" s="897"/>
    </row>
    <row r="115" spans="1:15" s="5" customFormat="1" ht="16.5" customHeight="1">
      <c r="A115" s="896"/>
      <c r="B115" s="896"/>
      <c r="C115" s="896"/>
      <c r="D115" s="895" t="s">
        <v>35</v>
      </c>
      <c r="E115" s="894" t="s">
        <v>21</v>
      </c>
      <c r="F115" s="894"/>
      <c r="G115" s="891" t="s">
        <v>21</v>
      </c>
      <c r="H115" s="892">
        <f ca="1">SUM(H17:H114)</f>
        <v>1898000</v>
      </c>
      <c r="I115" s="891">
        <f ca="1">SUM(I17:I114)</f>
        <v>42435192992</v>
      </c>
      <c r="J115" s="893">
        <f ca="1">SUM(J17:J114)</f>
        <v>296400</v>
      </c>
      <c r="K115" s="891">
        <f ca="1">ROUND(SUM(K17:K114),0)</f>
        <v>6610312992</v>
      </c>
      <c r="L115" s="892" t="s">
        <v>21</v>
      </c>
      <c r="M115" s="891" t="s">
        <v>21</v>
      </c>
      <c r="N115" s="891" t="s">
        <v>21</v>
      </c>
      <c r="O115" s="891" t="s">
        <v>21</v>
      </c>
    </row>
    <row r="116" spans="1:15" s="5" customFormat="1" ht="16.5" customHeight="1">
      <c r="A116" s="896"/>
      <c r="B116" s="896"/>
      <c r="C116" s="896"/>
      <c r="D116" s="895" t="s">
        <v>10</v>
      </c>
      <c r="E116" s="894" t="s">
        <v>21</v>
      </c>
      <c r="F116" s="894"/>
      <c r="G116" s="891" t="s">
        <v>21</v>
      </c>
      <c r="H116" s="892" t="s">
        <v>21</v>
      </c>
      <c r="I116" s="891" t="s">
        <v>21</v>
      </c>
      <c r="J116" s="893" t="s">
        <v>21</v>
      </c>
      <c r="K116" s="891" t="s">
        <v>21</v>
      </c>
      <c r="L116" s="892">
        <f ca="1">ROUND(MAX(L16+H115-N16-J115,0),2)</f>
        <v>1601600</v>
      </c>
      <c r="M116" s="891">
        <f ca="1">ROUND(MAX(M16+I115-O16-K115,0),0)</f>
        <v>35824880000</v>
      </c>
      <c r="N116" s="891">
        <f ca="1">ROUND(MAX(N16+J115-L16-H115,0),2)</f>
        <v>0</v>
      </c>
      <c r="O116" s="891">
        <f ca="1">ROUND(MAX(O16+K115-M16-I115,0),-1)</f>
        <v>0</v>
      </c>
    </row>
    <row r="117" spans="1:15" s="5" customFormat="1" ht="15">
      <c r="A117" s="224" t="s">
        <v>490</v>
      </c>
      <c r="B117" s="4"/>
      <c r="C117" s="4"/>
      <c r="E117" s="4"/>
      <c r="F117" s="860"/>
      <c r="G117" s="888"/>
      <c r="H117" s="890"/>
      <c r="I117" s="888"/>
      <c r="J117" s="247"/>
      <c r="K117" s="888"/>
    </row>
    <row r="118" spans="1:15" s="5" customFormat="1" ht="15">
      <c r="A118" s="224" t="s">
        <v>188</v>
      </c>
      <c r="B118" s="4"/>
      <c r="C118" s="4"/>
      <c r="E118" s="4"/>
      <c r="F118" s="860"/>
      <c r="G118" s="888"/>
      <c r="H118" s="890"/>
      <c r="I118" s="888"/>
      <c r="J118" s="247"/>
      <c r="K118" s="888"/>
    </row>
    <row r="119" spans="1:15" s="5" customFormat="1" ht="15">
      <c r="A119" s="4"/>
      <c r="B119" s="4"/>
      <c r="C119" s="4"/>
      <c r="E119" s="4"/>
      <c r="F119" s="860"/>
      <c r="G119" s="888"/>
      <c r="H119" s="889"/>
      <c r="I119" s="888"/>
      <c r="J119" s="1326" t="s">
        <v>175</v>
      </c>
      <c r="K119" s="1326"/>
      <c r="L119" s="1326"/>
      <c r="M119" s="1326"/>
      <c r="N119" s="1326"/>
      <c r="O119" s="1326"/>
    </row>
    <row r="120" spans="1:15" s="5" customFormat="1" ht="15">
      <c r="A120" s="4"/>
      <c r="C120" s="4"/>
      <c r="D120" s="1073" t="s">
        <v>11</v>
      </c>
      <c r="E120" s="4"/>
      <c r="F120" s="860"/>
      <c r="G120" s="888"/>
      <c r="H120" s="889"/>
      <c r="I120" s="888"/>
      <c r="J120" s="247"/>
      <c r="K120" s="888"/>
      <c r="L120" s="1326" t="s">
        <v>12</v>
      </c>
      <c r="M120" s="1326"/>
    </row>
    <row r="121" spans="1:15" s="5" customFormat="1" ht="15">
      <c r="A121" s="4"/>
      <c r="C121" s="4"/>
      <c r="D121" s="1073" t="s">
        <v>13</v>
      </c>
      <c r="E121" s="4"/>
      <c r="F121" s="860"/>
      <c r="G121" s="888"/>
      <c r="H121" s="889"/>
      <c r="I121" s="888"/>
      <c r="J121" s="247"/>
      <c r="K121" s="888"/>
      <c r="L121" s="1326" t="s">
        <v>13</v>
      </c>
      <c r="M121" s="1326"/>
    </row>
    <row r="122" spans="1:15">
      <c r="D122" s="1107"/>
    </row>
    <row r="123" spans="1:15">
      <c r="D123" s="1107"/>
    </row>
    <row r="124" spans="1:15">
      <c r="D124" s="1107"/>
    </row>
    <row r="125" spans="1:15">
      <c r="D125" s="1107"/>
    </row>
    <row r="126" spans="1:15">
      <c r="D126" s="1107"/>
    </row>
    <row r="127" spans="1:15">
      <c r="D127" s="1107"/>
    </row>
    <row r="128" spans="1:15">
      <c r="D128" s="1107"/>
    </row>
    <row r="129" spans="3:4">
      <c r="C129" s="1076"/>
      <c r="D129" s="1076" t="s">
        <v>229</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4.xml><?xml version="1.0" encoding="utf-8"?>
<worksheet xmlns="http://schemas.openxmlformats.org/spreadsheetml/2006/main" xmlns:r="http://schemas.openxmlformats.org/officeDocument/2006/relationships">
  <sheetPr>
    <tabColor indexed="28"/>
  </sheetPr>
  <dimension ref="A1:T117"/>
  <sheetViews>
    <sheetView topLeftCell="A6" workbookViewId="0">
      <pane xSplit="3" ySplit="6" topLeftCell="D18" activePane="bottomRight" state="frozen"/>
      <selection activeCell="C33" sqref="C33"/>
      <selection pane="topRight" activeCell="C33" sqref="C33"/>
      <selection pane="bottomLeft" activeCell="C33" sqref="C33"/>
      <selection pane="bottomRight" activeCell="O58" sqref="O58"/>
    </sheetView>
  </sheetViews>
  <sheetFormatPr defaultRowHeight="12.75"/>
  <cols>
    <col min="1" max="1" width="3.7109375" style="493" customWidth="1"/>
    <col min="2" max="2" width="3.42578125" style="493" customWidth="1"/>
    <col min="3" max="3" width="28.28515625" style="493" customWidth="1"/>
    <col min="4" max="4" width="7.7109375" style="498" customWidth="1"/>
    <col min="5" max="5" width="9.42578125" style="533" customWidth="1"/>
    <col min="6" max="6" width="12.5703125" style="533" customWidth="1"/>
    <col min="7" max="7" width="11.85546875" style="502" customWidth="1"/>
    <col min="8" max="8" width="15.42578125" style="502" customWidth="1"/>
    <col min="9" max="9" width="11.7109375" style="502" customWidth="1"/>
    <col min="10" max="10" width="13.85546875" style="502" customWidth="1"/>
    <col min="11" max="11" width="12" style="502" customWidth="1"/>
    <col min="12" max="12" width="12.85546875" style="502" customWidth="1"/>
    <col min="13" max="13" width="3.28515625" style="494" customWidth="1"/>
    <col min="14" max="14" width="24.140625" style="493" customWidth="1"/>
    <col min="15" max="15" width="10.5703125" style="493" customWidth="1"/>
    <col min="16" max="16" width="10.42578125" style="493" customWidth="1"/>
    <col min="17" max="17" width="22.28515625" style="493" customWidth="1"/>
    <col min="18" max="18" width="12" style="493" customWidth="1"/>
    <col min="19" max="19" width="4.85546875" style="493" customWidth="1"/>
    <col min="20" max="16384" width="9.140625" style="493"/>
  </cols>
  <sheetData>
    <row r="1" spans="1:19" s="448" customFormat="1" ht="14.25" customHeight="1">
      <c r="B1" s="480" t="s">
        <v>316</v>
      </c>
      <c r="C1" s="481"/>
      <c r="D1" s="481"/>
      <c r="E1" s="481"/>
      <c r="F1" s="482"/>
      <c r="G1" s="482"/>
      <c r="H1" s="1278" t="s">
        <v>317</v>
      </c>
      <c r="I1" s="1278"/>
      <c r="J1" s="1278"/>
      <c r="K1" s="1278"/>
      <c r="L1" s="1278"/>
      <c r="M1" s="483"/>
      <c r="N1" s="237"/>
      <c r="O1" s="446"/>
    </row>
    <row r="2" spans="1:19" s="448" customFormat="1" ht="14.25" customHeight="1">
      <c r="B2" s="484" t="s">
        <v>318</v>
      </c>
      <c r="C2" s="485"/>
      <c r="D2" s="485"/>
      <c r="E2" s="485"/>
      <c r="F2" s="485"/>
      <c r="G2" s="485"/>
      <c r="H2" s="1279" t="s">
        <v>319</v>
      </c>
      <c r="I2" s="1279"/>
      <c r="J2" s="1279"/>
      <c r="K2" s="1279"/>
      <c r="L2" s="1279"/>
      <c r="M2" s="486"/>
      <c r="N2" s="238"/>
      <c r="O2" s="447"/>
    </row>
    <row r="3" spans="1:19" s="448" customFormat="1" ht="14.25" customHeight="1">
      <c r="B3" s="485"/>
      <c r="C3" s="485"/>
      <c r="D3" s="485"/>
      <c r="E3" s="485"/>
      <c r="F3" s="485"/>
      <c r="G3" s="485"/>
      <c r="H3" s="1373" t="s">
        <v>320</v>
      </c>
      <c r="I3" s="1373"/>
      <c r="J3" s="1373"/>
      <c r="K3" s="1373"/>
      <c r="L3" s="1373"/>
      <c r="M3" s="487"/>
      <c r="N3" s="488"/>
      <c r="O3" s="447"/>
    </row>
    <row r="4" spans="1:19" s="489" customFormat="1" ht="27.75" customHeight="1">
      <c r="B4" s="1374" t="s">
        <v>321</v>
      </c>
      <c r="C4" s="1374"/>
      <c r="D4" s="1374"/>
      <c r="E4" s="1374"/>
      <c r="F4" s="1374"/>
      <c r="G4" s="1374"/>
      <c r="H4" s="1374"/>
      <c r="I4" s="1374"/>
      <c r="J4" s="1374"/>
      <c r="K4" s="1374"/>
      <c r="L4" s="1374"/>
      <c r="M4" s="490"/>
    </row>
    <row r="5" spans="1:19" s="489" customFormat="1" ht="15">
      <c r="B5" s="1372" t="s">
        <v>322</v>
      </c>
      <c r="C5" s="1372"/>
      <c r="D5" s="1372"/>
      <c r="E5" s="1372"/>
      <c r="F5" s="1372"/>
      <c r="G5" s="1372"/>
      <c r="H5" s="1372"/>
      <c r="I5" s="1372"/>
      <c r="J5" s="1372"/>
      <c r="K5" s="1372"/>
      <c r="L5" s="1372"/>
      <c r="M5" s="490"/>
    </row>
    <row r="6" spans="1:19" s="489" customFormat="1" ht="15" hidden="1">
      <c r="B6" s="1372" t="s">
        <v>323</v>
      </c>
      <c r="C6" s="1372"/>
      <c r="D6" s="1372"/>
      <c r="E6" s="1372"/>
      <c r="F6" s="1372"/>
      <c r="G6" s="1372"/>
      <c r="H6" s="1372"/>
      <c r="I6" s="1372"/>
      <c r="J6" s="1372"/>
      <c r="K6" s="1372"/>
      <c r="L6" s="1372"/>
      <c r="M6" s="490"/>
    </row>
    <row r="7" spans="1:19" s="491" customFormat="1" ht="27.75" hidden="1">
      <c r="C7" s="1384" t="s">
        <v>324</v>
      </c>
      <c r="D7" s="1384"/>
      <c r="E7" s="1384"/>
      <c r="F7" s="1384"/>
      <c r="G7" s="1384"/>
      <c r="H7" s="1384"/>
      <c r="I7" s="1384"/>
      <c r="J7" s="1384"/>
      <c r="K7" s="1384"/>
      <c r="L7" s="1384"/>
      <c r="M7" s="492"/>
    </row>
    <row r="8" spans="1:19">
      <c r="B8" s="1375" t="s">
        <v>37</v>
      </c>
      <c r="C8" s="1376" t="s">
        <v>325</v>
      </c>
      <c r="D8" s="1377" t="s">
        <v>326</v>
      </c>
      <c r="E8" s="1379" t="s">
        <v>167</v>
      </c>
      <c r="F8" s="1379"/>
      <c r="G8" s="1379"/>
      <c r="H8" s="1379"/>
      <c r="I8" s="1379"/>
      <c r="J8" s="1379"/>
      <c r="K8" s="1379"/>
      <c r="L8" s="1379"/>
      <c r="N8" s="1380" t="s">
        <v>327</v>
      </c>
      <c r="O8" s="1380" t="s">
        <v>328</v>
      </c>
      <c r="P8" s="1380" t="s">
        <v>329</v>
      </c>
      <c r="Q8" s="1380" t="s">
        <v>330</v>
      </c>
      <c r="R8" s="1380" t="s">
        <v>331</v>
      </c>
      <c r="S8" s="1380" t="s">
        <v>332</v>
      </c>
    </row>
    <row r="9" spans="1:19" ht="20.25" customHeight="1">
      <c r="B9" s="1375"/>
      <c r="C9" s="1376"/>
      <c r="D9" s="1378"/>
      <c r="E9" s="1379" t="s">
        <v>333</v>
      </c>
      <c r="F9" s="1379"/>
      <c r="G9" s="1383" t="s">
        <v>334</v>
      </c>
      <c r="H9" s="1383"/>
      <c r="I9" s="1383" t="s">
        <v>335</v>
      </c>
      <c r="J9" s="1383"/>
      <c r="K9" s="1383" t="s">
        <v>336</v>
      </c>
      <c r="L9" s="1383"/>
      <c r="N9" s="1381"/>
      <c r="O9" s="1381"/>
      <c r="P9" s="1381"/>
      <c r="Q9" s="1381"/>
      <c r="R9" s="1381"/>
      <c r="S9" s="1381"/>
    </row>
    <row r="10" spans="1:19" ht="20.25" hidden="1" customHeight="1">
      <c r="B10" s="1375"/>
      <c r="C10" s="1376"/>
      <c r="D10" s="495"/>
      <c r="E10" s="496" t="s">
        <v>337</v>
      </c>
      <c r="F10" s="496" t="s">
        <v>338</v>
      </c>
      <c r="G10" s="496" t="s">
        <v>337</v>
      </c>
      <c r="H10" s="496" t="s">
        <v>338</v>
      </c>
      <c r="I10" s="496" t="s">
        <v>337</v>
      </c>
      <c r="J10" s="496" t="s">
        <v>338</v>
      </c>
      <c r="K10" s="496" t="s">
        <v>337</v>
      </c>
      <c r="L10" s="496" t="s">
        <v>338</v>
      </c>
      <c r="N10" s="1382"/>
      <c r="O10" s="1382"/>
      <c r="P10" s="1382"/>
      <c r="Q10" s="1382"/>
      <c r="R10" s="497"/>
      <c r="S10" s="1382"/>
    </row>
    <row r="11" spans="1:19" s="498" customFormat="1">
      <c r="B11" s="499" t="s">
        <v>2</v>
      </c>
      <c r="C11" s="495" t="s">
        <v>3</v>
      </c>
      <c r="D11" s="495"/>
      <c r="E11" s="496">
        <v>1</v>
      </c>
      <c r="F11" s="496">
        <v>1</v>
      </c>
      <c r="G11" s="496">
        <v>2</v>
      </c>
      <c r="H11" s="496">
        <v>2</v>
      </c>
      <c r="I11" s="496">
        <v>3</v>
      </c>
      <c r="J11" s="496">
        <v>3</v>
      </c>
      <c r="K11" s="496">
        <v>4</v>
      </c>
      <c r="L11" s="496">
        <v>4</v>
      </c>
      <c r="M11" s="500"/>
      <c r="N11" s="501"/>
      <c r="O11" s="501"/>
      <c r="P11" s="501"/>
      <c r="Q11" s="501"/>
      <c r="R11" s="501"/>
      <c r="S11" s="501"/>
    </row>
    <row r="12" spans="1:19" ht="18" customHeight="1">
      <c r="A12" s="502" t="str">
        <f>IF(B12&lt;&gt;"","VL","")</f>
        <v>VL</v>
      </c>
      <c r="B12" s="503">
        <f>IF(C12&lt;&gt;"",ROW()-11,"")</f>
        <v>1</v>
      </c>
      <c r="C12" s="504" t="s">
        <v>339</v>
      </c>
      <c r="D12" s="505" t="s">
        <v>340</v>
      </c>
      <c r="E12" s="25">
        <v>450</v>
      </c>
      <c r="F12" s="25">
        <v>15950000</v>
      </c>
      <c r="G12" s="25">
        <f t="array" ref="G12">SUM(IF("1522"&amp;C12=KHN&amp;MH,SL))</f>
        <v>0</v>
      </c>
      <c r="H12" s="25">
        <f t="array" ref="H12">SUM(IF("1522"&amp;C12=KHN&amp;MH,TH))</f>
        <v>0</v>
      </c>
      <c r="I12" s="25">
        <f t="array" ref="I12">SUM(IF("1522"&amp;C12=KHC&amp;MH,SL))</f>
        <v>350</v>
      </c>
      <c r="J12" s="25">
        <f t="array" ref="J12">SUM(IF("1522"&amp;C12=KHC&amp;MH,TH))</f>
        <v>12405554</v>
      </c>
      <c r="K12" s="25">
        <f t="shared" ref="K12:L29" si="0">E12+G12-I12</f>
        <v>100</v>
      </c>
      <c r="L12" s="25">
        <f t="shared" si="0"/>
        <v>3544446</v>
      </c>
      <c r="M12" s="506"/>
      <c r="N12" s="507" t="s">
        <v>341</v>
      </c>
      <c r="O12" s="504" t="s">
        <v>342</v>
      </c>
      <c r="P12" s="508">
        <v>330593933</v>
      </c>
      <c r="Q12" s="508" t="s">
        <v>343</v>
      </c>
      <c r="R12" s="508"/>
      <c r="S12" s="508" t="s">
        <v>338</v>
      </c>
    </row>
    <row r="13" spans="1:19" ht="18" customHeight="1">
      <c r="A13" s="502" t="str">
        <f t="shared" ref="A13:A57" si="1">IF(B13&lt;&gt;"","VL","")</f>
        <v>VL</v>
      </c>
      <c r="B13" s="503">
        <f t="shared" ref="B13:B56" si="2">IF(C13&lt;&gt;"",ROW()-11,"")</f>
        <v>2</v>
      </c>
      <c r="C13" s="509" t="s">
        <v>345</v>
      </c>
      <c r="D13" s="510" t="s">
        <v>340</v>
      </c>
      <c r="E13" s="8">
        <v>525</v>
      </c>
      <c r="F13" s="8">
        <v>24539130</v>
      </c>
      <c r="G13" s="25">
        <f t="array" ref="G13">SUM(IF("1522"&amp;C13=KHN&amp;MH,SL))</f>
        <v>1000</v>
      </c>
      <c r="H13" s="25">
        <f t="array" ref="H13">SUM(IF("1522"&amp;C13=KHN&amp;MH,TH))</f>
        <v>48983000</v>
      </c>
      <c r="I13" s="25">
        <f t="array" ref="I13">SUM(IF("1522"&amp;C13=KHC&amp;MH,SL))</f>
        <v>425</v>
      </c>
      <c r="J13" s="25">
        <f t="array" ref="J13">SUM(IF("1522"&amp;C13=KHC&amp;MH,TH))</f>
        <v>19864986</v>
      </c>
      <c r="K13" s="8">
        <f t="shared" si="0"/>
        <v>1100</v>
      </c>
      <c r="L13" s="8">
        <f t="shared" si="0"/>
        <v>53657144</v>
      </c>
      <c r="M13" s="506"/>
      <c r="N13" s="509" t="s">
        <v>346</v>
      </c>
      <c r="O13" s="508" t="s">
        <v>342</v>
      </c>
      <c r="P13" s="508">
        <v>320775664</v>
      </c>
      <c r="Q13" s="508" t="s">
        <v>347</v>
      </c>
      <c r="R13" s="508"/>
      <c r="S13" s="508" t="s">
        <v>338</v>
      </c>
    </row>
    <row r="14" spans="1:19" ht="18" customHeight="1">
      <c r="A14" s="502" t="str">
        <f t="shared" si="1"/>
        <v>VL</v>
      </c>
      <c r="B14" s="503">
        <f t="shared" si="2"/>
        <v>3</v>
      </c>
      <c r="C14" s="509" t="s">
        <v>348</v>
      </c>
      <c r="D14" s="510" t="s">
        <v>340</v>
      </c>
      <c r="E14" s="8">
        <v>300</v>
      </c>
      <c r="F14" s="8">
        <v>3500002</v>
      </c>
      <c r="G14" s="25">
        <f t="array" ref="G14">SUM(IF("1522"&amp;C14=KHN&amp;MH,SL))</f>
        <v>4000</v>
      </c>
      <c r="H14" s="25">
        <f t="array" ref="H14">SUM(IF("1522"&amp;C14=KHN&amp;MH,TH))</f>
        <v>56285715</v>
      </c>
      <c r="I14" s="25">
        <f t="array" ref="I14">SUM(IF("1522"&amp;C14=KHC&amp;MH,SL))</f>
        <v>2750</v>
      </c>
      <c r="J14" s="25">
        <f t="array" ref="J14">SUM(IF("1522"&amp;C14=KHC&amp;MH,TH))</f>
        <v>37937708</v>
      </c>
      <c r="K14" s="8">
        <f t="shared" si="0"/>
        <v>1550</v>
      </c>
      <c r="L14" s="8">
        <f t="shared" si="0"/>
        <v>21848009</v>
      </c>
      <c r="M14" s="506"/>
      <c r="N14" s="509" t="s">
        <v>349</v>
      </c>
      <c r="O14" s="511" t="s">
        <v>342</v>
      </c>
      <c r="P14" s="508">
        <v>320892558</v>
      </c>
      <c r="Q14" s="508" t="s">
        <v>350</v>
      </c>
      <c r="R14" s="508"/>
      <c r="S14" s="508" t="s">
        <v>338</v>
      </c>
    </row>
    <row r="15" spans="1:19" ht="18" customHeight="1">
      <c r="A15" s="502" t="str">
        <f t="shared" si="1"/>
        <v>VL</v>
      </c>
      <c r="B15" s="503">
        <f t="shared" si="2"/>
        <v>4</v>
      </c>
      <c r="C15" s="509" t="s">
        <v>224</v>
      </c>
      <c r="D15" s="510" t="s">
        <v>340</v>
      </c>
      <c r="E15" s="8">
        <v>495</v>
      </c>
      <c r="F15" s="8">
        <v>10879997</v>
      </c>
      <c r="G15" s="25">
        <f t="array" ref="G15">SUM(IF("1522"&amp;C15=KHN&amp;MH,SL))</f>
        <v>450</v>
      </c>
      <c r="H15" s="25">
        <f t="array" ref="H15">SUM(IF("1522"&amp;C15=KHN&amp;MH,TH))</f>
        <v>8286363</v>
      </c>
      <c r="I15" s="25">
        <f t="array" ref="I15">SUM(IF("1522"&amp;C15=KHC&amp;MH,SL))</f>
        <v>945</v>
      </c>
      <c r="J15" s="25">
        <f t="array" ref="J15">SUM(IF("1522"&amp;C15=KHC&amp;MH,TH))</f>
        <v>19166360</v>
      </c>
      <c r="K15" s="8">
        <f t="shared" si="0"/>
        <v>0</v>
      </c>
      <c r="L15" s="8">
        <f t="shared" si="0"/>
        <v>0</v>
      </c>
      <c r="M15" s="506"/>
      <c r="N15" s="509" t="s">
        <v>351</v>
      </c>
      <c r="O15" s="511" t="s">
        <v>342</v>
      </c>
      <c r="P15" s="508">
        <v>320892578</v>
      </c>
      <c r="Q15" s="508" t="s">
        <v>352</v>
      </c>
      <c r="R15" s="508"/>
      <c r="S15" s="508" t="s">
        <v>338</v>
      </c>
    </row>
    <row r="16" spans="1:19" ht="18" customHeight="1">
      <c r="A16" s="502" t="str">
        <f t="shared" si="1"/>
        <v>VL</v>
      </c>
      <c r="B16" s="503">
        <f t="shared" si="2"/>
        <v>5</v>
      </c>
      <c r="C16" s="509" t="s">
        <v>353</v>
      </c>
      <c r="D16" s="510" t="s">
        <v>340</v>
      </c>
      <c r="E16" s="8">
        <v>50</v>
      </c>
      <c r="F16" s="8">
        <v>175000</v>
      </c>
      <c r="G16" s="25">
        <f t="array" ref="G16">SUM(IF("1522"&amp;C16=KHN&amp;MH,SL))</f>
        <v>10000</v>
      </c>
      <c r="H16" s="25">
        <f t="array" ref="H16">SUM(IF("1522"&amp;C16=KHN&amp;MH,TH))</f>
        <v>32000000</v>
      </c>
      <c r="I16" s="25">
        <f t="array" ref="I16">SUM(IF("1522"&amp;C16=KHC&amp;MH,SL))</f>
        <v>7550</v>
      </c>
      <c r="J16" s="25">
        <f t="array" ref="J16">SUM(IF("1522"&amp;C16=KHC&amp;MH,TH))</f>
        <v>24175000</v>
      </c>
      <c r="K16" s="8">
        <f t="shared" si="0"/>
        <v>2500</v>
      </c>
      <c r="L16" s="8">
        <f t="shared" si="0"/>
        <v>8000000</v>
      </c>
      <c r="M16" s="506"/>
      <c r="N16" s="509" t="s">
        <v>354</v>
      </c>
      <c r="O16" s="511" t="s">
        <v>342</v>
      </c>
      <c r="P16" s="508">
        <v>321179471</v>
      </c>
      <c r="Q16" s="508" t="s">
        <v>355</v>
      </c>
      <c r="R16" s="508"/>
      <c r="S16" s="508" t="s">
        <v>338</v>
      </c>
    </row>
    <row r="17" spans="1:20" ht="18" customHeight="1">
      <c r="A17" s="502" t="str">
        <f t="shared" si="1"/>
        <v>VL</v>
      </c>
      <c r="B17" s="503">
        <f t="shared" si="2"/>
        <v>6</v>
      </c>
      <c r="C17" s="512" t="s">
        <v>356</v>
      </c>
      <c r="D17" s="513" t="s">
        <v>340</v>
      </c>
      <c r="E17" s="439">
        <v>5400</v>
      </c>
      <c r="F17" s="439">
        <v>80459999</v>
      </c>
      <c r="G17" s="25">
        <f t="array" ref="G17">SUM(IF("1522"&amp;C17=KHN&amp;MH,SL))</f>
        <v>12150</v>
      </c>
      <c r="H17" s="25">
        <f t="array" ref="H17">SUM(IF("1522"&amp;C17=KHN&amp;MH,TH))</f>
        <v>177174000</v>
      </c>
      <c r="I17" s="25">
        <f t="array" ref="I17">SUM(IF("1522"&amp;C17=KHC&amp;MH,SL))</f>
        <v>16450</v>
      </c>
      <c r="J17" s="25">
        <f t="array" ref="J17">SUM(IF("1522"&amp;C17=KHC&amp;MH,TH))</f>
        <v>244133199</v>
      </c>
      <c r="K17" s="8">
        <f t="shared" si="0"/>
        <v>1100</v>
      </c>
      <c r="L17" s="8">
        <f t="shared" si="0"/>
        <v>13500800</v>
      </c>
      <c r="M17" s="506"/>
      <c r="N17" s="509" t="s">
        <v>357</v>
      </c>
      <c r="O17" s="511" t="s">
        <v>342</v>
      </c>
      <c r="P17" s="508">
        <v>324478047</v>
      </c>
      <c r="Q17" s="508" t="s">
        <v>358</v>
      </c>
      <c r="R17" s="508"/>
      <c r="S17" s="508" t="s">
        <v>338</v>
      </c>
    </row>
    <row r="18" spans="1:20" ht="18" customHeight="1">
      <c r="A18" s="502" t="str">
        <f t="shared" si="1"/>
        <v>VL</v>
      </c>
      <c r="B18" s="503">
        <f t="shared" si="2"/>
        <v>7</v>
      </c>
      <c r="C18" s="512" t="s">
        <v>1402</v>
      </c>
      <c r="D18" s="514" t="s">
        <v>340</v>
      </c>
      <c r="E18" s="439"/>
      <c r="F18" s="439"/>
      <c r="G18" s="25">
        <f t="array" ref="G18">SUM(IF("1522"&amp;C18=KHN&amp;MH,SL))</f>
        <v>600</v>
      </c>
      <c r="H18" s="25">
        <f t="array" ref="H18">SUM(IF("1522"&amp;C18=KHN&amp;MH,TH))</f>
        <v>7636800</v>
      </c>
      <c r="I18" s="25">
        <f t="array" ref="I18">SUM(IF("1522"&amp;C18=KHC&amp;MH,SL))</f>
        <v>550</v>
      </c>
      <c r="J18" s="25">
        <f t="array" ref="J18">SUM(IF("1522"&amp;C18=KHC&amp;MH,TH))</f>
        <v>7000400</v>
      </c>
      <c r="K18" s="8">
        <f t="shared" si="0"/>
        <v>50</v>
      </c>
      <c r="L18" s="8">
        <f t="shared" si="0"/>
        <v>636400</v>
      </c>
      <c r="M18" s="506"/>
      <c r="N18" s="509" t="s">
        <v>361</v>
      </c>
      <c r="O18" s="511" t="s">
        <v>342</v>
      </c>
      <c r="P18" s="508">
        <v>321413712</v>
      </c>
      <c r="Q18" s="508" t="s">
        <v>362</v>
      </c>
      <c r="R18" s="508"/>
      <c r="S18" s="508" t="s">
        <v>338</v>
      </c>
    </row>
    <row r="19" spans="1:20" ht="18" customHeight="1">
      <c r="A19" s="502" t="str">
        <f t="shared" si="1"/>
        <v>VL</v>
      </c>
      <c r="B19" s="503">
        <f t="shared" si="2"/>
        <v>8</v>
      </c>
      <c r="C19" s="512" t="s">
        <v>359</v>
      </c>
      <c r="D19" s="514" t="s">
        <v>360</v>
      </c>
      <c r="E19" s="439">
        <v>950</v>
      </c>
      <c r="F19" s="439">
        <v>8075000</v>
      </c>
      <c r="G19" s="25">
        <f t="array" ref="G19">SUM(IF("1522"&amp;C19=KHN&amp;MH,SL))</f>
        <v>1800</v>
      </c>
      <c r="H19" s="25">
        <f t="array" ref="H19">SUM(IF("1522"&amp;C19=KHN&amp;MH,TH))</f>
        <v>14700000</v>
      </c>
      <c r="I19" s="25">
        <f t="array" ref="I19">SUM(IF("1522"&amp;C19=KHC&amp;MH,SL))</f>
        <v>2150</v>
      </c>
      <c r="J19" s="25">
        <f t="array" ref="J19">SUM(IF("1522"&amp;C19=KHC&amp;MH,TH))</f>
        <v>17975000</v>
      </c>
      <c r="K19" s="439">
        <f t="shared" si="0"/>
        <v>600</v>
      </c>
      <c r="L19" s="439">
        <f t="shared" si="0"/>
        <v>4800000</v>
      </c>
      <c r="M19" s="506"/>
      <c r="N19" s="509" t="s">
        <v>364</v>
      </c>
      <c r="O19" s="504" t="s">
        <v>342</v>
      </c>
      <c r="P19" s="508">
        <v>320744085</v>
      </c>
      <c r="Q19" s="508" t="s">
        <v>347</v>
      </c>
      <c r="R19" s="508"/>
      <c r="S19" s="508" t="s">
        <v>338</v>
      </c>
    </row>
    <row r="20" spans="1:20" ht="18" customHeight="1">
      <c r="A20" s="502" t="str">
        <f t="shared" si="1"/>
        <v>VL</v>
      </c>
      <c r="B20" s="503">
        <f t="shared" si="2"/>
        <v>9</v>
      </c>
      <c r="C20" s="512" t="s">
        <v>363</v>
      </c>
      <c r="D20" s="514" t="s">
        <v>340</v>
      </c>
      <c r="E20" s="439">
        <v>1647</v>
      </c>
      <c r="F20" s="439">
        <v>531969</v>
      </c>
      <c r="G20" s="25">
        <f t="array" ref="G20">SUM(IF("1522"&amp;C20=KHN&amp;MH,SL))</f>
        <v>1000</v>
      </c>
      <c r="H20" s="25">
        <f t="array" ref="H20">SUM(IF("1522"&amp;C20=KHN&amp;MH,TH))</f>
        <v>33000000</v>
      </c>
      <c r="I20" s="25">
        <f t="array" ref="I20">SUM(IF("1522"&amp;C20=KHC&amp;MH,SL))</f>
        <v>2647</v>
      </c>
      <c r="J20" s="25">
        <f t="array" ref="J20">SUM(IF("1522"&amp;C20=KHC&amp;MH,TH))</f>
        <v>33531969</v>
      </c>
      <c r="K20" s="439">
        <f t="shared" ref="K20:L25" si="3">E20+G20-I20</f>
        <v>0</v>
      </c>
      <c r="L20" s="439">
        <f t="shared" si="3"/>
        <v>0</v>
      </c>
      <c r="M20" s="506"/>
      <c r="N20" s="509" t="s">
        <v>367</v>
      </c>
      <c r="O20" s="504" t="s">
        <v>342</v>
      </c>
      <c r="P20" s="508">
        <v>320807672</v>
      </c>
      <c r="Q20" s="508" t="s">
        <v>368</v>
      </c>
      <c r="R20" s="508"/>
      <c r="S20" s="508" t="s">
        <v>338</v>
      </c>
    </row>
    <row r="21" spans="1:20" ht="18" customHeight="1">
      <c r="A21" s="502" t="str">
        <f>IF(B21&lt;&gt;"","VL","")</f>
        <v>VL</v>
      </c>
      <c r="B21" s="503">
        <f>IF(C21&lt;&gt;"",ROW()-11,"")</f>
        <v>10</v>
      </c>
      <c r="C21" s="67" t="s">
        <v>1836</v>
      </c>
      <c r="D21" s="514" t="s">
        <v>340</v>
      </c>
      <c r="E21" s="439"/>
      <c r="F21" s="439"/>
      <c r="G21" s="25">
        <f t="array" ref="G21">SUM(IF("1522"&amp;C21=KHN&amp;MH,SL))</f>
        <v>70500</v>
      </c>
      <c r="H21" s="25">
        <f t="array" ref="H21">SUM(IF("1522"&amp;C21=KHN&amp;MH,TH))</f>
        <v>81075000</v>
      </c>
      <c r="I21" s="25">
        <f t="array" ref="I21">SUM(IF("1522"&amp;C21=KHC&amp;MH,SL))</f>
        <v>70500</v>
      </c>
      <c r="J21" s="25">
        <f t="array" ref="J21">SUM(IF("1522"&amp;C21=KHC&amp;MH,TH))</f>
        <v>81075000</v>
      </c>
      <c r="K21" s="439">
        <f t="shared" si="3"/>
        <v>0</v>
      </c>
      <c r="L21" s="439">
        <f t="shared" si="3"/>
        <v>0</v>
      </c>
      <c r="M21" s="506"/>
      <c r="N21" s="509" t="s">
        <v>370</v>
      </c>
      <c r="O21" s="504" t="s">
        <v>342</v>
      </c>
      <c r="P21" s="508">
        <v>320044169</v>
      </c>
      <c r="Q21" s="508" t="s">
        <v>371</v>
      </c>
      <c r="R21" s="508"/>
      <c r="S21" s="508" t="s">
        <v>338</v>
      </c>
    </row>
    <row r="22" spans="1:20" ht="18" customHeight="1">
      <c r="A22" s="502" t="str">
        <f>IF(B22&lt;&gt;"","VL","")</f>
        <v>VL</v>
      </c>
      <c r="B22" s="503">
        <f>IF(C22&lt;&gt;"",ROW()-11,"")</f>
        <v>11</v>
      </c>
      <c r="C22" s="67" t="s">
        <v>1837</v>
      </c>
      <c r="D22" s="514" t="s">
        <v>340</v>
      </c>
      <c r="E22" s="439"/>
      <c r="F22" s="439"/>
      <c r="G22" s="25">
        <f t="array" ref="G22">SUM(IF("1522"&amp;C22=KHN&amp;MH,SL))</f>
        <v>200</v>
      </c>
      <c r="H22" s="25">
        <f t="array" ref="H22">SUM(IF("1522"&amp;C22=KHN&amp;MH,TH))</f>
        <v>7400000</v>
      </c>
      <c r="I22" s="25">
        <f t="array" ref="I22">SUM(IF("1522"&amp;C22=KHC&amp;MH,SL))</f>
        <v>0</v>
      </c>
      <c r="J22" s="25">
        <f t="array" ref="J22">SUM(IF("1522"&amp;C22=KHC&amp;MH,TH))</f>
        <v>0</v>
      </c>
      <c r="K22" s="439">
        <f>E22+G22-I22</f>
        <v>200</v>
      </c>
      <c r="L22" s="439">
        <f>F22+H22-J22</f>
        <v>7400000</v>
      </c>
      <c r="M22" s="506"/>
      <c r="N22" s="515" t="s">
        <v>373</v>
      </c>
      <c r="O22" s="504" t="s">
        <v>342</v>
      </c>
      <c r="P22" s="508">
        <v>320881573</v>
      </c>
      <c r="Q22" s="508" t="s">
        <v>368</v>
      </c>
      <c r="R22" s="508"/>
      <c r="S22" s="508" t="s">
        <v>338</v>
      </c>
    </row>
    <row r="23" spans="1:20" ht="18" customHeight="1">
      <c r="A23" s="502" t="str">
        <f t="shared" si="1"/>
        <v>VL</v>
      </c>
      <c r="B23" s="503">
        <f t="shared" si="2"/>
        <v>12</v>
      </c>
      <c r="C23" s="67" t="s">
        <v>1838</v>
      </c>
      <c r="D23" s="514" t="s">
        <v>340</v>
      </c>
      <c r="E23" s="439"/>
      <c r="F23" s="439"/>
      <c r="G23" s="25">
        <f t="array" ref="G23">SUM(IF("1522"&amp;C23=KHN&amp;MH,SL))</f>
        <v>111</v>
      </c>
      <c r="H23" s="25">
        <f t="array" ref="H23">SUM(IF("1522"&amp;C23=KHN&amp;MH,TH))</f>
        <v>4107000</v>
      </c>
      <c r="I23" s="25">
        <f t="array" ref="I23">SUM(IF("1522"&amp;C23=KHC&amp;MH,SL))</f>
        <v>111</v>
      </c>
      <c r="J23" s="25">
        <f t="array" ref="J23">SUM(IF("1522"&amp;C23=KHC&amp;MH,TH))</f>
        <v>4107000</v>
      </c>
      <c r="K23" s="439">
        <f t="shared" si="3"/>
        <v>0</v>
      </c>
      <c r="L23" s="439">
        <f t="shared" si="3"/>
        <v>0</v>
      </c>
      <c r="M23" s="506"/>
      <c r="N23" s="509" t="s">
        <v>375</v>
      </c>
      <c r="O23" s="504" t="s">
        <v>342</v>
      </c>
      <c r="P23" s="508">
        <v>320876558</v>
      </c>
      <c r="Q23" s="508" t="s">
        <v>376</v>
      </c>
      <c r="R23" s="508"/>
      <c r="S23" s="508" t="s">
        <v>338</v>
      </c>
    </row>
    <row r="24" spans="1:20" ht="18" customHeight="1">
      <c r="A24" s="502" t="str">
        <f t="shared" si="1"/>
        <v>VL</v>
      </c>
      <c r="B24" s="503">
        <f t="shared" si="2"/>
        <v>13</v>
      </c>
      <c r="C24" s="67" t="s">
        <v>1839</v>
      </c>
      <c r="D24" s="514" t="s">
        <v>340</v>
      </c>
      <c r="E24" s="439"/>
      <c r="F24" s="439"/>
      <c r="G24" s="25">
        <f t="array" ref="G24">SUM(IF("1522"&amp;C24=KHN&amp;MH,SL))</f>
        <v>306</v>
      </c>
      <c r="H24" s="25">
        <f t="array" ref="H24">SUM(IF("1522"&amp;C24=KHN&amp;MH,TH))</f>
        <v>11322000</v>
      </c>
      <c r="I24" s="25">
        <f t="array" ref="I24">SUM(IF("1522"&amp;C24=KHC&amp;MH,SL))</f>
        <v>95</v>
      </c>
      <c r="J24" s="25">
        <f t="array" ref="J24">SUM(IF("1522"&amp;C24=KHC&amp;MH,TH))</f>
        <v>3515000</v>
      </c>
      <c r="K24" s="439">
        <f t="shared" si="3"/>
        <v>211</v>
      </c>
      <c r="L24" s="439">
        <f t="shared" si="3"/>
        <v>7807000</v>
      </c>
      <c r="M24" s="506"/>
      <c r="N24" s="509" t="s">
        <v>378</v>
      </c>
      <c r="O24" s="511" t="s">
        <v>379</v>
      </c>
      <c r="P24" s="508">
        <v>250746332</v>
      </c>
      <c r="Q24" s="508" t="s">
        <v>380</v>
      </c>
      <c r="R24" s="508"/>
      <c r="S24" s="508" t="s">
        <v>338</v>
      </c>
    </row>
    <row r="25" spans="1:20" ht="18" customHeight="1">
      <c r="A25" s="502" t="str">
        <f t="shared" si="1"/>
        <v>VL</v>
      </c>
      <c r="B25" s="503">
        <f t="shared" si="2"/>
        <v>14</v>
      </c>
      <c r="C25" s="955" t="s">
        <v>374</v>
      </c>
      <c r="D25" s="951" t="s">
        <v>366</v>
      </c>
      <c r="E25" s="952">
        <v>295214</v>
      </c>
      <c r="F25" s="952">
        <v>102435290</v>
      </c>
      <c r="G25" s="953">
        <f t="array" ref="G25">SUM(IF("1522"&amp;C25=KHN&amp;MH,SL))</f>
        <v>0</v>
      </c>
      <c r="H25" s="953">
        <f t="array" ref="H25">SUM(IF("1522"&amp;C25=KHN&amp;MH,TH))</f>
        <v>0</v>
      </c>
      <c r="I25" s="953">
        <f t="array" ref="I25">SUM(IF("1522"&amp;C25=KHC&amp;MH,SL))</f>
        <v>295214</v>
      </c>
      <c r="J25" s="953">
        <f t="array" ref="J25">SUM(IF("1522"&amp;C25=KHC&amp;MH,TH))</f>
        <v>102435290</v>
      </c>
      <c r="K25" s="954">
        <f t="shared" si="3"/>
        <v>0</v>
      </c>
      <c r="L25" s="954">
        <f t="shared" si="3"/>
        <v>0</v>
      </c>
      <c r="M25" s="506"/>
      <c r="N25" s="509" t="s">
        <v>383</v>
      </c>
      <c r="O25" s="511" t="s">
        <v>379</v>
      </c>
      <c r="P25" s="508">
        <v>260682094</v>
      </c>
      <c r="Q25" s="508" t="s">
        <v>380</v>
      </c>
      <c r="R25" s="508"/>
      <c r="S25" s="508" t="s">
        <v>338</v>
      </c>
    </row>
    <row r="26" spans="1:20" ht="18" customHeight="1">
      <c r="A26" s="502" t="str">
        <f t="shared" si="1"/>
        <v>VL</v>
      </c>
      <c r="B26" s="503">
        <f t="shared" si="2"/>
        <v>15</v>
      </c>
      <c r="C26" s="955" t="s">
        <v>377</v>
      </c>
      <c r="D26" s="951" t="s">
        <v>366</v>
      </c>
      <c r="E26" s="952">
        <v>6600</v>
      </c>
      <c r="F26" s="952">
        <v>3597000</v>
      </c>
      <c r="G26" s="953">
        <f t="array" ref="G26">SUM(IF("1522"&amp;C26=KHN&amp;MH,SL))</f>
        <v>0</v>
      </c>
      <c r="H26" s="953">
        <f t="array" ref="H26">SUM(IF("1522"&amp;C26=KHN&amp;MH,TH))</f>
        <v>0</v>
      </c>
      <c r="I26" s="953">
        <f t="array" ref="I26">SUM(IF("1522"&amp;C26=KHC&amp;MH,SL))</f>
        <v>6600</v>
      </c>
      <c r="J26" s="953">
        <f t="array" ref="J26">SUM(IF("1522"&amp;C26=KHC&amp;MH,TH))</f>
        <v>3597000</v>
      </c>
      <c r="K26" s="954">
        <f t="shared" si="0"/>
        <v>0</v>
      </c>
      <c r="L26" s="954">
        <f t="shared" si="0"/>
        <v>0</v>
      </c>
      <c r="M26" s="506"/>
      <c r="N26" s="509" t="s">
        <v>385</v>
      </c>
      <c r="O26" s="511" t="s">
        <v>379</v>
      </c>
      <c r="P26" s="508">
        <v>260690910</v>
      </c>
      <c r="Q26" s="508" t="s">
        <v>386</v>
      </c>
      <c r="R26" s="508"/>
      <c r="S26" s="508" t="s">
        <v>338</v>
      </c>
    </row>
    <row r="27" spans="1:20" ht="18" customHeight="1">
      <c r="A27" s="502" t="str">
        <f t="shared" si="1"/>
        <v>VL</v>
      </c>
      <c r="B27" s="503">
        <f t="shared" si="2"/>
        <v>16</v>
      </c>
      <c r="C27" s="950" t="s">
        <v>365</v>
      </c>
      <c r="D27" s="951" t="s">
        <v>366</v>
      </c>
      <c r="E27" s="952">
        <v>93800</v>
      </c>
      <c r="F27" s="952">
        <v>28140000</v>
      </c>
      <c r="G27" s="953">
        <f t="array" ref="G27">SUM(IF("1522"&amp;C27=KHN&amp;MH,SL))</f>
        <v>0</v>
      </c>
      <c r="H27" s="953">
        <f t="array" ref="H27">SUM(IF("1522"&amp;C27=KHN&amp;MH,TH))</f>
        <v>0</v>
      </c>
      <c r="I27" s="953">
        <f t="array" ref="I27">SUM(IF("1522"&amp;C27=KHC&amp;MH,SL))</f>
        <v>0</v>
      </c>
      <c r="J27" s="953">
        <f t="array" ref="J27">SUM(IF("1522"&amp;C27=KHC&amp;MH,TH))</f>
        <v>0</v>
      </c>
      <c r="K27" s="952">
        <f t="shared" si="0"/>
        <v>93800</v>
      </c>
      <c r="L27" s="952">
        <f t="shared" si="0"/>
        <v>28140000</v>
      </c>
      <c r="M27" s="506"/>
      <c r="N27" s="509" t="s">
        <v>388</v>
      </c>
      <c r="O27" s="511" t="s">
        <v>379</v>
      </c>
      <c r="P27" s="508">
        <v>260178873</v>
      </c>
      <c r="Q27" s="508" t="s">
        <v>389</v>
      </c>
      <c r="R27" s="508"/>
      <c r="S27" s="508" t="s">
        <v>338</v>
      </c>
    </row>
    <row r="28" spans="1:20" ht="18" customHeight="1">
      <c r="A28" s="502" t="str">
        <f t="shared" si="1"/>
        <v>VL</v>
      </c>
      <c r="B28" s="503">
        <f t="shared" si="2"/>
        <v>17</v>
      </c>
      <c r="C28" s="955" t="s">
        <v>369</v>
      </c>
      <c r="D28" s="951" t="s">
        <v>366</v>
      </c>
      <c r="E28" s="952">
        <v>48700</v>
      </c>
      <c r="F28" s="952">
        <v>19480000</v>
      </c>
      <c r="G28" s="953">
        <f t="array" ref="G28">SUM(IF("1522"&amp;C28=KHN&amp;MH,SL))</f>
        <v>0</v>
      </c>
      <c r="H28" s="953">
        <f t="array" ref="H28">SUM(IF("1522"&amp;C28=KHN&amp;MH,TH))</f>
        <v>0</v>
      </c>
      <c r="I28" s="953">
        <f t="array" ref="I28">SUM(IF("1522"&amp;C28=KHC&amp;MH,SL))</f>
        <v>0</v>
      </c>
      <c r="J28" s="953">
        <f t="array" ref="J28">SUM(IF("1522"&amp;C28=KHC&amp;MH,TH))</f>
        <v>0</v>
      </c>
      <c r="K28" s="952">
        <f t="shared" si="0"/>
        <v>48700</v>
      </c>
      <c r="L28" s="952">
        <f t="shared" si="0"/>
        <v>19480000</v>
      </c>
      <c r="M28" s="506"/>
      <c r="N28" s="509" t="s">
        <v>391</v>
      </c>
      <c r="O28" s="511" t="s">
        <v>379</v>
      </c>
      <c r="P28" s="508">
        <v>260850613</v>
      </c>
      <c r="Q28" s="508" t="s">
        <v>389</v>
      </c>
      <c r="R28" s="508"/>
      <c r="S28" s="508" t="s">
        <v>338</v>
      </c>
      <c r="T28" s="520"/>
    </row>
    <row r="29" spans="1:20" s="520" customFormat="1" ht="18" customHeight="1">
      <c r="A29" s="502" t="str">
        <f t="shared" si="1"/>
        <v>VL</v>
      </c>
      <c r="B29" s="503">
        <f t="shared" si="2"/>
        <v>18</v>
      </c>
      <c r="C29" s="955" t="s">
        <v>372</v>
      </c>
      <c r="D29" s="951" t="s">
        <v>366</v>
      </c>
      <c r="E29" s="952">
        <v>12300</v>
      </c>
      <c r="F29" s="952">
        <v>2890500</v>
      </c>
      <c r="G29" s="953">
        <f t="array" ref="G29">SUM(IF("1522"&amp;C29=KHN&amp;MH,SL))</f>
        <v>0</v>
      </c>
      <c r="H29" s="953">
        <f t="array" ref="H29">SUM(IF("1522"&amp;C29=KHN&amp;MH,TH))</f>
        <v>0</v>
      </c>
      <c r="I29" s="953">
        <f t="array" ref="I29">SUM(IF("1522"&amp;C29=KHC&amp;MH,SL))</f>
        <v>12300</v>
      </c>
      <c r="J29" s="953">
        <f t="array" ref="J29">SUM(IF("1522"&amp;C29=KHC&amp;MH,TH))</f>
        <v>2890500</v>
      </c>
      <c r="K29" s="952">
        <f t="shared" si="0"/>
        <v>0</v>
      </c>
      <c r="L29" s="952">
        <f t="shared" si="0"/>
        <v>0</v>
      </c>
      <c r="M29" s="506"/>
      <c r="N29" s="509" t="s">
        <v>393</v>
      </c>
      <c r="O29" s="511" t="s">
        <v>379</v>
      </c>
      <c r="P29" s="508">
        <v>280853616</v>
      </c>
      <c r="Q29" s="508" t="s">
        <v>389</v>
      </c>
      <c r="R29" s="508"/>
      <c r="S29" s="508" t="s">
        <v>338</v>
      </c>
    </row>
    <row r="30" spans="1:20" s="520" customFormat="1" ht="18" customHeight="1">
      <c r="A30" s="502" t="str">
        <f t="shared" si="1"/>
        <v>VL</v>
      </c>
      <c r="B30" s="503">
        <f t="shared" si="2"/>
        <v>19</v>
      </c>
      <c r="C30" s="318" t="s">
        <v>1626</v>
      </c>
      <c r="D30" s="517" t="s">
        <v>382</v>
      </c>
      <c r="E30" s="518"/>
      <c r="F30" s="518"/>
      <c r="G30" s="25">
        <f t="array" ref="G30">SUM(IF("1522"&amp;C30=KHN&amp;MH,SL))</f>
        <v>600</v>
      </c>
      <c r="H30" s="25">
        <f t="array" ref="H30">SUM(IF("1522"&amp;C30=KHN&amp;MH,TH))</f>
        <v>1440000</v>
      </c>
      <c r="I30" s="25">
        <f t="array" ref="I30">SUM(IF("1522"&amp;C30=KHC&amp;MH,SL))</f>
        <v>600</v>
      </c>
      <c r="J30" s="25">
        <f t="array" ref="J30">SUM(IF("1522"&amp;C30=KHC&amp;MH,TH))</f>
        <v>1440000</v>
      </c>
      <c r="K30" s="518">
        <f t="shared" ref="K30:K51" si="4">E30+G30-I30</f>
        <v>0</v>
      </c>
      <c r="L30" s="518">
        <f t="shared" ref="L30:L51" si="5">F30+H30-J30</f>
        <v>0</v>
      </c>
      <c r="M30" s="506"/>
      <c r="N30" s="509" t="s">
        <v>395</v>
      </c>
      <c r="O30" s="511" t="s">
        <v>379</v>
      </c>
      <c r="P30" s="508">
        <v>261005222</v>
      </c>
      <c r="Q30" s="508" t="s">
        <v>396</v>
      </c>
      <c r="R30" s="508"/>
      <c r="S30" s="508" t="s">
        <v>338</v>
      </c>
    </row>
    <row r="31" spans="1:20" s="520" customFormat="1" ht="18" customHeight="1">
      <c r="A31" s="502" t="str">
        <f t="shared" si="1"/>
        <v>VL</v>
      </c>
      <c r="B31" s="503">
        <f t="shared" si="2"/>
        <v>20</v>
      </c>
      <c r="C31" s="512" t="s">
        <v>650</v>
      </c>
      <c r="D31" s="517" t="s">
        <v>382</v>
      </c>
      <c r="E31" s="439"/>
      <c r="F31" s="439"/>
      <c r="G31" s="25">
        <f t="array" ref="G31">SUM(IF("1522"&amp;C31=KHN&amp;MH,SL))</f>
        <v>16168</v>
      </c>
      <c r="H31" s="25">
        <f t="array" ref="H31">SUM(IF("1522"&amp;C31=KHN&amp;MH,TH))</f>
        <v>220682000</v>
      </c>
      <c r="I31" s="25">
        <f t="array" ref="I31">SUM(IF("1522"&amp;C31=KHC&amp;MH,SL))</f>
        <v>13668</v>
      </c>
      <c r="J31" s="25">
        <f t="array" ref="J31">SUM(IF("1522"&amp;C31=KHC&amp;MH,TH))</f>
        <v>185682000</v>
      </c>
      <c r="K31" s="518">
        <f t="shared" si="4"/>
        <v>2500</v>
      </c>
      <c r="L31" s="518">
        <f t="shared" si="5"/>
        <v>35000000</v>
      </c>
      <c r="M31" s="506"/>
      <c r="N31" s="509" t="s">
        <v>398</v>
      </c>
      <c r="O31" s="511" t="s">
        <v>399</v>
      </c>
      <c r="P31" s="508">
        <v>370047763</v>
      </c>
      <c r="Q31" s="508" t="s">
        <v>400</v>
      </c>
      <c r="R31" s="508"/>
      <c r="S31" s="508" t="s">
        <v>344</v>
      </c>
      <c r="T31" s="493"/>
    </row>
    <row r="32" spans="1:20" ht="18.75" customHeight="1">
      <c r="A32" s="502" t="str">
        <f t="shared" si="1"/>
        <v>VL</v>
      </c>
      <c r="B32" s="503">
        <f>IF(C32&lt;&gt;"",ROW()-11,"")</f>
        <v>21</v>
      </c>
      <c r="C32" s="516" t="s">
        <v>1085</v>
      </c>
      <c r="D32" s="517" t="s">
        <v>382</v>
      </c>
      <c r="E32" s="518"/>
      <c r="F32" s="518"/>
      <c r="G32" s="25">
        <f t="array" ref="G32">SUM(IF("1522"&amp;C32=KHN&amp;MH,SL))</f>
        <v>400</v>
      </c>
      <c r="H32" s="25">
        <f t="array" ref="H32">SUM(IF("1522"&amp;C32=KHN&amp;MH,TH))</f>
        <v>1000000</v>
      </c>
      <c r="I32" s="25">
        <f t="array" ref="I32">SUM(IF("1522"&amp;C32=KHC&amp;MH,SL))</f>
        <v>400</v>
      </c>
      <c r="J32" s="25">
        <f t="array" ref="J32">SUM(IF("1522"&amp;C32=KHC&amp;MH,TH))</f>
        <v>1000000</v>
      </c>
      <c r="K32" s="518">
        <f t="shared" si="4"/>
        <v>0</v>
      </c>
      <c r="L32" s="518">
        <f t="shared" si="5"/>
        <v>0</v>
      </c>
      <c r="M32" s="506"/>
      <c r="N32" s="509" t="s">
        <v>402</v>
      </c>
      <c r="O32" s="511" t="s">
        <v>399</v>
      </c>
      <c r="P32" s="508">
        <v>370054438</v>
      </c>
      <c r="Q32" s="508" t="s">
        <v>400</v>
      </c>
      <c r="R32" s="508"/>
      <c r="S32" s="508" t="s">
        <v>344</v>
      </c>
    </row>
    <row r="33" spans="1:19" ht="18.75" customHeight="1">
      <c r="A33" s="502" t="str">
        <f t="shared" si="1"/>
        <v>VL</v>
      </c>
      <c r="B33" s="503">
        <f t="shared" si="2"/>
        <v>22</v>
      </c>
      <c r="C33" s="516" t="s">
        <v>381</v>
      </c>
      <c r="D33" s="517" t="s">
        <v>382</v>
      </c>
      <c r="E33" s="518">
        <v>9928</v>
      </c>
      <c r="F33" s="518">
        <v>57392400</v>
      </c>
      <c r="G33" s="25">
        <f t="array" ref="G33">SUM(IF("1522"&amp;C33=KHN&amp;MH,SL))</f>
        <v>0</v>
      </c>
      <c r="H33" s="25">
        <f t="array" ref="H33">SUM(IF("1522"&amp;C33=KHN&amp;MH,TH))</f>
        <v>0</v>
      </c>
      <c r="I33" s="25">
        <f t="array" ref="I33">SUM(IF("1522"&amp;C33=KHC&amp;MH,SL))</f>
        <v>9928</v>
      </c>
      <c r="J33" s="25">
        <f t="array" ref="J33">SUM(IF("1522"&amp;C33=KHC&amp;MH,TH))</f>
        <v>57392400</v>
      </c>
      <c r="K33" s="519">
        <f t="shared" si="4"/>
        <v>0</v>
      </c>
      <c r="L33" s="519">
        <f t="shared" si="5"/>
        <v>0</v>
      </c>
      <c r="M33" s="506"/>
      <c r="N33" s="509" t="s">
        <v>403</v>
      </c>
      <c r="O33" s="511" t="s">
        <v>399</v>
      </c>
      <c r="P33" s="508">
        <v>370615318</v>
      </c>
      <c r="Q33" s="508" t="s">
        <v>404</v>
      </c>
      <c r="R33" s="508"/>
      <c r="S33" s="508" t="s">
        <v>344</v>
      </c>
    </row>
    <row r="34" spans="1:19" ht="18.75" customHeight="1">
      <c r="A34" s="502" t="str">
        <f t="shared" si="1"/>
        <v>VL</v>
      </c>
      <c r="B34" s="503">
        <f t="shared" si="2"/>
        <v>23</v>
      </c>
      <c r="C34" s="516" t="s">
        <v>384</v>
      </c>
      <c r="D34" s="517" t="s">
        <v>382</v>
      </c>
      <c r="E34" s="518">
        <v>13938</v>
      </c>
      <c r="F34" s="518">
        <v>62251600</v>
      </c>
      <c r="G34" s="25">
        <f t="array" ref="G34">SUM(IF("1522"&amp;C34=KHN&amp;MH,SL))</f>
        <v>0</v>
      </c>
      <c r="H34" s="25">
        <f t="array" ref="H34">SUM(IF("1522"&amp;C34=KHN&amp;MH,TH))</f>
        <v>0</v>
      </c>
      <c r="I34" s="25">
        <f t="array" ref="I34">SUM(IF("1522"&amp;C34=KHC&amp;MH,SL))</f>
        <v>13938</v>
      </c>
      <c r="J34" s="25">
        <f t="array" ref="J34">SUM(IF("1522"&amp;C34=KHC&amp;MH,TH))</f>
        <v>62251600</v>
      </c>
      <c r="K34" s="519">
        <f t="shared" si="4"/>
        <v>0</v>
      </c>
      <c r="L34" s="519">
        <f t="shared" si="5"/>
        <v>0</v>
      </c>
      <c r="M34" s="506"/>
      <c r="N34" s="509" t="s">
        <v>405</v>
      </c>
      <c r="O34" s="511" t="s">
        <v>399</v>
      </c>
      <c r="P34" s="508">
        <v>370825748</v>
      </c>
      <c r="Q34" s="508" t="s">
        <v>404</v>
      </c>
      <c r="R34" s="508"/>
      <c r="S34" s="508" t="s">
        <v>344</v>
      </c>
    </row>
    <row r="35" spans="1:19" ht="18.75" customHeight="1">
      <c r="A35" s="502" t="str">
        <f t="shared" si="1"/>
        <v>VL</v>
      </c>
      <c r="B35" s="503">
        <f t="shared" si="2"/>
        <v>24</v>
      </c>
      <c r="C35" s="318" t="s">
        <v>1828</v>
      </c>
      <c r="D35" s="517" t="s">
        <v>382</v>
      </c>
      <c r="E35" s="518"/>
      <c r="F35" s="518"/>
      <c r="G35" s="25">
        <f t="array" ref="G35">SUM(IF("1522"&amp;C35=KHN&amp;MH,SL))</f>
        <v>120</v>
      </c>
      <c r="H35" s="25">
        <f t="array" ref="H35">SUM(IF("1522"&amp;C35=KHN&amp;MH,TH))</f>
        <v>1320000</v>
      </c>
      <c r="I35" s="25">
        <f t="array" ref="I35">SUM(IF("1522"&amp;C35=KHC&amp;MH,SL))</f>
        <v>120</v>
      </c>
      <c r="J35" s="25">
        <f t="array" ref="J35">SUM(IF("1522"&amp;C35=KHC&amp;MH,TH))</f>
        <v>1320000</v>
      </c>
      <c r="K35" s="518">
        <f t="shared" si="4"/>
        <v>0</v>
      </c>
      <c r="L35" s="518">
        <f t="shared" si="5"/>
        <v>0</v>
      </c>
      <c r="M35" s="506"/>
      <c r="N35" s="509" t="s">
        <v>406</v>
      </c>
      <c r="O35" s="511" t="s">
        <v>399</v>
      </c>
      <c r="P35" s="508">
        <v>370698949</v>
      </c>
      <c r="Q35" s="508" t="s">
        <v>407</v>
      </c>
      <c r="R35" s="508" t="s">
        <v>408</v>
      </c>
      <c r="S35" s="508" t="s">
        <v>344</v>
      </c>
    </row>
    <row r="36" spans="1:19" ht="18.75" customHeight="1">
      <c r="A36" s="502" t="str">
        <f t="shared" ref="A36:A47" si="6">IF(B36&lt;&gt;"","VL","")</f>
        <v>VL</v>
      </c>
      <c r="B36" s="503">
        <f t="shared" ref="B36:B47" si="7">IF(C36&lt;&gt;"",ROW()-11,"")</f>
        <v>25</v>
      </c>
      <c r="C36" s="516" t="s">
        <v>392</v>
      </c>
      <c r="D36" s="517" t="s">
        <v>382</v>
      </c>
      <c r="E36" s="518"/>
      <c r="F36" s="518"/>
      <c r="G36" s="25">
        <f t="array" ref="G36">SUM(IF("1522"&amp;C36=KHN&amp;MH,SL))</f>
        <v>525</v>
      </c>
      <c r="H36" s="25">
        <f t="array" ref="H36">SUM(IF("1522"&amp;C36=KHN&amp;MH,TH))</f>
        <v>4987500</v>
      </c>
      <c r="I36" s="25">
        <f t="array" ref="I36">SUM(IF("1522"&amp;C36=KHC&amp;MH,SL))</f>
        <v>525</v>
      </c>
      <c r="J36" s="25">
        <f t="array" ref="J36">SUM(IF("1522"&amp;C36=KHC&amp;MH,TH))</f>
        <v>4987500</v>
      </c>
      <c r="K36" s="518">
        <f t="shared" si="4"/>
        <v>0</v>
      </c>
      <c r="L36" s="518">
        <f t="shared" si="5"/>
        <v>0</v>
      </c>
      <c r="M36" s="506"/>
      <c r="N36" s="509" t="s">
        <v>409</v>
      </c>
      <c r="O36" s="511" t="s">
        <v>399</v>
      </c>
      <c r="P36" s="508">
        <v>370803567</v>
      </c>
      <c r="Q36" s="508" t="s">
        <v>410</v>
      </c>
      <c r="R36" s="508"/>
      <c r="S36" s="508" t="s">
        <v>344</v>
      </c>
    </row>
    <row r="37" spans="1:19" ht="18.75" customHeight="1">
      <c r="A37" s="502" t="str">
        <f t="shared" si="6"/>
        <v>VL</v>
      </c>
      <c r="B37" s="503">
        <f t="shared" si="7"/>
        <v>26</v>
      </c>
      <c r="C37" s="516" t="s">
        <v>401</v>
      </c>
      <c r="D37" s="517" t="s">
        <v>382</v>
      </c>
      <c r="E37" s="518"/>
      <c r="F37" s="518"/>
      <c r="G37" s="25">
        <f t="array" ref="G37">SUM(IF("1522"&amp;C37=KHN&amp;MH,SL))</f>
        <v>5304</v>
      </c>
      <c r="H37" s="25">
        <f t="array" ref="H37">SUM(IF("1522"&amp;C37=KHN&amp;MH,TH))</f>
        <v>91172000</v>
      </c>
      <c r="I37" s="25">
        <f t="array" ref="I37">SUM(IF("1522"&amp;C37=KHC&amp;MH,SL))</f>
        <v>3550</v>
      </c>
      <c r="J37" s="25">
        <f t="array" ref="J37">SUM(IF("1522"&amp;C37=KHC&amp;MH,TH))</f>
        <v>64306400</v>
      </c>
      <c r="K37" s="518">
        <f t="shared" si="4"/>
        <v>1754</v>
      </c>
      <c r="L37" s="518">
        <f t="shared" si="5"/>
        <v>26865600</v>
      </c>
      <c r="M37" s="506"/>
      <c r="N37" s="509" t="s">
        <v>411</v>
      </c>
      <c r="O37" s="511" t="s">
        <v>399</v>
      </c>
      <c r="P37" s="508">
        <v>370004125</v>
      </c>
      <c r="Q37" s="508" t="s">
        <v>400</v>
      </c>
      <c r="R37" s="508"/>
      <c r="S37" s="508" t="s">
        <v>344</v>
      </c>
    </row>
    <row r="38" spans="1:19" ht="18.75" customHeight="1">
      <c r="A38" s="502" t="str">
        <f t="shared" ref="A38" si="8">IF(B38&lt;&gt;"","VL","")</f>
        <v>VL</v>
      </c>
      <c r="B38" s="503">
        <f t="shared" ref="B38" si="9">IF(C38&lt;&gt;"",ROW()-11,"")</f>
        <v>27</v>
      </c>
      <c r="C38" s="516" t="s">
        <v>2022</v>
      </c>
      <c r="D38" s="517" t="s">
        <v>382</v>
      </c>
      <c r="E38" s="518"/>
      <c r="F38" s="518"/>
      <c r="G38" s="25">
        <f t="array" ref="G38">SUM(IF("1522"&amp;C38=KHN&amp;MH,SL))</f>
        <v>204</v>
      </c>
      <c r="H38" s="25">
        <f t="array" ref="H38">SUM(IF("1522"&amp;C38=KHN&amp;MH,TH))</f>
        <v>2754000</v>
      </c>
      <c r="I38" s="25">
        <f t="array" ref="I38">SUM(IF("1522"&amp;C38=KHC&amp;MH,SL))</f>
        <v>95</v>
      </c>
      <c r="J38" s="25">
        <f t="array" ref="J38">SUM(IF("1522"&amp;C38=KHC&amp;MH,TH))</f>
        <v>1282500</v>
      </c>
      <c r="K38" s="518">
        <f t="shared" ref="K38" si="10">E38+G38-I38</f>
        <v>109</v>
      </c>
      <c r="L38" s="518">
        <f t="shared" ref="L38" si="11">F38+H38-J38</f>
        <v>1471500</v>
      </c>
      <c r="M38" s="506"/>
      <c r="N38" s="509" t="s">
        <v>414</v>
      </c>
      <c r="O38" s="511" t="s">
        <v>412</v>
      </c>
      <c r="P38" s="508">
        <v>311704830</v>
      </c>
      <c r="Q38" s="508" t="s">
        <v>415</v>
      </c>
      <c r="R38" s="508"/>
      <c r="S38" s="508" t="s">
        <v>344</v>
      </c>
    </row>
    <row r="39" spans="1:19" ht="18.75" customHeight="1">
      <c r="A39" s="502" t="str">
        <f t="shared" ref="A39" si="12">IF(B39&lt;&gt;"","VL","")</f>
        <v>VL</v>
      </c>
      <c r="B39" s="503">
        <f t="shared" ref="B39" si="13">IF(C39&lt;&gt;"",ROW()-11,"")</f>
        <v>28</v>
      </c>
      <c r="C39" s="516" t="s">
        <v>2023</v>
      </c>
      <c r="D39" s="517" t="s">
        <v>382</v>
      </c>
      <c r="E39" s="518"/>
      <c r="F39" s="518"/>
      <c r="G39" s="25">
        <f t="array" ref="G39">SUM(IF("1522"&amp;C39=KHN&amp;MH,SL))</f>
        <v>4468</v>
      </c>
      <c r="H39" s="25">
        <f t="array" ref="H39">SUM(IF("1522"&amp;C39=KHN&amp;MH,TH))</f>
        <v>46020400</v>
      </c>
      <c r="I39" s="25">
        <f t="array" ref="I39">SUM(IF("1522"&amp;C39=KHC&amp;MH,SL))</f>
        <v>4468</v>
      </c>
      <c r="J39" s="25">
        <f t="array" ref="J39">SUM(IF("1522"&amp;C39=KHC&amp;MH,TH))</f>
        <v>46020400</v>
      </c>
      <c r="K39" s="518">
        <f t="shared" ref="K39" si="14">E39+G39-I39</f>
        <v>0</v>
      </c>
      <c r="L39" s="518">
        <f t="shared" ref="L39" si="15">F39+H39-J39</f>
        <v>0</v>
      </c>
      <c r="M39" s="506"/>
      <c r="N39" s="509" t="s">
        <v>416</v>
      </c>
      <c r="O39" s="511" t="s">
        <v>412</v>
      </c>
      <c r="P39" s="508">
        <v>311318331</v>
      </c>
      <c r="Q39" s="508" t="s">
        <v>417</v>
      </c>
      <c r="R39" s="508"/>
      <c r="S39" s="508" t="s">
        <v>344</v>
      </c>
    </row>
    <row r="40" spans="1:19" ht="18.75" customHeight="1">
      <c r="A40" s="502" t="str">
        <f t="shared" si="6"/>
        <v>VL</v>
      </c>
      <c r="B40" s="503">
        <f t="shared" si="7"/>
        <v>29</v>
      </c>
      <c r="C40" s="516" t="s">
        <v>390</v>
      </c>
      <c r="D40" s="517" t="s">
        <v>382</v>
      </c>
      <c r="E40" s="518"/>
      <c r="F40" s="518"/>
      <c r="G40" s="25">
        <f t="array" ref="G40">SUM(IF("1522"&amp;C40=KHN&amp;MH,SL))</f>
        <v>3702</v>
      </c>
      <c r="H40" s="25">
        <f t="array" ref="H40">SUM(IF("1522"&amp;C40=KHN&amp;MH,TH))</f>
        <v>53823188</v>
      </c>
      <c r="I40" s="25">
        <f t="array" ref="I40">SUM(IF("1522"&amp;C40=KHC&amp;MH,SL))</f>
        <v>3702</v>
      </c>
      <c r="J40" s="25">
        <f t="array" ref="J40">SUM(IF("1522"&amp;C40=KHC&amp;MH,TH))</f>
        <v>53823188</v>
      </c>
      <c r="K40" s="518">
        <f t="shared" si="4"/>
        <v>0</v>
      </c>
      <c r="L40" s="518">
        <f t="shared" si="5"/>
        <v>0</v>
      </c>
      <c r="M40" s="506"/>
      <c r="N40" s="509" t="s">
        <v>418</v>
      </c>
      <c r="O40" s="511" t="s">
        <v>412</v>
      </c>
      <c r="P40" s="508">
        <v>310882191</v>
      </c>
      <c r="Q40" s="508" t="s">
        <v>419</v>
      </c>
      <c r="R40" s="508"/>
      <c r="S40" s="508" t="s">
        <v>344</v>
      </c>
    </row>
    <row r="41" spans="1:19" ht="18.75" customHeight="1">
      <c r="A41" s="502" t="str">
        <f t="shared" si="6"/>
        <v>VL</v>
      </c>
      <c r="B41" s="503">
        <f t="shared" si="7"/>
        <v>30</v>
      </c>
      <c r="C41" s="318" t="s">
        <v>1830</v>
      </c>
      <c r="D41" s="517" t="s">
        <v>382</v>
      </c>
      <c r="E41" s="518"/>
      <c r="F41" s="518"/>
      <c r="G41" s="25">
        <f t="array" ref="G41">SUM(IF("1522"&amp;C41=KHN&amp;MH,SL))</f>
        <v>1009</v>
      </c>
      <c r="H41" s="25">
        <f t="array" ref="H41">SUM(IF("1522"&amp;C41=KHN&amp;MH,TH))</f>
        <v>15135000</v>
      </c>
      <c r="I41" s="25">
        <f t="array" ref="I41">SUM(IF("1522"&amp;C41=KHC&amp;MH,SL))</f>
        <v>1009</v>
      </c>
      <c r="J41" s="25">
        <f t="array" ref="J41">SUM(IF("1522"&amp;C41=KHC&amp;MH,TH))</f>
        <v>15135000</v>
      </c>
      <c r="K41" s="518">
        <f t="shared" si="4"/>
        <v>0</v>
      </c>
      <c r="L41" s="518">
        <f t="shared" si="5"/>
        <v>0</v>
      </c>
      <c r="M41" s="506"/>
      <c r="N41" s="509" t="s">
        <v>421</v>
      </c>
      <c r="O41" s="511" t="s">
        <v>412</v>
      </c>
      <c r="P41" s="508">
        <v>310882158</v>
      </c>
      <c r="Q41" s="508" t="s">
        <v>422</v>
      </c>
      <c r="R41" s="508"/>
      <c r="S41" s="508" t="s">
        <v>344</v>
      </c>
    </row>
    <row r="42" spans="1:19" ht="18" customHeight="1">
      <c r="A42" s="502" t="str">
        <f t="shared" si="6"/>
        <v>VL</v>
      </c>
      <c r="B42" s="503">
        <f t="shared" si="7"/>
        <v>31</v>
      </c>
      <c r="C42" s="67" t="s">
        <v>1834</v>
      </c>
      <c r="D42" s="517" t="s">
        <v>382</v>
      </c>
      <c r="E42" s="518"/>
      <c r="F42" s="518"/>
      <c r="G42" s="25">
        <f t="array" ref="G42">SUM(IF("1522"&amp;C42=KHN&amp;MH,SL))</f>
        <v>2000</v>
      </c>
      <c r="H42" s="25">
        <f t="array" ref="H42">SUM(IF("1522"&amp;C42=KHN&amp;MH,TH))</f>
        <v>23000000</v>
      </c>
      <c r="I42" s="25">
        <f t="array" ref="I42">SUM(IF("1522"&amp;C42=KHC&amp;MH,SL))</f>
        <v>2000</v>
      </c>
      <c r="J42" s="25">
        <f t="array" ref="J42">SUM(IF("1522"&amp;C42=KHC&amp;MH,TH))</f>
        <v>23000000</v>
      </c>
      <c r="K42" s="518">
        <f t="shared" si="4"/>
        <v>0</v>
      </c>
      <c r="L42" s="518">
        <f t="shared" si="5"/>
        <v>0</v>
      </c>
      <c r="M42" s="506"/>
      <c r="N42" s="509" t="s">
        <v>421</v>
      </c>
      <c r="O42" s="511" t="s">
        <v>412</v>
      </c>
      <c r="P42" s="508">
        <v>310882158</v>
      </c>
      <c r="Q42" s="508" t="s">
        <v>422</v>
      </c>
      <c r="R42" s="508"/>
      <c r="S42" s="508" t="s">
        <v>344</v>
      </c>
    </row>
    <row r="43" spans="1:19" ht="18" customHeight="1">
      <c r="A43" s="502" t="str">
        <f>IF(B43&lt;&gt;"","VL","")</f>
        <v>VL</v>
      </c>
      <c r="B43" s="503">
        <f>IF(C43&lt;&gt;"",ROW()-11,"")</f>
        <v>32</v>
      </c>
      <c r="C43" s="318" t="s">
        <v>1829</v>
      </c>
      <c r="D43" s="517" t="s">
        <v>382</v>
      </c>
      <c r="E43" s="518"/>
      <c r="F43" s="518"/>
      <c r="G43" s="25">
        <f t="array" ref="G43">SUM(IF("1522"&amp;C43=KHN&amp;MH,SL))</f>
        <v>4987</v>
      </c>
      <c r="H43" s="25">
        <f t="array" ref="H43">SUM(IF("1522"&amp;C43=KHN&amp;MH,TH))</f>
        <v>50846100</v>
      </c>
      <c r="I43" s="25">
        <f t="array" ref="I43">SUM(IF("1522"&amp;C43=KHC&amp;MH,SL))</f>
        <v>2400</v>
      </c>
      <c r="J43" s="25">
        <f t="array" ref="J43">SUM(IF("1522"&amp;C43=KHC&amp;MH,TH))</f>
        <v>24000000</v>
      </c>
      <c r="K43" s="518">
        <f t="shared" si="4"/>
        <v>2587</v>
      </c>
      <c r="L43" s="518">
        <f t="shared" si="5"/>
        <v>26846100</v>
      </c>
      <c r="M43" s="506"/>
      <c r="N43" s="509" t="s">
        <v>423</v>
      </c>
      <c r="O43" s="511" t="s">
        <v>412</v>
      </c>
      <c r="P43" s="508">
        <v>310526150</v>
      </c>
      <c r="Q43" s="508" t="s">
        <v>413</v>
      </c>
      <c r="R43" s="508"/>
      <c r="S43" s="508" t="s">
        <v>344</v>
      </c>
    </row>
    <row r="44" spans="1:19" ht="18" customHeight="1">
      <c r="A44" s="502" t="str">
        <f>IF(B44&lt;&gt;"","VL","")</f>
        <v>VL</v>
      </c>
      <c r="B44" s="503">
        <f>IF(C44&lt;&gt;"",ROW()-11,"")</f>
        <v>33</v>
      </c>
      <c r="C44" s="318" t="s">
        <v>2024</v>
      </c>
      <c r="D44" s="517" t="s">
        <v>382</v>
      </c>
      <c r="E44" s="518"/>
      <c r="F44" s="518"/>
      <c r="G44" s="25">
        <f t="array" ref="G44">SUM(IF("1522"&amp;C44=KHN&amp;MH,SL))</f>
        <v>1077</v>
      </c>
      <c r="H44" s="25">
        <f t="array" ref="H44">SUM(IF("1522"&amp;C44=KHN&amp;MH,TH))</f>
        <v>14539500</v>
      </c>
      <c r="I44" s="25">
        <f t="array" ref="I44">SUM(IF("1522"&amp;C44=KHC&amp;MH,SL))</f>
        <v>1077</v>
      </c>
      <c r="J44" s="25">
        <f t="array" ref="J44">SUM(IF("1522"&amp;C44=KHC&amp;MH,TH))</f>
        <v>14539500</v>
      </c>
      <c r="K44" s="518">
        <f t="shared" ref="K44" si="16">E44+G44-I44</f>
        <v>0</v>
      </c>
      <c r="L44" s="518">
        <f t="shared" ref="L44" si="17">F44+H44-J44</f>
        <v>0</v>
      </c>
      <c r="M44" s="506"/>
      <c r="N44" s="509" t="s">
        <v>424</v>
      </c>
      <c r="O44" s="511" t="s">
        <v>412</v>
      </c>
      <c r="P44" s="508">
        <v>311514350</v>
      </c>
      <c r="Q44" s="508" t="s">
        <v>415</v>
      </c>
      <c r="R44" s="508"/>
      <c r="S44" s="508" t="s">
        <v>344</v>
      </c>
    </row>
    <row r="45" spans="1:19" ht="19.5" customHeight="1">
      <c r="A45" s="502" t="str">
        <f>IF(B45&lt;&gt;"","VL","")</f>
        <v>VL</v>
      </c>
      <c r="B45" s="503">
        <f>IF(C45&lt;&gt;"",ROW()-11,"")</f>
        <v>34</v>
      </c>
      <c r="C45" s="318" t="s">
        <v>1508</v>
      </c>
      <c r="D45" s="517" t="s">
        <v>382</v>
      </c>
      <c r="E45" s="518"/>
      <c r="F45" s="518"/>
      <c r="G45" s="25">
        <f t="array" ref="G45">SUM(IF("1522"&amp;C45=KHN&amp;MH,SL))</f>
        <v>72</v>
      </c>
      <c r="H45" s="25">
        <f t="array" ref="H45">SUM(IF("1522"&amp;C45=KHN&amp;MH,TH))</f>
        <v>1536984</v>
      </c>
      <c r="I45" s="25">
        <f t="array" ref="I45">SUM(IF("1522"&amp;C45=KHC&amp;MH,SL))</f>
        <v>72</v>
      </c>
      <c r="J45" s="25">
        <f t="array" ref="J45">SUM(IF("1522"&amp;C45=KHC&amp;MH,TH))</f>
        <v>1536984</v>
      </c>
      <c r="K45" s="518">
        <f t="shared" si="4"/>
        <v>0</v>
      </c>
      <c r="L45" s="518">
        <f t="shared" si="5"/>
        <v>0</v>
      </c>
      <c r="M45" s="506"/>
      <c r="N45" s="509" t="s">
        <v>425</v>
      </c>
      <c r="O45" s="511" t="s">
        <v>426</v>
      </c>
      <c r="P45" s="508">
        <v>270106056</v>
      </c>
      <c r="Q45" s="508" t="s">
        <v>426</v>
      </c>
      <c r="R45" s="508" t="s">
        <v>427</v>
      </c>
      <c r="S45" s="508" t="s">
        <v>344</v>
      </c>
    </row>
    <row r="46" spans="1:19" ht="19.5" customHeight="1">
      <c r="A46" s="502" t="str">
        <f>IF(B46&lt;&gt;"","VL","")</f>
        <v>VL</v>
      </c>
      <c r="B46" s="503">
        <f>IF(C46&lt;&gt;"",ROW()-11,"")</f>
        <v>35</v>
      </c>
      <c r="C46" s="516" t="s">
        <v>387</v>
      </c>
      <c r="D46" s="517" t="s">
        <v>382</v>
      </c>
      <c r="E46" s="518">
        <v>7380</v>
      </c>
      <c r="F46" s="518">
        <v>106222000</v>
      </c>
      <c r="G46" s="25">
        <f t="array" ref="G46">SUM(IF("1522"&amp;C46=KHN&amp;MH,SL))</f>
        <v>0</v>
      </c>
      <c r="H46" s="25">
        <f t="array" ref="H46">SUM(IF("1522"&amp;C46=KHN&amp;MH,TH))</f>
        <v>0</v>
      </c>
      <c r="I46" s="25">
        <f t="array" ref="I46">SUM(IF("1522"&amp;C46=KHC&amp;MH,SL))</f>
        <v>6470</v>
      </c>
      <c r="J46" s="25">
        <f t="array" ref="J46">SUM(IF("1522"&amp;C46=KHC&amp;MH,TH))</f>
        <v>94654000</v>
      </c>
      <c r="K46" s="518">
        <f t="shared" si="4"/>
        <v>910</v>
      </c>
      <c r="L46" s="518">
        <f t="shared" si="5"/>
        <v>11568000</v>
      </c>
      <c r="M46" s="506"/>
      <c r="N46" s="509" t="s">
        <v>428</v>
      </c>
      <c r="O46" s="511" t="s">
        <v>426</v>
      </c>
      <c r="P46" s="508">
        <v>270176684</v>
      </c>
      <c r="Q46" s="508" t="s">
        <v>426</v>
      </c>
      <c r="R46" s="508" t="s">
        <v>429</v>
      </c>
      <c r="S46" s="508" t="s">
        <v>344</v>
      </c>
    </row>
    <row r="47" spans="1:19" ht="19.5" customHeight="1">
      <c r="A47" s="502" t="str">
        <f t="shared" si="6"/>
        <v>VL</v>
      </c>
      <c r="B47" s="503">
        <f t="shared" si="7"/>
        <v>36</v>
      </c>
      <c r="C47" s="318" t="s">
        <v>1507</v>
      </c>
      <c r="D47" s="517" t="s">
        <v>382</v>
      </c>
      <c r="E47" s="518"/>
      <c r="F47" s="518"/>
      <c r="G47" s="25">
        <f t="array" ref="G47">SUM(IF("1522"&amp;C47=KHN&amp;MH,SL))</f>
        <v>62</v>
      </c>
      <c r="H47" s="25">
        <f t="array" ref="H47">SUM(IF("1522"&amp;C47=KHN&amp;MH,TH))</f>
        <v>806000</v>
      </c>
      <c r="I47" s="25">
        <f t="array" ref="I47">SUM(IF("1522"&amp;C47=KHC&amp;MH,SL))</f>
        <v>62</v>
      </c>
      <c r="J47" s="25">
        <f t="array" ref="J47">SUM(IF("1522"&amp;C47=KHC&amp;MH,TH))</f>
        <v>806000</v>
      </c>
      <c r="K47" s="518">
        <f t="shared" si="4"/>
        <v>0</v>
      </c>
      <c r="L47" s="518">
        <f t="shared" si="5"/>
        <v>0</v>
      </c>
      <c r="M47" s="506"/>
      <c r="N47" s="509" t="s">
        <v>430</v>
      </c>
      <c r="O47" s="511" t="s">
        <v>426</v>
      </c>
      <c r="P47" s="508">
        <v>270176960</v>
      </c>
      <c r="Q47" s="508" t="s">
        <v>426</v>
      </c>
      <c r="R47" s="508" t="s">
        <v>431</v>
      </c>
      <c r="S47" s="508" t="s">
        <v>344</v>
      </c>
    </row>
    <row r="48" spans="1:19" ht="19.5" customHeight="1">
      <c r="A48" s="502" t="str">
        <f>IF(B48&lt;&gt;"","VL","")</f>
        <v>VL</v>
      </c>
      <c r="B48" s="503">
        <f>IF(C48&lt;&gt;"",ROW()-11,"")</f>
        <v>37</v>
      </c>
      <c r="C48" s="318" t="s">
        <v>1509</v>
      </c>
      <c r="D48" s="517" t="s">
        <v>382</v>
      </c>
      <c r="E48" s="518"/>
      <c r="F48" s="518"/>
      <c r="G48" s="25">
        <f t="array" ref="G48">SUM(IF("1522"&amp;C48=KHN&amp;MH,SL))</f>
        <v>132</v>
      </c>
      <c r="H48" s="25">
        <f t="array" ref="H48">SUM(IF("1522"&amp;C48=KHN&amp;MH,TH))</f>
        <v>2817804</v>
      </c>
      <c r="I48" s="25">
        <f t="array" ref="I48">SUM(IF("1522"&amp;C48=KHC&amp;MH,SL))</f>
        <v>132</v>
      </c>
      <c r="J48" s="25">
        <f t="array" ref="J48">SUM(IF("1522"&amp;C48=KHC&amp;MH,TH))</f>
        <v>2817804</v>
      </c>
      <c r="K48" s="518">
        <f t="shared" si="4"/>
        <v>0</v>
      </c>
      <c r="L48" s="518">
        <f t="shared" si="5"/>
        <v>0</v>
      </c>
      <c r="M48" s="506"/>
      <c r="N48" s="509" t="s">
        <v>432</v>
      </c>
      <c r="O48" s="511" t="s">
        <v>426</v>
      </c>
      <c r="P48" s="508">
        <v>271181056</v>
      </c>
      <c r="Q48" s="508" t="s">
        <v>426</v>
      </c>
      <c r="R48" s="508"/>
      <c r="S48" s="508" t="s">
        <v>344</v>
      </c>
    </row>
    <row r="49" spans="1:19" ht="19.5" customHeight="1">
      <c r="A49" s="502" t="str">
        <f>IF(B49&lt;&gt;"","VL","")</f>
        <v>VL</v>
      </c>
      <c r="B49" s="503">
        <f>IF(C49&lt;&gt;"",ROW()-11,"")</f>
        <v>38</v>
      </c>
      <c r="C49" s="516" t="s">
        <v>394</v>
      </c>
      <c r="D49" s="517" t="s">
        <v>382</v>
      </c>
      <c r="E49" s="518"/>
      <c r="F49" s="518"/>
      <c r="G49" s="25">
        <f t="array" ref="G49">SUM(IF("1522"&amp;C49=KHN&amp;MH,SL))</f>
        <v>1000</v>
      </c>
      <c r="H49" s="25">
        <f t="array" ref="H49">SUM(IF("1522"&amp;C49=KHN&amp;MH,TH))</f>
        <v>17600000</v>
      </c>
      <c r="I49" s="25">
        <f t="array" ref="I49">SUM(IF("1522"&amp;C49=KHC&amp;MH,SL))</f>
        <v>1000</v>
      </c>
      <c r="J49" s="25">
        <f t="array" ref="J49">SUM(IF("1522"&amp;C49=KHC&amp;MH,TH))</f>
        <v>17600000</v>
      </c>
      <c r="K49" s="518">
        <f t="shared" si="4"/>
        <v>0</v>
      </c>
      <c r="L49" s="518">
        <f t="shared" si="5"/>
        <v>0</v>
      </c>
      <c r="M49" s="506"/>
      <c r="N49" s="509" t="s">
        <v>434</v>
      </c>
      <c r="O49" s="511" t="s">
        <v>426</v>
      </c>
      <c r="P49" s="508">
        <v>270986506</v>
      </c>
      <c r="Q49" s="508" t="s">
        <v>426</v>
      </c>
      <c r="R49" s="508"/>
      <c r="S49" s="508" t="s">
        <v>344</v>
      </c>
    </row>
    <row r="50" spans="1:19" ht="18" customHeight="1">
      <c r="A50" s="502" t="str">
        <f>IF(B50&lt;&gt;"","VL","")</f>
        <v>VL</v>
      </c>
      <c r="B50" s="503">
        <f>IF(C50&lt;&gt;"",ROW()-11,"")</f>
        <v>39</v>
      </c>
      <c r="C50" s="318" t="s">
        <v>1506</v>
      </c>
      <c r="D50" s="517" t="s">
        <v>382</v>
      </c>
      <c r="E50" s="518"/>
      <c r="F50" s="518"/>
      <c r="G50" s="25">
        <f t="array" ref="G50">SUM(IF("1522"&amp;C50=KHN&amp;MH,SL))</f>
        <v>636</v>
      </c>
      <c r="H50" s="25">
        <f t="array" ref="H50">SUM(IF("1522"&amp;C50=KHN&amp;MH,TH))</f>
        <v>8268000</v>
      </c>
      <c r="I50" s="25">
        <f t="array" ref="I50">SUM(IF("1522"&amp;C50=KHC&amp;MH,SL))</f>
        <v>636</v>
      </c>
      <c r="J50" s="25">
        <f t="array" ref="J50">SUM(IF("1522"&amp;C50=KHC&amp;MH,TH))</f>
        <v>8268000</v>
      </c>
      <c r="K50" s="518">
        <f t="shared" si="4"/>
        <v>0</v>
      </c>
      <c r="L50" s="518">
        <f t="shared" si="5"/>
        <v>0</v>
      </c>
      <c r="M50" s="506"/>
      <c r="N50" s="509" t="s">
        <v>435</v>
      </c>
      <c r="O50" s="511" t="s">
        <v>426</v>
      </c>
      <c r="P50" s="508">
        <v>273042454</v>
      </c>
      <c r="Q50" s="508" t="s">
        <v>436</v>
      </c>
      <c r="R50" s="508" t="s">
        <v>437</v>
      </c>
      <c r="S50" s="508" t="s">
        <v>344</v>
      </c>
    </row>
    <row r="51" spans="1:19" ht="18" customHeight="1">
      <c r="A51" s="502" t="str">
        <f>IF(B51&lt;&gt;"","VL","")</f>
        <v/>
      </c>
      <c r="B51" s="503" t="str">
        <f>IF(C51&lt;&gt;"",ROW()-11,"")</f>
        <v/>
      </c>
      <c r="C51" s="318"/>
      <c r="D51" s="517"/>
      <c r="E51" s="518"/>
      <c r="F51" s="518"/>
      <c r="G51" s="25">
        <f t="array" ref="G51">SUM(IF("1522"&amp;C51=KHN&amp;MH,SL))</f>
        <v>0</v>
      </c>
      <c r="H51" s="25">
        <f t="array" ref="H51">SUM(IF("1522"&amp;C51=KHN&amp;MH,TH))</f>
        <v>0</v>
      </c>
      <c r="I51" s="25">
        <f t="array" ref="I51">SUM(IF("1522"&amp;C51=KHC&amp;MH,SL))</f>
        <v>0</v>
      </c>
      <c r="J51" s="25">
        <f t="array" ref="J51">SUM(IF("1522"&amp;C51=KHC&amp;MH,TH))</f>
        <v>0</v>
      </c>
      <c r="K51" s="518">
        <f t="shared" si="4"/>
        <v>0</v>
      </c>
      <c r="L51" s="518">
        <f t="shared" si="5"/>
        <v>0</v>
      </c>
      <c r="M51" s="506"/>
      <c r="N51" s="509" t="s">
        <v>439</v>
      </c>
      <c r="O51" s="511" t="s">
        <v>426</v>
      </c>
      <c r="P51" s="508">
        <v>273249576</v>
      </c>
      <c r="Q51" s="508" t="s">
        <v>426</v>
      </c>
      <c r="R51" s="508"/>
      <c r="S51" s="508" t="s">
        <v>344</v>
      </c>
    </row>
    <row r="52" spans="1:19" ht="18.75" customHeight="1">
      <c r="A52" s="502" t="str">
        <f>IF(B52&lt;&gt;"","VL","")</f>
        <v/>
      </c>
      <c r="B52" s="503" t="str">
        <f>IF(C52&lt;&gt;"",ROW()-11,"")</f>
        <v/>
      </c>
      <c r="C52" s="955"/>
      <c r="D52" s="951"/>
      <c r="E52" s="952"/>
      <c r="F52" s="952"/>
      <c r="G52" s="25">
        <f t="array" ref="G52">SUM(IF("1522"&amp;C52=KHN&amp;MH,SL))</f>
        <v>0</v>
      </c>
      <c r="H52" s="25">
        <f t="array" ref="H52">SUM(IF("1522"&amp;C52=KHN&amp;MH,TH))</f>
        <v>0</v>
      </c>
      <c r="I52" s="25">
        <f t="array" ref="I52">SUM(IF("1522"&amp;C52=KHC&amp;MH,SL))</f>
        <v>0</v>
      </c>
      <c r="J52" s="25">
        <f t="array" ref="J52">SUM(IF("1522"&amp;C52=KHC&amp;MH,TH))</f>
        <v>0</v>
      </c>
      <c r="K52" s="518">
        <f t="shared" ref="K52:L55" si="18">E52+G52-I52</f>
        <v>0</v>
      </c>
      <c r="L52" s="518">
        <f t="shared" si="18"/>
        <v>0</v>
      </c>
      <c r="M52" s="506"/>
      <c r="N52" s="509" t="s">
        <v>441</v>
      </c>
      <c r="O52" s="511" t="s">
        <v>426</v>
      </c>
      <c r="P52" s="508">
        <v>271642418</v>
      </c>
      <c r="Q52" s="508" t="s">
        <v>426</v>
      </c>
      <c r="R52" s="508"/>
      <c r="S52" s="508" t="s">
        <v>344</v>
      </c>
    </row>
    <row r="53" spans="1:19" ht="18.75" customHeight="1">
      <c r="A53" s="502"/>
      <c r="B53" s="503"/>
      <c r="C53" s="955"/>
      <c r="D53" s="951"/>
      <c r="E53" s="952"/>
      <c r="F53" s="952"/>
      <c r="G53" s="25">
        <f t="array" ref="G53">SUM(IF("1522"&amp;C53=KHN&amp;MH,SL))</f>
        <v>0</v>
      </c>
      <c r="H53" s="25">
        <f t="array" ref="H53">SUM(IF("1522"&amp;C53=KHN&amp;MH,TH))</f>
        <v>0</v>
      </c>
      <c r="I53" s="25">
        <f t="array" ref="I53">SUM(IF("1522"&amp;C53=KHC&amp;MH,SL))</f>
        <v>0</v>
      </c>
      <c r="J53" s="25">
        <f t="array" ref="J53">SUM(IF("1522"&amp;C53=KHC&amp;MH,TH))</f>
        <v>0</v>
      </c>
      <c r="K53" s="518">
        <f t="shared" si="18"/>
        <v>0</v>
      </c>
      <c r="L53" s="518">
        <f t="shared" si="18"/>
        <v>0</v>
      </c>
      <c r="M53" s="506"/>
      <c r="N53" s="515" t="s">
        <v>443</v>
      </c>
      <c r="O53" s="511" t="s">
        <v>426</v>
      </c>
      <c r="P53" s="508">
        <v>273017840</v>
      </c>
      <c r="Q53" s="508" t="s">
        <v>444</v>
      </c>
      <c r="R53" s="508"/>
      <c r="S53" s="508" t="s">
        <v>344</v>
      </c>
    </row>
    <row r="54" spans="1:19" ht="18.75" customHeight="1">
      <c r="A54" s="502"/>
      <c r="B54" s="503"/>
      <c r="C54" s="955"/>
      <c r="D54" s="951"/>
      <c r="E54" s="952"/>
      <c r="F54" s="952"/>
      <c r="G54" s="25">
        <f t="array" ref="G54">SUM(IF("1522"&amp;C54=KHN&amp;MH,SL))</f>
        <v>0</v>
      </c>
      <c r="H54" s="25">
        <f t="array" ref="H54">SUM(IF("1522"&amp;C54=KHN&amp;MH,TH))</f>
        <v>0</v>
      </c>
      <c r="I54" s="25">
        <f t="array" ref="I54">SUM(IF("1522"&amp;C54=KHC&amp;MH,SL))</f>
        <v>0</v>
      </c>
      <c r="J54" s="25">
        <f t="array" ref="J54">SUM(IF("1522"&amp;C54=KHC&amp;MH,TH))</f>
        <v>0</v>
      </c>
      <c r="K54" s="518">
        <f t="shared" si="18"/>
        <v>0</v>
      </c>
      <c r="L54" s="518">
        <f t="shared" si="18"/>
        <v>0</v>
      </c>
      <c r="M54" s="506"/>
      <c r="N54" s="509" t="s">
        <v>1966</v>
      </c>
      <c r="O54" s="511">
        <v>260456563</v>
      </c>
      <c r="P54" s="508" t="s">
        <v>426</v>
      </c>
      <c r="Q54" s="508" t="s">
        <v>426</v>
      </c>
      <c r="R54" s="508"/>
      <c r="S54" s="508" t="s">
        <v>344</v>
      </c>
    </row>
    <row r="55" spans="1:19" ht="18.75" customHeight="1">
      <c r="A55" s="502" t="str">
        <f t="shared" si="1"/>
        <v/>
      </c>
      <c r="B55" s="503" t="str">
        <f t="shared" si="2"/>
        <v/>
      </c>
      <c r="C55" s="516"/>
      <c r="D55" s="517"/>
      <c r="E55" s="518"/>
      <c r="F55" s="518"/>
      <c r="G55" s="25">
        <f t="array" ref="G55">SUM(IF("1522"&amp;C55=KHN&amp;MH,SL))</f>
        <v>0</v>
      </c>
      <c r="H55" s="25">
        <f t="array" ref="H55">SUM(IF("1522"&amp;C55=KHN&amp;MH,TH))</f>
        <v>0</v>
      </c>
      <c r="I55" s="25">
        <f t="array" ref="I55">SUM(IF("1522"&amp;C55=KHC&amp;MH,SL))</f>
        <v>0</v>
      </c>
      <c r="J55" s="25">
        <f t="array" ref="J55">SUM(IF("1522"&amp;C55=KHC&amp;MH,TH))</f>
        <v>0</v>
      </c>
      <c r="K55" s="518">
        <f t="shared" si="18"/>
        <v>0</v>
      </c>
      <c r="L55" s="518">
        <f t="shared" si="18"/>
        <v>0</v>
      </c>
      <c r="M55" s="506"/>
      <c r="N55" s="515" t="s">
        <v>1967</v>
      </c>
      <c r="O55" s="511">
        <v>261183075</v>
      </c>
      <c r="P55" s="508" t="s">
        <v>426</v>
      </c>
      <c r="Q55" s="508" t="s">
        <v>426</v>
      </c>
      <c r="R55" s="508"/>
      <c r="S55" s="508" t="s">
        <v>344</v>
      </c>
    </row>
    <row r="56" spans="1:19" ht="18.75" customHeight="1">
      <c r="A56" s="502" t="str">
        <f t="shared" si="1"/>
        <v/>
      </c>
      <c r="B56" s="503" t="str">
        <f t="shared" si="2"/>
        <v/>
      </c>
      <c r="C56" s="515"/>
      <c r="D56" s="521"/>
      <c r="E56" s="522"/>
      <c r="F56" s="522"/>
      <c r="G56" s="25"/>
      <c r="H56" s="522"/>
      <c r="I56" s="522"/>
      <c r="J56" s="522"/>
      <c r="K56" s="522"/>
      <c r="L56" s="522"/>
      <c r="M56" s="506"/>
      <c r="N56" s="516" t="s">
        <v>1964</v>
      </c>
      <c r="O56" s="517">
        <v>273017843</v>
      </c>
      <c r="P56" s="518" t="s">
        <v>2224</v>
      </c>
      <c r="Q56" s="518" t="s">
        <v>426</v>
      </c>
      <c r="R56" s="508" t="s">
        <v>2225</v>
      </c>
      <c r="S56" s="508" t="s">
        <v>344</v>
      </c>
    </row>
    <row r="57" spans="1:19" ht="18.75" customHeight="1">
      <c r="A57" s="502" t="str">
        <f t="shared" si="1"/>
        <v/>
      </c>
      <c r="B57" s="499"/>
      <c r="C57" s="523" t="s">
        <v>420</v>
      </c>
      <c r="D57" s="13"/>
      <c r="E57" s="13">
        <f t="shared" ref="E57:L57" si="19">SUM(E12:E56)</f>
        <v>497677</v>
      </c>
      <c r="F57" s="13">
        <f t="shared" si="19"/>
        <v>526519887</v>
      </c>
      <c r="G57" s="13">
        <f t="shared" si="19"/>
        <v>144583</v>
      </c>
      <c r="H57" s="13">
        <f t="shared" si="19"/>
        <v>1039718354</v>
      </c>
      <c r="I57" s="13">
        <f t="shared" si="19"/>
        <v>484489</v>
      </c>
      <c r="J57" s="13">
        <f t="shared" si="19"/>
        <v>1295673242</v>
      </c>
      <c r="K57" s="13">
        <f t="shared" si="19"/>
        <v>157771</v>
      </c>
      <c r="L57" s="13">
        <f t="shared" si="19"/>
        <v>270564999</v>
      </c>
      <c r="M57" s="506"/>
      <c r="N57" s="516" t="s">
        <v>1965</v>
      </c>
      <c r="O57" s="517">
        <v>190253143</v>
      </c>
      <c r="P57" s="518" t="s">
        <v>426</v>
      </c>
      <c r="Q57" s="518" t="s">
        <v>426</v>
      </c>
      <c r="R57" s="508" t="s">
        <v>2226</v>
      </c>
      <c r="S57" s="508" t="s">
        <v>344</v>
      </c>
    </row>
    <row r="58" spans="1:19" ht="18.75" customHeight="1">
      <c r="A58" s="502"/>
      <c r="B58" s="947"/>
      <c r="C58" s="948"/>
      <c r="D58" s="949"/>
      <c r="E58" s="949"/>
      <c r="F58" s="949">
        <f>F57-CDPS!C22</f>
        <v>0</v>
      </c>
      <c r="G58" s="949"/>
      <c r="H58" s="949">
        <f>H57-CDPS!E22</f>
        <v>0</v>
      </c>
      <c r="I58" s="949"/>
      <c r="J58" s="949">
        <f>J57-CDPS!F22</f>
        <v>0</v>
      </c>
      <c r="K58" s="949"/>
      <c r="L58" s="949">
        <f>L57-CDPS!G22</f>
        <v>0</v>
      </c>
      <c r="M58" s="506"/>
      <c r="N58" s="516" t="s">
        <v>1970</v>
      </c>
      <c r="O58" s="517"/>
      <c r="P58" s="518"/>
      <c r="Q58" s="518"/>
      <c r="R58" s="508"/>
      <c r="S58" s="508" t="s">
        <v>338</v>
      </c>
    </row>
    <row r="59" spans="1:19" ht="18.75" customHeight="1">
      <c r="A59" s="502" t="str">
        <f t="shared" ref="A59:A64" si="20">IF(B59&lt;&gt;"","NL","")</f>
        <v>NL</v>
      </c>
      <c r="B59" s="946">
        <f>IF(C59&lt;&gt;"",ROW()-(ROW()-1),"")</f>
        <v>1</v>
      </c>
      <c r="C59" s="504" t="s">
        <v>680</v>
      </c>
      <c r="D59" s="505" t="s">
        <v>340</v>
      </c>
      <c r="E59" s="25">
        <v>46400</v>
      </c>
      <c r="F59" s="25">
        <v>858400000</v>
      </c>
      <c r="G59" s="25">
        <f t="array" ref="G59">SUM(IF("1521"&amp;C59=KHN&amp;MH,SL))</f>
        <v>240500</v>
      </c>
      <c r="H59" s="25">
        <f t="array" ref="H59">SUM(IF("1521"&amp;C59=KHN&amp;MH,TH))</f>
        <v>4376450000</v>
      </c>
      <c r="I59" s="25">
        <f t="array" ref="I59">SUM(IF("1521"&amp;C59=KHC&amp;MH,SL))</f>
        <v>286900</v>
      </c>
      <c r="J59" s="25">
        <f t="array" ref="J59">SUM(IF("1521"&amp;C59=KHC&amp;MH,TH))</f>
        <v>5234850000</v>
      </c>
      <c r="K59" s="25">
        <f t="shared" ref="K59:L63" si="21">E59+G59-I59</f>
        <v>0</v>
      </c>
      <c r="L59" s="25">
        <f t="shared" si="21"/>
        <v>0</v>
      </c>
      <c r="M59" s="506"/>
      <c r="N59" s="516"/>
      <c r="O59" s="517"/>
      <c r="P59" s="518"/>
      <c r="Q59" s="518"/>
      <c r="R59" s="508"/>
      <c r="S59" s="508"/>
    </row>
    <row r="60" spans="1:19" ht="19.5" customHeight="1">
      <c r="A60" s="502" t="str">
        <f t="shared" si="20"/>
        <v>NL</v>
      </c>
      <c r="B60" s="503">
        <f>IF(C60&lt;&gt;"",B59+1,"")</f>
        <v>2</v>
      </c>
      <c r="C60" s="509" t="s">
        <v>681</v>
      </c>
      <c r="D60" s="505" t="s">
        <v>340</v>
      </c>
      <c r="E60" s="8">
        <v>132000</v>
      </c>
      <c r="F60" s="8">
        <v>1914000000</v>
      </c>
      <c r="G60" s="25">
        <f t="array" ref="G60">SUM(IF("1521"&amp;C60=KHN&amp;MH,SL))</f>
        <v>440940</v>
      </c>
      <c r="H60" s="25">
        <f t="array" ref="H60">SUM(IF("1521"&amp;C60=KHN&amp;MH,TH))</f>
        <v>6613540000</v>
      </c>
      <c r="I60" s="25">
        <f t="array" ref="I60">SUM(IF("1521"&amp;C60=KHC&amp;MH,SL))</f>
        <v>572940</v>
      </c>
      <c r="J60" s="25">
        <f t="array" ref="J60">SUM(IF("1521"&amp;C60=KHC&amp;MH,TH))</f>
        <v>8527540000</v>
      </c>
      <c r="K60" s="8">
        <f t="shared" si="21"/>
        <v>0</v>
      </c>
      <c r="L60" s="8">
        <f t="shared" si="21"/>
        <v>0</v>
      </c>
      <c r="M60" s="506"/>
      <c r="N60" s="509" t="s">
        <v>446</v>
      </c>
      <c r="O60" s="509"/>
      <c r="P60" s="509"/>
      <c r="Q60" s="509"/>
      <c r="R60" s="509"/>
      <c r="S60" s="509"/>
    </row>
    <row r="61" spans="1:19" ht="19.5" customHeight="1">
      <c r="A61" s="502" t="str">
        <f t="shared" si="20"/>
        <v>NL</v>
      </c>
      <c r="B61" s="503">
        <f>IF(C61&lt;&gt;"",B60+1,"")</f>
        <v>3</v>
      </c>
      <c r="C61" s="509" t="s">
        <v>1946</v>
      </c>
      <c r="D61" s="505" t="s">
        <v>340</v>
      </c>
      <c r="E61" s="8"/>
      <c r="F61" s="8"/>
      <c r="G61" s="25">
        <f t="array" ref="G61">SUM(IF("1521"&amp;C61=KHN&amp;MH,SL))</f>
        <v>17100</v>
      </c>
      <c r="H61" s="25">
        <f t="array" ref="H61">SUM(IF("1521"&amp;C61=KHN&amp;MH,TH))</f>
        <v>504450000</v>
      </c>
      <c r="I61" s="25">
        <f t="array" ref="I61">SUM(IF("1521"&amp;C61=KHC&amp;MH,SL))</f>
        <v>17100</v>
      </c>
      <c r="J61" s="25">
        <f t="array" ref="J61">SUM(IF("1521"&amp;C61=KHC&amp;MH,TH))</f>
        <v>504450000</v>
      </c>
      <c r="K61" s="8">
        <f t="shared" si="21"/>
        <v>0</v>
      </c>
      <c r="L61" s="8">
        <f t="shared" si="21"/>
        <v>0</v>
      </c>
      <c r="M61" s="506"/>
      <c r="N61" s="530"/>
      <c r="O61" s="530"/>
      <c r="P61" s="530"/>
      <c r="Q61" s="530"/>
      <c r="R61" s="530"/>
      <c r="S61" s="530"/>
    </row>
    <row r="62" spans="1:19" ht="19.5" customHeight="1">
      <c r="A62" s="502" t="str">
        <f t="shared" si="20"/>
        <v>NL</v>
      </c>
      <c r="B62" s="503">
        <f>IF(C62&lt;&gt;"",B61+1,"")</f>
        <v>4</v>
      </c>
      <c r="C62" s="509" t="s">
        <v>1947</v>
      </c>
      <c r="D62" s="505" t="s">
        <v>340</v>
      </c>
      <c r="E62" s="8"/>
      <c r="F62" s="8"/>
      <c r="G62" s="25">
        <f t="array" ref="G62">SUM(IF("1521"&amp;C62=KHN&amp;MH,SL))</f>
        <v>3000</v>
      </c>
      <c r="H62" s="25">
        <f t="array" ref="H62">SUM(IF("1521"&amp;C62=KHN&amp;MH,TH))</f>
        <v>86100000</v>
      </c>
      <c r="I62" s="25">
        <f t="array" ref="I62">SUM(IF("1521"&amp;C62=KHC&amp;MH,SL))</f>
        <v>3000</v>
      </c>
      <c r="J62" s="25">
        <f t="array" ref="J62">SUM(IF("1521"&amp;C62=KHC&amp;MH,TH))</f>
        <v>86100000</v>
      </c>
      <c r="K62" s="8">
        <f t="shared" si="21"/>
        <v>0</v>
      </c>
      <c r="L62" s="8">
        <f t="shared" si="21"/>
        <v>0</v>
      </c>
      <c r="M62" s="506"/>
      <c r="N62" s="530"/>
      <c r="O62" s="530"/>
      <c r="P62" s="530"/>
      <c r="Q62" s="530"/>
      <c r="R62" s="530"/>
      <c r="S62" s="530"/>
    </row>
    <row r="63" spans="1:19" ht="19.5" customHeight="1">
      <c r="A63" s="502" t="str">
        <f t="shared" si="20"/>
        <v>NL</v>
      </c>
      <c r="B63" s="503">
        <f>IF(C63&lt;&gt;"",B62+1,"")</f>
        <v>5</v>
      </c>
      <c r="C63" s="509" t="s">
        <v>1948</v>
      </c>
      <c r="D63" s="505" t="s">
        <v>340</v>
      </c>
      <c r="E63" s="8"/>
      <c r="F63" s="8"/>
      <c r="G63" s="25">
        <f t="array" ref="G63">SUM(IF("1521"&amp;C63=KHN&amp;MH,SL))</f>
        <v>2500</v>
      </c>
      <c r="H63" s="25">
        <f t="array" ref="H63">SUM(IF("1521"&amp;C63=KHN&amp;MH,TH))</f>
        <v>117500000</v>
      </c>
      <c r="I63" s="25">
        <f t="array" ref="I63">SUM(IF("1521"&amp;C63=KHC&amp;MH,SL))</f>
        <v>2500</v>
      </c>
      <c r="J63" s="25">
        <f t="array" ref="J63">SUM(IF("1521"&amp;C63=KHC&amp;MH,TH))</f>
        <v>117500000</v>
      </c>
      <c r="K63" s="8">
        <f t="shared" si="21"/>
        <v>0</v>
      </c>
      <c r="L63" s="8">
        <f t="shared" si="21"/>
        <v>0</v>
      </c>
      <c r="M63" s="506"/>
      <c r="N63" s="530"/>
      <c r="O63" s="530"/>
      <c r="P63" s="530"/>
      <c r="Q63" s="530"/>
      <c r="R63" s="530"/>
      <c r="S63" s="530"/>
    </row>
    <row r="64" spans="1:19" ht="19.5" customHeight="1">
      <c r="A64" s="502" t="str">
        <f t="shared" si="20"/>
        <v>NL</v>
      </c>
      <c r="B64" s="503">
        <f>IF(C64&lt;&gt;"",B63+1,"")</f>
        <v>6</v>
      </c>
      <c r="C64" s="509" t="s">
        <v>1949</v>
      </c>
      <c r="D64" s="505" t="s">
        <v>340</v>
      </c>
      <c r="E64" s="8"/>
      <c r="F64" s="8"/>
      <c r="G64" s="25">
        <f t="array" ref="G64">SUM(IF("1521"&amp;C64=KHN&amp;MH,SL))</f>
        <v>6650</v>
      </c>
      <c r="H64" s="25">
        <f t="array" ref="H64">SUM(IF("1521"&amp;C64=KHN&amp;MH,TH))</f>
        <v>238425000</v>
      </c>
      <c r="I64" s="25">
        <f t="array" ref="I64">SUM(IF("1521"&amp;C64=KHC&amp;MH,SL))</f>
        <v>6650</v>
      </c>
      <c r="J64" s="25">
        <f t="array" ref="J64">SUM(IF("1521"&amp;C64=KHC&amp;MH,TH))</f>
        <v>238425000</v>
      </c>
      <c r="K64" s="8">
        <f t="shared" ref="K64:L70" si="22">E64+G64-I64</f>
        <v>0</v>
      </c>
      <c r="L64" s="8">
        <f t="shared" si="22"/>
        <v>0</v>
      </c>
      <c r="M64" s="506"/>
      <c r="N64" s="530"/>
      <c r="O64" s="530"/>
      <c r="P64" s="530"/>
      <c r="Q64" s="530"/>
      <c r="R64" s="530"/>
      <c r="S64" s="530"/>
    </row>
    <row r="65" spans="1:20" ht="19.5" customHeight="1">
      <c r="A65" s="502" t="str">
        <f t="shared" ref="A65:A71" si="23">IF(B65&lt;&gt;"","NL","")</f>
        <v>NL</v>
      </c>
      <c r="B65" s="503">
        <f t="shared" ref="B65:B71" si="24">IF(C65&lt;&gt;"",B64+1,"")</f>
        <v>7</v>
      </c>
      <c r="C65" s="509" t="s">
        <v>1950</v>
      </c>
      <c r="D65" s="505" t="s">
        <v>340</v>
      </c>
      <c r="E65" s="8"/>
      <c r="F65" s="8"/>
      <c r="G65" s="25">
        <f t="array" ref="G65">SUM(IF("1521"&amp;C65=KHN&amp;MH,SL))</f>
        <v>70000</v>
      </c>
      <c r="H65" s="25">
        <f t="array" ref="H65">SUM(IF("1521"&amp;C65=KHN&amp;MH,TH))</f>
        <v>1225000000</v>
      </c>
      <c r="I65" s="25">
        <f t="array" ref="I65">SUM(IF("1521"&amp;C65=KHC&amp;MH,SL))</f>
        <v>70000</v>
      </c>
      <c r="J65" s="25">
        <f t="array" ref="J65">SUM(IF("1521"&amp;C65=KHC&amp;MH,TH))</f>
        <v>1225000000</v>
      </c>
      <c r="K65" s="8">
        <f t="shared" si="22"/>
        <v>0</v>
      </c>
      <c r="L65" s="8">
        <f t="shared" si="22"/>
        <v>0</v>
      </c>
      <c r="M65" s="506"/>
      <c r="N65" s="530"/>
      <c r="O65" s="530"/>
      <c r="P65" s="530"/>
      <c r="Q65" s="530"/>
      <c r="R65" s="530"/>
      <c r="S65" s="530"/>
    </row>
    <row r="66" spans="1:20" ht="19.5" customHeight="1">
      <c r="A66" s="502" t="str">
        <f t="shared" si="23"/>
        <v>NL</v>
      </c>
      <c r="B66" s="503">
        <f t="shared" si="24"/>
        <v>8</v>
      </c>
      <c r="C66" s="509" t="s">
        <v>1951</v>
      </c>
      <c r="D66" s="505" t="s">
        <v>340</v>
      </c>
      <c r="E66" s="8"/>
      <c r="F66" s="8"/>
      <c r="G66" s="25">
        <f t="array" ref="G66">SUM(IF("1521"&amp;C66=KHN&amp;MH,SL))</f>
        <v>24168</v>
      </c>
      <c r="H66" s="25">
        <f t="array" ref="H66">SUM(IF("1521"&amp;C66=KHN&amp;MH,TH))</f>
        <v>2537640000</v>
      </c>
      <c r="I66" s="25">
        <f t="array" ref="I66">SUM(IF("1521"&amp;C66=KHC&amp;MH,SL))</f>
        <v>24168</v>
      </c>
      <c r="J66" s="25">
        <f t="array" ref="J66">SUM(IF("1521"&amp;C66=KHC&amp;MH,TH))</f>
        <v>2537640000</v>
      </c>
      <c r="K66" s="8">
        <f t="shared" si="22"/>
        <v>0</v>
      </c>
      <c r="L66" s="8">
        <f t="shared" si="22"/>
        <v>0</v>
      </c>
      <c r="M66" s="506"/>
      <c r="N66" s="530"/>
      <c r="O66" s="530"/>
      <c r="P66" s="530"/>
      <c r="Q66" s="530"/>
      <c r="R66" s="530"/>
      <c r="S66" s="530"/>
    </row>
    <row r="67" spans="1:20" ht="19.5" customHeight="1">
      <c r="A67" s="502" t="str">
        <f t="shared" si="23"/>
        <v>NL</v>
      </c>
      <c r="B67" s="503">
        <f t="shared" si="24"/>
        <v>9</v>
      </c>
      <c r="C67" s="509" t="s">
        <v>1968</v>
      </c>
      <c r="D67" s="505" t="s">
        <v>340</v>
      </c>
      <c r="E67" s="8"/>
      <c r="F67" s="8"/>
      <c r="G67" s="25">
        <f t="array" ref="G67">SUM(IF("1521"&amp;C67=KHN&amp;MH,SL))</f>
        <v>20430</v>
      </c>
      <c r="H67" s="25">
        <f t="array" ref="H67">SUM(IF("1521"&amp;C67=KHN&amp;MH,TH))</f>
        <v>500535000</v>
      </c>
      <c r="I67" s="25">
        <f t="array" ref="I67">SUM(IF("1521"&amp;C67=KHC&amp;MH,SL))</f>
        <v>20430</v>
      </c>
      <c r="J67" s="25">
        <f t="array" ref="J67">SUM(IF("1521"&amp;C67=KHC&amp;MH,TH))</f>
        <v>500535000</v>
      </c>
      <c r="K67" s="8">
        <f t="shared" si="22"/>
        <v>0</v>
      </c>
      <c r="L67" s="8">
        <f t="shared" si="22"/>
        <v>0</v>
      </c>
      <c r="M67" s="506"/>
      <c r="N67" s="530"/>
      <c r="O67" s="530"/>
      <c r="P67" s="530"/>
      <c r="Q67" s="530"/>
      <c r="R67" s="530"/>
      <c r="S67" s="530"/>
    </row>
    <row r="68" spans="1:20" ht="18.75" customHeight="1">
      <c r="A68" s="502" t="str">
        <f t="shared" si="23"/>
        <v>NL</v>
      </c>
      <c r="B68" s="503">
        <f t="shared" si="24"/>
        <v>10</v>
      </c>
      <c r="C68" s="509" t="s">
        <v>1969</v>
      </c>
      <c r="D68" s="505" t="s">
        <v>340</v>
      </c>
      <c r="E68" s="8"/>
      <c r="F68" s="8"/>
      <c r="G68" s="25">
        <f t="array" ref="G68">SUM(IF("1521"&amp;C68=KHN&amp;MH,SL))</f>
        <v>1164338</v>
      </c>
      <c r="H68" s="25">
        <f t="array" ref="H68">SUM(IF("1521"&amp;C68=KHN&amp;MH,TH))</f>
        <v>19577484000</v>
      </c>
      <c r="I68" s="25">
        <f t="array" ref="I68">SUM(IF("1521"&amp;C68=KHC&amp;MH,SL))</f>
        <v>1164338</v>
      </c>
      <c r="J68" s="25">
        <f t="array" ref="J68">SUM(IF("1521"&amp;C68=KHC&amp;MH,TH))</f>
        <v>19577484000</v>
      </c>
      <c r="K68" s="8">
        <f t="shared" si="22"/>
        <v>0</v>
      </c>
      <c r="L68" s="8">
        <f t="shared" si="22"/>
        <v>0</v>
      </c>
      <c r="M68" s="530"/>
      <c r="N68" s="530"/>
      <c r="O68" s="530"/>
      <c r="P68" s="530"/>
      <c r="Q68" s="530"/>
      <c r="R68" s="530"/>
      <c r="S68" s="530"/>
      <c r="T68" s="530"/>
    </row>
    <row r="69" spans="1:20" ht="18.75" customHeight="1">
      <c r="A69" s="502" t="str">
        <f t="shared" si="23"/>
        <v>NL</v>
      </c>
      <c r="B69" s="503">
        <f t="shared" si="24"/>
        <v>11</v>
      </c>
      <c r="C69" s="509" t="s">
        <v>1952</v>
      </c>
      <c r="D69" s="505" t="s">
        <v>340</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22"/>
        <v>0</v>
      </c>
      <c r="L69" s="8">
        <f t="shared" si="22"/>
        <v>0</v>
      </c>
      <c r="M69" s="493"/>
      <c r="P69" s="530"/>
      <c r="Q69" s="530"/>
      <c r="R69" s="530"/>
      <c r="S69" s="530"/>
      <c r="T69" s="530"/>
    </row>
    <row r="70" spans="1:20" ht="19.5" customHeight="1">
      <c r="A70" s="502" t="str">
        <f t="shared" si="23"/>
        <v>NL</v>
      </c>
      <c r="B70" s="503">
        <f t="shared" si="24"/>
        <v>12</v>
      </c>
      <c r="C70" s="509" t="s">
        <v>1953</v>
      </c>
      <c r="D70" s="505" t="s">
        <v>340</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22"/>
        <v>0</v>
      </c>
      <c r="L70" s="8">
        <f t="shared" si="22"/>
        <v>0</v>
      </c>
      <c r="M70" s="493"/>
      <c r="P70" s="530"/>
      <c r="Q70" s="530"/>
      <c r="R70" s="530"/>
      <c r="S70" s="530"/>
    </row>
    <row r="71" spans="1:20" ht="19.5" customHeight="1">
      <c r="A71" s="502" t="str">
        <f t="shared" si="23"/>
        <v/>
      </c>
      <c r="B71" s="503" t="str">
        <f t="shared" si="24"/>
        <v/>
      </c>
      <c r="C71" s="524"/>
      <c r="D71" s="525"/>
      <c r="E71" s="526"/>
      <c r="F71" s="526"/>
      <c r="G71" s="526"/>
      <c r="H71" s="526"/>
      <c r="I71" s="526"/>
      <c r="J71" s="526"/>
      <c r="K71" s="8"/>
      <c r="L71" s="8"/>
      <c r="M71" s="493"/>
      <c r="Q71" s="531"/>
      <c r="R71" s="531"/>
      <c r="S71" s="531"/>
    </row>
    <row r="72" spans="1:20" ht="19.5" customHeight="1">
      <c r="A72" s="502" t="str">
        <f>IF(B72&lt;&gt;"","NL","")</f>
        <v/>
      </c>
      <c r="B72" s="499"/>
      <c r="C72" s="523" t="s">
        <v>433</v>
      </c>
      <c r="D72" s="499"/>
      <c r="E72" s="13">
        <f>SUM(E59:E71)</f>
        <v>178400</v>
      </c>
      <c r="F72" s="13">
        <f t="shared" ref="F72:L72" si="25">SUM(F59:F71)</f>
        <v>2772400000</v>
      </c>
      <c r="G72" s="13">
        <f t="shared" si="25"/>
        <v>2013426</v>
      </c>
      <c r="H72" s="13">
        <f t="shared" si="25"/>
        <v>36042851000</v>
      </c>
      <c r="I72" s="13">
        <f t="shared" si="25"/>
        <v>2191826</v>
      </c>
      <c r="J72" s="13">
        <f t="shared" si="25"/>
        <v>38815251000</v>
      </c>
      <c r="K72" s="13">
        <f t="shared" si="25"/>
        <v>0</v>
      </c>
      <c r="L72" s="13">
        <f t="shared" si="25"/>
        <v>0</v>
      </c>
      <c r="M72" s="493"/>
      <c r="Q72" s="504" t="s">
        <v>438</v>
      </c>
      <c r="R72" s="504"/>
      <c r="S72" s="528">
        <v>4.5</v>
      </c>
    </row>
    <row r="73" spans="1:20" ht="19.5" customHeight="1">
      <c r="A73" s="502"/>
      <c r="B73" s="947"/>
      <c r="C73" s="948"/>
      <c r="D73" s="947"/>
      <c r="E73" s="949"/>
      <c r="F73" s="949">
        <f>F72-CDPS!C21</f>
        <v>0</v>
      </c>
      <c r="G73" s="949"/>
      <c r="H73" s="949">
        <f>H72-CDPS!E21</f>
        <v>-3303907500</v>
      </c>
      <c r="I73" s="949"/>
      <c r="J73" s="949">
        <f>J72-CDPS!F21</f>
        <v>-3303907500</v>
      </c>
      <c r="K73" s="949"/>
      <c r="L73" s="949">
        <f>L72-CDPS!G21</f>
        <v>0</v>
      </c>
      <c r="M73" s="493"/>
      <c r="Q73" s="509" t="s">
        <v>440</v>
      </c>
      <c r="R73" s="504"/>
      <c r="S73" s="528">
        <v>5</v>
      </c>
    </row>
    <row r="74" spans="1:20" ht="20.25" customHeight="1">
      <c r="A74" s="502" t="str">
        <f t="shared" ref="A74:A84" si="26">IF(B74&lt;&gt;"","TP","")</f>
        <v>TP</v>
      </c>
      <c r="B74" s="527">
        <f>IF(C74&lt;&gt;"",ROW()-(ROW()-1),"")</f>
        <v>1</v>
      </c>
      <c r="C74" s="504" t="s">
        <v>438</v>
      </c>
      <c r="D74" s="528" t="s">
        <v>340</v>
      </c>
      <c r="E74" s="25">
        <v>4725</v>
      </c>
      <c r="F74" s="25">
        <v>600463535</v>
      </c>
      <c r="G74" s="25">
        <f t="array" ref="G74">SUM(IF("155"&amp;C74=KHN&amp;MH,SL))</f>
        <v>42075</v>
      </c>
      <c r="H74" s="25">
        <f t="array" ref="H74">SUM(IF("155"&amp;C74=KHN&amp;MH,TH))</f>
        <v>3514926750</v>
      </c>
      <c r="I74" s="25">
        <f t="array" ref="I74">SUM(IF("155"&amp;C74=KHC&amp;MH,SL))</f>
        <v>46800</v>
      </c>
      <c r="J74" s="25">
        <f t="array" ref="J74">SUM(IF("155"&amp;C74=KHC&amp;MH,TH))</f>
        <v>4115390285</v>
      </c>
      <c r="K74" s="25">
        <f t="shared" ref="K74:L78" si="27">E74+G74-I74</f>
        <v>0</v>
      </c>
      <c r="L74" s="25">
        <f t="shared" si="27"/>
        <v>0</v>
      </c>
      <c r="M74" s="493"/>
      <c r="N74" s="502"/>
      <c r="Q74" s="509" t="s">
        <v>442</v>
      </c>
      <c r="R74" s="504"/>
      <c r="S74" s="528">
        <v>5</v>
      </c>
    </row>
    <row r="75" spans="1:20" ht="20.25" customHeight="1">
      <c r="A75" s="502" t="str">
        <f t="shared" si="26"/>
        <v>TP</v>
      </c>
      <c r="B75" s="529">
        <f>IF(C75&lt;&gt;"",B74+1,"")</f>
        <v>2</v>
      </c>
      <c r="C75" s="504" t="s">
        <v>463</v>
      </c>
      <c r="D75" s="528" t="s">
        <v>340</v>
      </c>
      <c r="E75" s="25"/>
      <c r="F75" s="25"/>
      <c r="G75" s="25">
        <f t="array" ref="G75">SUM(IF("155"&amp;C75=KHN&amp;MH,SL))</f>
        <v>520611</v>
      </c>
      <c r="H75" s="25">
        <f t="array" ref="H75">SUM(IF("155"&amp;C75=KHN&amp;MH,TH))</f>
        <v>29470555267</v>
      </c>
      <c r="I75" s="25">
        <f t="array" ref="I75">SUM(IF("155"&amp;C75=KHC&amp;MH,SL))</f>
        <v>208000</v>
      </c>
      <c r="J75" s="25">
        <f t="array" ref="J75">SUM(IF("155"&amp;C75=KHC&amp;MH,TH))</f>
        <v>11396180836</v>
      </c>
      <c r="K75" s="8">
        <f t="shared" si="27"/>
        <v>312611</v>
      </c>
      <c r="L75" s="8">
        <f t="shared" si="27"/>
        <v>18074374431</v>
      </c>
      <c r="M75" s="493"/>
      <c r="N75" s="1144"/>
      <c r="Q75" s="509" t="s">
        <v>445</v>
      </c>
      <c r="R75" s="504"/>
      <c r="S75" s="528">
        <v>5</v>
      </c>
    </row>
    <row r="76" spans="1:20" ht="20.25" customHeight="1">
      <c r="A76" s="502" t="str">
        <f t="shared" si="26"/>
        <v>TP</v>
      </c>
      <c r="B76" s="529">
        <f>IF(C76&lt;&gt;"",B75+1,"")</f>
        <v>3</v>
      </c>
      <c r="C76" s="509" t="s">
        <v>440</v>
      </c>
      <c r="D76" s="528" t="s">
        <v>340</v>
      </c>
      <c r="E76" s="8">
        <v>31675</v>
      </c>
      <c r="F76" s="8">
        <v>4490555471</v>
      </c>
      <c r="G76" s="25">
        <f t="array" ref="G76">SUM(IF("155"&amp;C76=KHN&amp;MH,SL))</f>
        <v>0</v>
      </c>
      <c r="H76" s="25">
        <f t="array" ref="H76">SUM(IF("155"&amp;C76=KHN&amp;MH,TH))</f>
        <v>0</v>
      </c>
      <c r="I76" s="25">
        <f t="array" ref="I76">SUM(IF("155"&amp;C76=KHC&amp;MH,SL))</f>
        <v>0</v>
      </c>
      <c r="J76" s="25">
        <f t="array" ref="J76">SUM(IF("155"&amp;C76=KHC&amp;MH,TH))</f>
        <v>0</v>
      </c>
      <c r="K76" s="8">
        <f t="shared" si="27"/>
        <v>31675</v>
      </c>
      <c r="L76" s="8">
        <f t="shared" si="27"/>
        <v>4490555471</v>
      </c>
      <c r="M76" s="493"/>
      <c r="Q76" s="509" t="s">
        <v>447</v>
      </c>
      <c r="R76" s="509"/>
      <c r="S76" s="532"/>
    </row>
    <row r="77" spans="1:20" ht="20.25" customHeight="1">
      <c r="A77" s="502" t="str">
        <f t="shared" si="26"/>
        <v>TP</v>
      </c>
      <c r="B77" s="529">
        <f>IF(C77&lt;&gt;"",B76+1,"")</f>
        <v>4</v>
      </c>
      <c r="C77" s="509" t="s">
        <v>442</v>
      </c>
      <c r="D77" s="528" t="s">
        <v>340</v>
      </c>
      <c r="E77" s="8">
        <v>20987</v>
      </c>
      <c r="F77" s="8">
        <v>3171039713</v>
      </c>
      <c r="G77" s="25">
        <f t="array" ref="G77">SUM(IF("155"&amp;C77=KHN&amp;MH,SL))</f>
        <v>25913</v>
      </c>
      <c r="H77" s="25">
        <f t="array" ref="H77">SUM(IF("155"&amp;C77=KHN&amp;MH,TH))</f>
        <v>3487561182</v>
      </c>
      <c r="I77" s="25">
        <f t="array" ref="I77">SUM(IF("155"&amp;C77=KHC&amp;MH,SL))</f>
        <v>46900</v>
      </c>
      <c r="J77" s="25">
        <f t="array" ref="J77">SUM(IF("155"&amp;C77=KHC&amp;MH,TH))</f>
        <v>6658600895</v>
      </c>
      <c r="K77" s="8">
        <f t="shared" si="27"/>
        <v>0</v>
      </c>
      <c r="L77" s="8">
        <f t="shared" si="27"/>
        <v>0</v>
      </c>
      <c r="M77" s="493"/>
      <c r="Q77" s="509" t="s">
        <v>451</v>
      </c>
      <c r="R77" s="509"/>
      <c r="S77" s="532">
        <v>8</v>
      </c>
    </row>
    <row r="78" spans="1:20" ht="20.25" customHeight="1">
      <c r="A78" s="502" t="str">
        <f t="shared" si="26"/>
        <v>TP</v>
      </c>
      <c r="B78" s="529">
        <f>IF(C78&lt;&gt;"",B77+1,"")</f>
        <v>5</v>
      </c>
      <c r="C78" s="509" t="s">
        <v>445</v>
      </c>
      <c r="D78" s="528" t="s">
        <v>340</v>
      </c>
      <c r="E78" s="8">
        <v>122</v>
      </c>
      <c r="F78" s="8">
        <v>17080000</v>
      </c>
      <c r="G78" s="25">
        <f t="array" ref="G78">SUM(IF("155"&amp;C78=KHN&amp;MH,SL))</f>
        <v>0</v>
      </c>
      <c r="H78" s="25">
        <f t="array" ref="H78">SUM(IF("155"&amp;C78=KHN&amp;MH,TH))</f>
        <v>0</v>
      </c>
      <c r="I78" s="25">
        <f t="array" ref="I78">SUM(IF("155"&amp;C78=KHC&amp;MH,SL))</f>
        <v>0</v>
      </c>
      <c r="J78" s="25">
        <f t="array" ref="J78">SUM(IF("155"&amp;C78=KHC&amp;MH,TH))</f>
        <v>0</v>
      </c>
      <c r="K78" s="8">
        <f t="shared" si="27"/>
        <v>122</v>
      </c>
      <c r="L78" s="8">
        <f t="shared" si="27"/>
        <v>17080000</v>
      </c>
      <c r="M78" s="493"/>
      <c r="Q78" s="509" t="s">
        <v>453</v>
      </c>
      <c r="R78" s="509"/>
      <c r="S78" s="532">
        <v>9</v>
      </c>
    </row>
    <row r="79" spans="1:20" ht="20.25" customHeight="1">
      <c r="A79" s="502" t="str">
        <f t="shared" si="26"/>
        <v>TP</v>
      </c>
      <c r="B79" s="529">
        <f>IF(C79&lt;&gt;"",B78+1,"")</f>
        <v>6</v>
      </c>
      <c r="C79" s="509" t="s">
        <v>447</v>
      </c>
      <c r="D79" s="528" t="s">
        <v>340</v>
      </c>
      <c r="E79" s="8">
        <v>16075</v>
      </c>
      <c r="F79" s="8">
        <v>1107185105</v>
      </c>
      <c r="G79" s="25">
        <f t="array" ref="G79">SUM(IF("155"&amp;C79=KHN&amp;MH,SL))</f>
        <v>0</v>
      </c>
      <c r="H79" s="25">
        <f t="array" ref="H79">SUM(IF("155"&amp;C79=KHN&amp;MH,TH))</f>
        <v>0</v>
      </c>
      <c r="I79" s="25">
        <f t="array" ref="I79">SUM(IF("155"&amp;C79=KHC&amp;MH,SL))</f>
        <v>16075</v>
      </c>
      <c r="J79" s="25">
        <f t="array" ref="J79">SUM(IF("155"&amp;C79=KHC&amp;MH,TH))</f>
        <v>1107185105</v>
      </c>
      <c r="K79" s="8">
        <f t="shared" ref="K79:K102" si="28">E79+G79-I79</f>
        <v>0</v>
      </c>
      <c r="L79" s="8">
        <f t="shared" ref="L79:L102" si="29">F79+H79-J79</f>
        <v>0</v>
      </c>
      <c r="M79" s="493"/>
      <c r="Q79" s="509" t="s">
        <v>454</v>
      </c>
      <c r="R79" s="509"/>
      <c r="S79" s="532">
        <v>8</v>
      </c>
    </row>
    <row r="80" spans="1:20" ht="20.25" customHeight="1">
      <c r="A80" s="502" t="str">
        <f t="shared" si="26"/>
        <v>TP</v>
      </c>
      <c r="B80" s="529">
        <f t="shared" ref="B80:B102" si="30">IF(C80&lt;&gt;"",B79+1,"")</f>
        <v>7</v>
      </c>
      <c r="C80" s="509" t="s">
        <v>448</v>
      </c>
      <c r="D80" s="528" t="s">
        <v>340</v>
      </c>
      <c r="E80" s="8">
        <v>0</v>
      </c>
      <c r="F80" s="8">
        <v>0</v>
      </c>
      <c r="G80" s="25">
        <f t="array" ref="G80">SUM(IF("155"&amp;C80=KHN&amp;MH,SL))</f>
        <v>14880</v>
      </c>
      <c r="H80" s="25">
        <f t="array" ref="H80">SUM(IF("155"&amp;C80=KHN&amp;MH,TH))</f>
        <v>3450058821</v>
      </c>
      <c r="I80" s="25">
        <f t="array" ref="I80">SUM(IF("155"&amp;C80=KHC&amp;MH,SL))</f>
        <v>14880</v>
      </c>
      <c r="J80" s="25">
        <f t="array" ref="J80">SUM(IF("155"&amp;C80=KHC&amp;MH,TH))</f>
        <v>3450058821</v>
      </c>
      <c r="K80" s="8">
        <f t="shared" si="28"/>
        <v>0</v>
      </c>
      <c r="L80" s="8">
        <f t="shared" si="29"/>
        <v>0</v>
      </c>
      <c r="M80" s="493"/>
      <c r="Q80" s="509" t="s">
        <v>450</v>
      </c>
      <c r="R80" s="509"/>
      <c r="S80" s="532">
        <v>8</v>
      </c>
    </row>
    <row r="81" spans="1:19" ht="19.5" customHeight="1">
      <c r="A81" s="502" t="str">
        <f t="shared" si="26"/>
        <v>TP</v>
      </c>
      <c r="B81" s="529">
        <f t="shared" si="30"/>
        <v>8</v>
      </c>
      <c r="C81" s="509" t="s">
        <v>449</v>
      </c>
      <c r="D81" s="528" t="s">
        <v>340</v>
      </c>
      <c r="E81" s="8">
        <v>0</v>
      </c>
      <c r="F81" s="8">
        <v>0</v>
      </c>
      <c r="G81" s="25">
        <f t="array" ref="G81">SUM(IF("155"&amp;C81=KHN&amp;MH,SL))</f>
        <v>42500</v>
      </c>
      <c r="H81" s="25">
        <f t="array" ref="H81">SUM(IF("155"&amp;C81=KHN&amp;MH,TH))</f>
        <v>7566329214</v>
      </c>
      <c r="I81" s="25">
        <f t="array" ref="I81">SUM(IF("155"&amp;C81=KHC&amp;MH,SL))</f>
        <v>42500</v>
      </c>
      <c r="J81" s="25">
        <f t="array" ref="J81">SUM(IF("155"&amp;C81=KHC&amp;MH,TH))</f>
        <v>7566329214</v>
      </c>
      <c r="K81" s="8">
        <f t="shared" si="28"/>
        <v>0</v>
      </c>
      <c r="L81" s="8">
        <f t="shared" si="29"/>
        <v>0</v>
      </c>
      <c r="M81" s="493"/>
      <c r="Q81" s="509" t="s">
        <v>455</v>
      </c>
      <c r="R81" s="509"/>
      <c r="S81" s="532">
        <v>5</v>
      </c>
    </row>
    <row r="82" spans="1:19" ht="20.25" customHeight="1">
      <c r="A82" s="502" t="str">
        <f t="shared" si="26"/>
        <v>TP</v>
      </c>
      <c r="B82" s="529">
        <f t="shared" si="30"/>
        <v>9</v>
      </c>
      <c r="C82" s="509" t="s">
        <v>1515</v>
      </c>
      <c r="D82" s="528" t="s">
        <v>340</v>
      </c>
      <c r="E82" s="8">
        <v>0</v>
      </c>
      <c r="F82" s="8">
        <v>0</v>
      </c>
      <c r="G82" s="25">
        <f t="array" ref="G82">SUM(IF("155"&amp;C82=KHN&amp;MH,SL))</f>
        <v>3420</v>
      </c>
      <c r="H82" s="25">
        <f t="array" ref="H82">SUM(IF("155"&amp;C82=KHN&amp;MH,TH))</f>
        <v>548661810</v>
      </c>
      <c r="I82" s="25">
        <f t="array" ref="I82">SUM(IF("155"&amp;C82=KHC&amp;MH,SL))</f>
        <v>3420</v>
      </c>
      <c r="J82" s="25">
        <f t="array" ref="J82">SUM(IF("155"&amp;C82=KHC&amp;MH,TH))</f>
        <v>548661810</v>
      </c>
      <c r="K82" s="8">
        <f t="shared" si="28"/>
        <v>0</v>
      </c>
      <c r="L82" s="8">
        <f t="shared" si="29"/>
        <v>0</v>
      </c>
      <c r="M82" s="493"/>
      <c r="Q82" s="509" t="s">
        <v>457</v>
      </c>
      <c r="R82" s="509"/>
      <c r="S82" s="532">
        <v>5</v>
      </c>
    </row>
    <row r="83" spans="1:19" ht="20.25" customHeight="1">
      <c r="A83" s="502" t="str">
        <f t="shared" si="26"/>
        <v>TP</v>
      </c>
      <c r="B83" s="529">
        <f t="shared" si="30"/>
        <v>10</v>
      </c>
      <c r="C83" s="509" t="s">
        <v>1945</v>
      </c>
      <c r="D83" s="528" t="s">
        <v>340</v>
      </c>
      <c r="E83" s="8">
        <v>0</v>
      </c>
      <c r="F83" s="8">
        <v>0</v>
      </c>
      <c r="G83" s="25">
        <f t="array" ref="G83">SUM(IF("155"&amp;C83=KHN&amp;MH,SL))</f>
        <v>1330</v>
      </c>
      <c r="H83" s="25">
        <f t="array" ref="H83">SUM(IF("155"&amp;C83=KHN&amp;MH,TH))</f>
        <v>253409211</v>
      </c>
      <c r="I83" s="25">
        <f t="array" ref="I83">SUM(IF("155"&amp;C83=KHC&amp;MH,SL))</f>
        <v>1330</v>
      </c>
      <c r="J83" s="25">
        <f t="array" ref="J83">SUM(IF("155"&amp;C83=KHC&amp;MH,TH))</f>
        <v>253409211</v>
      </c>
      <c r="K83" s="8">
        <f t="shared" si="28"/>
        <v>0</v>
      </c>
      <c r="L83" s="8">
        <f t="shared" si="29"/>
        <v>0</v>
      </c>
      <c r="M83" s="493"/>
      <c r="Q83" s="509" t="s">
        <v>458</v>
      </c>
      <c r="R83" s="509"/>
      <c r="S83" s="532">
        <v>5</v>
      </c>
    </row>
    <row r="84" spans="1:19" ht="20.25" customHeight="1">
      <c r="A84" s="502" t="str">
        <f t="shared" si="26"/>
        <v>TP</v>
      </c>
      <c r="B84" s="529">
        <f t="shared" si="30"/>
        <v>11</v>
      </c>
      <c r="C84" s="509" t="s">
        <v>1516</v>
      </c>
      <c r="D84" s="528" t="s">
        <v>340</v>
      </c>
      <c r="E84" s="8">
        <v>0</v>
      </c>
      <c r="F84" s="8">
        <v>0</v>
      </c>
      <c r="G84" s="25">
        <f t="array" ref="G84">SUM(IF("155"&amp;C84=KHN&amp;MH,SL))</f>
        <v>600</v>
      </c>
      <c r="H84" s="25">
        <f t="array" ref="H84">SUM(IF("155"&amp;C84=KHN&amp;MH,TH))</f>
        <v>96555007</v>
      </c>
      <c r="I84" s="25">
        <f t="array" ref="I84">SUM(IF("155"&amp;C84=KHC&amp;MH,SL))</f>
        <v>600</v>
      </c>
      <c r="J84" s="25">
        <f t="array" ref="J84">SUM(IF("155"&amp;C84=KHC&amp;MH,TH))</f>
        <v>96555007</v>
      </c>
      <c r="K84" s="8">
        <f t="shared" si="28"/>
        <v>0</v>
      </c>
      <c r="L84" s="8">
        <f t="shared" si="29"/>
        <v>0</v>
      </c>
      <c r="M84" s="493"/>
      <c r="Q84" s="509" t="s">
        <v>460</v>
      </c>
      <c r="R84" s="509"/>
      <c r="S84" s="532">
        <v>4.5</v>
      </c>
    </row>
    <row r="85" spans="1:19" ht="20.25" customHeight="1">
      <c r="A85" s="502" t="str">
        <f t="shared" ref="A85:A95" si="31">IF(B85&lt;&gt;"","TP","")</f>
        <v>TP</v>
      </c>
      <c r="B85" s="529">
        <f t="shared" si="30"/>
        <v>12</v>
      </c>
      <c r="C85" s="509" t="s">
        <v>1911</v>
      </c>
      <c r="D85" s="528" t="s">
        <v>340</v>
      </c>
      <c r="E85" s="8">
        <v>0</v>
      </c>
      <c r="F85" s="8">
        <v>0</v>
      </c>
      <c r="G85" s="25">
        <f t="array" ref="G85">SUM(IF("155"&amp;C85=KHN&amp;MH,SL))</f>
        <v>500</v>
      </c>
      <c r="H85" s="25">
        <f t="array" ref="H85">SUM(IF("155"&amp;C85=KHN&amp;MH,TH))</f>
        <v>124246646</v>
      </c>
      <c r="I85" s="25">
        <f t="array" ref="I85">SUM(IF("155"&amp;C85=KHC&amp;MH,SL))</f>
        <v>500</v>
      </c>
      <c r="J85" s="25">
        <f t="array" ref="J85">SUM(IF("155"&amp;C85=KHC&amp;MH,TH))</f>
        <v>124246646</v>
      </c>
      <c r="K85" s="8">
        <f t="shared" si="28"/>
        <v>0</v>
      </c>
      <c r="L85" s="8">
        <f t="shared" si="29"/>
        <v>0</v>
      </c>
      <c r="M85" s="493"/>
      <c r="Q85" s="509" t="s">
        <v>461</v>
      </c>
      <c r="R85" s="509"/>
      <c r="S85" s="532">
        <v>4.5</v>
      </c>
    </row>
    <row r="86" spans="1:19" ht="20.25" customHeight="1">
      <c r="A86" s="502" t="str">
        <f t="shared" si="31"/>
        <v>TP</v>
      </c>
      <c r="B86" s="529">
        <f t="shared" si="30"/>
        <v>13</v>
      </c>
      <c r="C86" s="509" t="s">
        <v>1674</v>
      </c>
      <c r="D86" s="528" t="s">
        <v>340</v>
      </c>
      <c r="E86" s="8">
        <v>0</v>
      </c>
      <c r="F86" s="8">
        <v>0</v>
      </c>
      <c r="G86" s="25">
        <f t="array" ref="G86">SUM(IF("155"&amp;C86=KHN&amp;MH,SL))</f>
        <v>5390</v>
      </c>
      <c r="H86" s="25">
        <f t="array" ref="H86">SUM(IF("155"&amp;C86=KHN&amp;MH,TH))</f>
        <v>72170861</v>
      </c>
      <c r="I86" s="25">
        <f t="array" ref="I86">SUM(IF("155"&amp;C86=KHC&amp;MH,SL))</f>
        <v>5390</v>
      </c>
      <c r="J86" s="25">
        <f t="array" ref="J86">SUM(IF("155"&amp;C86=KHC&amp;MH,TH))</f>
        <v>72170861</v>
      </c>
      <c r="K86" s="8">
        <f t="shared" si="28"/>
        <v>0</v>
      </c>
      <c r="L86" s="8">
        <f t="shared" si="29"/>
        <v>0</v>
      </c>
      <c r="M86" s="493"/>
      <c r="Q86" s="509" t="s">
        <v>448</v>
      </c>
      <c r="R86" s="509"/>
      <c r="S86" s="532">
        <v>11</v>
      </c>
    </row>
    <row r="87" spans="1:19" ht="20.25" customHeight="1">
      <c r="A87" s="502" t="str">
        <f t="shared" si="31"/>
        <v>TP</v>
      </c>
      <c r="B87" s="529">
        <f t="shared" si="30"/>
        <v>14</v>
      </c>
      <c r="C87" s="509" t="s">
        <v>450</v>
      </c>
      <c r="D87" s="528" t="s">
        <v>340</v>
      </c>
      <c r="E87" s="8">
        <v>0</v>
      </c>
      <c r="F87" s="8">
        <v>0</v>
      </c>
      <c r="G87" s="25">
        <f t="array" ref="G87">SUM(IF("155"&amp;C87=KHN&amp;MH,SL))</f>
        <v>33000</v>
      </c>
      <c r="H87" s="25">
        <f t="array" ref="H87">SUM(IF("155"&amp;C87=KHN&amp;MH,TH))</f>
        <v>5759083412</v>
      </c>
      <c r="I87" s="25">
        <f t="array" ref="I87">SUM(IF("155"&amp;C87=KHC&amp;MH,SL))</f>
        <v>33000</v>
      </c>
      <c r="J87" s="25">
        <f t="array" ref="J87">SUM(IF("155"&amp;C87=KHC&amp;MH,TH))</f>
        <v>5759083412</v>
      </c>
      <c r="K87" s="8">
        <f t="shared" si="28"/>
        <v>0</v>
      </c>
      <c r="L87" s="8">
        <f t="shared" si="29"/>
        <v>0</v>
      </c>
      <c r="M87" s="493"/>
      <c r="Q87" s="509" t="s">
        <v>449</v>
      </c>
      <c r="R87" s="509"/>
      <c r="S87" s="532">
        <v>11</v>
      </c>
    </row>
    <row r="88" spans="1:19" ht="20.25" customHeight="1">
      <c r="A88" s="502" t="str">
        <f t="shared" si="31"/>
        <v>TP</v>
      </c>
      <c r="B88" s="529">
        <f t="shared" si="30"/>
        <v>15</v>
      </c>
      <c r="C88" s="509" t="s">
        <v>1517</v>
      </c>
      <c r="D88" s="528" t="s">
        <v>340</v>
      </c>
      <c r="E88" s="8">
        <v>0</v>
      </c>
      <c r="F88" s="8">
        <v>0</v>
      </c>
      <c r="G88" s="25">
        <f t="array" ref="G88">SUM(IF("155"&amp;C88=KHN&amp;MH,SL))</f>
        <v>7400</v>
      </c>
      <c r="H88" s="25">
        <f t="array" ref="H88">SUM(IF("155"&amp;C88=KHN&amp;MH,TH))</f>
        <v>1320085321</v>
      </c>
      <c r="I88" s="25">
        <f t="array" ref="I88">SUM(IF("155"&amp;C88=KHC&amp;MH,SL))</f>
        <v>7400</v>
      </c>
      <c r="J88" s="25">
        <f t="array" ref="J88">SUM(IF("155"&amp;C88=KHC&amp;MH,TH))</f>
        <v>1320085321</v>
      </c>
      <c r="K88" s="8">
        <f t="shared" si="28"/>
        <v>0</v>
      </c>
      <c r="L88" s="8">
        <f t="shared" si="29"/>
        <v>0</v>
      </c>
      <c r="M88" s="493"/>
      <c r="Q88" s="509" t="s">
        <v>462</v>
      </c>
      <c r="R88" s="509"/>
      <c r="S88" s="532">
        <v>4.4000000000000004</v>
      </c>
    </row>
    <row r="89" spans="1:19" ht="20.25" customHeight="1">
      <c r="A89" s="502" t="str">
        <f t="shared" si="31"/>
        <v>TP</v>
      </c>
      <c r="B89" s="529">
        <f t="shared" si="30"/>
        <v>16</v>
      </c>
      <c r="C89" s="509" t="s">
        <v>1904</v>
      </c>
      <c r="D89" s="528" t="s">
        <v>340</v>
      </c>
      <c r="E89" s="8">
        <v>0</v>
      </c>
      <c r="F89" s="8">
        <v>0</v>
      </c>
      <c r="G89" s="25">
        <f t="array" ref="G89">SUM(IF("155"&amp;C89=KHN&amp;MH,SL))</f>
        <v>10000</v>
      </c>
      <c r="H89" s="25">
        <f t="array" ref="H89">SUM(IF("155"&amp;C89=KHN&amp;MH,TH))</f>
        <v>1392081101</v>
      </c>
      <c r="I89" s="25">
        <f t="array" ref="I89">SUM(IF("155"&amp;C89=KHC&amp;MH,SL))</f>
        <v>10000</v>
      </c>
      <c r="J89" s="25">
        <f t="array" ref="J89">SUM(IF("155"&amp;C89=KHC&amp;MH,TH))</f>
        <v>1392081101</v>
      </c>
      <c r="K89" s="8">
        <f t="shared" si="28"/>
        <v>0</v>
      </c>
      <c r="L89" s="8">
        <f t="shared" si="29"/>
        <v>0</v>
      </c>
      <c r="M89" s="493"/>
      <c r="Q89" s="509" t="s">
        <v>463</v>
      </c>
      <c r="R89" s="509"/>
      <c r="S89" s="532">
        <v>4.5</v>
      </c>
    </row>
    <row r="90" spans="1:19" ht="20.25" customHeight="1">
      <c r="A90" s="502" t="str">
        <f t="shared" si="31"/>
        <v>TP</v>
      </c>
      <c r="B90" s="529">
        <f t="shared" si="30"/>
        <v>17</v>
      </c>
      <c r="C90" s="509" t="s">
        <v>1786</v>
      </c>
      <c r="D90" s="528" t="s">
        <v>340</v>
      </c>
      <c r="E90" s="8">
        <v>0</v>
      </c>
      <c r="F90" s="8">
        <v>0</v>
      </c>
      <c r="G90" s="25">
        <f t="array" ref="G90">SUM(IF("155"&amp;C90=KHN&amp;MH,SL))</f>
        <v>2270</v>
      </c>
      <c r="H90" s="25">
        <f t="array" ref="H90">SUM(IF("155"&amp;C90=KHN&amp;MH,TH))</f>
        <v>535297364</v>
      </c>
      <c r="I90" s="25">
        <f t="array" ref="I90">SUM(IF("155"&amp;C90=KHC&amp;MH,SL))</f>
        <v>2270</v>
      </c>
      <c r="J90" s="25">
        <f t="array" ref="J90">SUM(IF("155"&amp;C90=KHC&amp;MH,TH))</f>
        <v>535297364</v>
      </c>
      <c r="K90" s="8">
        <f t="shared" si="28"/>
        <v>0</v>
      </c>
      <c r="L90" s="8">
        <f t="shared" si="29"/>
        <v>0</v>
      </c>
      <c r="M90" s="493"/>
    </row>
    <row r="91" spans="1:19" ht="20.25" customHeight="1">
      <c r="A91" s="502" t="str">
        <f t="shared" si="31"/>
        <v>TP</v>
      </c>
      <c r="B91" s="529">
        <f t="shared" si="30"/>
        <v>18</v>
      </c>
      <c r="C91" s="509" t="s">
        <v>1673</v>
      </c>
      <c r="D91" s="528" t="s">
        <v>340</v>
      </c>
      <c r="E91" s="8">
        <v>0</v>
      </c>
      <c r="F91" s="8">
        <v>0</v>
      </c>
      <c r="G91" s="25">
        <f t="array" ref="G91">SUM(IF("155"&amp;C91=KHN&amp;MH,SL))</f>
        <v>2650</v>
      </c>
      <c r="H91" s="25">
        <f t="array" ref="H91">SUM(IF("155"&amp;C91=KHN&amp;MH,TH))</f>
        <v>35145928</v>
      </c>
      <c r="I91" s="25">
        <f t="array" ref="I91">SUM(IF("155"&amp;C91=KHC&amp;MH,SL))</f>
        <v>2650</v>
      </c>
      <c r="J91" s="25">
        <f t="array" ref="J91">SUM(IF("155"&amp;C91=KHC&amp;MH,TH))</f>
        <v>35145928</v>
      </c>
      <c r="K91" s="8">
        <f t="shared" si="28"/>
        <v>0</v>
      </c>
      <c r="L91" s="8">
        <f t="shared" si="29"/>
        <v>0</v>
      </c>
      <c r="M91" s="493"/>
    </row>
    <row r="92" spans="1:19" ht="20.25" customHeight="1">
      <c r="A92" s="502" t="str">
        <f t="shared" si="31"/>
        <v>TP</v>
      </c>
      <c r="B92" s="529">
        <f t="shared" si="30"/>
        <v>19</v>
      </c>
      <c r="C92" s="509" t="s">
        <v>1907</v>
      </c>
      <c r="D92" s="528" t="s">
        <v>340</v>
      </c>
      <c r="E92" s="8">
        <v>0</v>
      </c>
      <c r="F92" s="8">
        <v>0</v>
      </c>
      <c r="G92" s="25">
        <f t="array" ref="G92">SUM(IF("155"&amp;C92=KHN&amp;MH,SL))</f>
        <v>8100</v>
      </c>
      <c r="H92" s="25">
        <f t="array" ref="H92">SUM(IF("155"&amp;C92=KHN&amp;MH,TH))</f>
        <v>110718835</v>
      </c>
      <c r="I92" s="25">
        <f t="array" ref="I92">SUM(IF("155"&amp;C92=KHC&amp;MH,SL))</f>
        <v>8100</v>
      </c>
      <c r="J92" s="25">
        <f t="array" ref="J92">SUM(IF("155"&amp;C92=KHC&amp;MH,TH))</f>
        <v>110718835</v>
      </c>
      <c r="K92" s="8">
        <f t="shared" si="28"/>
        <v>0</v>
      </c>
      <c r="L92" s="8">
        <f t="shared" si="29"/>
        <v>0</v>
      </c>
      <c r="M92" s="493"/>
    </row>
    <row r="93" spans="1:19" ht="20.25" customHeight="1">
      <c r="A93" s="502" t="str">
        <f t="shared" si="31"/>
        <v>TP</v>
      </c>
      <c r="B93" s="529">
        <f t="shared" si="30"/>
        <v>20</v>
      </c>
      <c r="C93" s="509" t="s">
        <v>1908</v>
      </c>
      <c r="D93" s="528" t="s">
        <v>340</v>
      </c>
      <c r="E93" s="8">
        <v>0</v>
      </c>
      <c r="F93" s="8">
        <v>0</v>
      </c>
      <c r="G93" s="25">
        <f t="array" ref="G93">SUM(IF("155"&amp;C93=KHN&amp;MH,SL))</f>
        <v>3150</v>
      </c>
      <c r="H93" s="25">
        <f t="array" ref="H93">SUM(IF("155"&amp;C93=KHN&amp;MH,TH))</f>
        <v>42107325</v>
      </c>
      <c r="I93" s="25">
        <f t="array" ref="I93">SUM(IF("155"&amp;C93=KHC&amp;MH,SL))</f>
        <v>3150</v>
      </c>
      <c r="J93" s="25">
        <f t="array" ref="J93">SUM(IF("155"&amp;C93=KHC&amp;MH,TH))</f>
        <v>42107325</v>
      </c>
      <c r="K93" s="8">
        <f t="shared" si="28"/>
        <v>0</v>
      </c>
      <c r="L93" s="8">
        <f t="shared" si="29"/>
        <v>0</v>
      </c>
      <c r="M93" s="493"/>
    </row>
    <row r="94" spans="1:19" ht="20.25" customHeight="1">
      <c r="A94" s="502" t="str">
        <f t="shared" si="31"/>
        <v>TP</v>
      </c>
      <c r="B94" s="529">
        <f t="shared" si="30"/>
        <v>21</v>
      </c>
      <c r="C94" s="509" t="s">
        <v>1684</v>
      </c>
      <c r="D94" s="528" t="s">
        <v>340</v>
      </c>
      <c r="E94" s="8">
        <v>0</v>
      </c>
      <c r="F94" s="8">
        <v>0</v>
      </c>
      <c r="G94" s="25">
        <f t="array" ref="G94">SUM(IF("155"&amp;C94=KHN&amp;MH,SL))</f>
        <v>320</v>
      </c>
      <c r="H94" s="25">
        <f t="array" ref="H94">SUM(IF("155"&amp;C94=KHN&amp;MH,TH))</f>
        <v>188697448</v>
      </c>
      <c r="I94" s="25">
        <f t="array" ref="I94">SUM(IF("155"&amp;C94=KHC&amp;MH,SL))</f>
        <v>320</v>
      </c>
      <c r="J94" s="25">
        <f t="array" ref="J94">SUM(IF("155"&amp;C94=KHC&amp;MH,TH))</f>
        <v>188697448</v>
      </c>
      <c r="K94" s="8">
        <f t="shared" si="28"/>
        <v>0</v>
      </c>
      <c r="L94" s="8">
        <f>F94+H94-J94</f>
        <v>0</v>
      </c>
      <c r="M94" s="493"/>
    </row>
    <row r="95" spans="1:19" ht="21" customHeight="1">
      <c r="A95" s="502" t="str">
        <f t="shared" si="31"/>
        <v>TP</v>
      </c>
      <c r="B95" s="529">
        <f t="shared" si="30"/>
        <v>22</v>
      </c>
      <c r="C95" s="509" t="s">
        <v>1680</v>
      </c>
      <c r="D95" s="528" t="s">
        <v>340</v>
      </c>
      <c r="E95" s="8">
        <v>0</v>
      </c>
      <c r="F95" s="8">
        <v>0</v>
      </c>
      <c r="G95" s="25">
        <f t="array" ref="G95">SUM(IF("155"&amp;C95=KHN&amp;MH,SL))</f>
        <v>870</v>
      </c>
      <c r="H95" s="25">
        <f t="array" ref="H95">SUM(IF("155"&amp;C95=KHN&amp;MH,TH))</f>
        <v>513021188</v>
      </c>
      <c r="I95" s="25">
        <f t="array" ref="I95">SUM(IF("155"&amp;C95=KHC&amp;MH,SL))</f>
        <v>870</v>
      </c>
      <c r="J95" s="25">
        <f t="array" ref="J95">SUM(IF("155"&amp;C95=KHC&amp;MH,TH))</f>
        <v>513021188</v>
      </c>
      <c r="K95" s="8">
        <f t="shared" si="28"/>
        <v>0</v>
      </c>
      <c r="L95" s="8">
        <f t="shared" si="29"/>
        <v>0</v>
      </c>
      <c r="M95" s="493"/>
      <c r="N95" s="530"/>
    </row>
    <row r="96" spans="1:19" ht="21" customHeight="1">
      <c r="A96" s="502" t="str">
        <f>IF(B96&lt;&gt;"","TP","")</f>
        <v>TP</v>
      </c>
      <c r="B96" s="529">
        <f t="shared" si="30"/>
        <v>23</v>
      </c>
      <c r="C96" s="509" t="s">
        <v>1681</v>
      </c>
      <c r="D96" s="528" t="s">
        <v>340</v>
      </c>
      <c r="E96" s="8">
        <v>0</v>
      </c>
      <c r="F96" s="8">
        <v>0</v>
      </c>
      <c r="G96" s="25">
        <f t="array" ref="G96">SUM(IF("155"&amp;C96=KHN&amp;MH,SL))</f>
        <v>130</v>
      </c>
      <c r="H96" s="25">
        <f t="array" ref="H96">SUM(IF("155"&amp;C96=KHN&amp;MH,TH))</f>
        <v>76658339</v>
      </c>
      <c r="I96" s="25">
        <f t="array" ref="I96">SUM(IF("155"&amp;C96=KHC&amp;MH,SL))</f>
        <v>130</v>
      </c>
      <c r="J96" s="25">
        <f t="array" ref="J96">SUM(IF("155"&amp;C96=KHC&amp;MH,TH))</f>
        <v>76658339</v>
      </c>
      <c r="K96" s="8">
        <f t="shared" si="28"/>
        <v>0</v>
      </c>
      <c r="L96" s="8">
        <f t="shared" si="29"/>
        <v>0</v>
      </c>
      <c r="M96" s="493"/>
      <c r="N96" s="530"/>
    </row>
    <row r="97" spans="1:14" ht="21" customHeight="1">
      <c r="A97" s="502" t="str">
        <f t="shared" ref="A97:A102" si="32">IF(B97&lt;&gt;"","TP","")</f>
        <v>TP</v>
      </c>
      <c r="B97" s="529">
        <f t="shared" si="30"/>
        <v>24</v>
      </c>
      <c r="C97" s="509" t="s">
        <v>1676</v>
      </c>
      <c r="D97" s="528" t="s">
        <v>340</v>
      </c>
      <c r="E97" s="8">
        <v>0</v>
      </c>
      <c r="F97" s="8">
        <v>0</v>
      </c>
      <c r="G97" s="25">
        <f t="array" ref="G97">SUM(IF("155"&amp;C97=KHN&amp;MH,SL))</f>
        <v>690</v>
      </c>
      <c r="H97" s="25">
        <f t="array" ref="H97">SUM(IF("155"&amp;C97=KHN&amp;MH,TH))</f>
        <v>406878874</v>
      </c>
      <c r="I97" s="25">
        <f t="array" ref="I97">SUM(IF("155"&amp;C97=KHC&amp;MH,SL))</f>
        <v>690</v>
      </c>
      <c r="J97" s="25">
        <f t="array" ref="J97">SUM(IF("155"&amp;C97=KHC&amp;MH,TH))</f>
        <v>406878874</v>
      </c>
      <c r="K97" s="8">
        <f t="shared" si="28"/>
        <v>0</v>
      </c>
      <c r="L97" s="8">
        <f t="shared" si="29"/>
        <v>0</v>
      </c>
      <c r="M97" s="493"/>
      <c r="N97" s="530"/>
    </row>
    <row r="98" spans="1:14" ht="21" customHeight="1">
      <c r="A98" s="502" t="str">
        <f t="shared" si="32"/>
        <v>TP</v>
      </c>
      <c r="B98" s="529">
        <f t="shared" si="30"/>
        <v>25</v>
      </c>
      <c r="C98" s="509" t="s">
        <v>1682</v>
      </c>
      <c r="D98" s="528" t="s">
        <v>340</v>
      </c>
      <c r="E98" s="8">
        <v>0</v>
      </c>
      <c r="F98" s="8">
        <v>0</v>
      </c>
      <c r="G98" s="25">
        <f t="array" ref="G98">SUM(IF("155"&amp;C98=KHN&amp;MH,SL))</f>
        <v>250</v>
      </c>
      <c r="H98" s="25">
        <f t="array" ref="H98">SUM(IF("155"&amp;C98=KHN&amp;MH,TH))</f>
        <v>147419881</v>
      </c>
      <c r="I98" s="25">
        <f t="array" ref="I98">SUM(IF("155"&amp;C98=KHC&amp;MH,SL))</f>
        <v>250</v>
      </c>
      <c r="J98" s="25">
        <f t="array" ref="J98">SUM(IF("155"&amp;C98=KHC&amp;MH,TH))</f>
        <v>147419881</v>
      </c>
      <c r="K98" s="8">
        <f t="shared" si="28"/>
        <v>0</v>
      </c>
      <c r="L98" s="8">
        <f t="shared" si="29"/>
        <v>0</v>
      </c>
      <c r="M98" s="493"/>
    </row>
    <row r="99" spans="1:14" ht="21" customHeight="1">
      <c r="A99" s="502" t="str">
        <f t="shared" si="32"/>
        <v>TP</v>
      </c>
      <c r="B99" s="529">
        <f t="shared" si="30"/>
        <v>26</v>
      </c>
      <c r="C99" s="509" t="s">
        <v>1677</v>
      </c>
      <c r="D99" s="528" t="s">
        <v>340</v>
      </c>
      <c r="E99" s="8">
        <v>0</v>
      </c>
      <c r="F99" s="8">
        <v>0</v>
      </c>
      <c r="G99" s="25">
        <f t="array" ref="G99">SUM(IF("155"&amp;C99=KHN&amp;MH,SL))</f>
        <v>500</v>
      </c>
      <c r="H99" s="25">
        <f t="array" ref="H99">SUM(IF("155"&amp;C99=KHN&amp;MH,TH))</f>
        <v>294839763</v>
      </c>
      <c r="I99" s="25">
        <f t="array" ref="I99">SUM(IF("155"&amp;C99=KHC&amp;MH,SL))</f>
        <v>500</v>
      </c>
      <c r="J99" s="25">
        <f t="array" ref="J99">SUM(IF("155"&amp;C99=KHC&amp;MH,TH))</f>
        <v>294839763</v>
      </c>
      <c r="K99" s="8">
        <f t="shared" si="28"/>
        <v>0</v>
      </c>
      <c r="L99" s="8">
        <f t="shared" si="29"/>
        <v>0</v>
      </c>
      <c r="M99" s="493"/>
      <c r="N99" s="530"/>
    </row>
    <row r="100" spans="1:14" ht="21" customHeight="1">
      <c r="A100" s="502" t="str">
        <f t="shared" si="32"/>
        <v>TP</v>
      </c>
      <c r="B100" s="529">
        <f t="shared" si="30"/>
        <v>27</v>
      </c>
      <c r="C100" s="509" t="s">
        <v>1678</v>
      </c>
      <c r="D100" s="528" t="s">
        <v>340</v>
      </c>
      <c r="E100" s="8">
        <v>0</v>
      </c>
      <c r="F100" s="8">
        <v>0</v>
      </c>
      <c r="G100" s="25">
        <f t="array" ref="G100">SUM(IF("155"&amp;C100=KHN&amp;MH,SL))</f>
        <v>560</v>
      </c>
      <c r="H100" s="25">
        <f t="array" ref="H100">SUM(IF("155"&amp;C100=KHN&amp;MH,TH))</f>
        <v>330220535</v>
      </c>
      <c r="I100" s="25">
        <f t="array" ref="I100">SUM(IF("155"&amp;C100=KHC&amp;MH,SL))</f>
        <v>560</v>
      </c>
      <c r="J100" s="25">
        <f t="array" ref="J100">SUM(IF("155"&amp;C100=KHC&amp;MH,TH))</f>
        <v>330220535</v>
      </c>
      <c r="K100" s="8">
        <f t="shared" si="28"/>
        <v>0</v>
      </c>
      <c r="L100" s="8">
        <f t="shared" si="29"/>
        <v>0</v>
      </c>
      <c r="M100" s="493"/>
    </row>
    <row r="101" spans="1:14" ht="21" customHeight="1">
      <c r="A101" s="502" t="str">
        <f t="shared" si="32"/>
        <v>TP</v>
      </c>
      <c r="B101" s="529">
        <f t="shared" si="30"/>
        <v>28</v>
      </c>
      <c r="C101" s="509" t="s">
        <v>1683</v>
      </c>
      <c r="D101" s="528" t="s">
        <v>340</v>
      </c>
      <c r="E101" s="8">
        <v>0</v>
      </c>
      <c r="F101" s="8">
        <v>0</v>
      </c>
      <c r="G101" s="25">
        <f t="array" ref="G101">SUM(IF("155"&amp;C101=KHN&amp;MH,SL))</f>
        <v>660</v>
      </c>
      <c r="H101" s="25">
        <f t="array" ref="H101">SUM(IF("155"&amp;C101=KHN&amp;MH,TH))</f>
        <v>389188487</v>
      </c>
      <c r="I101" s="25">
        <f t="array" ref="I101">SUM(IF("155"&amp;C101=KHC&amp;MH,SL))</f>
        <v>660</v>
      </c>
      <c r="J101" s="25">
        <f t="array" ref="J101">SUM(IF("155"&amp;C101=KHC&amp;MH,TH))</f>
        <v>389188487</v>
      </c>
      <c r="K101" s="8">
        <f t="shared" si="28"/>
        <v>0</v>
      </c>
      <c r="L101" s="8">
        <f t="shared" si="29"/>
        <v>0</v>
      </c>
      <c r="M101" s="493"/>
    </row>
    <row r="102" spans="1:14" ht="21.75" customHeight="1">
      <c r="A102" s="502" t="str">
        <f t="shared" si="32"/>
        <v>TP</v>
      </c>
      <c r="B102" s="529">
        <f t="shared" si="30"/>
        <v>29</v>
      </c>
      <c r="C102" s="509" t="s">
        <v>1679</v>
      </c>
      <c r="D102" s="528" t="s">
        <v>340</v>
      </c>
      <c r="E102" s="8">
        <v>0</v>
      </c>
      <c r="F102" s="8">
        <v>0</v>
      </c>
      <c r="G102" s="25">
        <f t="array" ref="G102">SUM(IF("155"&amp;C102=KHN&amp;MH,SL))</f>
        <v>580</v>
      </c>
      <c r="H102" s="25">
        <f t="array" ref="H102">SUM(IF("155"&amp;C102=KHN&amp;MH,TH))</f>
        <v>342014126</v>
      </c>
      <c r="I102" s="25">
        <f t="array" ref="I102">SUM(IF("155"&amp;C102=KHC&amp;MH,SL))</f>
        <v>580</v>
      </c>
      <c r="J102" s="25">
        <f t="array" ref="J102">SUM(IF("155"&amp;C102=KHC&amp;MH,TH))</f>
        <v>342014126</v>
      </c>
      <c r="K102" s="8">
        <f t="shared" si="28"/>
        <v>0</v>
      </c>
      <c r="L102" s="8">
        <f t="shared" si="29"/>
        <v>0</v>
      </c>
      <c r="M102" s="493"/>
    </row>
    <row r="103" spans="1:14" ht="21.75" customHeight="1">
      <c r="A103" s="502" t="str">
        <f t="shared" ref="A103:A104" si="33">IF(B103&lt;&gt;"","TP","")</f>
        <v>TP</v>
      </c>
      <c r="B103" s="529">
        <f t="shared" ref="B103:B104" si="34">IF(C103&lt;&gt;"",B102+1,"")</f>
        <v>30</v>
      </c>
      <c r="C103" s="509" t="s">
        <v>1685</v>
      </c>
      <c r="D103" s="528" t="s">
        <v>340</v>
      </c>
      <c r="E103" s="8">
        <v>0</v>
      </c>
      <c r="F103" s="8">
        <v>0</v>
      </c>
      <c r="G103" s="25">
        <f t="array" ref="G103">SUM(IF("155"&amp;C103=KHN&amp;MH,SL))</f>
        <v>2000</v>
      </c>
      <c r="H103" s="25">
        <f t="array" ref="H103">SUM(IF("155"&amp;C103=KHN&amp;MH,TH))</f>
        <v>1183540869</v>
      </c>
      <c r="I103" s="25">
        <f t="array" ref="I103">SUM(IF("155"&amp;C103=KHC&amp;MH,SL))</f>
        <v>2000</v>
      </c>
      <c r="J103" s="25">
        <f t="array" ref="J103">SUM(IF("155"&amp;C103=KHC&amp;MH,TH))</f>
        <v>1183540869</v>
      </c>
      <c r="K103" s="8">
        <f t="shared" ref="K103:K104" si="35">E103+G103-I103</f>
        <v>0</v>
      </c>
      <c r="L103" s="8">
        <f t="shared" ref="L103:L104" si="36">F103+H103-J103</f>
        <v>0</v>
      </c>
      <c r="M103" s="493"/>
    </row>
    <row r="104" spans="1:14" ht="21.75" customHeight="1">
      <c r="A104" s="502" t="str">
        <f t="shared" si="33"/>
        <v/>
      </c>
      <c r="B104" s="529" t="str">
        <f t="shared" si="34"/>
        <v/>
      </c>
      <c r="C104" s="509"/>
      <c r="D104" s="528" t="s">
        <v>340</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si="35"/>
        <v>0</v>
      </c>
      <c r="L104" s="8">
        <f t="shared" si="36"/>
        <v>0</v>
      </c>
      <c r="M104" s="493"/>
    </row>
    <row r="105" spans="1:14" ht="21.75" customHeight="1">
      <c r="A105" s="502"/>
      <c r="B105" s="529"/>
      <c r="C105" s="509"/>
      <c r="D105" s="528"/>
      <c r="E105" s="8"/>
      <c r="F105" s="8"/>
      <c r="G105" s="25"/>
      <c r="H105" s="25"/>
      <c r="I105" s="25"/>
      <c r="J105" s="25"/>
      <c r="K105" s="8"/>
      <c r="L105" s="8"/>
      <c r="M105" s="493"/>
    </row>
    <row r="106" spans="1:14" ht="21.75" customHeight="1">
      <c r="A106" s="502" t="str">
        <f>IF(B106&lt;&gt;"","TP","")</f>
        <v/>
      </c>
      <c r="B106" s="499"/>
      <c r="C106" s="523" t="s">
        <v>452</v>
      </c>
      <c r="D106" s="499"/>
      <c r="E106" s="13">
        <f t="shared" ref="E106:L106" si="37">SUM(E74:E105)</f>
        <v>73584</v>
      </c>
      <c r="F106" s="13">
        <f t="shared" si="37"/>
        <v>9386323824</v>
      </c>
      <c r="G106" s="13">
        <f t="shared" si="37"/>
        <v>730349</v>
      </c>
      <c r="H106" s="13">
        <f t="shared" si="37"/>
        <v>61651473565</v>
      </c>
      <c r="I106" s="13">
        <f t="shared" si="37"/>
        <v>459525</v>
      </c>
      <c r="J106" s="13">
        <f t="shared" si="37"/>
        <v>48455787487</v>
      </c>
      <c r="K106" s="13">
        <f t="shared" si="37"/>
        <v>344408</v>
      </c>
      <c r="L106" s="13">
        <f t="shared" si="37"/>
        <v>22582009902</v>
      </c>
      <c r="M106" s="493"/>
    </row>
    <row r="107" spans="1:14" ht="21.75" customHeight="1">
      <c r="A107" s="502" t="str">
        <f>IF(B107&lt;&gt;"","TP","")</f>
        <v/>
      </c>
      <c r="B107" s="948"/>
      <c r="C107" s="948"/>
      <c r="D107" s="947"/>
      <c r="E107" s="949"/>
      <c r="F107" s="949">
        <f>F106-CDPS!C26</f>
        <v>0</v>
      </c>
      <c r="G107" s="949"/>
      <c r="H107" s="949">
        <f>H106-CDPS!E26</f>
        <v>0</v>
      </c>
      <c r="I107" s="949"/>
      <c r="J107" s="949">
        <f>J106-CDPS!F26</f>
        <v>0</v>
      </c>
      <c r="K107" s="949"/>
      <c r="L107" s="949">
        <f>L106-CDPS!G26</f>
        <v>0</v>
      </c>
      <c r="M107" s="493"/>
    </row>
    <row r="108" spans="1:14">
      <c r="M108" s="493"/>
    </row>
    <row r="109" spans="1:14">
      <c r="M109" s="493"/>
    </row>
    <row r="110" spans="1:14" ht="15">
      <c r="C110" s="1385"/>
      <c r="D110" s="1385"/>
      <c r="E110" s="1385"/>
      <c r="F110" s="534"/>
      <c r="G110" s="534"/>
      <c r="H110" s="534"/>
      <c r="I110" s="534"/>
      <c r="J110" s="1385" t="s">
        <v>456</v>
      </c>
      <c r="K110" s="1385"/>
      <c r="L110" s="1385"/>
      <c r="M110" s="493"/>
    </row>
    <row r="111" spans="1:14" ht="15">
      <c r="C111" s="535" t="s">
        <v>11</v>
      </c>
      <c r="D111" s="535"/>
      <c r="E111" s="535"/>
      <c r="F111" s="1385" t="s">
        <v>12</v>
      </c>
      <c r="G111" s="1385"/>
      <c r="H111" s="1385"/>
      <c r="I111" s="534"/>
      <c r="J111" s="1385" t="s">
        <v>131</v>
      </c>
      <c r="K111" s="1385"/>
      <c r="L111" s="1385"/>
      <c r="M111" s="493"/>
    </row>
    <row r="112" spans="1:14" ht="15">
      <c r="C112" s="535" t="s">
        <v>13</v>
      </c>
      <c r="D112" s="535" t="s">
        <v>459</v>
      </c>
      <c r="E112" s="535"/>
      <c r="F112" s="1385" t="s">
        <v>13</v>
      </c>
      <c r="G112" s="1385"/>
      <c r="H112" s="1385"/>
      <c r="I112" s="493"/>
      <c r="J112" s="1385" t="s">
        <v>161</v>
      </c>
      <c r="K112" s="1385"/>
      <c r="L112" s="1385"/>
      <c r="M112" s="493"/>
    </row>
    <row r="113" spans="13:13">
      <c r="M113" s="493"/>
    </row>
    <row r="114" spans="13:13">
      <c r="M114" s="493"/>
    </row>
    <row r="115" spans="13:13">
      <c r="M115" s="493"/>
    </row>
    <row r="116" spans="13:13">
      <c r="M116" s="493"/>
    </row>
    <row r="117" spans="13:13">
      <c r="M117" s="493"/>
    </row>
  </sheetData>
  <autoFilter ref="B11:O11"/>
  <sortState ref="C75:C99">
    <sortCondition ref="C75:C99"/>
  </sortState>
  <mergeCells count="27">
    <mergeCell ref="F112:H112"/>
    <mergeCell ref="J112:L112"/>
    <mergeCell ref="S8:S10"/>
    <mergeCell ref="C110:E110"/>
    <mergeCell ref="J110:L110"/>
    <mergeCell ref="F111:H111"/>
    <mergeCell ref="J111:L111"/>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5.xml><?xml version="1.0" encoding="utf-8"?>
<worksheet xmlns="http://schemas.openxmlformats.org/spreadsheetml/2006/main" xmlns:r="http://schemas.openxmlformats.org/officeDocument/2006/relationships">
  <sheetPr>
    <tabColor indexed="29"/>
  </sheetPr>
  <dimension ref="A1:Q46"/>
  <sheetViews>
    <sheetView topLeftCell="A5" zoomScale="90" workbookViewId="0">
      <pane ySplit="9" topLeftCell="A14" activePane="bottomLeft" state="frozen"/>
      <selection activeCell="C33" sqref="C33"/>
      <selection pane="bottomLeft" activeCell="I22" sqref="I22:I23"/>
    </sheetView>
  </sheetViews>
  <sheetFormatPr defaultColWidth="23.85546875" defaultRowHeight="15"/>
  <cols>
    <col min="1" max="1" width="4.28515625" style="576" customWidth="1"/>
    <col min="2" max="2" width="8.5703125" style="576" customWidth="1"/>
    <col min="3" max="3" width="11" style="576" customWidth="1"/>
    <col min="4" max="4" width="41.7109375" style="576" customWidth="1"/>
    <col min="5" max="5" width="8" style="589" customWidth="1"/>
    <col min="6" max="6" width="8.85546875" style="576" customWidth="1"/>
    <col min="7" max="7" width="9" style="576" customWidth="1"/>
    <col min="8" max="8" width="14.140625" style="576" customWidth="1"/>
    <col min="9" max="9" width="8.85546875" style="576" customWidth="1"/>
    <col min="10" max="10" width="13.42578125" style="576" customWidth="1"/>
    <col min="11" max="11" width="10.140625" style="576" customWidth="1"/>
    <col min="12" max="12" width="13" style="576" customWidth="1"/>
    <col min="13" max="13" width="7.140625" style="576" customWidth="1"/>
    <col min="14" max="14" width="2" style="576" customWidth="1"/>
    <col min="15" max="15" width="5.5703125" style="576" customWidth="1"/>
    <col min="16" max="16" width="4.42578125" style="576" customWidth="1"/>
    <col min="17" max="16384" width="23.85546875" style="576"/>
  </cols>
  <sheetData>
    <row r="1" spans="1:17">
      <c r="A1" s="575" t="s">
        <v>475</v>
      </c>
      <c r="E1" s="576"/>
      <c r="O1" s="577"/>
    </row>
    <row r="2" spans="1:17" s="448" customFormat="1" ht="16.5" customHeight="1">
      <c r="B2" s="578" t="s">
        <v>316</v>
      </c>
      <c r="C2" s="579"/>
      <c r="D2" s="580"/>
      <c r="E2" s="581"/>
      <c r="F2" s="2"/>
      <c r="J2" s="1393" t="s">
        <v>476</v>
      </c>
      <c r="K2" s="1393"/>
      <c r="L2" s="1393"/>
      <c r="M2" s="1393"/>
      <c r="N2" s="582"/>
    </row>
    <row r="3" spans="1:17" s="448" customFormat="1" ht="16.5" customHeight="1">
      <c r="B3" s="578" t="s">
        <v>318</v>
      </c>
      <c r="C3" s="578"/>
      <c r="D3" s="578"/>
      <c r="E3" s="583"/>
      <c r="F3" s="578"/>
      <c r="J3" s="1394" t="s">
        <v>50</v>
      </c>
      <c r="K3" s="1394"/>
      <c r="L3" s="1394"/>
      <c r="M3" s="1394"/>
      <c r="N3" s="584"/>
    </row>
    <row r="4" spans="1:17" s="448" customFormat="1" ht="16.5" customHeight="1">
      <c r="B4" s="578"/>
      <c r="C4" s="578"/>
      <c r="D4" s="578"/>
      <c r="E4" s="583"/>
      <c r="F4" s="578"/>
      <c r="J4" s="1394"/>
      <c r="K4" s="1394"/>
      <c r="L4" s="1394"/>
      <c r="M4" s="1394"/>
      <c r="N4" s="584"/>
    </row>
    <row r="5" spans="1:17" ht="18.75" customHeight="1">
      <c r="B5" s="1395" t="s">
        <v>477</v>
      </c>
      <c r="C5" s="1395"/>
      <c r="D5" s="1395"/>
      <c r="E5" s="1395"/>
      <c r="F5" s="1395"/>
      <c r="G5" s="1395"/>
      <c r="H5" s="1395"/>
      <c r="I5" s="1395"/>
      <c r="J5" s="1395"/>
      <c r="K5" s="1395"/>
      <c r="L5" s="1395"/>
      <c r="M5" s="1395"/>
      <c r="N5" s="585"/>
    </row>
    <row r="6" spans="1:17" s="586" customFormat="1" ht="12.75">
      <c r="B6" s="1396" t="s">
        <v>478</v>
      </c>
      <c r="C6" s="1396"/>
      <c r="D6" s="1396"/>
      <c r="E6" s="1396"/>
      <c r="F6" s="1396"/>
      <c r="G6" s="1396"/>
      <c r="H6" s="1396"/>
      <c r="I6" s="1396"/>
      <c r="J6" s="1396"/>
      <c r="K6" s="1396"/>
      <c r="L6" s="1396"/>
      <c r="M6" s="1396"/>
      <c r="N6" s="587"/>
    </row>
    <row r="7" spans="1:17">
      <c r="C7" s="588"/>
      <c r="D7" s="588"/>
      <c r="F7" s="590" t="s">
        <v>922</v>
      </c>
      <c r="G7" s="931" t="str">
        <f>IF($O$10="VL","1522",IF($O$10="NL","1521",IF($O$10="TP","155","")))</f>
        <v>1522</v>
      </c>
      <c r="H7" s="590" t="s">
        <v>479</v>
      </c>
      <c r="I7" s="588" t="str">
        <f>IF($O$10="NL","Nguyên Liệu",IF($O$10="TP","Thành Phẩm",IF($O$10="VL","Vật Liệu","")))</f>
        <v>Vật Liệu</v>
      </c>
      <c r="J7" s="588"/>
      <c r="K7" s="588"/>
      <c r="L7" s="588"/>
      <c r="M7" s="588"/>
      <c r="N7" s="589"/>
    </row>
    <row r="8" spans="1:17">
      <c r="B8" s="589"/>
      <c r="C8" s="588"/>
      <c r="D8" s="588"/>
      <c r="F8" s="589" t="s">
        <v>480</v>
      </c>
      <c r="H8" s="588"/>
      <c r="I8" s="588"/>
      <c r="J8" s="1397" t="s">
        <v>650</v>
      </c>
      <c r="K8" s="1397"/>
      <c r="L8" s="1397"/>
      <c r="M8" s="588"/>
      <c r="N8" s="588"/>
    </row>
    <row r="9" spans="1:17">
      <c r="D9" s="591"/>
      <c r="E9" s="592"/>
      <c r="F9" s="591"/>
      <c r="G9" s="591"/>
      <c r="H9" s="591"/>
      <c r="I9" s="591"/>
      <c r="J9" s="591"/>
      <c r="K9" s="591" t="s">
        <v>148</v>
      </c>
      <c r="M9" s="593"/>
      <c r="N9" s="594"/>
    </row>
    <row r="10" spans="1:17" ht="15.75" customHeight="1">
      <c r="A10" s="1387" t="s">
        <v>37</v>
      </c>
      <c r="B10" s="1388" t="s">
        <v>1</v>
      </c>
      <c r="C10" s="1388"/>
      <c r="D10" s="1389" t="s">
        <v>0</v>
      </c>
      <c r="E10" s="1389" t="s">
        <v>481</v>
      </c>
      <c r="F10" s="1389" t="s">
        <v>468</v>
      </c>
      <c r="G10" s="1391" t="s">
        <v>482</v>
      </c>
      <c r="H10" s="1392"/>
      <c r="I10" s="1391" t="s">
        <v>483</v>
      </c>
      <c r="J10" s="1392"/>
      <c r="K10" s="1391" t="s">
        <v>484</v>
      </c>
      <c r="L10" s="1392"/>
      <c r="M10" s="1389" t="s">
        <v>152</v>
      </c>
      <c r="N10" s="595"/>
      <c r="O10" s="596" t="s">
        <v>485</v>
      </c>
    </row>
    <row r="11" spans="1:17" ht="31.5" customHeight="1">
      <c r="A11" s="1387"/>
      <c r="B11" s="597" t="s">
        <v>17</v>
      </c>
      <c r="C11" s="597" t="s">
        <v>34</v>
      </c>
      <c r="D11" s="1389"/>
      <c r="E11" s="1389"/>
      <c r="F11" s="1389"/>
      <c r="G11" s="597" t="s">
        <v>467</v>
      </c>
      <c r="H11" s="597" t="s">
        <v>469</v>
      </c>
      <c r="I11" s="597" t="s">
        <v>467</v>
      </c>
      <c r="J11" s="597" t="s">
        <v>469</v>
      </c>
      <c r="K11" s="597" t="s">
        <v>467</v>
      </c>
      <c r="L11" s="597" t="s">
        <v>469</v>
      </c>
      <c r="M11" s="1389"/>
      <c r="N11" s="595"/>
    </row>
    <row r="12" spans="1:17" s="589" customFormat="1">
      <c r="A12" s="598"/>
      <c r="B12" s="599" t="s">
        <v>2</v>
      </c>
      <c r="C12" s="600" t="s">
        <v>3</v>
      </c>
      <c r="D12" s="600" t="s">
        <v>4</v>
      </c>
      <c r="E12" s="599" t="s">
        <v>5</v>
      </c>
      <c r="F12" s="599">
        <v>1</v>
      </c>
      <c r="G12" s="599">
        <v>2</v>
      </c>
      <c r="H12" s="599" t="s">
        <v>486</v>
      </c>
      <c r="I12" s="599">
        <v>4</v>
      </c>
      <c r="J12" s="599" t="s">
        <v>487</v>
      </c>
      <c r="K12" s="599">
        <v>6</v>
      </c>
      <c r="L12" s="599" t="s">
        <v>488</v>
      </c>
      <c r="M12" s="599"/>
      <c r="N12" s="601"/>
    </row>
    <row r="13" spans="1:17">
      <c r="A13" s="602"/>
      <c r="B13" s="602"/>
      <c r="C13" s="602"/>
      <c r="D13" s="603" t="s">
        <v>173</v>
      </c>
      <c r="E13" s="604"/>
      <c r="F13" s="605" t="e">
        <f>L13/K13</f>
        <v>#DIV/0!</v>
      </c>
      <c r="G13" s="605"/>
      <c r="H13" s="605"/>
      <c r="I13" s="605"/>
      <c r="J13" s="605"/>
      <c r="K13" s="606">
        <f>VLOOKUP($J$8,NXT!$C$12:$L$105,3,0)</f>
        <v>0</v>
      </c>
      <c r="L13" s="606">
        <f>VLOOKUP($J$8,NXT!$C$12:$L$105,4,0)</f>
        <v>0</v>
      </c>
      <c r="M13" s="605"/>
      <c r="N13" s="601"/>
    </row>
    <row r="14" spans="1:17">
      <c r="A14" s="557">
        <f ca="1">IF(B14="","",ROW()-13)</f>
        <v>1</v>
      </c>
      <c r="B14" s="607" t="str">
        <f ca="1">IF(ROWS($1:1)&gt;COUNT(Dong11),"",OFFSET(TH!D$1,SMALL(Dong11,ROWS($1:1)),))</f>
        <v>VL/N06</v>
      </c>
      <c r="C14" s="608">
        <f ca="1">IF(ROWS($1:1)&gt;COUNT(Dong11),"",OFFSET(TH!E$1,SMALL(Dong11,ROWS($1:1)),))</f>
        <v>42391</v>
      </c>
      <c r="D14" s="609" t="str">
        <f ca="1">IF(ROWS($1:1)&gt;COUNT(Dong11),"",OFFSET(TH!F$1,SMALL(Dong11,ROWS($1:1)),)&amp;" - "&amp;OFFSET(TH!H$1,SMALL(Dong11,ROWS($1:1)),))</f>
        <v>Hộp ghẹ - Cty TNHH TM DV SX Bao Bì Giấy Tân Minh Thư</v>
      </c>
      <c r="E14" s="607" t="str">
        <f ca="1">IF(ROWS($1:1)&gt;COUNT(Dong11),"",IF(OFFSET(TH!N$1,SMALL(Dong11,ROWS($1:1)),)=$G$7,OFFSET(TH!O$1,SMALL(Dong11,ROWS($1:1)),),OFFSET(TH!N$1,SMALL(Dong11,ROWS($1:1)),)))</f>
        <v>331</v>
      </c>
      <c r="F14" s="610">
        <f ca="1">IF(ROWS($1:1)&gt;COUNT(Dong11),0,OFFSET(TH!J$1,SMALL(Dong11,ROWS($1:1)),))</f>
        <v>14000</v>
      </c>
      <c r="G14" s="610">
        <f ca="1">IF(ROWS($1:1)&gt;COUNT(Dong11),0,IF(MID(OFFSET(TH!D$1,SMALL(Dong11,ROWS($1:1)),),4,1)="N",OFFSET(TH!I$1,SMALL(Dong11,ROWS($1:1)),),0))</f>
        <v>2500</v>
      </c>
      <c r="H14" s="611">
        <f ca="1">ROUND(F14*G14,0)</f>
        <v>35000000</v>
      </c>
      <c r="I14" s="610">
        <f ca="1">IF(ROWS($1:1)&gt;COUNT(Dong11),0,IF(MID(OFFSET(TH!D$1,SMALL(Dong11,ROWS($1:1)),),4,1)="X",OFFSET(TH!I$1,SMALL(Dong11,ROWS($1:1)),),0))</f>
        <v>0</v>
      </c>
      <c r="J14" s="611">
        <f ca="1">ROUND(F14*I14,0)</f>
        <v>0</v>
      </c>
      <c r="K14" s="611">
        <f ca="1">IF(D14&lt;&gt;"",K13+G14-I14,0)</f>
        <v>2500</v>
      </c>
      <c r="L14" s="611">
        <f ca="1">IF(D14&lt;&gt;"",L13+H14-J14,0)</f>
        <v>35000000</v>
      </c>
      <c r="M14" s="611"/>
      <c r="N14" s="601"/>
    </row>
    <row r="15" spans="1:17">
      <c r="A15" s="557">
        <f t="shared" ref="A15:A31" ca="1" si="0">IF(B15="","",A14+1)</f>
        <v>2</v>
      </c>
      <c r="B15" s="607" t="str">
        <f ca="1">IF(ROWS($1:2)&gt;COUNT(Dong11),"",OFFSET(TH!D$1,SMALL(Dong11,ROWS($1:2)),))</f>
        <v>VL/X05</v>
      </c>
      <c r="C15" s="608">
        <f ca="1">IF(ROWS($1:2)&gt;COUNT(Dong11),"",OFFSET(TH!E$1,SMALL(Dong11,ROWS($1:2)),))</f>
        <v>42391</v>
      </c>
      <c r="D15" s="609" t="str">
        <f ca="1">IF(ROWS($1:2)&gt;COUNT(Dong11),"",OFFSET(TH!F$1,SMALL(Dong11,ROWS($1:2)),)&amp;" - "&amp;OFFSET(TH!H$1,SMALL(Dong11,ROWS($1:2)),))</f>
        <v>Hộp ghẹ - Xuất SX</v>
      </c>
      <c r="E15" s="607" t="str">
        <f ca="1">IF(ROWS($1:2)&gt;COUNT(Dong11),"",IF(OFFSET(TH!N$1,SMALL(Dong11,ROWS($1:2)),)=$G$7,OFFSET(TH!O$1,SMALL(Dong11,ROWS($1:2)),),OFFSET(TH!N$1,SMALL(Dong11,ROWS($1:2)),)))</f>
        <v>154</v>
      </c>
      <c r="F15" s="610">
        <f ca="1">IF(ROWS($1:2)&gt;COUNT(Dong11),0,OFFSET(TH!J$1,SMALL(Dong11,ROWS($1:2)),))</f>
        <v>14000</v>
      </c>
      <c r="G15" s="610">
        <f ca="1">IF(ROWS($1:2)&gt;COUNT(Dong11),0,IF(MID(OFFSET(TH!D$1,SMALL(Dong11,ROWS($1:2)),),4,1)="N",OFFSET(TH!I$1,SMALL(Dong11,ROWS($1:2)),),0))</f>
        <v>0</v>
      </c>
      <c r="H15" s="611">
        <f t="shared" ref="H15:H30" ca="1" si="1">ROUND(F15*G15,0)</f>
        <v>0</v>
      </c>
      <c r="I15" s="610">
        <f ca="1">IF(ROWS($1:2)&gt;COUNT(Dong11),0,IF(MID(OFFSET(TH!D$1,SMALL(Dong11,ROWS($1:2)),),4,1)="X",OFFSET(TH!I$1,SMALL(Dong11,ROWS($1:2)),),0))</f>
        <v>2400</v>
      </c>
      <c r="J15" s="611">
        <f t="shared" ref="J15:J30" ca="1" si="2">ROUND(F15*I15,0)</f>
        <v>33600000</v>
      </c>
      <c r="K15" s="611">
        <f t="shared" ref="K15:K30" ca="1" si="3">IF(D15&lt;&gt;"",K14+G15-I15,0)</f>
        <v>100</v>
      </c>
      <c r="L15" s="611">
        <f t="shared" ref="L15:L30" ca="1" si="4">IF(D15&lt;&gt;"",L14+H15-J15,0)</f>
        <v>1400000</v>
      </c>
      <c r="M15" s="611"/>
      <c r="N15" s="601"/>
      <c r="Q15" s="612"/>
    </row>
    <row r="16" spans="1:17">
      <c r="A16" s="557">
        <f t="shared" ca="1" si="0"/>
        <v>3</v>
      </c>
      <c r="B16" s="607" t="str">
        <f ca="1">IF(ROWS($1:3)&gt;COUNT(Dong11),"",OFFSET(TH!D$1,SMALL(Dong11,ROWS($1:3)),))</f>
        <v>VL/N02</v>
      </c>
      <c r="C16" s="608">
        <f ca="1">IF(ROWS($1:3)&gt;COUNT(Dong11),"",OFFSET(TH!E$1,SMALL(Dong11,ROWS($1:3)),))</f>
        <v>42467</v>
      </c>
      <c r="D16" s="609" t="str">
        <f ca="1">IF(ROWS($1:3)&gt;COUNT(Dong11),"",OFFSET(TH!F$1,SMALL(Dong11,ROWS($1:3)),)&amp;" - "&amp;OFFSET(TH!H$1,SMALL(Dong11,ROWS($1:3)),))</f>
        <v>Hộp ghẹ - Cty TNHH TM DV SX Bao Bì Giấy Tân Minh Thư</v>
      </c>
      <c r="E16" s="607" t="str">
        <f ca="1">IF(ROWS($1:3)&gt;COUNT(Dong11),"",IF(OFFSET(TH!N$1,SMALL(Dong11,ROWS($1:3)),)=$G$7,OFFSET(TH!O$1,SMALL(Dong11,ROWS($1:3)),),OFFSET(TH!N$1,SMALL(Dong11,ROWS($1:3)),)))</f>
        <v>331</v>
      </c>
      <c r="F16" s="610">
        <f ca="1">IF(ROWS($1:3)&gt;COUNT(Dong11),0,OFFSET(TH!J$1,SMALL(Dong11,ROWS($1:3)),))</f>
        <v>14000</v>
      </c>
      <c r="G16" s="610">
        <f ca="1">IF(ROWS($1:3)&gt;COUNT(Dong11),0,IF(MID(OFFSET(TH!D$1,SMALL(Dong11,ROWS($1:3)),),4,1)="N",OFFSET(TH!I$1,SMALL(Dong11,ROWS($1:3)),),0))</f>
        <v>4500</v>
      </c>
      <c r="H16" s="611">
        <f t="shared" ca="1" si="1"/>
        <v>63000000</v>
      </c>
      <c r="I16" s="610">
        <f ca="1">IF(ROWS($1:3)&gt;COUNT(Dong11),0,IF(MID(OFFSET(TH!D$1,SMALL(Dong11,ROWS($1:3)),),4,1)="X",OFFSET(TH!I$1,SMALL(Dong11,ROWS($1:3)),),0))</f>
        <v>0</v>
      </c>
      <c r="J16" s="611">
        <f t="shared" ca="1" si="2"/>
        <v>0</v>
      </c>
      <c r="K16" s="611">
        <f t="shared" ca="1" si="3"/>
        <v>4600</v>
      </c>
      <c r="L16" s="611">
        <f t="shared" ca="1" si="4"/>
        <v>64400000</v>
      </c>
      <c r="M16" s="611"/>
      <c r="N16" s="601"/>
    </row>
    <row r="17" spans="1:16">
      <c r="A17" s="557">
        <f t="shared" ca="1" si="0"/>
        <v>4</v>
      </c>
      <c r="B17" s="607" t="str">
        <f ca="1">IF(ROWS($1:4)&gt;COUNT(Dong11),"",OFFSET(TH!D$1,SMALL(Dong11,ROWS($1:4)),))</f>
        <v>VL/N06</v>
      </c>
      <c r="C17" s="608">
        <f ca="1">IF(ROWS($1:4)&gt;COUNT(Dong11),"",OFFSET(TH!E$1,SMALL(Dong11,ROWS($1:4)),))</f>
        <v>42486</v>
      </c>
      <c r="D17" s="609" t="str">
        <f ca="1">IF(ROWS($1:4)&gt;COUNT(Dong11),"",OFFSET(TH!F$1,SMALL(Dong11,ROWS($1:4)),)&amp;" - "&amp;OFFSET(TH!H$1,SMALL(Dong11,ROWS($1:4)),))</f>
        <v>Hộp ghẹ - Cty TNHH TM DV SX Bao Bì Giấy Tân Minh Thư</v>
      </c>
      <c r="E17" s="607" t="str">
        <f ca="1">IF(ROWS($1:4)&gt;COUNT(Dong11),"",IF(OFFSET(TH!N$1,SMALL(Dong11,ROWS($1:4)),)=$G$7,OFFSET(TH!O$1,SMALL(Dong11,ROWS($1:4)),),OFFSET(TH!N$1,SMALL(Dong11,ROWS($1:4)),)))</f>
        <v>331</v>
      </c>
      <c r="F17" s="610">
        <f ca="1">IF(ROWS($1:4)&gt;COUNT(Dong11),0,OFFSET(TH!J$1,SMALL(Dong11,ROWS($1:4)),))</f>
        <v>14000</v>
      </c>
      <c r="G17" s="610">
        <f ca="1">IF(ROWS($1:4)&gt;COUNT(Dong11),0,IF(MID(OFFSET(TH!D$1,SMALL(Dong11,ROWS($1:4)),),4,1)="N",OFFSET(TH!I$1,SMALL(Dong11,ROWS($1:4)),),0))</f>
        <v>2000</v>
      </c>
      <c r="H17" s="611">
        <f t="shared" ca="1" si="1"/>
        <v>28000000</v>
      </c>
      <c r="I17" s="610">
        <f ca="1">IF(ROWS($1:4)&gt;COUNT(Dong11),0,IF(MID(OFFSET(TH!D$1,SMALL(Dong11,ROWS($1:4)),),4,1)="X",OFFSET(TH!I$1,SMALL(Dong11,ROWS($1:4)),),0))</f>
        <v>0</v>
      </c>
      <c r="J17" s="611">
        <f t="shared" ca="1" si="2"/>
        <v>0</v>
      </c>
      <c r="K17" s="611">
        <f t="shared" ca="1" si="3"/>
        <v>6600</v>
      </c>
      <c r="L17" s="611">
        <f t="shared" ca="1" si="4"/>
        <v>92400000</v>
      </c>
      <c r="M17" s="611"/>
      <c r="N17" s="601"/>
      <c r="P17" s="613"/>
    </row>
    <row r="18" spans="1:16">
      <c r="A18" s="557">
        <f t="shared" ca="1" si="0"/>
        <v>5</v>
      </c>
      <c r="B18" s="607" t="str">
        <f ca="1">IF(ROWS($1:5)&gt;COUNT(Dong11),"",OFFSET(TH!D$1,SMALL(Dong11,ROWS($1:5)),))</f>
        <v>VL/X02</v>
      </c>
      <c r="C18" s="608">
        <f ca="1">IF(ROWS($1:5)&gt;COUNT(Dong11),"",OFFSET(TH!E$1,SMALL(Dong11,ROWS($1:5)),))</f>
        <v>42470</v>
      </c>
      <c r="D18" s="609" t="str">
        <f ca="1">IF(ROWS($1:5)&gt;COUNT(Dong11),"",OFFSET(TH!F$1,SMALL(Dong11,ROWS($1:5)),)&amp;" - "&amp;OFFSET(TH!H$1,SMALL(Dong11,ROWS($1:5)),))</f>
        <v>Hộp ghẹ - Xuất SX</v>
      </c>
      <c r="E18" s="607" t="str">
        <f ca="1">IF(ROWS($1:5)&gt;COUNT(Dong11),"",IF(OFFSET(TH!N$1,SMALL(Dong11,ROWS($1:5)),)=$G$7,OFFSET(TH!O$1,SMALL(Dong11,ROWS($1:5)),),OFFSET(TH!N$1,SMALL(Dong11,ROWS($1:5)),)))</f>
        <v>154</v>
      </c>
      <c r="F18" s="610">
        <f ca="1">IF(ROWS($1:5)&gt;COUNT(Dong11),0,OFFSET(TH!J$1,SMALL(Dong11,ROWS($1:5)),))</f>
        <v>14000</v>
      </c>
      <c r="G18" s="610">
        <f ca="1">IF(ROWS($1:5)&gt;COUNT(Dong11),0,IF(MID(OFFSET(TH!D$1,SMALL(Dong11,ROWS($1:5)),),4,1)="N",OFFSET(TH!I$1,SMALL(Dong11,ROWS($1:5)),),0))</f>
        <v>0</v>
      </c>
      <c r="H18" s="611">
        <f t="shared" ca="1" si="1"/>
        <v>0</v>
      </c>
      <c r="I18" s="610">
        <f ca="1">IF(ROWS($1:5)&gt;COUNT(Dong11),0,IF(MID(OFFSET(TH!D$1,SMALL(Dong11,ROWS($1:5)),),4,1)="X",OFFSET(TH!I$1,SMALL(Dong11,ROWS($1:5)),),0))</f>
        <v>4400</v>
      </c>
      <c r="J18" s="611">
        <f t="shared" ca="1" si="2"/>
        <v>61600000</v>
      </c>
      <c r="K18" s="611">
        <f t="shared" ca="1" si="3"/>
        <v>2200</v>
      </c>
      <c r="L18" s="611">
        <f t="shared" ca="1" si="4"/>
        <v>30800000</v>
      </c>
      <c r="M18" s="611"/>
      <c r="N18" s="601"/>
    </row>
    <row r="19" spans="1:16">
      <c r="A19" s="557">
        <f t="shared" ca="1" si="0"/>
        <v>6</v>
      </c>
      <c r="B19" s="607" t="str">
        <f ca="1">IF(ROWS($1:6)&gt;COUNT(Dong11),"",OFFSET(TH!D$1,SMALL(Dong11,ROWS($1:6)),))</f>
        <v>VL/X04</v>
      </c>
      <c r="C19" s="608">
        <f ca="1">IF(ROWS($1:6)&gt;COUNT(Dong11),"",OFFSET(TH!E$1,SMALL(Dong11,ROWS($1:6)),))</f>
        <v>42500</v>
      </c>
      <c r="D19" s="609" t="str">
        <f ca="1">IF(ROWS($1:6)&gt;COUNT(Dong11),"",OFFSET(TH!F$1,SMALL(Dong11,ROWS($1:6)),)&amp;" - "&amp;OFFSET(TH!H$1,SMALL(Dong11,ROWS($1:6)),))</f>
        <v>Hộp ghẹ - Xuất SX</v>
      </c>
      <c r="E19" s="607" t="str">
        <f ca="1">IF(ROWS($1:6)&gt;COUNT(Dong11),"",IF(OFFSET(TH!N$1,SMALL(Dong11,ROWS($1:6)),)=$G$7,OFFSET(TH!O$1,SMALL(Dong11,ROWS($1:6)),),OFFSET(TH!N$1,SMALL(Dong11,ROWS($1:6)),)))</f>
        <v>154</v>
      </c>
      <c r="F19" s="610">
        <f ca="1">IF(ROWS($1:6)&gt;COUNT(Dong11),0,OFFSET(TH!J$1,SMALL(Dong11,ROWS($1:6)),))</f>
        <v>14000</v>
      </c>
      <c r="G19" s="610">
        <f ca="1">IF(ROWS($1:6)&gt;COUNT(Dong11),0,IF(MID(OFFSET(TH!D$1,SMALL(Dong11,ROWS($1:6)),),4,1)="N",OFFSET(TH!I$1,SMALL(Dong11,ROWS($1:6)),),0))</f>
        <v>0</v>
      </c>
      <c r="H19" s="611">
        <f t="shared" ca="1" si="1"/>
        <v>0</v>
      </c>
      <c r="I19" s="610">
        <f ca="1">IF(ROWS($1:6)&gt;COUNT(Dong11),0,IF(MID(OFFSET(TH!D$1,SMALL(Dong11,ROWS($1:6)),),4,1)="X",OFFSET(TH!I$1,SMALL(Dong11,ROWS($1:6)),),0))</f>
        <v>2200</v>
      </c>
      <c r="J19" s="611">
        <f t="shared" ca="1" si="2"/>
        <v>30800000</v>
      </c>
      <c r="K19" s="611">
        <f t="shared" ca="1" si="3"/>
        <v>0</v>
      </c>
      <c r="L19" s="611">
        <f t="shared" ca="1" si="4"/>
        <v>0</v>
      </c>
      <c r="M19" s="611"/>
      <c r="N19" s="601"/>
    </row>
    <row r="20" spans="1:16">
      <c r="A20" s="557">
        <f t="shared" ca="1" si="0"/>
        <v>7</v>
      </c>
      <c r="B20" s="607" t="str">
        <f ca="1">IF(ROWS($1:7)&gt;COUNT(Dong11),"",OFFSET(TH!D$1,SMALL(Dong11,ROWS($1:7)),))</f>
        <v>VL/N04</v>
      </c>
      <c r="C20" s="608">
        <f ca="1">IF(ROWS($1:7)&gt;COUNT(Dong11),"",OFFSET(TH!E$1,SMALL(Dong11,ROWS($1:7)),))</f>
        <v>42548</v>
      </c>
      <c r="D20" s="609" t="str">
        <f ca="1">IF(ROWS($1:7)&gt;COUNT(Dong11),"",OFFSET(TH!F$1,SMALL(Dong11,ROWS($1:7)),)&amp;" - "&amp;OFFSET(TH!H$1,SMALL(Dong11,ROWS($1:7)),))</f>
        <v>Hộp ghẹ - Cty TNHH SX TM Ánh Dương Vina</v>
      </c>
      <c r="E20" s="607" t="str">
        <f ca="1">IF(ROWS($1:7)&gt;COUNT(Dong11),"",IF(OFFSET(TH!N$1,SMALL(Dong11,ROWS($1:7)),)=$G$7,OFFSET(TH!O$1,SMALL(Dong11,ROWS($1:7)),),OFFSET(TH!N$1,SMALL(Dong11,ROWS($1:7)),)))</f>
        <v>331</v>
      </c>
      <c r="F20" s="610">
        <f ca="1">IF(ROWS($1:7)&gt;COUNT(Dong11),0,OFFSET(TH!J$1,SMALL(Dong11,ROWS($1:7)),))</f>
        <v>11500</v>
      </c>
      <c r="G20" s="610">
        <f ca="1">IF(ROWS($1:7)&gt;COUNT(Dong11),0,IF(MID(OFFSET(TH!D$1,SMALL(Dong11,ROWS($1:7)),),4,1)="N",OFFSET(TH!I$1,SMALL(Dong11,ROWS($1:7)),),0))</f>
        <v>2268</v>
      </c>
      <c r="H20" s="611">
        <f t="shared" ca="1" si="1"/>
        <v>26082000</v>
      </c>
      <c r="I20" s="610">
        <f ca="1">IF(ROWS($1:7)&gt;COUNT(Dong11),0,IF(MID(OFFSET(TH!D$1,SMALL(Dong11,ROWS($1:7)),),4,1)="X",OFFSET(TH!I$1,SMALL(Dong11,ROWS($1:7)),),0))</f>
        <v>0</v>
      </c>
      <c r="J20" s="611">
        <f t="shared" ca="1" si="2"/>
        <v>0</v>
      </c>
      <c r="K20" s="611">
        <f t="shared" ca="1" si="3"/>
        <v>2268</v>
      </c>
      <c r="L20" s="611">
        <f t="shared" ca="1" si="4"/>
        <v>26082000</v>
      </c>
      <c r="M20" s="611"/>
      <c r="N20" s="601"/>
    </row>
    <row r="21" spans="1:16">
      <c r="A21" s="557">
        <f t="shared" ca="1" si="0"/>
        <v>8</v>
      </c>
      <c r="B21" s="607" t="str">
        <f ca="1">IF(ROWS($1:8)&gt;COUNT(Dong11),"",OFFSET(TH!D$1,SMALL(Dong11,ROWS($1:8)),))</f>
        <v>VL/X03</v>
      </c>
      <c r="C21" s="608">
        <f ca="1">IF(ROWS($1:8)&gt;COUNT(Dong11),"",OFFSET(TH!E$1,SMALL(Dong11,ROWS($1:8)),))</f>
        <v>42556</v>
      </c>
      <c r="D21" s="609" t="str">
        <f ca="1">IF(ROWS($1:8)&gt;COUNT(Dong11),"",OFFSET(TH!F$1,SMALL(Dong11,ROWS($1:8)),)&amp;" - "&amp;OFFSET(TH!H$1,SMALL(Dong11,ROWS($1:8)),))</f>
        <v>Hộp ghẹ - Xuất SX</v>
      </c>
      <c r="E21" s="607" t="str">
        <f ca="1">IF(ROWS($1:8)&gt;COUNT(Dong11),"",IF(OFFSET(TH!N$1,SMALL(Dong11,ROWS($1:8)),)=$G$7,OFFSET(TH!O$1,SMALL(Dong11,ROWS($1:8)),),OFFSET(TH!N$1,SMALL(Dong11,ROWS($1:8)),)))</f>
        <v>154</v>
      </c>
      <c r="F21" s="610">
        <f ca="1">IF(ROWS($1:8)&gt;COUNT(Dong11),0,OFFSET(TH!J$1,SMALL(Dong11,ROWS($1:8)),))</f>
        <v>11500</v>
      </c>
      <c r="G21" s="610">
        <f ca="1">IF(ROWS($1:8)&gt;COUNT(Dong11),0,IF(MID(OFFSET(TH!D$1,SMALL(Dong11,ROWS($1:8)),),4,1)="N",OFFSET(TH!I$1,SMALL(Dong11,ROWS($1:8)),),0))</f>
        <v>0</v>
      </c>
      <c r="H21" s="611">
        <f t="shared" ca="1" si="1"/>
        <v>0</v>
      </c>
      <c r="I21" s="610">
        <f ca="1">IF(ROWS($1:8)&gt;COUNT(Dong11),0,IF(MID(OFFSET(TH!D$1,SMALL(Dong11,ROWS($1:8)),),4,1)="X",OFFSET(TH!I$1,SMALL(Dong11,ROWS($1:8)),),0))</f>
        <v>2268</v>
      </c>
      <c r="J21" s="611">
        <f t="shared" ca="1" si="2"/>
        <v>26082000</v>
      </c>
      <c r="K21" s="611">
        <f t="shared" ca="1" si="3"/>
        <v>0</v>
      </c>
      <c r="L21" s="611">
        <f t="shared" ca="1" si="4"/>
        <v>0</v>
      </c>
      <c r="M21" s="611"/>
      <c r="N21" s="601"/>
    </row>
    <row r="22" spans="1:16">
      <c r="A22" s="557">
        <f t="shared" ca="1" si="0"/>
        <v>9</v>
      </c>
      <c r="B22" s="607" t="str">
        <f ca="1">IF(ROWS($1:9)&gt;COUNT(Dong11),"",OFFSET(TH!D$1,SMALL(Dong11,ROWS($1:9)),))</f>
        <v>VL/X02</v>
      </c>
      <c r="C22" s="608">
        <f ca="1">IF(ROWS($1:9)&gt;COUNT(Dong11),"",OFFSET(TH!E$1,SMALL(Dong11,ROWS($1:9)),))</f>
        <v>42633</v>
      </c>
      <c r="D22" s="609" t="str">
        <f ca="1">IF(ROWS($1:9)&gt;COUNT(Dong11),"",OFFSET(TH!F$1,SMALL(Dong11,ROWS($1:9)),)&amp;" - "&amp;OFFSET(TH!H$1,SMALL(Dong11,ROWS($1:9)),))</f>
        <v>Hộp ghẹ - Xuất SX</v>
      </c>
      <c r="E22" s="607" t="str">
        <f ca="1">IF(ROWS($1:9)&gt;COUNT(Dong11),"",IF(OFFSET(TH!N$1,SMALL(Dong11,ROWS($1:9)),)=$G$7,OFFSET(TH!O$1,SMALL(Dong11,ROWS($1:9)),),OFFSET(TH!N$1,SMALL(Dong11,ROWS($1:9)),)))</f>
        <v>154</v>
      </c>
      <c r="F22" s="610">
        <f ca="1">IF(ROWS($1:9)&gt;COUNT(Dong11),0,OFFSET(TH!J$1,SMALL(Dong11,ROWS($1:9)),))</f>
        <v>14000</v>
      </c>
      <c r="G22" s="610">
        <f ca="1">IF(ROWS($1:9)&gt;COUNT(Dong11),0,IF(MID(OFFSET(TH!D$1,SMALL(Dong11,ROWS($1:9)),),4,1)="N",OFFSET(TH!I$1,SMALL(Dong11,ROWS($1:9)),),0))</f>
        <v>0</v>
      </c>
      <c r="H22" s="611">
        <f t="shared" ca="1" si="1"/>
        <v>0</v>
      </c>
      <c r="I22" s="610">
        <f ca="1">IF(ROWS($1:9)&gt;COUNT(Dong11),0,IF(MID(OFFSET(TH!D$1,SMALL(Dong11,ROWS($1:9)),),4,1)="X",OFFSET(TH!I$1,SMALL(Dong11,ROWS($1:9)),),0))</f>
        <v>800</v>
      </c>
      <c r="J22" s="611">
        <f t="shared" ca="1" si="2"/>
        <v>11200000</v>
      </c>
      <c r="K22" s="611">
        <f t="shared" ca="1" si="3"/>
        <v>-800</v>
      </c>
      <c r="L22" s="611">
        <f t="shared" ca="1" si="4"/>
        <v>-11200000</v>
      </c>
      <c r="M22" s="611"/>
      <c r="N22" s="601"/>
    </row>
    <row r="23" spans="1:16">
      <c r="A23" s="557">
        <f t="shared" ca="1" si="0"/>
        <v>10</v>
      </c>
      <c r="B23" s="607" t="str">
        <f ca="1">IF(ROWS($1:10)&gt;COUNT(Dong11),"",OFFSET(TH!D$1,SMALL(Dong11,ROWS($1:10)),))</f>
        <v>VL/X02</v>
      </c>
      <c r="C23" s="608">
        <f ca="1">IF(ROWS($1:10)&gt;COUNT(Dong11),"",OFFSET(TH!E$1,SMALL(Dong11,ROWS($1:10)),))</f>
        <v>42653</v>
      </c>
      <c r="D23" s="609" t="str">
        <f ca="1">IF(ROWS($1:10)&gt;COUNT(Dong11),"",OFFSET(TH!F$1,SMALL(Dong11,ROWS($1:10)),)&amp;" - "&amp;OFFSET(TH!H$1,SMALL(Dong11,ROWS($1:10)),))</f>
        <v>Hộp ghẹ - Xuất SX</v>
      </c>
      <c r="E23" s="607" t="str">
        <f ca="1">IF(ROWS($1:10)&gt;COUNT(Dong11),"",IF(OFFSET(TH!N$1,SMALL(Dong11,ROWS($1:10)),)=$G$7,OFFSET(TH!O$1,SMALL(Dong11,ROWS($1:10)),),OFFSET(TH!N$1,SMALL(Dong11,ROWS($1:10)),)))</f>
        <v>154</v>
      </c>
      <c r="F23" s="610">
        <f ca="1">IF(ROWS($1:10)&gt;COUNT(Dong11),0,OFFSET(TH!J$1,SMALL(Dong11,ROWS($1:10)),))</f>
        <v>14000</v>
      </c>
      <c r="G23" s="610">
        <f ca="1">IF(ROWS($1:10)&gt;COUNT(Dong11),0,IF(MID(OFFSET(TH!D$1,SMALL(Dong11,ROWS($1:10)),),4,1)="N",OFFSET(TH!I$1,SMALL(Dong11,ROWS($1:10)),),0))</f>
        <v>0</v>
      </c>
      <c r="H23" s="611">
        <f t="shared" ca="1" si="1"/>
        <v>0</v>
      </c>
      <c r="I23" s="610">
        <f ca="1">IF(ROWS($1:10)&gt;COUNT(Dong11),0,IF(MID(OFFSET(TH!D$1,SMALL(Dong11,ROWS($1:10)),),4,1)="X",OFFSET(TH!I$1,SMALL(Dong11,ROWS($1:10)),),0))</f>
        <v>1600</v>
      </c>
      <c r="J23" s="611">
        <f t="shared" ca="1" si="2"/>
        <v>22400000</v>
      </c>
      <c r="K23" s="611">
        <f t="shared" ca="1" si="3"/>
        <v>-2400</v>
      </c>
      <c r="L23" s="611">
        <f t="shared" ca="1" si="4"/>
        <v>-33600000</v>
      </c>
      <c r="M23" s="611"/>
      <c r="N23" s="601"/>
    </row>
    <row r="24" spans="1:16">
      <c r="A24" s="557">
        <f t="shared" ca="1" si="0"/>
        <v>11</v>
      </c>
      <c r="B24" s="607" t="str">
        <f ca="1">IF(ROWS($1:11)&gt;COUNT(Dong11),"",OFFSET(TH!D$1,SMALL(Dong11,ROWS($1:11)),))</f>
        <v>VL/N01</v>
      </c>
      <c r="C24" s="608">
        <f ca="1">IF(ROWS($1:11)&gt;COUNT(Dong11),"",OFFSET(TH!E$1,SMALL(Dong11,ROWS($1:11)),))</f>
        <v>42634</v>
      </c>
      <c r="D24" s="609" t="str">
        <f ca="1">IF(ROWS($1:11)&gt;COUNT(Dong11),"",OFFSET(TH!F$1,SMALL(Dong11,ROWS($1:11)),)&amp;" - "&amp;OFFSET(TH!H$1,SMALL(Dong11,ROWS($1:11)),))</f>
        <v>Hộp ghẹ - Cty TNHH TM DV SX Bao Bì Giấy Tân Minh Thư</v>
      </c>
      <c r="E24" s="607" t="str">
        <f ca="1">IF(ROWS($1:11)&gt;COUNT(Dong11),"",IF(OFFSET(TH!N$1,SMALL(Dong11,ROWS($1:11)),)=$G$7,OFFSET(TH!O$1,SMALL(Dong11,ROWS($1:11)),),OFFSET(TH!N$1,SMALL(Dong11,ROWS($1:11)),)))</f>
        <v>331</v>
      </c>
      <c r="F24" s="610">
        <f ca="1">IF(ROWS($1:11)&gt;COUNT(Dong11),0,OFFSET(TH!J$1,SMALL(Dong11,ROWS($1:11)),))</f>
        <v>14000</v>
      </c>
      <c r="G24" s="610">
        <f ca="1">IF(ROWS($1:11)&gt;COUNT(Dong11),0,IF(MID(OFFSET(TH!D$1,SMALL(Dong11,ROWS($1:11)),),4,1)="N",OFFSET(TH!I$1,SMALL(Dong11,ROWS($1:11)),),0))</f>
        <v>2400</v>
      </c>
      <c r="H24" s="611">
        <f t="shared" ca="1" si="1"/>
        <v>33600000</v>
      </c>
      <c r="I24" s="610">
        <f ca="1">IF(ROWS($1:11)&gt;COUNT(Dong11),0,IF(MID(OFFSET(TH!D$1,SMALL(Dong11,ROWS($1:11)),),4,1)="X",OFFSET(TH!I$1,SMALL(Dong11,ROWS($1:11)),),0))</f>
        <v>0</v>
      </c>
      <c r="J24" s="611">
        <f t="shared" ca="1" si="2"/>
        <v>0</v>
      </c>
      <c r="K24" s="611">
        <f t="shared" ca="1" si="3"/>
        <v>0</v>
      </c>
      <c r="L24" s="611">
        <f t="shared" ca="1" si="4"/>
        <v>0</v>
      </c>
      <c r="M24" s="611"/>
      <c r="N24" s="601"/>
    </row>
    <row r="25" spans="1:16">
      <c r="A25" s="557">
        <f t="shared" ca="1" si="0"/>
        <v>12</v>
      </c>
      <c r="B25" s="607" t="str">
        <f ca="1">IF(ROWS($1:12)&gt;COUNT(Dong11),"",OFFSET(TH!D$1,SMALL(Dong11,ROWS($1:12)),))</f>
        <v>VL/N03</v>
      </c>
      <c r="C25" s="608">
        <f ca="1">IF(ROWS($1:12)&gt;COUNT(Dong11),"",OFFSET(TH!E$1,SMALL(Dong11,ROWS($1:12)),))</f>
        <v>42693</v>
      </c>
      <c r="D25" s="609" t="str">
        <f ca="1">IF(ROWS($1:12)&gt;COUNT(Dong11),"",OFFSET(TH!F$1,SMALL(Dong11,ROWS($1:12)),)&amp;" - "&amp;OFFSET(TH!H$1,SMALL(Dong11,ROWS($1:12)),))</f>
        <v>Hộp ghẹ - Cty TNHH TM DV SX Bao Bì Giấy Tân Minh Thư</v>
      </c>
      <c r="E25" s="607" t="str">
        <f ca="1">IF(ROWS($1:12)&gt;COUNT(Dong11),"",IF(OFFSET(TH!N$1,SMALL(Dong11,ROWS($1:12)),)=$G$7,OFFSET(TH!O$1,SMALL(Dong11,ROWS($1:12)),),OFFSET(TH!N$1,SMALL(Dong11,ROWS($1:12)),)))</f>
        <v>331</v>
      </c>
      <c r="F25" s="610">
        <f ca="1">IF(ROWS($1:12)&gt;COUNT(Dong11),0,OFFSET(TH!J$1,SMALL(Dong11,ROWS($1:12)),))</f>
        <v>14000</v>
      </c>
      <c r="G25" s="610">
        <f ca="1">IF(ROWS($1:12)&gt;COUNT(Dong11),0,IF(MID(OFFSET(TH!D$1,SMALL(Dong11,ROWS($1:12)),),4,1)="N",OFFSET(TH!I$1,SMALL(Dong11,ROWS($1:12)),),0))</f>
        <v>2500</v>
      </c>
      <c r="H25" s="611">
        <f t="shared" ca="1" si="1"/>
        <v>35000000</v>
      </c>
      <c r="I25" s="610">
        <f ca="1">IF(ROWS($1:12)&gt;COUNT(Dong11),0,IF(MID(OFFSET(TH!D$1,SMALL(Dong11,ROWS($1:12)),),4,1)="X",OFFSET(TH!I$1,SMALL(Dong11,ROWS($1:12)),),0))</f>
        <v>0</v>
      </c>
      <c r="J25" s="611">
        <f t="shared" ca="1" si="2"/>
        <v>0</v>
      </c>
      <c r="K25" s="611">
        <f t="shared" ca="1" si="3"/>
        <v>2500</v>
      </c>
      <c r="L25" s="611">
        <f t="shared" ca="1" si="4"/>
        <v>35000000</v>
      </c>
      <c r="M25" s="611"/>
      <c r="N25" s="601"/>
    </row>
    <row r="26" spans="1:16">
      <c r="A26" s="557" t="str">
        <f t="shared" ca="1" si="0"/>
        <v/>
      </c>
      <c r="B26" s="607" t="str">
        <f ca="1">IF(ROWS($1:13)&gt;COUNT(Dong11),"",OFFSET(TH!D$1,SMALL(Dong11,ROWS($1:13)),))</f>
        <v/>
      </c>
      <c r="C26" s="608" t="str">
        <f ca="1">IF(ROWS($1:13)&gt;COUNT(Dong11),"",OFFSET(TH!E$1,SMALL(Dong11,ROWS($1:13)),))</f>
        <v/>
      </c>
      <c r="D26" s="609" t="str">
        <f ca="1">IF(ROWS($1:13)&gt;COUNT(Dong11),"",OFFSET(TH!F$1,SMALL(Dong11,ROWS($1:13)),)&amp;" - "&amp;OFFSET(TH!H$1,SMALL(Dong11,ROWS($1:13)),))</f>
        <v/>
      </c>
      <c r="E26" s="607" t="str">
        <f ca="1">IF(ROWS($1:13)&gt;COUNT(Dong11),"",IF(OFFSET(TH!N$1,SMALL(Dong11,ROWS($1:13)),)=$G$7,OFFSET(TH!O$1,SMALL(Dong11,ROWS($1:13)),),OFFSET(TH!N$1,SMALL(Dong11,ROWS($1:13)),)))</f>
        <v/>
      </c>
      <c r="F26" s="610">
        <f ca="1">IF(ROWS($1:13)&gt;COUNT(Dong11),0,OFFSET(TH!J$1,SMALL(Dong11,ROWS($1:13)),))</f>
        <v>0</v>
      </c>
      <c r="G26" s="610">
        <f ca="1">IF(ROWS($1:13)&gt;COUNT(Dong11),0,IF(MID(OFFSET(TH!D$1,SMALL(Dong11,ROWS($1:13)),),4,1)="N",OFFSET(TH!I$1,SMALL(Dong11,ROWS($1:13)),),0))</f>
        <v>0</v>
      </c>
      <c r="H26" s="611">
        <f t="shared" ca="1" si="1"/>
        <v>0</v>
      </c>
      <c r="I26" s="610">
        <f ca="1">IF(ROWS($1:13)&gt;COUNT(Dong11),0,IF(MID(OFFSET(TH!D$1,SMALL(Dong11,ROWS($1:13)),),4,1)="X",OFFSET(TH!I$1,SMALL(Dong11,ROWS($1:13)),),0))</f>
        <v>0</v>
      </c>
      <c r="J26" s="611">
        <f t="shared" ca="1" si="2"/>
        <v>0</v>
      </c>
      <c r="K26" s="611">
        <f t="shared" ca="1" si="3"/>
        <v>0</v>
      </c>
      <c r="L26" s="611">
        <f t="shared" ca="1" si="4"/>
        <v>0</v>
      </c>
      <c r="M26" s="611"/>
      <c r="N26" s="601"/>
    </row>
    <row r="27" spans="1:16">
      <c r="A27" s="557" t="str">
        <f t="shared" ca="1" si="0"/>
        <v/>
      </c>
      <c r="B27" s="607" t="str">
        <f ca="1">IF(ROWS($1:14)&gt;COUNT(Dong11),"",OFFSET(TH!D$1,SMALL(Dong11,ROWS($1:14)),))</f>
        <v/>
      </c>
      <c r="C27" s="608" t="str">
        <f ca="1">IF(ROWS($1:14)&gt;COUNT(Dong11),"",OFFSET(TH!E$1,SMALL(Dong11,ROWS($1:14)),))</f>
        <v/>
      </c>
      <c r="D27" s="609" t="str">
        <f ca="1">IF(ROWS($1:14)&gt;COUNT(Dong11),"",OFFSET(TH!F$1,SMALL(Dong11,ROWS($1:14)),)&amp;" - "&amp;OFFSET(TH!H$1,SMALL(Dong11,ROWS($1:14)),))</f>
        <v/>
      </c>
      <c r="E27" s="607" t="str">
        <f ca="1">IF(ROWS($1:14)&gt;COUNT(Dong11),"",IF(OFFSET(TH!N$1,SMALL(Dong11,ROWS($1:14)),)=$G$7,OFFSET(TH!O$1,SMALL(Dong11,ROWS($1:14)),),OFFSET(TH!N$1,SMALL(Dong11,ROWS($1:14)),)))</f>
        <v/>
      </c>
      <c r="F27" s="610">
        <f ca="1">IF(ROWS($1:14)&gt;COUNT(Dong11),0,OFFSET(TH!J$1,SMALL(Dong11,ROWS($1:14)),))</f>
        <v>0</v>
      </c>
      <c r="G27" s="610">
        <f ca="1">IF(ROWS($1:14)&gt;COUNT(Dong11),0,IF(MID(OFFSET(TH!D$1,SMALL(Dong11,ROWS($1:14)),),4,1)="N",OFFSET(TH!I$1,SMALL(Dong11,ROWS($1:14)),),0))</f>
        <v>0</v>
      </c>
      <c r="H27" s="611">
        <f t="shared" ca="1" si="1"/>
        <v>0</v>
      </c>
      <c r="I27" s="610">
        <f ca="1">IF(ROWS($1:14)&gt;COUNT(Dong11),0,IF(MID(OFFSET(TH!D$1,SMALL(Dong11,ROWS($1:14)),),4,1)="X",OFFSET(TH!I$1,SMALL(Dong11,ROWS($1:14)),),0))</f>
        <v>0</v>
      </c>
      <c r="J27" s="611">
        <f t="shared" ca="1" si="2"/>
        <v>0</v>
      </c>
      <c r="K27" s="611">
        <f t="shared" ca="1" si="3"/>
        <v>0</v>
      </c>
      <c r="L27" s="611">
        <f t="shared" ca="1" si="4"/>
        <v>0</v>
      </c>
      <c r="M27" s="611"/>
      <c r="N27" s="601"/>
    </row>
    <row r="28" spans="1:16">
      <c r="A28" s="557" t="str">
        <f t="shared" ca="1" si="0"/>
        <v/>
      </c>
      <c r="B28" s="607" t="str">
        <f ca="1">IF(ROWS($1:15)&gt;COUNT(Dong11),"",OFFSET(TH!D$1,SMALL(Dong11,ROWS($1:15)),))</f>
        <v/>
      </c>
      <c r="C28" s="608" t="str">
        <f ca="1">IF(ROWS($1:15)&gt;COUNT(Dong11),"",OFFSET(TH!E$1,SMALL(Dong11,ROWS($1:15)),))</f>
        <v/>
      </c>
      <c r="D28" s="609" t="str">
        <f ca="1">IF(ROWS($1:15)&gt;COUNT(Dong11),"",OFFSET(TH!F$1,SMALL(Dong11,ROWS($1:15)),)&amp;" - "&amp;OFFSET(TH!H$1,SMALL(Dong11,ROWS($1:15)),))</f>
        <v/>
      </c>
      <c r="E28" s="607" t="str">
        <f ca="1">IF(ROWS($1:15)&gt;COUNT(Dong11),"",IF(OFFSET(TH!N$1,SMALL(Dong11,ROWS($1:15)),)=$G$7,OFFSET(TH!O$1,SMALL(Dong11,ROWS($1:15)),),OFFSET(TH!N$1,SMALL(Dong11,ROWS($1:15)),)))</f>
        <v/>
      </c>
      <c r="F28" s="610">
        <f ca="1">IF(ROWS($1:15)&gt;COUNT(Dong11),0,OFFSET(TH!J$1,SMALL(Dong11,ROWS($1:15)),))</f>
        <v>0</v>
      </c>
      <c r="G28" s="610">
        <f ca="1">IF(ROWS($1:15)&gt;COUNT(Dong11),0,IF(MID(OFFSET(TH!D$1,SMALL(Dong11,ROWS($1:15)),),4,1)="N",OFFSET(TH!I$1,SMALL(Dong11,ROWS($1:15)),),0))</f>
        <v>0</v>
      </c>
      <c r="H28" s="611">
        <f t="shared" ca="1" si="1"/>
        <v>0</v>
      </c>
      <c r="I28" s="610">
        <f ca="1">IF(ROWS($1:15)&gt;COUNT(Dong11),0,IF(MID(OFFSET(TH!D$1,SMALL(Dong11,ROWS($1:15)),),4,1)="X",OFFSET(TH!I$1,SMALL(Dong11,ROWS($1:15)),),0))</f>
        <v>0</v>
      </c>
      <c r="J28" s="611">
        <f t="shared" ca="1" si="2"/>
        <v>0</v>
      </c>
      <c r="K28" s="611">
        <f t="shared" ca="1" si="3"/>
        <v>0</v>
      </c>
      <c r="L28" s="611">
        <f t="shared" ca="1" si="4"/>
        <v>0</v>
      </c>
      <c r="M28" s="611"/>
      <c r="N28" s="601"/>
    </row>
    <row r="29" spans="1:16">
      <c r="A29" s="557" t="str">
        <f t="shared" ca="1" si="0"/>
        <v/>
      </c>
      <c r="B29" s="607" t="str">
        <f ca="1">IF(ROWS($1:16)&gt;COUNT(Dong11),"",OFFSET(TH!D$1,SMALL(Dong11,ROWS($1:16)),))</f>
        <v/>
      </c>
      <c r="C29" s="608" t="str">
        <f ca="1">IF(ROWS($1:16)&gt;COUNT(Dong11),"",OFFSET(TH!E$1,SMALL(Dong11,ROWS($1:16)),))</f>
        <v/>
      </c>
      <c r="D29" s="609" t="str">
        <f ca="1">IF(ROWS($1:16)&gt;COUNT(Dong11),"",OFFSET(TH!F$1,SMALL(Dong11,ROWS($1:16)),)&amp;" - "&amp;OFFSET(TH!H$1,SMALL(Dong11,ROWS($1:16)),))</f>
        <v/>
      </c>
      <c r="E29" s="607" t="str">
        <f ca="1">IF(ROWS($1:16)&gt;COUNT(Dong11),"",IF(OFFSET(TH!N$1,SMALL(Dong11,ROWS($1:16)),)=$G$7,OFFSET(TH!O$1,SMALL(Dong11,ROWS($1:16)),),OFFSET(TH!N$1,SMALL(Dong11,ROWS($1:16)),)))</f>
        <v/>
      </c>
      <c r="F29" s="610">
        <f ca="1">IF(ROWS($1:16)&gt;COUNT(Dong11),0,OFFSET(TH!J$1,SMALL(Dong11,ROWS($1:16)),))</f>
        <v>0</v>
      </c>
      <c r="G29" s="610">
        <f ca="1">IF(ROWS($1:16)&gt;COUNT(Dong11),0,IF(MID(OFFSET(TH!D$1,SMALL(Dong11,ROWS($1:16)),),4,1)="N",OFFSET(TH!I$1,SMALL(Dong11,ROWS($1:16)),),0))</f>
        <v>0</v>
      </c>
      <c r="H29" s="611">
        <f t="shared" ca="1" si="1"/>
        <v>0</v>
      </c>
      <c r="I29" s="610">
        <f ca="1">IF(ROWS($1:16)&gt;COUNT(Dong11),0,IF(MID(OFFSET(TH!D$1,SMALL(Dong11,ROWS($1:16)),),4,1)="X",OFFSET(TH!I$1,SMALL(Dong11,ROWS($1:16)),),0))</f>
        <v>0</v>
      </c>
      <c r="J29" s="611">
        <f t="shared" ca="1" si="2"/>
        <v>0</v>
      </c>
      <c r="K29" s="611">
        <f t="shared" ca="1" si="3"/>
        <v>0</v>
      </c>
      <c r="L29" s="611">
        <f t="shared" ca="1" si="4"/>
        <v>0</v>
      </c>
      <c r="M29" s="611"/>
      <c r="N29" s="601"/>
    </row>
    <row r="30" spans="1:16">
      <c r="A30" s="557" t="str">
        <f t="shared" ca="1" si="0"/>
        <v/>
      </c>
      <c r="B30" s="607" t="str">
        <f ca="1">IF(ROWS($1:17)&gt;COUNT(Dong11),"",OFFSET(TH!D$1,SMALL(Dong11,ROWS($1:17)),))</f>
        <v/>
      </c>
      <c r="C30" s="608" t="str">
        <f ca="1">IF(ROWS($1:17)&gt;COUNT(Dong11),"",OFFSET(TH!E$1,SMALL(Dong11,ROWS($1:17)),))</f>
        <v/>
      </c>
      <c r="D30" s="609" t="str">
        <f ca="1">IF(ROWS($1:17)&gt;COUNT(Dong11),"",OFFSET(TH!F$1,SMALL(Dong11,ROWS($1:17)),)&amp;" - "&amp;OFFSET(TH!H$1,SMALL(Dong11,ROWS($1:17)),))</f>
        <v/>
      </c>
      <c r="E30" s="607" t="str">
        <f ca="1">IF(ROWS($1:17)&gt;COUNT(Dong11),"",IF(OFFSET(TH!N$1,SMALL(Dong11,ROWS($1:17)),)=$G$7,OFFSET(TH!O$1,SMALL(Dong11,ROWS($1:17)),),OFFSET(TH!N$1,SMALL(Dong11,ROWS($1:17)),)))</f>
        <v/>
      </c>
      <c r="F30" s="610">
        <f ca="1">IF(ROWS($1:17)&gt;COUNT(Dong11),0,OFFSET(TH!J$1,SMALL(Dong11,ROWS($1:17)),))</f>
        <v>0</v>
      </c>
      <c r="G30" s="610">
        <f ca="1">IF(ROWS($1:17)&gt;COUNT(Dong11),0,IF(MID(OFFSET(TH!D$1,SMALL(Dong11,ROWS($1:17)),),4,1)="N",OFFSET(TH!I$1,SMALL(Dong11,ROWS($1:17)),),0))</f>
        <v>0</v>
      </c>
      <c r="H30" s="611">
        <f t="shared" ca="1" si="1"/>
        <v>0</v>
      </c>
      <c r="I30" s="610">
        <f ca="1">IF(ROWS($1:17)&gt;COUNT(Dong11),0,IF(MID(OFFSET(TH!D$1,SMALL(Dong11,ROWS($1:17)),),4,1)="X",OFFSET(TH!I$1,SMALL(Dong11,ROWS($1:17)),),0))</f>
        <v>0</v>
      </c>
      <c r="J30" s="611">
        <f t="shared" ca="1" si="2"/>
        <v>0</v>
      </c>
      <c r="K30" s="611">
        <f t="shared" ca="1" si="3"/>
        <v>0</v>
      </c>
      <c r="L30" s="611">
        <f t="shared" ca="1" si="4"/>
        <v>0</v>
      </c>
      <c r="M30" s="611"/>
      <c r="N30" s="601"/>
    </row>
    <row r="31" spans="1:16">
      <c r="A31" s="557" t="str">
        <f t="shared" si="0"/>
        <v/>
      </c>
      <c r="B31" s="614"/>
      <c r="C31" s="615"/>
      <c r="D31" s="616"/>
      <c r="E31" s="617"/>
      <c r="F31" s="618"/>
      <c r="G31" s="603"/>
      <c r="H31" s="603"/>
      <c r="I31" s="603"/>
      <c r="J31" s="603"/>
      <c r="K31" s="603"/>
      <c r="L31" s="603"/>
      <c r="M31" s="619"/>
      <c r="N31" s="601"/>
    </row>
    <row r="32" spans="1:16">
      <c r="A32" s="620"/>
      <c r="B32" s="620"/>
      <c r="C32" s="620"/>
      <c r="D32" s="620" t="s">
        <v>489</v>
      </c>
      <c r="E32" s="599" t="s">
        <v>21</v>
      </c>
      <c r="F32" s="599" t="s">
        <v>21</v>
      </c>
      <c r="G32" s="621">
        <f ca="1">SUM(G14:G31)</f>
        <v>16168</v>
      </c>
      <c r="H32" s="621">
        <f ca="1">SUM(H14:H31)</f>
        <v>220682000</v>
      </c>
      <c r="I32" s="621">
        <f ca="1">SUM(I14:I31)</f>
        <v>13668</v>
      </c>
      <c r="J32" s="621">
        <f ca="1">SUM(J14:J31)</f>
        <v>185682000</v>
      </c>
      <c r="K32" s="621">
        <f ca="1">K13+G32-I32</f>
        <v>2500</v>
      </c>
      <c r="L32" s="621">
        <f ca="1">L13+H32-J32</f>
        <v>35000000</v>
      </c>
      <c r="M32" s="620"/>
      <c r="N32" s="601"/>
    </row>
    <row r="33" spans="2:14">
      <c r="B33" s="622" t="s">
        <v>490</v>
      </c>
      <c r="G33" s="613"/>
      <c r="N33" s="601"/>
    </row>
    <row r="34" spans="2:14">
      <c r="B34" s="623" t="str">
        <f ca="1">IF(ISERROR(" - Ngày mở sổ: ngày "&amp;DAY(C14)&amp;" tháng "&amp;MONTH(C14)&amp;" năm "&amp;YEAR(C14))," - Ngày mở sổ: ngày 01 tháng  01 năm 2016 "," - Ngày mở sổ: ngày "&amp;DAY(C14)&amp;" tháng "&amp;MONTH(C14)&amp;" năm "&amp;YEAR(C14))</f>
        <v xml:space="preserve"> - Ngày mở sổ: ngày 22 tháng 1 năm 2016</v>
      </c>
      <c r="G34" s="613"/>
      <c r="I34" s="613"/>
      <c r="N34" s="601"/>
    </row>
    <row r="35" spans="2:14">
      <c r="B35" s="588"/>
      <c r="C35" s="588"/>
      <c r="D35" s="588"/>
      <c r="F35" s="588"/>
      <c r="G35" s="624"/>
      <c r="H35" s="589"/>
      <c r="I35" s="625"/>
      <c r="J35" s="1390" t="s">
        <v>456</v>
      </c>
      <c r="K35" s="1390"/>
      <c r="L35" s="1390"/>
      <c r="M35" s="1390"/>
      <c r="N35" s="601"/>
    </row>
    <row r="36" spans="2:14">
      <c r="C36" s="588"/>
      <c r="D36" s="1075" t="s">
        <v>11</v>
      </c>
      <c r="E36" s="1390" t="s">
        <v>12</v>
      </c>
      <c r="F36" s="1390"/>
      <c r="G36" s="1390"/>
      <c r="H36" s="1390"/>
      <c r="I36" s="1390"/>
      <c r="J36" s="1390" t="s">
        <v>131</v>
      </c>
      <c r="K36" s="1390"/>
      <c r="L36" s="1390"/>
      <c r="M36" s="1390"/>
      <c r="N36" s="601"/>
    </row>
    <row r="37" spans="2:14">
      <c r="C37" s="588"/>
      <c r="D37" s="1075" t="s">
        <v>13</v>
      </c>
      <c r="E37" s="1390" t="s">
        <v>13</v>
      </c>
      <c r="F37" s="1390"/>
      <c r="G37" s="1390"/>
      <c r="H37" s="1390" t="s">
        <v>161</v>
      </c>
      <c r="I37" s="1390"/>
      <c r="J37" s="1390" t="s">
        <v>161</v>
      </c>
      <c r="K37" s="1390"/>
      <c r="L37" s="1390"/>
      <c r="M37" s="1390"/>
      <c r="N37" s="601"/>
    </row>
    <row r="38" spans="2:14">
      <c r="N38" s="626"/>
    </row>
    <row r="39" spans="2:14">
      <c r="E39" s="576"/>
    </row>
    <row r="41" spans="2:14" customFormat="1" ht="12.75">
      <c r="E41" s="627"/>
    </row>
    <row r="46" spans="2:14">
      <c r="D46" s="1108" t="s">
        <v>229</v>
      </c>
      <c r="E46" s="1108"/>
      <c r="J46" s="1386" t="s">
        <v>125</v>
      </c>
      <c r="K46" s="1386"/>
      <c r="L46" s="1386"/>
      <c r="M46" s="1386"/>
      <c r="N46" s="1109"/>
    </row>
  </sheetData>
  <mergeCells count="20">
    <mergeCell ref="J2:M2"/>
    <mergeCell ref="J3:M4"/>
    <mergeCell ref="B5:M5"/>
    <mergeCell ref="B6:M6"/>
    <mergeCell ref="J8:L8"/>
    <mergeCell ref="J46:M46"/>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I14:M30 B14:G3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6.xml><?xml version="1.0" encoding="utf-8"?>
<worksheet xmlns="http://schemas.openxmlformats.org/spreadsheetml/2006/main" xmlns:r="http://schemas.openxmlformats.org/officeDocument/2006/relationships">
  <sheetPr enableFormatConditionsCalculation="0">
    <tabColor rgb="FFFF0000"/>
  </sheetPr>
  <dimension ref="A1:I86"/>
  <sheetViews>
    <sheetView showZeros="0" workbookViewId="0">
      <pane ySplit="3" topLeftCell="A64" activePane="bottomLeft" state="frozen"/>
      <selection pane="bottomLeft" activeCell="C85" sqref="C85"/>
    </sheetView>
  </sheetViews>
  <sheetFormatPr defaultColWidth="8" defaultRowHeight="13.5"/>
  <cols>
    <col min="1" max="1" width="5.5703125" style="228" customWidth="1"/>
    <col min="2" max="2" width="59.140625" style="228" customWidth="1"/>
    <col min="3" max="8" width="16.42578125" style="228" customWidth="1"/>
    <col min="9" max="16384" width="8" style="228"/>
  </cols>
  <sheetData>
    <row r="1" spans="1:9" ht="27" customHeight="1">
      <c r="A1" s="1353" t="s">
        <v>124</v>
      </c>
      <c r="B1" s="1353"/>
      <c r="C1" s="1353"/>
      <c r="D1" s="1353"/>
      <c r="E1" s="1353"/>
      <c r="F1" s="1353"/>
      <c r="G1" s="1353"/>
      <c r="H1" s="1353"/>
    </row>
    <row r="2" spans="1:9" s="10" customFormat="1" ht="14.25" customHeight="1">
      <c r="A2" s="1400" t="s">
        <v>37</v>
      </c>
      <c r="B2" s="1402" t="s">
        <v>38</v>
      </c>
      <c r="C2" s="1398" t="s">
        <v>39</v>
      </c>
      <c r="D2" s="1399"/>
      <c r="E2" s="1398" t="s">
        <v>40</v>
      </c>
      <c r="F2" s="1399"/>
      <c r="G2" s="1398" t="s">
        <v>44</v>
      </c>
      <c r="H2" s="1399"/>
    </row>
    <row r="3" spans="1:9" s="10" customFormat="1" ht="14.25" customHeight="1">
      <c r="A3" s="1401"/>
      <c r="B3" s="1403"/>
      <c r="C3" s="327" t="s">
        <v>45</v>
      </c>
      <c r="D3" s="327" t="s">
        <v>46</v>
      </c>
      <c r="E3" s="327" t="s">
        <v>45</v>
      </c>
      <c r="F3" s="327" t="s">
        <v>46</v>
      </c>
      <c r="G3" s="327" t="s">
        <v>45</v>
      </c>
      <c r="H3" s="327" t="s">
        <v>46</v>
      </c>
    </row>
    <row r="4" spans="1:9" s="958" customFormat="1" ht="16.5" customHeight="1">
      <c r="A4" s="6">
        <f>IF(B4&lt;&gt;"",ROW()-3,"")</f>
        <v>1</v>
      </c>
      <c r="B4" s="1194" t="s">
        <v>1977</v>
      </c>
      <c r="C4" s="952"/>
      <c r="D4" s="952"/>
      <c r="E4" s="952">
        <f t="array" ref="E4">SUM(IF("331"&amp;B4=KHN&amp;KH,TH))</f>
        <v>48983000</v>
      </c>
      <c r="F4" s="952">
        <f t="array" ref="F4">SUM(IF("331"&amp;B4=KHC&amp;KH,TH))</f>
        <v>48983000</v>
      </c>
      <c r="G4" s="957">
        <f>ROUND(MAX(C4+E4-D4-F4,0),2)</f>
        <v>0</v>
      </c>
      <c r="H4" s="957">
        <f>ROUND(MAX(D4+F4-C4-E4,0),2)</f>
        <v>0</v>
      </c>
      <c r="I4" s="958" t="str">
        <f>IF(ISNA(VLOOKUP(B4,DSNL,6,0)),"",VLOOKUP(B4,DSNL,6,0))</f>
        <v/>
      </c>
    </row>
    <row r="5" spans="1:9" s="10" customFormat="1" ht="16.5" customHeight="1">
      <c r="A5" s="6">
        <f>IF(B5&lt;&gt;"",ROW()-3,"")</f>
        <v>2</v>
      </c>
      <c r="B5" s="7" t="s">
        <v>616</v>
      </c>
      <c r="C5" s="8">
        <v>0</v>
      </c>
      <c r="D5" s="8">
        <v>0</v>
      </c>
      <c r="E5" s="8">
        <f t="array" ref="E5">SUM(IF("331"&amp;B5=KHN&amp;KH,TH))</f>
        <v>16170000</v>
      </c>
      <c r="F5" s="8">
        <f t="array" ref="F5">SUM(IF("331"&amp;B5=KHC&amp;KH,TH))</f>
        <v>16170000</v>
      </c>
      <c r="G5" s="88">
        <f>ROUND(MAX(C5+E5-D5-F5,0),2)</f>
        <v>0</v>
      </c>
      <c r="H5" s="88">
        <f>ROUND(MAX(D5+F5-C5-E5,0),2)</f>
        <v>0</v>
      </c>
    </row>
    <row r="6" spans="1:9" s="10" customFormat="1" ht="16.5" customHeight="1">
      <c r="A6" s="6">
        <f t="shared" ref="A6:A20" si="0">IF(B6&lt;&gt;"",ROW()-3,"")</f>
        <v>3</v>
      </c>
      <c r="B6" s="7" t="s">
        <v>618</v>
      </c>
      <c r="C6" s="8">
        <v>0</v>
      </c>
      <c r="D6" s="8">
        <v>0</v>
      </c>
      <c r="E6" s="8">
        <f t="array" ref="E6">SUM(IF("331"&amp;B6=KHN&amp;KH,TH))</f>
        <v>9114999</v>
      </c>
      <c r="F6" s="8">
        <f t="array" ref="F6">SUM(IF("331"&amp;B6=KHC&amp;KH,TH))</f>
        <v>9114999</v>
      </c>
      <c r="G6" s="88">
        <f t="shared" ref="G6:G11" si="1">ROUND(MAX(C6+E6-D6-F6,0),2)</f>
        <v>0</v>
      </c>
      <c r="H6" s="88">
        <f t="shared" ref="H6:H11" si="2">ROUND(MAX(D6+F6-C6-E6,0),2)</f>
        <v>0</v>
      </c>
    </row>
    <row r="7" spans="1:9" s="10" customFormat="1" ht="16.5" customHeight="1">
      <c r="A7" s="6">
        <f t="shared" si="0"/>
        <v>4</v>
      </c>
      <c r="B7" s="7" t="s">
        <v>619</v>
      </c>
      <c r="C7" s="8">
        <v>0</v>
      </c>
      <c r="D7" s="8">
        <v>0</v>
      </c>
      <c r="E7" s="8">
        <f t="array" ref="E7">SUM(IF("331"&amp;B7=KHN&amp;KH,TH))</f>
        <v>32000000</v>
      </c>
      <c r="F7" s="8">
        <f t="array" ref="F7">SUM(IF("331"&amp;B7=KHC&amp;KH,TH))</f>
        <v>32000000</v>
      </c>
      <c r="G7" s="88">
        <f t="shared" si="1"/>
        <v>0</v>
      </c>
      <c r="H7" s="88">
        <f t="shared" si="2"/>
        <v>0</v>
      </c>
    </row>
    <row r="8" spans="1:9" s="10" customFormat="1" ht="16.5" customHeight="1">
      <c r="A8" s="6">
        <f t="shared" si="0"/>
        <v>5</v>
      </c>
      <c r="B8" s="72" t="s">
        <v>1416</v>
      </c>
      <c r="C8" s="8">
        <v>0</v>
      </c>
      <c r="D8" s="8">
        <v>0</v>
      </c>
      <c r="E8" s="8">
        <f t="array" ref="E8">SUM(IF("331"&amp;B8=KHN&amp;KH,TH))</f>
        <v>138600000</v>
      </c>
      <c r="F8" s="8">
        <f t="array" ref="F8">SUM(IF("331"&amp;B8=KHC&amp;KH,TH))</f>
        <v>214060000</v>
      </c>
      <c r="G8" s="88">
        <f t="shared" si="1"/>
        <v>0</v>
      </c>
      <c r="H8" s="88">
        <f t="shared" si="2"/>
        <v>75460000</v>
      </c>
    </row>
    <row r="9" spans="1:9" s="10" customFormat="1" ht="16.5" customHeight="1">
      <c r="A9" s="6">
        <f t="shared" si="0"/>
        <v>6</v>
      </c>
      <c r="B9" s="7" t="s">
        <v>620</v>
      </c>
      <c r="C9" s="8">
        <v>0</v>
      </c>
      <c r="D9" s="8">
        <v>0</v>
      </c>
      <c r="E9" s="8">
        <f t="array" ref="E9">SUM(IF("331"&amp;B9=KHN&amp;KH,TH))</f>
        <v>100000000</v>
      </c>
      <c r="F9" s="8">
        <f t="array" ref="F9">SUM(IF("331"&amp;B9=KHC&amp;KH,TH))</f>
        <v>332965024</v>
      </c>
      <c r="G9" s="88">
        <f t="shared" si="1"/>
        <v>0</v>
      </c>
      <c r="H9" s="88">
        <f t="shared" si="2"/>
        <v>232965024</v>
      </c>
    </row>
    <row r="10" spans="1:9" s="10" customFormat="1" ht="16.5" customHeight="1">
      <c r="A10" s="6">
        <f t="shared" si="0"/>
        <v>7</v>
      </c>
      <c r="B10" s="75" t="s">
        <v>621</v>
      </c>
      <c r="C10" s="8">
        <v>0</v>
      </c>
      <c r="D10" s="8">
        <v>60990540</v>
      </c>
      <c r="E10" s="8">
        <f t="array" ref="E10">SUM(IF("331"&amp;B10=KHN&amp;KH,TH))</f>
        <v>98798640</v>
      </c>
      <c r="F10" s="8">
        <f t="array" ref="F10">SUM(IF("331"&amp;B10=KHC&amp;KH,TH))</f>
        <v>37808100</v>
      </c>
      <c r="G10" s="88">
        <f t="shared" si="1"/>
        <v>0</v>
      </c>
      <c r="H10" s="88">
        <f t="shared" si="2"/>
        <v>0</v>
      </c>
    </row>
    <row r="11" spans="1:9" s="10" customFormat="1" ht="16.5" customHeight="1">
      <c r="A11" s="6">
        <f t="shared" si="0"/>
        <v>8</v>
      </c>
      <c r="B11" s="7" t="s">
        <v>622</v>
      </c>
      <c r="C11" s="8">
        <v>0</v>
      </c>
      <c r="D11" s="8">
        <v>62480865</v>
      </c>
      <c r="E11" s="8">
        <f t="array" ref="E11">SUM(IF("331"&amp;B11=KHN&amp;KH,TH))</f>
        <v>0</v>
      </c>
      <c r="F11" s="8">
        <f t="array" ref="F11">SUM(IF("331"&amp;B11=KHC&amp;KH,TH))</f>
        <v>0</v>
      </c>
      <c r="G11" s="88">
        <f t="shared" si="1"/>
        <v>0</v>
      </c>
      <c r="H11" s="88">
        <f t="shared" si="2"/>
        <v>62480865</v>
      </c>
    </row>
    <row r="12" spans="1:9" s="10" customFormat="1" ht="16.5" customHeight="1">
      <c r="A12" s="6">
        <f t="shared" si="0"/>
        <v>9</v>
      </c>
      <c r="B12" s="7" t="s">
        <v>672</v>
      </c>
      <c r="C12" s="8">
        <v>0</v>
      </c>
      <c r="D12" s="8">
        <v>0</v>
      </c>
      <c r="E12" s="8">
        <f t="array" ref="E12">SUM(IF("331"&amp;B12=KHN&amp;KH,TH))</f>
        <v>59100000</v>
      </c>
      <c r="F12" s="8">
        <f t="array" ref="F12">SUM(IF("331"&amp;B12=KHC&amp;KH,TH))</f>
        <v>59100000</v>
      </c>
      <c r="G12" s="88">
        <f t="shared" ref="G12:G32" si="3">ROUND(MAX(C12+E12-D12-F12,0),2)</f>
        <v>0</v>
      </c>
      <c r="H12" s="88">
        <f t="shared" ref="H12:H32" si="4">ROUND(MAX(D12+F12-C12-E12,0),2)</f>
        <v>0</v>
      </c>
    </row>
    <row r="13" spans="1:9" s="10" customFormat="1" ht="16.5" customHeight="1">
      <c r="A13" s="6">
        <f t="shared" si="0"/>
        <v>10</v>
      </c>
      <c r="B13" s="7" t="s">
        <v>673</v>
      </c>
      <c r="C13" s="8">
        <v>0</v>
      </c>
      <c r="D13" s="8">
        <v>0</v>
      </c>
      <c r="E13" s="8">
        <f t="array" ref="E13">SUM(IF("331"&amp;B13=KHN&amp;KH,TH))</f>
        <v>36300000</v>
      </c>
      <c r="F13" s="8">
        <f t="array" ref="F13">SUM(IF("331"&amp;B13=KHC&amp;KH,TH))</f>
        <v>36300000</v>
      </c>
      <c r="G13" s="88">
        <f t="shared" si="3"/>
        <v>0</v>
      </c>
      <c r="H13" s="88">
        <f t="shared" si="4"/>
        <v>0</v>
      </c>
    </row>
    <row r="14" spans="1:9" s="10" customFormat="1" ht="16.5" customHeight="1">
      <c r="A14" s="6">
        <f t="shared" si="0"/>
        <v>11</v>
      </c>
      <c r="B14" s="75" t="s">
        <v>623</v>
      </c>
      <c r="C14" s="8">
        <v>0</v>
      </c>
      <c r="D14" s="8">
        <v>38506000</v>
      </c>
      <c r="E14" s="8">
        <f t="array" ref="E14">SUM(IF("331"&amp;B14=KHN&amp;KH,TH))</f>
        <v>233397400</v>
      </c>
      <c r="F14" s="8">
        <f t="array" ref="F14">SUM(IF("331"&amp;B14=KHC&amp;KH,TH))</f>
        <v>194891400</v>
      </c>
      <c r="G14" s="88">
        <f t="shared" si="3"/>
        <v>0</v>
      </c>
      <c r="H14" s="88">
        <f t="shared" si="4"/>
        <v>0</v>
      </c>
    </row>
    <row r="15" spans="1:9" s="10" customFormat="1" ht="16.5" customHeight="1">
      <c r="A15" s="6">
        <f>IF(B15&lt;&gt;"",ROW()-3,"")</f>
        <v>12</v>
      </c>
      <c r="B15" s="75" t="s">
        <v>1404</v>
      </c>
      <c r="C15" s="8">
        <v>0</v>
      </c>
      <c r="D15" s="8">
        <v>0</v>
      </c>
      <c r="E15" s="8">
        <f t="array" ref="E15">SUM(IF("331"&amp;B15=KHN&amp;KH,TH))</f>
        <v>8400480</v>
      </c>
      <c r="F15" s="8">
        <f t="array" ref="F15">SUM(IF("331"&amp;B15=KHC&amp;KH,TH))</f>
        <v>8400480</v>
      </c>
      <c r="G15" s="88">
        <f t="shared" si="3"/>
        <v>0</v>
      </c>
      <c r="H15" s="88">
        <f t="shared" si="4"/>
        <v>0</v>
      </c>
    </row>
    <row r="16" spans="1:9" s="10" customFormat="1" ht="16.5" customHeight="1">
      <c r="A16" s="6">
        <f>IF(B16&lt;&gt;"",ROW()-3,"")</f>
        <v>13</v>
      </c>
      <c r="B16" s="72" t="s">
        <v>1427</v>
      </c>
      <c r="C16" s="8">
        <v>0</v>
      </c>
      <c r="D16" s="8">
        <v>0</v>
      </c>
      <c r="E16" s="8">
        <f t="array" ref="E16">SUM(IF("331"&amp;B16=KHN&amp;KH,TH))</f>
        <v>7920000</v>
      </c>
      <c r="F16" s="8">
        <f t="array" ref="F16">SUM(IF("331"&amp;B16=KHC&amp;KH,TH))</f>
        <v>37576000</v>
      </c>
      <c r="G16" s="88">
        <f t="shared" si="3"/>
        <v>0</v>
      </c>
      <c r="H16" s="88">
        <f t="shared" si="4"/>
        <v>29656000</v>
      </c>
    </row>
    <row r="17" spans="1:9" s="10" customFormat="1" ht="16.5" customHeight="1">
      <c r="A17" s="6">
        <f t="shared" si="0"/>
        <v>14</v>
      </c>
      <c r="B17" s="7" t="s">
        <v>624</v>
      </c>
      <c r="C17" s="8">
        <v>0</v>
      </c>
      <c r="D17" s="8">
        <v>7500000</v>
      </c>
      <c r="E17" s="8">
        <f t="array" ref="E17">SUM(IF("331"&amp;B17=KHN&amp;KH,TH))</f>
        <v>7500000</v>
      </c>
      <c r="F17" s="8">
        <f t="array" ref="F17">SUM(IF("331"&amp;B17=KHC&amp;KH,TH))</f>
        <v>0</v>
      </c>
      <c r="G17" s="88">
        <f t="shared" si="3"/>
        <v>0</v>
      </c>
      <c r="H17" s="88">
        <f t="shared" si="4"/>
        <v>0</v>
      </c>
    </row>
    <row r="18" spans="1:9" s="10" customFormat="1" ht="16.5" customHeight="1">
      <c r="A18" s="6">
        <f t="shared" si="0"/>
        <v>15</v>
      </c>
      <c r="B18" s="7" t="s">
        <v>625</v>
      </c>
      <c r="C18" s="8">
        <v>0</v>
      </c>
      <c r="D18" s="8">
        <v>24446400</v>
      </c>
      <c r="E18" s="8">
        <f t="array" ref="E18">SUM(IF("331"&amp;B18=KHN&amp;KH,TH))</f>
        <v>127615400</v>
      </c>
      <c r="F18" s="8">
        <f t="array" ref="F18">SUM(IF("331"&amp;B18=KHC&amp;KH,TH))</f>
        <v>206140000</v>
      </c>
      <c r="G18" s="88">
        <f t="shared" si="3"/>
        <v>0</v>
      </c>
      <c r="H18" s="88">
        <f t="shared" si="4"/>
        <v>102971000</v>
      </c>
    </row>
    <row r="19" spans="1:9" s="10" customFormat="1" ht="16.5" customHeight="1">
      <c r="A19" s="6">
        <f>IF(B19&lt;&gt;"",ROW()-3,"")</f>
        <v>16</v>
      </c>
      <c r="B19" s="72" t="s">
        <v>1423</v>
      </c>
      <c r="C19" s="8">
        <v>0</v>
      </c>
      <c r="D19" s="8">
        <v>0</v>
      </c>
      <c r="E19" s="8">
        <f t="array" ref="E19">SUM(IF("331"&amp;B19=KHN&amp;KH,TH))</f>
        <v>1000000</v>
      </c>
      <c r="F19" s="8">
        <f t="array" ref="F19">SUM(IF("331"&amp;B19=KHC&amp;KH,TH))</f>
        <v>1000000</v>
      </c>
      <c r="G19" s="88">
        <f t="shared" si="3"/>
        <v>0</v>
      </c>
      <c r="H19" s="88">
        <f t="shared" si="4"/>
        <v>0</v>
      </c>
    </row>
    <row r="20" spans="1:9" s="10" customFormat="1" ht="16.5" customHeight="1">
      <c r="A20" s="6">
        <f t="shared" si="0"/>
        <v>17</v>
      </c>
      <c r="B20" s="7" t="s">
        <v>626</v>
      </c>
      <c r="C20" s="8">
        <v>0</v>
      </c>
      <c r="D20" s="8">
        <v>0</v>
      </c>
      <c r="E20" s="8">
        <f t="array" ref="E20">SUM(IF("331"&amp;B20=KHN&amp;KH,TH))</f>
        <v>71020000</v>
      </c>
      <c r="F20" s="8">
        <f t="array" ref="F20">SUM(IF("331"&amp;B20=KHC&amp;KH,TH))</f>
        <v>71020000</v>
      </c>
      <c r="G20" s="88">
        <f t="shared" si="3"/>
        <v>0</v>
      </c>
      <c r="H20" s="88">
        <f t="shared" si="4"/>
        <v>0</v>
      </c>
    </row>
    <row r="21" spans="1:9" s="10" customFormat="1" ht="16.5" customHeight="1">
      <c r="A21" s="6">
        <f t="shared" ref="A21:A26" si="5">IF(B21&lt;&gt;"",ROW()-3,"")</f>
        <v>18</v>
      </c>
      <c r="B21" s="7" t="s">
        <v>627</v>
      </c>
      <c r="C21" s="8">
        <v>0</v>
      </c>
      <c r="D21" s="8">
        <v>124797985</v>
      </c>
      <c r="E21" s="8">
        <f t="array" ref="E21">SUM(IF("331"&amp;B21=KHN&amp;KH,TH))</f>
        <v>338043840</v>
      </c>
      <c r="F21" s="8">
        <f t="array" ref="F21">SUM(IF("331"&amp;B21=KHC&amp;KH,TH))</f>
        <v>361112286</v>
      </c>
      <c r="G21" s="88">
        <f t="shared" si="3"/>
        <v>0</v>
      </c>
      <c r="H21" s="88">
        <f t="shared" si="4"/>
        <v>147866431</v>
      </c>
    </row>
    <row r="22" spans="1:9" s="10" customFormat="1" ht="16.5" customHeight="1">
      <c r="A22" s="6">
        <f t="shared" si="5"/>
        <v>19</v>
      </c>
      <c r="B22" s="7" t="s">
        <v>628</v>
      </c>
      <c r="C22" s="8">
        <v>0</v>
      </c>
      <c r="D22" s="8">
        <v>122052632</v>
      </c>
      <c r="E22" s="8">
        <f t="array" ref="E22">SUM(IF("331"&amp;B22=KHN&amp;KH,TH))</f>
        <v>222574576</v>
      </c>
      <c r="F22" s="8">
        <f t="array" ref="F22">SUM(IF("331"&amp;B22=KHC&amp;KH,TH))</f>
        <v>100521944</v>
      </c>
      <c r="G22" s="88">
        <f t="shared" si="3"/>
        <v>0</v>
      </c>
      <c r="H22" s="88">
        <f t="shared" si="4"/>
        <v>0</v>
      </c>
    </row>
    <row r="23" spans="1:9" s="10" customFormat="1" ht="16.5" customHeight="1">
      <c r="A23" s="6">
        <f t="shared" si="5"/>
        <v>20</v>
      </c>
      <c r="B23" s="7" t="s">
        <v>629</v>
      </c>
      <c r="C23" s="8">
        <v>0</v>
      </c>
      <c r="D23" s="8">
        <v>39198830</v>
      </c>
      <c r="E23" s="8">
        <f t="array" ref="E23">SUM(IF("331"&amp;B23=KHN&amp;KH,TH))</f>
        <v>758170546</v>
      </c>
      <c r="F23" s="8">
        <f t="array" ref="F23">SUM(IF("331"&amp;B23=KHC&amp;KH,TH))</f>
        <v>765056346</v>
      </c>
      <c r="G23" s="88">
        <f t="shared" si="3"/>
        <v>0</v>
      </c>
      <c r="H23" s="88">
        <f t="shared" si="4"/>
        <v>46084630</v>
      </c>
    </row>
    <row r="24" spans="1:9" s="10" customFormat="1" ht="16.5" customHeight="1">
      <c r="A24" s="6">
        <f t="shared" si="5"/>
        <v>21</v>
      </c>
      <c r="B24" s="7" t="s">
        <v>630</v>
      </c>
      <c r="C24" s="8">
        <v>60000000</v>
      </c>
      <c r="D24" s="8">
        <v>0</v>
      </c>
      <c r="E24" s="8">
        <f t="array" ref="E24">SUM(IF("331"&amp;B24=KHN&amp;KH,TH))</f>
        <v>77480000</v>
      </c>
      <c r="F24" s="8">
        <f t="array" ref="F24">SUM(IF("331"&amp;B24=KHC&amp;KH,TH))</f>
        <v>137480000</v>
      </c>
      <c r="G24" s="88">
        <f t="shared" si="3"/>
        <v>0</v>
      </c>
      <c r="H24" s="88">
        <f t="shared" si="4"/>
        <v>0</v>
      </c>
    </row>
    <row r="25" spans="1:9" s="10" customFormat="1" ht="16.5" customHeight="1">
      <c r="A25" s="6">
        <f t="shared" si="5"/>
        <v>22</v>
      </c>
      <c r="B25" s="7" t="s">
        <v>631</v>
      </c>
      <c r="C25" s="8">
        <v>0</v>
      </c>
      <c r="D25" s="8">
        <v>56980000</v>
      </c>
      <c r="E25" s="8">
        <f t="array" ref="E25">SUM(IF("331"&amp;B25=KHN&amp;KH,TH))</f>
        <v>56980000</v>
      </c>
      <c r="F25" s="8">
        <f t="array" ref="F25">SUM(IF("331"&amp;B25=KHC&amp;KH,TH))</f>
        <v>0</v>
      </c>
      <c r="G25" s="88">
        <f t="shared" si="3"/>
        <v>0</v>
      </c>
      <c r="H25" s="88">
        <f t="shared" si="4"/>
        <v>0</v>
      </c>
    </row>
    <row r="26" spans="1:9" s="10" customFormat="1" ht="16.5" customHeight="1">
      <c r="A26" s="6">
        <f t="shared" si="5"/>
        <v>23</v>
      </c>
      <c r="B26" s="72" t="s">
        <v>1168</v>
      </c>
      <c r="C26" s="8">
        <v>0</v>
      </c>
      <c r="D26" s="8">
        <v>0</v>
      </c>
      <c r="E26" s="8">
        <f t="array" ref="E26">SUM(IF("331"&amp;B26=KHN&amp;KH,TH))</f>
        <v>36900000</v>
      </c>
      <c r="F26" s="8">
        <f t="array" ref="F26">SUM(IF("331"&amp;B26=KHC&amp;KH,TH))</f>
        <v>36900000</v>
      </c>
      <c r="G26" s="88">
        <f t="shared" si="3"/>
        <v>0</v>
      </c>
      <c r="H26" s="88">
        <f t="shared" si="4"/>
        <v>0</v>
      </c>
    </row>
    <row r="27" spans="1:9" s="958" customFormat="1" ht="16.5" customHeight="1">
      <c r="A27" s="6">
        <f t="shared" ref="A27:A37" si="6">IF(B27&lt;&gt;"",ROW()-3,"")</f>
        <v>24</v>
      </c>
      <c r="B27" s="318" t="s">
        <v>1132</v>
      </c>
      <c r="C27" s="8"/>
      <c r="D27" s="8"/>
      <c r="E27" s="8">
        <f t="array" ref="E27">SUM(IF("331"&amp;B27=KHN&amp;KH,TH))</f>
        <v>16269120</v>
      </c>
      <c r="F27" s="8">
        <f t="array" ref="F27">SUM(IF("331"&amp;B27=KHC&amp;KH,TH))</f>
        <v>16269120</v>
      </c>
      <c r="G27" s="88">
        <f t="shared" si="3"/>
        <v>0</v>
      </c>
      <c r="H27" s="88">
        <f t="shared" si="4"/>
        <v>0</v>
      </c>
      <c r="I27" s="958" t="str">
        <f>IF(ISNA(VLOOKUP(B27,DSNL,6,0)),"",VLOOKUP(B27,DSNL,6,0))</f>
        <v/>
      </c>
    </row>
    <row r="28" spans="1:9" s="958" customFormat="1" ht="16.5" customHeight="1">
      <c r="A28" s="6">
        <f t="shared" si="6"/>
        <v>25</v>
      </c>
      <c r="B28" s="318" t="s">
        <v>1498</v>
      </c>
      <c r="C28" s="8">
        <v>0</v>
      </c>
      <c r="D28" s="8">
        <v>0</v>
      </c>
      <c r="E28" s="8">
        <f t="array" ref="E28">SUM(IF("331"&amp;B28=KHN&amp;KH,TH))</f>
        <v>164375104</v>
      </c>
      <c r="F28" s="8">
        <f t="array" ref="F28">SUM(IF("331"&amp;B28=KHC&amp;KH,TH))</f>
        <v>481408721</v>
      </c>
      <c r="G28" s="88">
        <f t="shared" si="3"/>
        <v>0</v>
      </c>
      <c r="H28" s="88">
        <f t="shared" si="4"/>
        <v>317033617</v>
      </c>
      <c r="I28" s="958" t="str">
        <f>IF(ISNA(VLOOKUP(B28,DSNL,6,0)),"",VLOOKUP(B28,DSNL,6,0))</f>
        <v/>
      </c>
    </row>
    <row r="29" spans="1:9" s="10" customFormat="1" ht="16.5" customHeight="1">
      <c r="A29" s="6">
        <f t="shared" si="6"/>
        <v>26</v>
      </c>
      <c r="B29" s="72" t="s">
        <v>1654</v>
      </c>
      <c r="C29" s="8">
        <v>0</v>
      </c>
      <c r="D29" s="8">
        <v>0</v>
      </c>
      <c r="E29" s="8">
        <f t="array" ref="E29">SUM(IF("331"&amp;B29=KHN&amp;KH,TH))</f>
        <v>28690200</v>
      </c>
      <c r="F29" s="8">
        <f t="array" ref="F29">SUM(IF("331"&amp;B29=KHC&amp;KH,TH))</f>
        <v>28690200</v>
      </c>
      <c r="G29" s="88">
        <f t="shared" si="3"/>
        <v>0</v>
      </c>
      <c r="H29" s="88">
        <f t="shared" si="4"/>
        <v>0</v>
      </c>
    </row>
    <row r="30" spans="1:9" s="10" customFormat="1" ht="16.5" customHeight="1">
      <c r="A30" s="6">
        <f t="shared" si="6"/>
        <v>27</v>
      </c>
      <c r="B30" s="72" t="s">
        <v>1211</v>
      </c>
      <c r="C30" s="8">
        <v>0</v>
      </c>
      <c r="D30" s="8">
        <v>0</v>
      </c>
      <c r="E30" s="8">
        <f t="array" ref="E30">SUM(IF("331"&amp;B30=KHN&amp;KH,TH))</f>
        <v>1975000000</v>
      </c>
      <c r="F30" s="8">
        <f t="array" ref="F30">SUM(IF("331"&amp;B30=KHC&amp;KH,TH))</f>
        <v>6864000000</v>
      </c>
      <c r="G30" s="88">
        <f t="shared" si="3"/>
        <v>0</v>
      </c>
      <c r="H30" s="88">
        <f t="shared" si="4"/>
        <v>4889000000</v>
      </c>
    </row>
    <row r="31" spans="1:9" s="10" customFormat="1" ht="16.5" customHeight="1">
      <c r="A31" s="6">
        <f t="shared" si="6"/>
        <v>28</v>
      </c>
      <c r="B31" s="72" t="s">
        <v>1860</v>
      </c>
      <c r="C31" s="8">
        <v>0</v>
      </c>
      <c r="D31" s="8">
        <v>0</v>
      </c>
      <c r="E31" s="8">
        <f t="array" ref="E31">SUM(IF("331"&amp;B31=KHN&amp;KH,TH))</f>
        <v>10803694</v>
      </c>
      <c r="F31" s="8">
        <f t="array" ref="F31">SUM(IF("331"&amp;B31=KHC&amp;KH,TH))</f>
        <v>49521173</v>
      </c>
      <c r="G31" s="88">
        <f t="shared" si="3"/>
        <v>0</v>
      </c>
      <c r="H31" s="88">
        <f t="shared" si="4"/>
        <v>38717479</v>
      </c>
    </row>
    <row r="32" spans="1:9" s="10" customFormat="1" ht="16.5" customHeight="1">
      <c r="A32" s="6">
        <f t="shared" si="6"/>
        <v>29</v>
      </c>
      <c r="B32" s="72" t="s">
        <v>1841</v>
      </c>
      <c r="C32" s="8">
        <v>0</v>
      </c>
      <c r="D32" s="8">
        <v>0</v>
      </c>
      <c r="E32" s="8">
        <f t="array" ref="E32">SUM(IF("331"&amp;B32=KHN&amp;KH,TH))</f>
        <v>84555900</v>
      </c>
      <c r="F32" s="8">
        <f t="array" ref="F32">SUM(IF("331"&amp;B32=KHC&amp;KH,TH))</f>
        <v>114294400</v>
      </c>
      <c r="G32" s="88">
        <f t="shared" si="3"/>
        <v>0</v>
      </c>
      <c r="H32" s="88">
        <f t="shared" si="4"/>
        <v>29738500</v>
      </c>
    </row>
    <row r="33" spans="1:9" s="10" customFormat="1" ht="16.5" customHeight="1">
      <c r="A33" s="6">
        <f t="shared" si="6"/>
        <v>30</v>
      </c>
      <c r="B33" s="72" t="s">
        <v>1378</v>
      </c>
      <c r="C33" s="8">
        <v>0</v>
      </c>
      <c r="D33" s="8">
        <v>0</v>
      </c>
      <c r="E33" s="8">
        <f t="array" ref="E33">SUM(IF("331"&amp;B33=KHN&amp;KH,TH))</f>
        <v>62223234</v>
      </c>
      <c r="F33" s="8">
        <f t="array" ref="F33">SUM(IF("331"&amp;B33=KHC&amp;KH,TH))</f>
        <v>62223234</v>
      </c>
      <c r="G33" s="88">
        <f t="shared" ref="G33:G37" si="7">ROUND(MAX(C33+E33-D33-F33,0),2)</f>
        <v>0</v>
      </c>
      <c r="H33" s="88">
        <f t="shared" ref="H33:H37" si="8">ROUND(MAX(D33+F33-C33-E33,0),2)</f>
        <v>0</v>
      </c>
      <c r="I33" s="10" t="str">
        <f t="shared" ref="I33:I37" si="9">IF(ISNA(VLOOKUP(B33,DSNL,6,0)),"",VLOOKUP(B33,DSNL,6,0))</f>
        <v/>
      </c>
    </row>
    <row r="34" spans="1:9" s="10" customFormat="1" ht="16.5" customHeight="1">
      <c r="A34" s="6">
        <f t="shared" si="6"/>
        <v>31</v>
      </c>
      <c r="B34" s="72" t="s">
        <v>1931</v>
      </c>
      <c r="C34" s="8">
        <v>0</v>
      </c>
      <c r="D34" s="8">
        <v>0</v>
      </c>
      <c r="E34" s="8">
        <f t="array" ref="E34">SUM(IF("331"&amp;B34=KHN&amp;KH,TH))</f>
        <v>0</v>
      </c>
      <c r="F34" s="8">
        <f t="array" ref="F34">SUM(IF("331"&amp;B34=KHC&amp;KH,TH))</f>
        <v>27710536</v>
      </c>
      <c r="G34" s="88">
        <f t="shared" si="7"/>
        <v>0</v>
      </c>
      <c r="H34" s="88">
        <f t="shared" si="8"/>
        <v>27710536</v>
      </c>
      <c r="I34" s="10" t="str">
        <f t="shared" si="9"/>
        <v/>
      </c>
    </row>
    <row r="35" spans="1:9" s="10" customFormat="1" ht="16.5" customHeight="1">
      <c r="A35" s="6">
        <f t="shared" si="6"/>
        <v>32</v>
      </c>
      <c r="B35" s="72" t="s">
        <v>1747</v>
      </c>
      <c r="C35" s="8">
        <v>0</v>
      </c>
      <c r="D35" s="8">
        <v>0</v>
      </c>
      <c r="E35" s="8">
        <f t="array" ref="E35">SUM(IF("331"&amp;B35=KHN&amp;KH,TH))</f>
        <v>0</v>
      </c>
      <c r="F35" s="8">
        <f t="array" ref="F35">SUM(IF("331"&amp;B35=KHC&amp;KH,TH))</f>
        <v>88125000</v>
      </c>
      <c r="G35" s="88">
        <f t="shared" si="7"/>
        <v>0</v>
      </c>
      <c r="H35" s="88">
        <f t="shared" si="8"/>
        <v>88125000</v>
      </c>
      <c r="I35" s="10" t="str">
        <f t="shared" si="9"/>
        <v/>
      </c>
    </row>
    <row r="36" spans="1:9" s="10" customFormat="1" ht="16.5" customHeight="1">
      <c r="A36" s="6">
        <f t="shared" si="6"/>
        <v>33</v>
      </c>
      <c r="B36" s="342" t="s">
        <v>1625</v>
      </c>
      <c r="C36" s="8"/>
      <c r="D36" s="8"/>
      <c r="E36" s="8">
        <f t="array" ref="E36">SUM(IF("331"&amp;B36=KHN&amp;KH,TH))</f>
        <v>20293420</v>
      </c>
      <c r="F36" s="8">
        <f t="array" ref="F36">SUM(IF("331"&amp;B36=KHC&amp;KH,TH))</f>
        <v>20293420</v>
      </c>
      <c r="G36" s="88">
        <f t="shared" si="7"/>
        <v>0</v>
      </c>
      <c r="H36" s="88">
        <f t="shared" si="8"/>
        <v>0</v>
      </c>
      <c r="I36" s="10" t="str">
        <f t="shared" si="9"/>
        <v/>
      </c>
    </row>
    <row r="37" spans="1:9" s="10" customFormat="1" ht="16.5" customHeight="1">
      <c r="A37" s="6">
        <f t="shared" si="6"/>
        <v>34</v>
      </c>
      <c r="B37" s="72" t="s">
        <v>1771</v>
      </c>
      <c r="C37" s="8"/>
      <c r="D37" s="8"/>
      <c r="E37" s="8">
        <f t="array" ref="E37">SUM(IF("331"&amp;B37=KHN&amp;KH,TH))</f>
        <v>11852379</v>
      </c>
      <c r="F37" s="8">
        <f t="array" ref="F37">SUM(IF("331"&amp;B37=KHC&amp;KH,TH))</f>
        <v>11852379</v>
      </c>
      <c r="G37" s="88">
        <f t="shared" si="7"/>
        <v>0</v>
      </c>
      <c r="H37" s="88">
        <f t="shared" si="8"/>
        <v>0</v>
      </c>
      <c r="I37" s="10" t="str">
        <f t="shared" si="9"/>
        <v/>
      </c>
    </row>
    <row r="38" spans="1:9" s="10" customFormat="1" ht="16.5" customHeight="1">
      <c r="A38" s="6">
        <f t="shared" ref="A38" si="10">IF(B38&lt;&gt;"",ROW()-3,"")</f>
        <v>35</v>
      </c>
      <c r="B38" s="72" t="s">
        <v>2116</v>
      </c>
      <c r="C38" s="8"/>
      <c r="D38" s="8"/>
      <c r="E38" s="8">
        <f t="array" ref="E38">SUM(IF("331"&amp;B38=KHN&amp;KH,TH))</f>
        <v>13197880</v>
      </c>
      <c r="F38" s="8">
        <f t="array" ref="F38">SUM(IF("331"&amp;B38=KHC&amp;KH,TH))</f>
        <v>13197880</v>
      </c>
      <c r="G38" s="88">
        <f t="shared" ref="G38" si="11">ROUND(MAX(C38+E38-D38-F38,0),2)</f>
        <v>0</v>
      </c>
      <c r="H38" s="88">
        <f t="shared" ref="H38" si="12">ROUND(MAX(D38+F38-C38-E38,0),2)</f>
        <v>0</v>
      </c>
      <c r="I38" s="10" t="str">
        <f t="shared" ref="I38" si="13">IF(ISNA(VLOOKUP(B38,DSNL,6,0)),"",VLOOKUP(B38,DSNL,6,0))</f>
        <v/>
      </c>
    </row>
    <row r="39" spans="1:9" s="10" customFormat="1" ht="16.5" customHeight="1">
      <c r="A39" s="6">
        <f t="shared" ref="A39" si="14">IF(B39&lt;&gt;"",ROW()-3,"")</f>
        <v>36</v>
      </c>
      <c r="B39" s="72" t="s">
        <v>2127</v>
      </c>
      <c r="C39" s="8"/>
      <c r="D39" s="8"/>
      <c r="E39" s="8">
        <f t="array" ref="E39">SUM(IF("331"&amp;B39=KHN&amp;KH,TH))</f>
        <v>0</v>
      </c>
      <c r="F39" s="8">
        <f t="array" ref="F39">SUM(IF("331"&amp;B39=KHC&amp;KH,TH))</f>
        <v>13200000</v>
      </c>
      <c r="G39" s="88">
        <f t="shared" ref="G39" si="15">ROUND(MAX(C39+E39-D39-F39,0),2)</f>
        <v>0</v>
      </c>
      <c r="H39" s="88">
        <f t="shared" ref="H39" si="16">ROUND(MAX(D39+F39-C39-E39,0),2)</f>
        <v>13200000</v>
      </c>
      <c r="I39" s="10" t="str">
        <f t="shared" ref="I39" si="17">IF(ISNA(VLOOKUP(B39,DSNL,6,0)),"",VLOOKUP(B39,DSNL,6,0))</f>
        <v/>
      </c>
    </row>
    <row r="40" spans="1:9" s="958" customFormat="1" ht="16.5" customHeight="1">
      <c r="A40" s="6">
        <f t="shared" ref="A40:A73" si="18">IF(B40&lt;&gt;"",ROW()-3,"")</f>
        <v>37</v>
      </c>
      <c r="B40" s="87" t="s">
        <v>1956</v>
      </c>
      <c r="C40" s="952"/>
      <c r="D40" s="952"/>
      <c r="E40" s="952">
        <f t="array" ref="E40">SUM(IF("331"&amp;B40=KHN&amp;KH,TH))</f>
        <v>0</v>
      </c>
      <c r="F40" s="952">
        <f t="array" ref="F40">SUM(IF("331"&amp;B40=KHC&amp;KH,TH))</f>
        <v>0</v>
      </c>
      <c r="G40" s="957">
        <f t="shared" ref="G40:G73" si="19">ROUND(MAX(C40+E40-D40-F40,0),2)</f>
        <v>0</v>
      </c>
      <c r="H40" s="957">
        <f t="shared" ref="H40:H73" si="20">ROUND(MAX(D40+F40-C40-E40,0),2)</f>
        <v>0</v>
      </c>
      <c r="I40" s="958" t="str">
        <f t="shared" ref="I40:I79" si="21">IF(ISNA(VLOOKUP(B40,DSNL,6,0)),"",VLOOKUP(B40,DSNL,6,0))</f>
        <v/>
      </c>
    </row>
    <row r="41" spans="1:9" s="958" customFormat="1" ht="16.5" customHeight="1">
      <c r="A41" s="6">
        <f t="shared" si="18"/>
        <v>38</v>
      </c>
      <c r="B41" s="80" t="s">
        <v>441</v>
      </c>
      <c r="C41" s="952"/>
      <c r="D41" s="952"/>
      <c r="E41" s="952">
        <f t="array" ref="E41">SUM(IF("331"&amp;B41=KHN&amp;KH,TH))</f>
        <v>346125000</v>
      </c>
      <c r="F41" s="952">
        <f t="array" ref="F41">SUM(IF("331"&amp;B41=KHC&amp;KH,TH))</f>
        <v>346125000</v>
      </c>
      <c r="G41" s="957">
        <f t="shared" si="19"/>
        <v>0</v>
      </c>
      <c r="H41" s="957">
        <f t="shared" si="20"/>
        <v>0</v>
      </c>
      <c r="I41" s="958" t="str">
        <f t="shared" si="21"/>
        <v>Hai</v>
      </c>
    </row>
    <row r="42" spans="1:9" s="958" customFormat="1" ht="16.5" customHeight="1">
      <c r="A42" s="6">
        <f t="shared" si="18"/>
        <v>39</v>
      </c>
      <c r="B42" s="80" t="s">
        <v>434</v>
      </c>
      <c r="C42" s="952"/>
      <c r="D42" s="952"/>
      <c r="E42" s="952">
        <f t="array" ref="E42">SUM(IF("331"&amp;B42=KHN&amp;KH,TH))</f>
        <v>536922400</v>
      </c>
      <c r="F42" s="952">
        <f t="array" ref="F42">SUM(IF("331"&amp;B42=KHC&amp;KH,TH))</f>
        <v>536922400</v>
      </c>
      <c r="G42" s="957">
        <f t="shared" si="19"/>
        <v>0</v>
      </c>
      <c r="H42" s="957">
        <f t="shared" si="20"/>
        <v>0</v>
      </c>
      <c r="I42" s="958" t="str">
        <f t="shared" si="21"/>
        <v>Hai</v>
      </c>
    </row>
    <row r="43" spans="1:9" s="958" customFormat="1" ht="16.5" customHeight="1">
      <c r="A43" s="6">
        <f t="shared" si="18"/>
        <v>40</v>
      </c>
      <c r="B43" s="87" t="s">
        <v>383</v>
      </c>
      <c r="C43" s="952"/>
      <c r="D43" s="952"/>
      <c r="E43" s="952">
        <f t="array" ref="E43">SUM(IF("331"&amp;B43=KHN&amp;KH,TH))</f>
        <v>3140992500</v>
      </c>
      <c r="F43" s="952">
        <f t="array" ref="F43">SUM(IF("331"&amp;B43=KHC&amp;KH,TH))</f>
        <v>3140992500</v>
      </c>
      <c r="G43" s="957">
        <f t="shared" si="19"/>
        <v>0</v>
      </c>
      <c r="H43" s="957">
        <f t="shared" si="20"/>
        <v>0</v>
      </c>
      <c r="I43" s="958" t="str">
        <f t="shared" si="21"/>
        <v>Tiền</v>
      </c>
    </row>
    <row r="44" spans="1:9" s="958" customFormat="1" ht="16.5" customHeight="1">
      <c r="A44" s="6">
        <f t="shared" si="18"/>
        <v>41</v>
      </c>
      <c r="B44" s="80" t="s">
        <v>1965</v>
      </c>
      <c r="C44" s="952"/>
      <c r="D44" s="952"/>
      <c r="E44" s="952">
        <f t="array" ref="E44">SUM(IF("331"&amp;B44=KHN&amp;KH,TH))</f>
        <v>463260000</v>
      </c>
      <c r="F44" s="952">
        <f t="array" ref="F44">SUM(IF("331"&amp;B44=KHC&amp;KH,TH))</f>
        <v>463260000</v>
      </c>
      <c r="G44" s="957">
        <f t="shared" si="19"/>
        <v>0</v>
      </c>
      <c r="H44" s="957">
        <f t="shared" si="20"/>
        <v>0</v>
      </c>
      <c r="I44" s="958" t="str">
        <f t="shared" si="21"/>
        <v>Hai</v>
      </c>
    </row>
    <row r="45" spans="1:9" s="958" customFormat="1" ht="16.5" customHeight="1">
      <c r="A45" s="6">
        <f t="shared" si="18"/>
        <v>42</v>
      </c>
      <c r="B45" s="80" t="s">
        <v>439</v>
      </c>
      <c r="C45" s="952"/>
      <c r="D45" s="952"/>
      <c r="E45" s="952">
        <f t="array" ref="E45">SUM(IF("331"&amp;B45=KHN&amp;KH,TH))</f>
        <v>732522500</v>
      </c>
      <c r="F45" s="952">
        <f t="array" ref="F45">SUM(IF("331"&amp;B45=KHC&amp;KH,TH))</f>
        <v>732522500</v>
      </c>
      <c r="G45" s="957">
        <f t="shared" si="19"/>
        <v>0</v>
      </c>
      <c r="H45" s="957">
        <f t="shared" si="20"/>
        <v>0</v>
      </c>
      <c r="I45" s="958" t="str">
        <f t="shared" si="21"/>
        <v>Hai</v>
      </c>
    </row>
    <row r="46" spans="1:9" s="958" customFormat="1" ht="16.5" customHeight="1">
      <c r="A46" s="6">
        <f t="shared" si="18"/>
        <v>43</v>
      </c>
      <c r="B46" s="80" t="s">
        <v>1964</v>
      </c>
      <c r="C46" s="952"/>
      <c r="D46" s="952"/>
      <c r="E46" s="952">
        <f t="array" ref="E46">SUM(IF("331"&amp;B46=KHN&amp;KH,TH))</f>
        <v>745605000</v>
      </c>
      <c r="F46" s="952">
        <f t="array" ref="F46">SUM(IF("331"&amp;B46=KHC&amp;KH,TH))</f>
        <v>745605000</v>
      </c>
      <c r="G46" s="957">
        <f t="shared" si="19"/>
        <v>0</v>
      </c>
      <c r="H46" s="957">
        <f t="shared" si="20"/>
        <v>0</v>
      </c>
      <c r="I46" s="958" t="str">
        <f t="shared" si="21"/>
        <v>Hai</v>
      </c>
    </row>
    <row r="47" spans="1:9" s="958" customFormat="1" ht="16.5" customHeight="1">
      <c r="A47" s="6">
        <f t="shared" si="18"/>
        <v>44</v>
      </c>
      <c r="B47" s="80" t="s">
        <v>388</v>
      </c>
      <c r="C47" s="952"/>
      <c r="D47" s="952"/>
      <c r="E47" s="952">
        <f t="array" ref="E47">SUM(IF("331"&amp;B47=KHN&amp;KH,TH))</f>
        <v>1610395000</v>
      </c>
      <c r="F47" s="952">
        <f t="array" ref="F47">SUM(IF("331"&amp;B47=KHC&amp;KH,TH))</f>
        <v>1610395000</v>
      </c>
      <c r="G47" s="957">
        <f t="shared" si="19"/>
        <v>0</v>
      </c>
      <c r="H47" s="957">
        <f t="shared" si="20"/>
        <v>0</v>
      </c>
      <c r="I47" s="958" t="str">
        <f t="shared" si="21"/>
        <v>Tiền</v>
      </c>
    </row>
    <row r="48" spans="1:9" s="958" customFormat="1" ht="16.5" customHeight="1">
      <c r="A48" s="6">
        <f t="shared" si="18"/>
        <v>45</v>
      </c>
      <c r="B48" s="959" t="s">
        <v>361</v>
      </c>
      <c r="C48" s="952"/>
      <c r="D48" s="952"/>
      <c r="E48" s="952">
        <f t="array" ref="E48">SUM(IF("331"&amp;B48=KHN&amp;KH,TH))</f>
        <v>1043902000</v>
      </c>
      <c r="F48" s="952">
        <f t="array" ref="F48">SUM(IF("331"&amp;B48=KHC&amp;KH,TH))</f>
        <v>1043902000</v>
      </c>
      <c r="G48" s="957">
        <f t="shared" si="19"/>
        <v>0</v>
      </c>
      <c r="H48" s="957">
        <f t="shared" si="20"/>
        <v>0</v>
      </c>
      <c r="I48" s="958" t="str">
        <f t="shared" si="21"/>
        <v>Tiền</v>
      </c>
    </row>
    <row r="49" spans="1:9" s="958" customFormat="1" ht="16.5" customHeight="1">
      <c r="A49" s="6">
        <f t="shared" si="18"/>
        <v>46</v>
      </c>
      <c r="B49" s="959" t="s">
        <v>346</v>
      </c>
      <c r="C49" s="952"/>
      <c r="D49" s="952"/>
      <c r="E49" s="952">
        <f t="array" ref="E49">SUM(IF("331"&amp;B49=KHN&amp;KH,TH))</f>
        <v>679719500</v>
      </c>
      <c r="F49" s="952">
        <f t="array" ref="F49">SUM(IF("331"&amp;B49=KHC&amp;KH,TH))</f>
        <v>679719500</v>
      </c>
      <c r="G49" s="957">
        <f t="shared" si="19"/>
        <v>0</v>
      </c>
      <c r="H49" s="957">
        <f t="shared" si="20"/>
        <v>0</v>
      </c>
      <c r="I49" s="958" t="str">
        <f t="shared" si="21"/>
        <v>Tiền</v>
      </c>
    </row>
    <row r="50" spans="1:9" s="958" customFormat="1" ht="16.5" customHeight="1">
      <c r="A50" s="6">
        <f t="shared" si="18"/>
        <v>47</v>
      </c>
      <c r="B50" s="80" t="s">
        <v>430</v>
      </c>
      <c r="C50" s="952"/>
      <c r="D50" s="952"/>
      <c r="E50" s="952">
        <f t="array" ref="E50">SUM(IF("331"&amp;B50=KHN&amp;KH,TH))</f>
        <v>1452580900</v>
      </c>
      <c r="F50" s="952">
        <f t="array" ref="F50">SUM(IF("331"&amp;B50=KHC&amp;KH,TH))</f>
        <v>1452580900</v>
      </c>
      <c r="G50" s="957">
        <f t="shared" si="19"/>
        <v>0</v>
      </c>
      <c r="H50" s="957">
        <f t="shared" si="20"/>
        <v>0</v>
      </c>
      <c r="I50" s="958" t="str">
        <f t="shared" si="21"/>
        <v>Hai</v>
      </c>
    </row>
    <row r="51" spans="1:9" s="958" customFormat="1" ht="16.5" customHeight="1">
      <c r="A51" s="6">
        <f t="shared" si="18"/>
        <v>48</v>
      </c>
      <c r="B51" s="80" t="s">
        <v>432</v>
      </c>
      <c r="C51" s="952"/>
      <c r="D51" s="952"/>
      <c r="E51" s="952">
        <f t="array" ref="E51">SUM(IF("331"&amp;B51=KHN&amp;KH,TH))</f>
        <v>562155000</v>
      </c>
      <c r="F51" s="952">
        <f t="array" ref="F51">SUM(IF("331"&amp;B51=KHC&amp;KH,TH))</f>
        <v>562155000</v>
      </c>
      <c r="G51" s="957">
        <f t="shared" si="19"/>
        <v>0</v>
      </c>
      <c r="H51" s="957">
        <f t="shared" si="20"/>
        <v>0</v>
      </c>
      <c r="I51" s="958" t="str">
        <f t="shared" si="21"/>
        <v>Hai</v>
      </c>
    </row>
    <row r="52" spans="1:9" s="958" customFormat="1" ht="16.5" customHeight="1">
      <c r="A52" s="6">
        <f t="shared" si="18"/>
        <v>49</v>
      </c>
      <c r="B52" s="80" t="s">
        <v>1970</v>
      </c>
      <c r="C52" s="952"/>
      <c r="D52" s="952"/>
      <c r="E52" s="952">
        <f t="array" ref="E52">SUM(IF("331"&amp;B52=KHN&amp;KH,TH))</f>
        <v>2586945000</v>
      </c>
      <c r="F52" s="952">
        <f t="array" ref="F52">SUM(IF("331"&amp;B52=KHC&amp;KH,TH))</f>
        <v>2586945000</v>
      </c>
      <c r="G52" s="957">
        <f t="shared" si="19"/>
        <v>0</v>
      </c>
      <c r="H52" s="957">
        <f t="shared" si="20"/>
        <v>0</v>
      </c>
      <c r="I52" s="958" t="s">
        <v>338</v>
      </c>
    </row>
    <row r="53" spans="1:9" s="958" customFormat="1" ht="16.5" customHeight="1">
      <c r="A53" s="6">
        <f t="shared" si="18"/>
        <v>50</v>
      </c>
      <c r="B53" s="959" t="s">
        <v>364</v>
      </c>
      <c r="C53" s="952"/>
      <c r="D53" s="952"/>
      <c r="E53" s="952">
        <f t="array" ref="E53">SUM(IF("331"&amp;B53=KHN&amp;KH,TH))</f>
        <v>918039500</v>
      </c>
      <c r="F53" s="952">
        <f t="array" ref="F53">SUM(IF("331"&amp;B53=KHC&amp;KH,TH))</f>
        <v>918039500</v>
      </c>
      <c r="G53" s="957">
        <f t="shared" si="19"/>
        <v>0</v>
      </c>
      <c r="H53" s="957">
        <f t="shared" si="20"/>
        <v>0</v>
      </c>
      <c r="I53" s="958" t="str">
        <f t="shared" si="21"/>
        <v>Tiền</v>
      </c>
    </row>
    <row r="54" spans="1:9" s="958" customFormat="1" ht="16.5" customHeight="1">
      <c r="A54" s="6">
        <f t="shared" si="18"/>
        <v>51</v>
      </c>
      <c r="B54" s="80" t="s">
        <v>1967</v>
      </c>
      <c r="C54" s="952"/>
      <c r="D54" s="952"/>
      <c r="E54" s="952">
        <f t="array" ref="E54">SUM(IF("331"&amp;B54=KHN&amp;KH,TH))</f>
        <v>865725000</v>
      </c>
      <c r="F54" s="952">
        <f t="array" ref="F54">SUM(IF("331"&amp;B54=KHC&amp;KH,TH))</f>
        <v>865725000</v>
      </c>
      <c r="G54" s="957">
        <f t="shared" si="19"/>
        <v>0</v>
      </c>
      <c r="H54" s="957">
        <f t="shared" si="20"/>
        <v>0</v>
      </c>
      <c r="I54" s="958" t="str">
        <f t="shared" si="21"/>
        <v>Hai</v>
      </c>
    </row>
    <row r="55" spans="1:9" s="958" customFormat="1" ht="16.5" customHeight="1">
      <c r="A55" s="6">
        <f t="shared" si="18"/>
        <v>52</v>
      </c>
      <c r="B55" s="80" t="s">
        <v>391</v>
      </c>
      <c r="C55" s="952"/>
      <c r="D55" s="952"/>
      <c r="E55" s="952">
        <f t="array" ref="E55">SUM(IF("331"&amp;B55=KHN&amp;KH,TH))</f>
        <v>3146931500</v>
      </c>
      <c r="F55" s="952">
        <f t="array" ref="F55">SUM(IF("331"&amp;B55=KHC&amp;KH,TH))</f>
        <v>3146931500</v>
      </c>
      <c r="G55" s="957">
        <f t="shared" si="19"/>
        <v>0</v>
      </c>
      <c r="H55" s="957">
        <f t="shared" si="20"/>
        <v>0</v>
      </c>
      <c r="I55" s="958" t="str">
        <f t="shared" si="21"/>
        <v>Tiền</v>
      </c>
    </row>
    <row r="56" spans="1:9" s="958" customFormat="1" ht="16.5" customHeight="1">
      <c r="A56" s="6">
        <f t="shared" si="18"/>
        <v>53</v>
      </c>
      <c r="B56" s="959" t="s">
        <v>349</v>
      </c>
      <c r="C56" s="952"/>
      <c r="D56" s="952"/>
      <c r="E56" s="952">
        <f t="array" ref="E56">SUM(IF("331"&amp;B56=KHN&amp;KH,TH))</f>
        <v>1737917000</v>
      </c>
      <c r="F56" s="952">
        <f t="array" ref="F56">SUM(IF("331"&amp;B56=KHC&amp;KH,TH))</f>
        <v>1737917000</v>
      </c>
      <c r="G56" s="957">
        <f t="shared" si="19"/>
        <v>0</v>
      </c>
      <c r="H56" s="957">
        <f t="shared" si="20"/>
        <v>0</v>
      </c>
      <c r="I56" s="958" t="str">
        <f t="shared" si="21"/>
        <v>Tiền</v>
      </c>
    </row>
    <row r="57" spans="1:9" s="958" customFormat="1" ht="16.5" customHeight="1">
      <c r="A57" s="6">
        <f t="shared" si="18"/>
        <v>54</v>
      </c>
      <c r="B57" s="959" t="s">
        <v>367</v>
      </c>
      <c r="C57" s="952"/>
      <c r="D57" s="952"/>
      <c r="E57" s="952">
        <f t="array" ref="E57">SUM(IF("331"&amp;B57=KHN&amp;KH,TH))</f>
        <v>825847000</v>
      </c>
      <c r="F57" s="952">
        <f t="array" ref="F57">SUM(IF("331"&amp;B57=KHC&amp;KH,TH))</f>
        <v>825847000</v>
      </c>
      <c r="G57" s="957">
        <f t="shared" si="19"/>
        <v>0</v>
      </c>
      <c r="H57" s="957">
        <f t="shared" si="20"/>
        <v>0</v>
      </c>
      <c r="I57" s="958" t="str">
        <f t="shared" si="21"/>
        <v>Tiền</v>
      </c>
    </row>
    <row r="58" spans="1:9" s="958" customFormat="1" ht="16.5" customHeight="1">
      <c r="A58" s="6">
        <f t="shared" si="18"/>
        <v>55</v>
      </c>
      <c r="B58" s="80" t="s">
        <v>1966</v>
      </c>
      <c r="C58" s="952"/>
      <c r="D58" s="952"/>
      <c r="E58" s="952">
        <f t="array" ref="E58">SUM(IF("331"&amp;B58=KHN&amp;KH,TH))</f>
        <v>724920000</v>
      </c>
      <c r="F58" s="952">
        <f t="array" ref="F58">SUM(IF("331"&amp;B58=KHC&amp;KH,TH))</f>
        <v>724920000</v>
      </c>
      <c r="G58" s="957">
        <f t="shared" si="19"/>
        <v>0</v>
      </c>
      <c r="H58" s="957">
        <f t="shared" si="20"/>
        <v>0</v>
      </c>
      <c r="I58" s="958" t="str">
        <f t="shared" si="21"/>
        <v>Hai</v>
      </c>
    </row>
    <row r="59" spans="1:9" s="958" customFormat="1" ht="16.5" customHeight="1">
      <c r="A59" s="6">
        <f t="shared" si="18"/>
        <v>56</v>
      </c>
      <c r="B59" s="959" t="s">
        <v>435</v>
      </c>
      <c r="C59" s="952"/>
      <c r="D59" s="952"/>
      <c r="E59" s="952">
        <f t="array" ref="E59">SUM(IF("331"&amp;B59=KHN&amp;KH,TH))</f>
        <v>1192730900</v>
      </c>
      <c r="F59" s="952">
        <f t="array" ref="F59">SUM(IF("331"&amp;B59=KHC&amp;KH,TH))</f>
        <v>1192730900</v>
      </c>
      <c r="G59" s="957">
        <f t="shared" si="19"/>
        <v>0</v>
      </c>
      <c r="H59" s="957">
        <f t="shared" si="20"/>
        <v>0</v>
      </c>
      <c r="I59" s="958" t="str">
        <f t="shared" si="21"/>
        <v>Hai</v>
      </c>
    </row>
    <row r="60" spans="1:9" s="958" customFormat="1" ht="16.5" customHeight="1">
      <c r="A60" s="6">
        <f t="shared" si="18"/>
        <v>57</v>
      </c>
      <c r="B60" s="959" t="s">
        <v>398</v>
      </c>
      <c r="C60" s="952"/>
      <c r="D60" s="952"/>
      <c r="E60" s="952">
        <f t="array" ref="E60">SUM(IF("331"&amp;B60=KHN&amp;KH,TH))</f>
        <v>112210000</v>
      </c>
      <c r="F60" s="952">
        <f t="array" ref="F60">SUM(IF("331"&amp;B60=KHC&amp;KH,TH))</f>
        <v>112210000</v>
      </c>
      <c r="G60" s="957">
        <f t="shared" si="19"/>
        <v>0</v>
      </c>
      <c r="H60" s="957">
        <f t="shared" si="20"/>
        <v>0</v>
      </c>
      <c r="I60" s="958" t="str">
        <f t="shared" si="21"/>
        <v>Hai</v>
      </c>
    </row>
    <row r="61" spans="1:9" s="958" customFormat="1" ht="16.5" customHeight="1">
      <c r="A61" s="6">
        <f t="shared" si="18"/>
        <v>58</v>
      </c>
      <c r="B61" s="80" t="s">
        <v>402</v>
      </c>
      <c r="C61" s="952"/>
      <c r="D61" s="952"/>
      <c r="E61" s="952">
        <f t="array" ref="E61">SUM(IF("331"&amp;B61=KHN&amp;KH,TH))</f>
        <v>266315000</v>
      </c>
      <c r="F61" s="952">
        <f t="array" ref="F61">SUM(IF("331"&amp;B61=KHC&amp;KH,TH))</f>
        <v>266315000</v>
      </c>
      <c r="G61" s="957">
        <f t="shared" si="19"/>
        <v>0</v>
      </c>
      <c r="H61" s="957">
        <f t="shared" si="20"/>
        <v>0</v>
      </c>
      <c r="I61" s="958" t="str">
        <f t="shared" si="21"/>
        <v>Hai</v>
      </c>
    </row>
    <row r="62" spans="1:9" s="958" customFormat="1" ht="16.5" customHeight="1">
      <c r="A62" s="6">
        <f t="shared" si="18"/>
        <v>59</v>
      </c>
      <c r="B62" s="80" t="s">
        <v>403</v>
      </c>
      <c r="C62" s="952"/>
      <c r="D62" s="952"/>
      <c r="E62" s="952">
        <f t="array" ref="E62">SUM(IF("331"&amp;B62=KHN&amp;KH,TH))</f>
        <v>122010000</v>
      </c>
      <c r="F62" s="952">
        <f t="array" ref="F62">SUM(IF("331"&amp;B62=KHC&amp;KH,TH))</f>
        <v>122010000</v>
      </c>
      <c r="G62" s="957">
        <f t="shared" si="19"/>
        <v>0</v>
      </c>
      <c r="H62" s="957">
        <f t="shared" si="20"/>
        <v>0</v>
      </c>
      <c r="I62" s="958" t="str">
        <f t="shared" si="21"/>
        <v>Hai</v>
      </c>
    </row>
    <row r="63" spans="1:9" s="958" customFormat="1" ht="16.5" customHeight="1">
      <c r="A63" s="6">
        <f t="shared" si="18"/>
        <v>60</v>
      </c>
      <c r="B63" s="80" t="s">
        <v>1955</v>
      </c>
      <c r="C63" s="952"/>
      <c r="D63" s="952"/>
      <c r="E63" s="952">
        <f t="array" ref="E63">SUM(IF("331"&amp;B63=KHN&amp;KH,TH))</f>
        <v>0</v>
      </c>
      <c r="F63" s="952">
        <f t="array" ref="F63">SUM(IF("331"&amp;B63=KHC&amp;KH,TH))</f>
        <v>0</v>
      </c>
      <c r="G63" s="957">
        <f t="shared" si="19"/>
        <v>0</v>
      </c>
      <c r="H63" s="957">
        <f t="shared" si="20"/>
        <v>0</v>
      </c>
      <c r="I63" s="958" t="str">
        <f t="shared" si="21"/>
        <v/>
      </c>
    </row>
    <row r="64" spans="1:9" s="958" customFormat="1" ht="16.5" customHeight="1">
      <c r="A64" s="6">
        <f t="shared" si="18"/>
        <v>61</v>
      </c>
      <c r="B64" s="80" t="s">
        <v>393</v>
      </c>
      <c r="C64" s="952"/>
      <c r="D64" s="952"/>
      <c r="E64" s="952">
        <f t="array" ref="E64">SUM(IF("331"&amp;B64=KHN&amp;KH,TH))</f>
        <v>2242860000</v>
      </c>
      <c r="F64" s="952">
        <f t="array" ref="F64">SUM(IF("331"&amp;B64=KHC&amp;KH,TH))</f>
        <v>2242860000</v>
      </c>
      <c r="G64" s="957">
        <f t="shared" si="19"/>
        <v>0</v>
      </c>
      <c r="H64" s="957">
        <f t="shared" si="20"/>
        <v>0</v>
      </c>
      <c r="I64" s="958" t="str">
        <f t="shared" si="21"/>
        <v>Tiền</v>
      </c>
    </row>
    <row r="65" spans="1:9" s="958" customFormat="1" ht="16.5" customHeight="1">
      <c r="A65" s="6">
        <f t="shared" si="18"/>
        <v>62</v>
      </c>
      <c r="B65" s="80" t="s">
        <v>385</v>
      </c>
      <c r="C65" s="952"/>
      <c r="D65" s="952"/>
      <c r="E65" s="952">
        <f t="array" ref="E65">SUM(IF("331"&amp;B65=KHN&amp;KH,TH))</f>
        <v>3264265000</v>
      </c>
      <c r="F65" s="952">
        <f t="array" ref="F65">SUM(IF("331"&amp;B65=KHC&amp;KH,TH))</f>
        <v>3264265000</v>
      </c>
      <c r="G65" s="957">
        <f t="shared" si="19"/>
        <v>0</v>
      </c>
      <c r="H65" s="957">
        <f t="shared" si="20"/>
        <v>0</v>
      </c>
      <c r="I65" s="958" t="str">
        <f t="shared" si="21"/>
        <v>Tiền</v>
      </c>
    </row>
    <row r="66" spans="1:9" s="958" customFormat="1" ht="16.5" customHeight="1">
      <c r="A66" s="6">
        <f t="shared" si="18"/>
        <v>63</v>
      </c>
      <c r="B66" s="959" t="s">
        <v>443</v>
      </c>
      <c r="C66" s="952"/>
      <c r="D66" s="952"/>
      <c r="E66" s="952">
        <f t="array" ref="E66">SUM(IF("331"&amp;B66=KHN&amp;KH,TH))</f>
        <v>917529100</v>
      </c>
      <c r="F66" s="952">
        <f t="array" ref="F66">SUM(IF("331"&amp;B66=KHC&amp;KH,TH))</f>
        <v>917529100</v>
      </c>
      <c r="G66" s="957">
        <f t="shared" si="19"/>
        <v>0</v>
      </c>
      <c r="H66" s="957">
        <f t="shared" si="20"/>
        <v>0</v>
      </c>
      <c r="I66" s="958" t="str">
        <f t="shared" si="21"/>
        <v>Hai</v>
      </c>
    </row>
    <row r="67" spans="1:9" s="958" customFormat="1" ht="16.5" customHeight="1">
      <c r="A67" s="6">
        <f t="shared" si="18"/>
        <v>64</v>
      </c>
      <c r="B67" s="80" t="s">
        <v>425</v>
      </c>
      <c r="C67" s="952"/>
      <c r="D67" s="952"/>
      <c r="E67" s="952">
        <f t="array" ref="E67">SUM(IF("331"&amp;B67=KHN&amp;KH,TH))</f>
        <v>709227600</v>
      </c>
      <c r="F67" s="952">
        <f t="array" ref="F67">SUM(IF("331"&amp;B67=KHC&amp;KH,TH))</f>
        <v>709227600</v>
      </c>
      <c r="G67" s="957">
        <f t="shared" si="19"/>
        <v>0</v>
      </c>
      <c r="H67" s="957">
        <f t="shared" si="20"/>
        <v>0</v>
      </c>
      <c r="I67" s="958" t="str">
        <f t="shared" si="21"/>
        <v>Hai</v>
      </c>
    </row>
    <row r="68" spans="1:9" s="958" customFormat="1" ht="16.5" customHeight="1">
      <c r="A68" s="6">
        <f t="shared" si="18"/>
        <v>65</v>
      </c>
      <c r="B68" s="80" t="s">
        <v>428</v>
      </c>
      <c r="C68" s="952"/>
      <c r="D68" s="952"/>
      <c r="E68" s="952">
        <f t="array" ref="E68">SUM(IF("331"&amp;B68=KHN&amp;KH,TH))</f>
        <v>1126876600</v>
      </c>
      <c r="F68" s="952">
        <f t="array" ref="F68">SUM(IF("331"&amp;B68=KHC&amp;KH,TH))</f>
        <v>1126876600</v>
      </c>
      <c r="G68" s="957">
        <f t="shared" si="19"/>
        <v>0</v>
      </c>
      <c r="H68" s="957">
        <f t="shared" si="20"/>
        <v>0</v>
      </c>
      <c r="I68" s="958" t="str">
        <f t="shared" si="21"/>
        <v>Hai</v>
      </c>
    </row>
    <row r="69" spans="1:9" s="958" customFormat="1" ht="16.5" customHeight="1">
      <c r="A69" s="6">
        <f t="shared" si="18"/>
        <v>66</v>
      </c>
      <c r="B69" s="80" t="s">
        <v>409</v>
      </c>
      <c r="C69" s="952"/>
      <c r="D69" s="952"/>
      <c r="E69" s="952">
        <f t="array" ref="E69">SUM(IF("331"&amp;B69=KHN&amp;KH,TH))</f>
        <v>117500000</v>
      </c>
      <c r="F69" s="952">
        <f t="array" ref="F69">SUM(IF("331"&amp;B69=KHC&amp;KH,TH))</f>
        <v>117500000</v>
      </c>
      <c r="G69" s="957">
        <f t="shared" si="19"/>
        <v>0</v>
      </c>
      <c r="H69" s="957">
        <f t="shared" si="20"/>
        <v>0</v>
      </c>
      <c r="I69" s="958" t="str">
        <f t="shared" si="21"/>
        <v>Hai</v>
      </c>
    </row>
    <row r="70" spans="1:9" s="958" customFormat="1" ht="16.5" customHeight="1">
      <c r="A70" s="6">
        <f t="shared" si="18"/>
        <v>67</v>
      </c>
      <c r="B70" s="956" t="s">
        <v>378</v>
      </c>
      <c r="C70" s="952"/>
      <c r="D70" s="952"/>
      <c r="E70" s="952">
        <f t="array" ref="E70">SUM(IF("331"&amp;B70=KHN&amp;KH,TH))</f>
        <v>1874325000</v>
      </c>
      <c r="F70" s="952">
        <f t="array" ref="F70">SUM(IF("331"&amp;B70=KHC&amp;KH,TH))</f>
        <v>1874325000</v>
      </c>
      <c r="G70" s="957">
        <f t="shared" si="19"/>
        <v>0</v>
      </c>
      <c r="H70" s="957">
        <f t="shared" si="20"/>
        <v>0</v>
      </c>
      <c r="I70" s="958" t="str">
        <f t="shared" si="21"/>
        <v>Tiền</v>
      </c>
    </row>
    <row r="71" spans="1:9" s="958" customFormat="1" ht="16.5" customHeight="1">
      <c r="A71" s="6">
        <f t="shared" ref="A71" si="22">IF(B71&lt;&gt;"",ROW()-3,"")</f>
        <v>68</v>
      </c>
      <c r="B71" s="956" t="s">
        <v>395</v>
      </c>
      <c r="C71" s="952"/>
      <c r="D71" s="952"/>
      <c r="E71" s="952">
        <f t="array" ref="E71">SUM(IF("331"&amp;B71=KHN&amp;KH,TH))</f>
        <v>1710770000</v>
      </c>
      <c r="F71" s="952">
        <f t="array" ref="F71">SUM(IF("331"&amp;B71=KHC&amp;KH,TH))</f>
        <v>1710770000</v>
      </c>
      <c r="G71" s="957">
        <f t="shared" ref="G71" si="23">ROUND(MAX(C71+E71-D71-F71,0),2)</f>
        <v>0</v>
      </c>
      <c r="H71" s="957">
        <f t="shared" ref="H71" si="24">ROUND(MAX(D71+F71-C71-E71,0),2)</f>
        <v>0</v>
      </c>
      <c r="I71" s="958" t="str">
        <f t="shared" ref="I71" si="25">IF(ISNA(VLOOKUP(B71,DSNL,6,0)),"",VLOOKUP(B71,DSNL,6,0))</f>
        <v>Tiền</v>
      </c>
    </row>
    <row r="72" spans="1:9" s="958" customFormat="1" ht="16.5" customHeight="1">
      <c r="A72" s="6">
        <f t="shared" si="18"/>
        <v>69</v>
      </c>
      <c r="B72" s="956" t="s">
        <v>424</v>
      </c>
      <c r="C72" s="952"/>
      <c r="D72" s="952"/>
      <c r="E72" s="952">
        <f t="array" ref="E72">SUM(IF("331"&amp;B72=KHN&amp;KH,TH))</f>
        <v>591982500</v>
      </c>
      <c r="F72" s="952">
        <f t="array" ref="F72">SUM(IF("331"&amp;B72=KHC&amp;KH,TH))</f>
        <v>591982500</v>
      </c>
      <c r="G72" s="957">
        <f t="shared" si="19"/>
        <v>0</v>
      </c>
      <c r="H72" s="957">
        <f t="shared" si="20"/>
        <v>0</v>
      </c>
      <c r="I72" s="958" t="str">
        <f t="shared" si="21"/>
        <v>Hai</v>
      </c>
    </row>
    <row r="73" spans="1:9" s="958" customFormat="1" ht="16.5" customHeight="1">
      <c r="A73" s="6">
        <f t="shared" si="18"/>
        <v>70</v>
      </c>
      <c r="B73" s="956" t="s">
        <v>414</v>
      </c>
      <c r="C73" s="952"/>
      <c r="D73" s="952"/>
      <c r="E73" s="952">
        <f t="array" ref="E73">SUM(IF("331"&amp;B73=KHN&amp;KH,TH))</f>
        <v>609960000</v>
      </c>
      <c r="F73" s="952">
        <f t="array" ref="F73">SUM(IF("331"&amp;B73=KHC&amp;KH,TH))</f>
        <v>609960000</v>
      </c>
      <c r="G73" s="957">
        <f t="shared" si="19"/>
        <v>0</v>
      </c>
      <c r="H73" s="957">
        <f t="shared" si="20"/>
        <v>0</v>
      </c>
      <c r="I73" s="958" t="str">
        <f t="shared" si="21"/>
        <v>Hai</v>
      </c>
    </row>
    <row r="74" spans="1:9" s="958" customFormat="1" ht="16.5" customHeight="1">
      <c r="A74" s="6">
        <f t="shared" ref="A74" si="26">IF(B74&lt;&gt;"",ROW()-3,"")</f>
        <v>71</v>
      </c>
      <c r="B74" s="956" t="s">
        <v>411</v>
      </c>
      <c r="C74" s="952"/>
      <c r="D74" s="952"/>
      <c r="E74" s="952">
        <f t="array" ref="E74">SUM(IF("331"&amp;B74=KHN&amp;KH,TH))</f>
        <v>515865000</v>
      </c>
      <c r="F74" s="952">
        <f t="array" ref="F74">SUM(IF("331"&amp;B74=KHC&amp;KH,TH))</f>
        <v>515865000</v>
      </c>
      <c r="G74" s="957">
        <f t="shared" ref="G74" si="27">ROUND(MAX(C74+E74-D74-F74,0),2)</f>
        <v>0</v>
      </c>
      <c r="H74" s="957">
        <f t="shared" ref="H74" si="28">ROUND(MAX(D74+F74-C74-E74,0),2)</f>
        <v>0</v>
      </c>
      <c r="I74" s="958" t="str">
        <f t="shared" ref="I74" si="29">IF(ISNA(VLOOKUP(B74,DSNL,6,0)),"",VLOOKUP(B74,DSNL,6,0))</f>
        <v>Hai</v>
      </c>
    </row>
    <row r="75" spans="1:9" s="958" customFormat="1" ht="16.5" customHeight="1">
      <c r="A75" s="6">
        <f t="shared" ref="A75" si="30">IF(B75&lt;&gt;"",ROW()-3,"")</f>
        <v>72</v>
      </c>
      <c r="B75" s="956" t="s">
        <v>416</v>
      </c>
      <c r="C75" s="952"/>
      <c r="D75" s="952"/>
      <c r="E75" s="952">
        <f t="array" ref="E75">SUM(IF("331"&amp;B75=KHN&amp;KH,TH))</f>
        <v>594915000</v>
      </c>
      <c r="F75" s="952">
        <f t="array" ref="F75">SUM(IF("331"&amp;B75=KHC&amp;KH,TH))</f>
        <v>594915000</v>
      </c>
      <c r="G75" s="957">
        <f t="shared" ref="G75" si="31">ROUND(MAX(C75+E75-D75-F75,0),2)</f>
        <v>0</v>
      </c>
      <c r="H75" s="957">
        <f t="shared" ref="H75" si="32">ROUND(MAX(D75+F75-C75-E75,0),2)</f>
        <v>0</v>
      </c>
      <c r="I75" s="958" t="str">
        <f t="shared" ref="I75" si="33">IF(ISNA(VLOOKUP(B75,DSNL,6,0)),"",VLOOKUP(B75,DSNL,6,0))</f>
        <v>Hai</v>
      </c>
    </row>
    <row r="76" spans="1:9" s="958" customFormat="1" ht="16.5" customHeight="1">
      <c r="A76" s="6">
        <f t="shared" ref="A76" si="34">IF(B76&lt;&gt;"",ROW()-3,"")</f>
        <v>73</v>
      </c>
      <c r="B76" s="956" t="s">
        <v>418</v>
      </c>
      <c r="C76" s="952"/>
      <c r="D76" s="952"/>
      <c r="E76" s="952">
        <f t="array" ref="E76">SUM(IF("331"&amp;B76=KHN&amp;KH,TH))</f>
        <v>492915000</v>
      </c>
      <c r="F76" s="952">
        <f t="array" ref="F76">SUM(IF("331"&amp;B76=KHC&amp;KH,TH))</f>
        <v>492915000</v>
      </c>
      <c r="G76" s="957">
        <f t="shared" ref="G76" si="35">ROUND(MAX(C76+E76-D76-F76,0),2)</f>
        <v>0</v>
      </c>
      <c r="H76" s="957">
        <f t="shared" ref="H76" si="36">ROUND(MAX(D76+F76-C76-E76,0),2)</f>
        <v>0</v>
      </c>
      <c r="I76" s="958" t="str">
        <f t="shared" ref="I76" si="37">IF(ISNA(VLOOKUP(B76,DSNL,6,0)),"",VLOOKUP(B76,DSNL,6,0))</f>
        <v>Hai</v>
      </c>
    </row>
    <row r="77" spans="1:9" s="958" customFormat="1" ht="16.5" customHeight="1">
      <c r="A77" s="6">
        <f t="shared" ref="A77:A78" si="38">IF(B77&lt;&gt;"",ROW()-3,"")</f>
        <v>74</v>
      </c>
      <c r="B77" s="956" t="s">
        <v>421</v>
      </c>
      <c r="C77" s="952"/>
      <c r="D77" s="952"/>
      <c r="E77" s="952">
        <f t="array" ref="E77">SUM(IF("331"&amp;B77=KHN&amp;KH,TH))</f>
        <v>339405000</v>
      </c>
      <c r="F77" s="952">
        <f t="array" ref="F77">SUM(IF("331"&amp;B77=KHC&amp;KH,TH))</f>
        <v>339405000</v>
      </c>
      <c r="G77" s="957">
        <f t="shared" ref="G77:G78" si="39">ROUND(MAX(C77+E77-D77-F77,0),2)</f>
        <v>0</v>
      </c>
      <c r="H77" s="957">
        <f t="shared" ref="H77:H78" si="40">ROUND(MAX(D77+F77-C77-E77,0),2)</f>
        <v>0</v>
      </c>
      <c r="I77" s="958" t="str">
        <f t="shared" ref="I77:I78" si="41">IF(ISNA(VLOOKUP(B77,DSNL,6,0)),"",VLOOKUP(B77,DSNL,6,0))</f>
        <v>Hai</v>
      </c>
    </row>
    <row r="78" spans="1:9" s="958" customFormat="1" ht="16.5" customHeight="1">
      <c r="A78" s="6">
        <f t="shared" si="38"/>
        <v>75</v>
      </c>
      <c r="B78" s="956" t="s">
        <v>423</v>
      </c>
      <c r="C78" s="952"/>
      <c r="D78" s="952"/>
      <c r="E78" s="952">
        <f t="array" ref="E78">SUM(IF("331"&amp;B78=KHN&amp;KH,TH))</f>
        <v>158865000</v>
      </c>
      <c r="F78" s="952">
        <f t="array" ref="F78">SUM(IF("331"&amp;B78=KHC&amp;KH,TH))</f>
        <v>158865000</v>
      </c>
      <c r="G78" s="957">
        <f t="shared" si="39"/>
        <v>0</v>
      </c>
      <c r="H78" s="957">
        <f t="shared" si="40"/>
        <v>0</v>
      </c>
      <c r="I78" s="958" t="str">
        <f t="shared" si="41"/>
        <v>Hai</v>
      </c>
    </row>
    <row r="79" spans="1:9" s="10" customFormat="1" ht="16.5" customHeight="1">
      <c r="A79" s="6">
        <f>IF(B79&lt;&gt;"",ROW()-3,"")</f>
        <v>76</v>
      </c>
      <c r="B79" s="72" t="s">
        <v>1211</v>
      </c>
      <c r="C79" s="952"/>
      <c r="D79" s="952"/>
      <c r="E79" s="952">
        <f t="array" ref="E79">SUM(IF("331"&amp;B79=KHN&amp;KH,TH))</f>
        <v>1975000000</v>
      </c>
      <c r="F79" s="952">
        <f t="array" ref="F79">SUM(IF("331"&amp;B79=KHC&amp;KH,TH))</f>
        <v>6864000000</v>
      </c>
      <c r="G79" s="957">
        <f t="shared" ref="G79" si="42">ROUND(MAX(C79+E79-D79-F79,0),2)</f>
        <v>0</v>
      </c>
      <c r="H79" s="957">
        <f t="shared" ref="H79" si="43">ROUND(MAX(D79+F79-C79-E79,0),2)</f>
        <v>4889000000</v>
      </c>
      <c r="I79" s="958" t="str">
        <f t="shared" si="21"/>
        <v/>
      </c>
    </row>
    <row r="80" spans="1:9" s="10" customFormat="1" ht="16.5" customHeight="1">
      <c r="A80" s="6">
        <f>IF(B80&lt;&gt;"",ROW()-3,"")</f>
        <v>77</v>
      </c>
      <c r="B80" s="72" t="s">
        <v>2249</v>
      </c>
      <c r="C80" s="952"/>
      <c r="D80" s="952"/>
      <c r="E80" s="952">
        <f t="array" ref="E80">SUM(IF("331"&amp;B80=KHN&amp;KH,TH))</f>
        <v>0</v>
      </c>
      <c r="F80" s="952">
        <f t="array" ref="F80">SUM(IF("331"&amp;B80=KHC&amp;KH,TH))</f>
        <v>4394000000</v>
      </c>
      <c r="G80" s="957">
        <f t="shared" ref="G80" si="44">ROUND(MAX(C80+E80-D80-F80,0),2)</f>
        <v>0</v>
      </c>
      <c r="H80" s="957">
        <f t="shared" ref="H80" si="45">ROUND(MAX(D80+F80-C80-E80,0),2)</f>
        <v>4394000000</v>
      </c>
      <c r="I80" s="958" t="str">
        <f t="shared" ref="I80" si="46">IF(ISNA(VLOOKUP(B80,DSNL,6,0)),"",VLOOKUP(B80,DSNL,6,0))</f>
        <v/>
      </c>
    </row>
    <row r="81" spans="1:9" s="10" customFormat="1" ht="16.5" customHeight="1">
      <c r="A81" s="6">
        <f>IF(B81&lt;&gt;"",ROW()-3,"")</f>
        <v>78</v>
      </c>
      <c r="B81" s="72" t="s">
        <v>2372</v>
      </c>
      <c r="C81" s="952"/>
      <c r="D81" s="952"/>
      <c r="E81" s="952">
        <f t="array" ref="E81">SUM(IF("331"&amp;B81=KHN&amp;KH,TH))</f>
        <v>0</v>
      </c>
      <c r="F81" s="952">
        <f t="array" ref="F81">SUM(IF("331"&amp;B81=KHC&amp;KH,TH))</f>
        <v>2949167000</v>
      </c>
      <c r="G81" s="957">
        <f t="shared" ref="G81" si="47">ROUND(MAX(C81+E81-D81-F81,0),2)</f>
        <v>0</v>
      </c>
      <c r="H81" s="957">
        <f t="shared" ref="H81" si="48">ROUND(MAX(D81+F81-C81-E81,0),2)</f>
        <v>2949167000</v>
      </c>
      <c r="I81" s="958" t="str">
        <f t="shared" ref="I81" si="49">IF(ISNA(VLOOKUP(B81,DSNL,6,0)),"",VLOOKUP(B81,DSNL,6,0))</f>
        <v/>
      </c>
    </row>
    <row r="82" spans="1:9" s="14" customFormat="1" ht="14.25" customHeight="1">
      <c r="A82" s="11"/>
      <c r="B82" s="12" t="s">
        <v>41</v>
      </c>
      <c r="C82" s="13">
        <f t="shared" ref="C82:H82" si="50">SUM(C4:C79)</f>
        <v>60000000</v>
      </c>
      <c r="D82" s="13">
        <f t="shared" si="50"/>
        <v>536953252</v>
      </c>
      <c r="E82" s="13">
        <f t="shared" si="50"/>
        <v>45929361312</v>
      </c>
      <c r="F82" s="13">
        <f t="shared" si="50"/>
        <v>56442417142</v>
      </c>
      <c r="G82" s="13">
        <f t="shared" si="50"/>
        <v>0</v>
      </c>
      <c r="H82" s="13">
        <f t="shared" si="50"/>
        <v>10990009082</v>
      </c>
    </row>
    <row r="84" spans="1:9">
      <c r="D84" s="235">
        <f>D82-CDPS!D38-C82</f>
        <v>0</v>
      </c>
      <c r="E84" s="15">
        <f>E82-CDPS!E38</f>
        <v>1975000000</v>
      </c>
      <c r="F84" s="15">
        <f>F82-CDPS!F38</f>
        <v>-479167000</v>
      </c>
      <c r="H84" s="235">
        <f>H82-G82-CDPS!H38</f>
        <v>-2454167000</v>
      </c>
    </row>
    <row r="86" spans="1:9">
      <c r="E86" s="235"/>
      <c r="F86" s="235"/>
    </row>
  </sheetData>
  <autoFilter ref="A3:I82">
    <filterColumn colId="7"/>
  </autoFilter>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7.xml><?xml version="1.0" encoding="utf-8"?>
<worksheet xmlns="http://schemas.openxmlformats.org/spreadsheetml/2006/main" xmlns:r="http://schemas.openxmlformats.org/officeDocument/2006/relationships">
  <sheetPr>
    <tabColor rgb="FFFF0000"/>
  </sheetPr>
  <dimension ref="A1:K54"/>
  <sheetViews>
    <sheetView topLeftCell="A6" workbookViewId="0">
      <pane ySplit="8" topLeftCell="A14" activePane="bottomLeft" state="frozen"/>
      <selection activeCell="E32" sqref="E32"/>
      <selection pane="bottomLeft" activeCell="H23" sqref="H23:H24"/>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278" t="s">
        <v>49</v>
      </c>
      <c r="I1" s="1278"/>
      <c r="J1" s="1278"/>
    </row>
    <row r="2" spans="1:10" s="3" customFormat="1" ht="14.25" customHeight="1">
      <c r="A2" s="1" t="s">
        <v>15</v>
      </c>
      <c r="B2" s="16"/>
      <c r="C2" s="16"/>
      <c r="G2" s="17"/>
      <c r="H2" s="1279" t="s">
        <v>50</v>
      </c>
      <c r="I2" s="1279"/>
      <c r="J2" s="1279"/>
    </row>
    <row r="3" spans="1:10" s="3" customFormat="1" ht="14.25" customHeight="1">
      <c r="A3" s="4"/>
      <c r="B3" s="16"/>
      <c r="C3" s="16"/>
      <c r="G3" s="17"/>
      <c r="H3" s="1279"/>
      <c r="I3" s="1279"/>
      <c r="J3" s="1279"/>
    </row>
    <row r="4" spans="1:10" s="5" customFormat="1" ht="28.5" customHeight="1">
      <c r="A4" s="1406" t="s">
        <v>28</v>
      </c>
      <c r="B4" s="1406"/>
      <c r="C4" s="1406"/>
      <c r="D4" s="1406"/>
      <c r="E4" s="1406"/>
      <c r="F4" s="1406"/>
      <c r="G4" s="1406"/>
      <c r="H4" s="1406"/>
      <c r="I4" s="1406"/>
      <c r="J4" s="1406"/>
    </row>
    <row r="5" spans="1:10" s="18" customFormat="1" ht="14.25" customHeight="1">
      <c r="E5" s="19" t="s">
        <v>29</v>
      </c>
    </row>
    <row r="6" spans="1:10" s="18" customFormat="1" ht="14.25" customHeight="1">
      <c r="E6" s="19" t="s">
        <v>30</v>
      </c>
    </row>
    <row r="7" spans="1:10" s="18" customFormat="1" ht="14.25" customHeight="1">
      <c r="D7" s="20" t="s">
        <v>48</v>
      </c>
      <c r="E7" s="1404" t="s">
        <v>1416</v>
      </c>
      <c r="F7" s="1404"/>
      <c r="G7" s="1404"/>
      <c r="H7" s="1404"/>
    </row>
    <row r="8" spans="1:10" s="18" customFormat="1" ht="14.25" customHeight="1">
      <c r="E8" s="19" t="s">
        <v>31</v>
      </c>
    </row>
    <row r="9" spans="1:10" s="18" customFormat="1" ht="6.75" customHeight="1">
      <c r="B9" s="19"/>
      <c r="C9" s="1267"/>
      <c r="D9" s="1267"/>
      <c r="E9" s="1267"/>
      <c r="F9" s="1267"/>
      <c r="G9" s="1267"/>
      <c r="H9" s="1267"/>
      <c r="I9" s="1267"/>
      <c r="J9" s="1267"/>
    </row>
    <row r="10" spans="1:10" s="18" customFormat="1" ht="14.25" customHeight="1">
      <c r="A10" s="1330" t="s">
        <v>22</v>
      </c>
      <c r="B10" s="1405" t="s">
        <v>1</v>
      </c>
      <c r="C10" s="1405"/>
      <c r="D10" s="1330" t="s">
        <v>0</v>
      </c>
      <c r="E10" s="1330" t="s">
        <v>16</v>
      </c>
      <c r="F10" s="1330" t="s">
        <v>32</v>
      </c>
      <c r="G10" s="1271" t="s">
        <v>23</v>
      </c>
      <c r="H10" s="1272"/>
      <c r="I10" s="1271" t="s">
        <v>33</v>
      </c>
      <c r="J10" s="1272"/>
    </row>
    <row r="11" spans="1:10" s="18" customFormat="1" ht="24.75" customHeight="1">
      <c r="A11" s="1330"/>
      <c r="B11" s="30" t="s">
        <v>17</v>
      </c>
      <c r="C11" s="30" t="s">
        <v>34</v>
      </c>
      <c r="D11" s="1330"/>
      <c r="E11" s="1330"/>
      <c r="F11" s="1330"/>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7">
        <f>VLOOKUP($E$7,'331'!$B$5:$H$79,2,0)</f>
        <v>0</v>
      </c>
      <c r="J13" s="77">
        <f>VLOOKUP($E$7,'331'!$B$5:$H$79,3,0)</f>
        <v>0</v>
      </c>
    </row>
    <row r="14" spans="1:10" s="18" customFormat="1" ht="18" customHeight="1">
      <c r="A14" s="9">
        <f ca="1">IF(ROWS($1:1)&gt;COUNT(Dong),"",OFFSET(TH!C$1,SMALL(Dong,ROWS($1:1)),))</f>
        <v>42391</v>
      </c>
      <c r="B14" s="9" t="str">
        <f ca="1">IF(ROWS($1:1)&gt;COUNT(Dong),"",OFFSET(TH!D$1,SMALL(Dong,ROWS($1:1)),))</f>
        <v>VL/N06</v>
      </c>
      <c r="C14" s="9">
        <f ca="1">IF(ROWS($1:1)&gt;COUNT(Dong),"",OFFSET(TH!E$1,SMALL(Dong,ROWS($1:1)),))</f>
        <v>42391</v>
      </c>
      <c r="D14" s="370" t="str">
        <f ca="1">IF(ROWS($1:1)&gt;COUNT(Dong),"",OFFSET(TH!F$1,SMALL(Dong,ROWS($1:1)),))</f>
        <v>Hộp ghẹ</v>
      </c>
      <c r="E14" s="76" t="str">
        <f ca="1">IF(ROWS($1:1)&gt;COUNT(Dong),"",IF(OFFSET(TH!N$1,SMALL(Dong,ROWS($1:1)),)="331",OFFSET(TH!O$1,SMALL(Dong,ROWS($1:1)),),OFFSET(TH!N$1,SMALL(Dong,ROWS($1:1)),)))</f>
        <v>1522</v>
      </c>
      <c r="F14" s="76"/>
      <c r="G14" s="96">
        <f ca="1">IF(ROWS($1:1)&gt;COUNT(Dong),"",IF(OFFSET(TH!N$1,SMALL(Dong,ROWS($1:1)),)="331",OFFSET(TH!M$1,SMALL(Dong,ROWS($1:1)),),0))</f>
        <v>0</v>
      </c>
      <c r="H14" s="96">
        <f ca="1">IF(ROWS($1:1)&gt;COUNT(Dong),"",IF(OFFSET(TH!O$1,SMALL(Dong,ROWS($1:1)),)="331",OFFSET(TH!M$1,SMALL(Dong,ROWS($1:1)),),0))</f>
        <v>35000000</v>
      </c>
      <c r="I14" s="25">
        <f ca="1">IF(D14&lt;&gt;"",MAX(I13+G14-H14-J13,0),0)</f>
        <v>0</v>
      </c>
      <c r="J14" s="25">
        <f ca="1">IF(D14&lt;&gt;"",MAX(J13+H14-I13-G14,0),0)</f>
        <v>35000000</v>
      </c>
    </row>
    <row r="15" spans="1:10" s="18" customFormat="1" ht="18" customHeight="1">
      <c r="A15" s="9">
        <f ca="1">IF(ROWS($1:2)&gt;COUNT(Dong),"",OFFSET(TH!C$1,SMALL(Dong,ROWS($1:2)),))</f>
        <v>42391</v>
      </c>
      <c r="B15" s="9" t="str">
        <f ca="1">IF(ROWS($1:2)&gt;COUNT(Dong),"",OFFSET(TH!D$1,SMALL(Dong,ROWS($1:2)),))</f>
        <v>VL/N06</v>
      </c>
      <c r="C15" s="9">
        <f ca="1">IF(ROWS($1:2)&gt;COUNT(Dong),"",OFFSET(TH!E$1,SMALL(Dong,ROWS($1:2)),))</f>
        <v>42391</v>
      </c>
      <c r="D15" s="370" t="str">
        <f ca="1">IF(ROWS($1:2)&gt;COUNT(Dong),"",OFFSET(TH!F$1,SMALL(Dong,ROWS($1:2)),))</f>
        <v>VAT Hộp ghẹ</v>
      </c>
      <c r="E15" s="76" t="str">
        <f ca="1">IF(ROWS($1:2)&gt;COUNT(Dong),"",IF(OFFSET(TH!N$1,SMALL(Dong,ROWS($1:2)),)="331",OFFSET(TH!O$1,SMALL(Dong,ROWS($1:2)),),OFFSET(TH!N$1,SMALL(Dong,ROWS($1:2)),)))</f>
        <v>1331</v>
      </c>
      <c r="F15" s="76"/>
      <c r="G15" s="96">
        <f ca="1">IF(ROWS($1:2)&gt;COUNT(Dong),"",IF(OFFSET(TH!N$1,SMALL(Dong,ROWS($1:2)),)="331",OFFSET(TH!M$1,SMALL(Dong,ROWS($1:2)),),0))</f>
        <v>0</v>
      </c>
      <c r="H15" s="96">
        <f ca="1">IF(ROWS($1:2)&gt;COUNT(Dong),"",IF(OFFSET(TH!O$1,SMALL(Dong,ROWS($1:2)),)="331",OFFSET(TH!M$1,SMALL(Dong,ROWS($1:2)),),0))</f>
        <v>3500000</v>
      </c>
      <c r="I15" s="25">
        <f t="shared" ref="I15:I38" ca="1" si="0">IF(D15&lt;&gt;"",MAX(I14+G15-H15-J14,0),0)</f>
        <v>0</v>
      </c>
      <c r="J15" s="25">
        <f t="shared" ref="J15:J38" ca="1" si="1">IF(D15&lt;&gt;"",MAX(J14+H15-I14-G15,0),0)</f>
        <v>38500000</v>
      </c>
    </row>
    <row r="16" spans="1:10" s="18" customFormat="1" ht="18" customHeight="1">
      <c r="A16" s="9">
        <f ca="1">IF(ROWS($1:3)&gt;COUNT(Dong),"",OFFSET(TH!C$1,SMALL(Dong,ROWS($1:3)),))</f>
        <v>42467</v>
      </c>
      <c r="B16" s="9" t="str">
        <f ca="1">IF(ROWS($1:3)&gt;COUNT(Dong),"",OFFSET(TH!D$1,SMALL(Dong,ROWS($1:3)),))</f>
        <v>VL/N02</v>
      </c>
      <c r="C16" s="9">
        <f ca="1">IF(ROWS($1:3)&gt;COUNT(Dong),"",OFFSET(TH!E$1,SMALL(Dong,ROWS($1:3)),))</f>
        <v>42467</v>
      </c>
      <c r="D16" s="370" t="str">
        <f ca="1">IF(ROWS($1:3)&gt;COUNT(Dong),"",OFFSET(TH!F$1,SMALL(Dong,ROWS($1:3)),))</f>
        <v>Hộp ghẹ</v>
      </c>
      <c r="E16" s="76" t="str">
        <f ca="1">IF(ROWS($1:3)&gt;COUNT(Dong),"",IF(OFFSET(TH!N$1,SMALL(Dong,ROWS($1:3)),)="331",OFFSET(TH!O$1,SMALL(Dong,ROWS($1:3)),),OFFSET(TH!N$1,SMALL(Dong,ROWS($1:3)),)))</f>
        <v>1522</v>
      </c>
      <c r="F16" s="76"/>
      <c r="G16" s="96">
        <f ca="1">IF(ROWS($1:3)&gt;COUNT(Dong),"",IF(OFFSET(TH!N$1,SMALL(Dong,ROWS($1:3)),)="331",OFFSET(TH!M$1,SMALL(Dong,ROWS($1:3)),),0))</f>
        <v>0</v>
      </c>
      <c r="H16" s="96">
        <f ca="1">IF(ROWS($1:3)&gt;COUNT(Dong),"",IF(OFFSET(TH!O$1,SMALL(Dong,ROWS($1:3)),)="331",OFFSET(TH!M$1,SMALL(Dong,ROWS($1:3)),),0))</f>
        <v>63000000</v>
      </c>
      <c r="I16" s="25">
        <f t="shared" ca="1" si="0"/>
        <v>0</v>
      </c>
      <c r="J16" s="25">
        <f t="shared" ca="1" si="1"/>
        <v>101500000</v>
      </c>
    </row>
    <row r="17" spans="1:10" s="18" customFormat="1" ht="18" customHeight="1">
      <c r="A17" s="9">
        <f ca="1">IF(ROWS($1:4)&gt;COUNT(Dong),"",OFFSET(TH!C$1,SMALL(Dong,ROWS($1:4)),))</f>
        <v>42467</v>
      </c>
      <c r="B17" s="9" t="str">
        <f ca="1">IF(ROWS($1:4)&gt;COUNT(Dong),"",OFFSET(TH!D$1,SMALL(Dong,ROWS($1:4)),))</f>
        <v>VL/N02</v>
      </c>
      <c r="C17" s="9">
        <f ca="1">IF(ROWS($1:4)&gt;COUNT(Dong),"",OFFSET(TH!E$1,SMALL(Dong,ROWS($1:4)),))</f>
        <v>42467</v>
      </c>
      <c r="D17" s="370" t="str">
        <f ca="1">IF(ROWS($1:4)&gt;COUNT(Dong),"",OFFSET(TH!F$1,SMALL(Dong,ROWS($1:4)),))</f>
        <v>VAT Hộp ghẹ</v>
      </c>
      <c r="E17" s="76" t="str">
        <f ca="1">IF(ROWS($1:4)&gt;COUNT(Dong),"",IF(OFFSET(TH!N$1,SMALL(Dong,ROWS($1:4)),)="331",OFFSET(TH!O$1,SMALL(Dong,ROWS($1:4)),),OFFSET(TH!N$1,SMALL(Dong,ROWS($1:4)),)))</f>
        <v>1331</v>
      </c>
      <c r="F17" s="76"/>
      <c r="G17" s="96">
        <f ca="1">IF(ROWS($1:4)&gt;COUNT(Dong),"",IF(OFFSET(TH!N$1,SMALL(Dong,ROWS($1:4)),)="331",OFFSET(TH!M$1,SMALL(Dong,ROWS($1:4)),),0))</f>
        <v>0</v>
      </c>
      <c r="H17" s="96">
        <f ca="1">IF(ROWS($1:4)&gt;COUNT(Dong),"",IF(OFFSET(TH!O$1,SMALL(Dong,ROWS($1:4)),)="331",OFFSET(TH!M$1,SMALL(Dong,ROWS($1:4)),),0))</f>
        <v>6300000</v>
      </c>
      <c r="I17" s="25">
        <f t="shared" ca="1" si="0"/>
        <v>0</v>
      </c>
      <c r="J17" s="25">
        <f t="shared" ca="1" si="1"/>
        <v>107800000</v>
      </c>
    </row>
    <row r="18" spans="1:10" s="18" customFormat="1" ht="18" customHeight="1">
      <c r="A18" s="9">
        <f ca="1">IF(ROWS($1:5)&gt;COUNT(Dong),"",OFFSET(TH!C$1,SMALL(Dong,ROWS($1:5)),))</f>
        <v>42486</v>
      </c>
      <c r="B18" s="9" t="str">
        <f ca="1">IF(ROWS($1:5)&gt;COUNT(Dong),"",OFFSET(TH!D$1,SMALL(Dong,ROWS($1:5)),))</f>
        <v>VL/N06</v>
      </c>
      <c r="C18" s="9">
        <f ca="1">IF(ROWS($1:5)&gt;COUNT(Dong),"",OFFSET(TH!E$1,SMALL(Dong,ROWS($1:5)),))</f>
        <v>42486</v>
      </c>
      <c r="D18" s="370" t="str">
        <f ca="1">IF(ROWS($1:5)&gt;COUNT(Dong),"",OFFSET(TH!F$1,SMALL(Dong,ROWS($1:5)),))</f>
        <v>Hộp ghẹ</v>
      </c>
      <c r="E18" s="76" t="str">
        <f ca="1">IF(ROWS($1:5)&gt;COUNT(Dong),"",IF(OFFSET(TH!N$1,SMALL(Dong,ROWS($1:5)),)="331",OFFSET(TH!O$1,SMALL(Dong,ROWS($1:5)),),OFFSET(TH!N$1,SMALL(Dong,ROWS($1:5)),)))</f>
        <v>1522</v>
      </c>
      <c r="F18" s="76"/>
      <c r="G18" s="96">
        <f ca="1">IF(ROWS($1:5)&gt;COUNT(Dong),"",IF(OFFSET(TH!N$1,SMALL(Dong,ROWS($1:5)),)="331",OFFSET(TH!M$1,SMALL(Dong,ROWS($1:5)),),0))</f>
        <v>0</v>
      </c>
      <c r="H18" s="96">
        <f ca="1">IF(ROWS($1:5)&gt;COUNT(Dong),"",IF(OFFSET(TH!O$1,SMALL(Dong,ROWS($1:5)),)="331",OFFSET(TH!M$1,SMALL(Dong,ROWS($1:5)),),0))</f>
        <v>28000000</v>
      </c>
      <c r="I18" s="25">
        <f t="shared" ca="1" si="0"/>
        <v>0</v>
      </c>
      <c r="J18" s="25">
        <f t="shared" ca="1" si="1"/>
        <v>135800000</v>
      </c>
    </row>
    <row r="19" spans="1:10" s="18" customFormat="1" ht="18" customHeight="1">
      <c r="A19" s="9">
        <f ca="1">IF(ROWS($1:6)&gt;COUNT(Dong),"",OFFSET(TH!C$1,SMALL(Dong,ROWS($1:6)),))</f>
        <v>42486</v>
      </c>
      <c r="B19" s="9" t="str">
        <f ca="1">IF(ROWS($1:6)&gt;COUNT(Dong),"",OFFSET(TH!D$1,SMALL(Dong,ROWS($1:6)),))</f>
        <v>VL/N06</v>
      </c>
      <c r="C19" s="9">
        <f ca="1">IF(ROWS($1:6)&gt;COUNT(Dong),"",OFFSET(TH!E$1,SMALL(Dong,ROWS($1:6)),))</f>
        <v>42486</v>
      </c>
      <c r="D19" s="370" t="str">
        <f ca="1">IF(ROWS($1:6)&gt;COUNT(Dong),"",OFFSET(TH!F$1,SMALL(Dong,ROWS($1:6)),))</f>
        <v>VAT Hộp ghẹ</v>
      </c>
      <c r="E19" s="76" t="str">
        <f ca="1">IF(ROWS($1:6)&gt;COUNT(Dong),"",IF(OFFSET(TH!N$1,SMALL(Dong,ROWS($1:6)),)="331",OFFSET(TH!O$1,SMALL(Dong,ROWS($1:6)),),OFFSET(TH!N$1,SMALL(Dong,ROWS($1:6)),)))</f>
        <v>1331</v>
      </c>
      <c r="F19" s="76"/>
      <c r="G19" s="96">
        <f ca="1">IF(ROWS($1:6)&gt;COUNT(Dong),"",IF(OFFSET(TH!N$1,SMALL(Dong,ROWS($1:6)),)="331",OFFSET(TH!M$1,SMALL(Dong,ROWS($1:6)),),0))</f>
        <v>0</v>
      </c>
      <c r="H19" s="96">
        <f ca="1">IF(ROWS($1:6)&gt;COUNT(Dong),"",IF(OFFSET(TH!O$1,SMALL(Dong,ROWS($1:6)),)="331",OFFSET(TH!M$1,SMALL(Dong,ROWS($1:6)),),0))</f>
        <v>2800000</v>
      </c>
      <c r="I19" s="25">
        <f t="shared" ca="1" si="0"/>
        <v>0</v>
      </c>
      <c r="J19" s="25">
        <f t="shared" ca="1" si="1"/>
        <v>138600000</v>
      </c>
    </row>
    <row r="20" spans="1:10" s="18" customFormat="1" ht="18" customHeight="1">
      <c r="A20" s="9">
        <f ca="1">IF(ROWS($1:7)&gt;COUNT(Dong),"",OFFSET(TH!C$1,SMALL(Dong,ROWS($1:7)),))</f>
        <v>42444</v>
      </c>
      <c r="B20" s="9" t="str">
        <f ca="1">IF(ROWS($1:7)&gt;COUNT(Dong),"",OFFSET(TH!D$1,SMALL(Dong,ROWS($1:7)),))</f>
        <v>GBN</v>
      </c>
      <c r="C20" s="9">
        <f ca="1">IF(ROWS($1:7)&gt;COUNT(Dong),"",OFFSET(TH!E$1,SMALL(Dong,ROWS($1:7)),))</f>
        <v>42444</v>
      </c>
      <c r="D20" s="370" t="str">
        <f ca="1">IF(ROWS($1:7)&gt;COUNT(Dong),"",OFFSET(TH!F$1,SMALL(Dong,ROWS($1:7)),))</f>
        <v>Thanh toán tiền bao bì</v>
      </c>
      <c r="E20" s="76" t="str">
        <f ca="1">IF(ROWS($1:7)&gt;COUNT(Dong),"",IF(OFFSET(TH!N$1,SMALL(Dong,ROWS($1:7)),)="331",OFFSET(TH!O$1,SMALL(Dong,ROWS($1:7)),),OFFSET(TH!N$1,SMALL(Dong,ROWS($1:7)),)))</f>
        <v>1121</v>
      </c>
      <c r="F20" s="76"/>
      <c r="G20" s="96">
        <f ca="1">IF(ROWS($1:7)&gt;COUNT(Dong),"",IF(OFFSET(TH!N$1,SMALL(Dong,ROWS($1:7)),)="331",OFFSET(TH!M$1,SMALL(Dong,ROWS($1:7)),),0))</f>
        <v>38500000</v>
      </c>
      <c r="H20" s="96">
        <f ca="1">IF(ROWS($1:7)&gt;COUNT(Dong),"",IF(OFFSET(TH!O$1,SMALL(Dong,ROWS($1:7)),)="331",OFFSET(TH!M$1,SMALL(Dong,ROWS($1:7)),),0))</f>
        <v>0</v>
      </c>
      <c r="I20" s="25">
        <f t="shared" ca="1" si="0"/>
        <v>0</v>
      </c>
      <c r="J20" s="25">
        <f t="shared" ca="1" si="1"/>
        <v>100100000</v>
      </c>
    </row>
    <row r="21" spans="1:10" s="18" customFormat="1" ht="18" customHeight="1">
      <c r="A21" s="9">
        <f ca="1">IF(ROWS($1:8)&gt;COUNT(Dong),"",OFFSET(TH!C$1,SMALL(Dong,ROWS($1:8)),))</f>
        <v>42556</v>
      </c>
      <c r="B21" s="9" t="str">
        <f ca="1">IF(ROWS($1:8)&gt;COUNT(Dong),"",OFFSET(TH!D$1,SMALL(Dong,ROWS($1:8)),))</f>
        <v>GBN</v>
      </c>
      <c r="C21" s="9">
        <f ca="1">IF(ROWS($1:8)&gt;COUNT(Dong),"",OFFSET(TH!E$1,SMALL(Dong,ROWS($1:8)),))</f>
        <v>42556</v>
      </c>
      <c r="D21" s="370" t="str">
        <f ca="1">IF(ROWS($1:8)&gt;COUNT(Dong),"",OFFSET(TH!F$1,SMALL(Dong,ROWS($1:8)),))</f>
        <v>Thanh toán tiền bao bì</v>
      </c>
      <c r="E21" s="76" t="str">
        <f ca="1">IF(ROWS($1:8)&gt;COUNT(Dong),"",IF(OFFSET(TH!N$1,SMALL(Dong,ROWS($1:8)),)="331",OFFSET(TH!O$1,SMALL(Dong,ROWS($1:8)),),OFFSET(TH!N$1,SMALL(Dong,ROWS($1:8)),)))</f>
        <v>1121</v>
      </c>
      <c r="F21" s="76"/>
      <c r="G21" s="96">
        <f ca="1">IF(ROWS($1:8)&gt;COUNT(Dong),"",IF(OFFSET(TH!N$1,SMALL(Dong,ROWS($1:8)),)="331",OFFSET(TH!M$1,SMALL(Dong,ROWS($1:8)),),0))</f>
        <v>50000000</v>
      </c>
      <c r="H21" s="96">
        <f ca="1">IF(ROWS($1:8)&gt;COUNT(Dong),"",IF(OFFSET(TH!O$1,SMALL(Dong,ROWS($1:8)),)="331",OFFSET(TH!M$1,SMALL(Dong,ROWS($1:8)),),0))</f>
        <v>0</v>
      </c>
      <c r="I21" s="25">
        <f t="shared" ca="1" si="0"/>
        <v>0</v>
      </c>
      <c r="J21" s="25">
        <f t="shared" ca="1" si="1"/>
        <v>50100000</v>
      </c>
    </row>
    <row r="22" spans="1:10" s="18" customFormat="1" ht="18" customHeight="1">
      <c r="A22" s="9">
        <f ca="1">IF(ROWS($1:9)&gt;COUNT(Dong),"",OFFSET(TH!C$1,SMALL(Dong,ROWS($1:9)),))</f>
        <v>42601</v>
      </c>
      <c r="B22" s="9" t="str">
        <f ca="1">IF(ROWS($1:9)&gt;COUNT(Dong),"",OFFSET(TH!D$1,SMALL(Dong,ROWS($1:9)),))</f>
        <v>GBN</v>
      </c>
      <c r="C22" s="9">
        <f ca="1">IF(ROWS($1:9)&gt;COUNT(Dong),"",OFFSET(TH!E$1,SMALL(Dong,ROWS($1:9)),))</f>
        <v>42601</v>
      </c>
      <c r="D22" s="370" t="str">
        <f ca="1">IF(ROWS($1:9)&gt;COUNT(Dong),"",OFFSET(TH!F$1,SMALL(Dong,ROWS($1:9)),))</f>
        <v>Thanh toán tiền hàng</v>
      </c>
      <c r="E22" s="76" t="str">
        <f ca="1">IF(ROWS($1:9)&gt;COUNT(Dong),"",IF(OFFSET(TH!N$1,SMALL(Dong,ROWS($1:9)),)="331",OFFSET(TH!O$1,SMALL(Dong,ROWS($1:9)),),OFFSET(TH!N$1,SMALL(Dong,ROWS($1:9)),)))</f>
        <v>1121</v>
      </c>
      <c r="F22" s="76"/>
      <c r="G22" s="96">
        <f ca="1">IF(ROWS($1:9)&gt;COUNT(Dong),"",IF(OFFSET(TH!N$1,SMALL(Dong,ROWS($1:9)),)="331",OFFSET(TH!M$1,SMALL(Dong,ROWS($1:9)),),0))</f>
        <v>50100000</v>
      </c>
      <c r="H22" s="96">
        <f ca="1">IF(ROWS($1:9)&gt;COUNT(Dong),"",IF(OFFSET(TH!O$1,SMALL(Dong,ROWS($1:9)),)="331",OFFSET(TH!M$1,SMALL(Dong,ROWS($1:9)),),0))</f>
        <v>0</v>
      </c>
      <c r="I22" s="25">
        <f t="shared" ca="1" si="0"/>
        <v>0</v>
      </c>
      <c r="J22" s="25">
        <f t="shared" ca="1" si="1"/>
        <v>0</v>
      </c>
    </row>
    <row r="23" spans="1:10" s="18" customFormat="1" ht="18" customHeight="1">
      <c r="A23" s="9">
        <f ca="1">IF(ROWS($1:10)&gt;COUNT(Dong),"",OFFSET(TH!C$1,SMALL(Dong,ROWS($1:10)),))</f>
        <v>42634</v>
      </c>
      <c r="B23" s="9" t="str">
        <f ca="1">IF(ROWS($1:10)&gt;COUNT(Dong),"",OFFSET(TH!D$1,SMALL(Dong,ROWS($1:10)),))</f>
        <v>VL/N01</v>
      </c>
      <c r="C23" s="9">
        <f ca="1">IF(ROWS($1:10)&gt;COUNT(Dong),"",OFFSET(TH!E$1,SMALL(Dong,ROWS($1:10)),))</f>
        <v>42634</v>
      </c>
      <c r="D23" s="370" t="str">
        <f ca="1">IF(ROWS($1:10)&gt;COUNT(Dong),"",OFFSET(TH!F$1,SMALL(Dong,ROWS($1:10)),))</f>
        <v>Hộp ghẹ</v>
      </c>
      <c r="E23" s="76" t="str">
        <f ca="1">IF(ROWS($1:10)&gt;COUNT(Dong),"",IF(OFFSET(TH!N$1,SMALL(Dong,ROWS($1:10)),)="331",OFFSET(TH!O$1,SMALL(Dong,ROWS($1:10)),),OFFSET(TH!N$1,SMALL(Dong,ROWS($1:10)),)))</f>
        <v>1522</v>
      </c>
      <c r="F23" s="76"/>
      <c r="G23" s="96">
        <f ca="1">IF(ROWS($1:10)&gt;COUNT(Dong),"",IF(OFFSET(TH!N$1,SMALL(Dong,ROWS($1:10)),)="331",OFFSET(TH!M$1,SMALL(Dong,ROWS($1:10)),),0))</f>
        <v>0</v>
      </c>
      <c r="H23" s="96">
        <f ca="1">IF(ROWS($1:10)&gt;COUNT(Dong),"",IF(OFFSET(TH!O$1,SMALL(Dong,ROWS($1:10)),)="331",OFFSET(TH!M$1,SMALL(Dong,ROWS($1:10)),),0))</f>
        <v>33600000</v>
      </c>
      <c r="I23" s="25">
        <f t="shared" ca="1" si="0"/>
        <v>0</v>
      </c>
      <c r="J23" s="25">
        <f t="shared" ca="1" si="1"/>
        <v>33600000</v>
      </c>
    </row>
    <row r="24" spans="1:10" s="18" customFormat="1" ht="18" customHeight="1">
      <c r="A24" s="9">
        <f ca="1">IF(ROWS($1:11)&gt;COUNT(Dong),"",OFFSET(TH!C$1,SMALL(Dong,ROWS($1:11)),))</f>
        <v>42634</v>
      </c>
      <c r="B24" s="9" t="str">
        <f ca="1">IF(ROWS($1:11)&gt;COUNT(Dong),"",OFFSET(TH!D$1,SMALL(Dong,ROWS($1:11)),))</f>
        <v>VL/N01</v>
      </c>
      <c r="C24" s="9">
        <f ca="1">IF(ROWS($1:11)&gt;COUNT(Dong),"",OFFSET(TH!E$1,SMALL(Dong,ROWS($1:11)),))</f>
        <v>42634</v>
      </c>
      <c r="D24" s="370" t="str">
        <f ca="1">IF(ROWS($1:11)&gt;COUNT(Dong),"",OFFSET(TH!F$1,SMALL(Dong,ROWS($1:11)),))</f>
        <v>VAT Hộp ghẹ</v>
      </c>
      <c r="E24" s="76" t="str">
        <f ca="1">IF(ROWS($1:11)&gt;COUNT(Dong),"",IF(OFFSET(TH!N$1,SMALL(Dong,ROWS($1:11)),)="331",OFFSET(TH!O$1,SMALL(Dong,ROWS($1:11)),),OFFSET(TH!N$1,SMALL(Dong,ROWS($1:11)),)))</f>
        <v>1331</v>
      </c>
      <c r="F24" s="76"/>
      <c r="G24" s="96">
        <f ca="1">IF(ROWS($1:11)&gt;COUNT(Dong),"",IF(OFFSET(TH!N$1,SMALL(Dong,ROWS($1:11)),)="331",OFFSET(TH!M$1,SMALL(Dong,ROWS($1:11)),),0))</f>
        <v>0</v>
      </c>
      <c r="H24" s="96">
        <f ca="1">IF(ROWS($1:11)&gt;COUNT(Dong),"",IF(OFFSET(TH!O$1,SMALL(Dong,ROWS($1:11)),)="331",OFFSET(TH!M$1,SMALL(Dong,ROWS($1:11)),),0))</f>
        <v>3360000</v>
      </c>
      <c r="I24" s="25">
        <f t="shared" ca="1" si="0"/>
        <v>0</v>
      </c>
      <c r="J24" s="25">
        <f t="shared" ca="1" si="1"/>
        <v>36960000</v>
      </c>
    </row>
    <row r="25" spans="1:10" s="18" customFormat="1" ht="18" customHeight="1">
      <c r="A25" s="9">
        <f ca="1">IF(ROWS($1:12)&gt;COUNT(Dong),"",OFFSET(TH!C$1,SMALL(Dong,ROWS($1:12)),))</f>
        <v>42693</v>
      </c>
      <c r="B25" s="9" t="str">
        <f ca="1">IF(ROWS($1:12)&gt;COUNT(Dong),"",OFFSET(TH!D$1,SMALL(Dong,ROWS($1:12)),))</f>
        <v>VL/N03</v>
      </c>
      <c r="C25" s="9">
        <f ca="1">IF(ROWS($1:12)&gt;COUNT(Dong),"",OFFSET(TH!E$1,SMALL(Dong,ROWS($1:12)),))</f>
        <v>42693</v>
      </c>
      <c r="D25" s="370" t="str">
        <f ca="1">IF(ROWS($1:12)&gt;COUNT(Dong),"",OFFSET(TH!F$1,SMALL(Dong,ROWS($1:12)),))</f>
        <v>Hộp ghẹ</v>
      </c>
      <c r="E25" s="76" t="str">
        <f ca="1">IF(ROWS($1:12)&gt;COUNT(Dong),"",IF(OFFSET(TH!N$1,SMALL(Dong,ROWS($1:12)),)="331",OFFSET(TH!O$1,SMALL(Dong,ROWS($1:12)),),OFFSET(TH!N$1,SMALL(Dong,ROWS($1:12)),)))</f>
        <v>1522</v>
      </c>
      <c r="F25" s="76"/>
      <c r="G25" s="96">
        <f ca="1">IF(ROWS($1:12)&gt;COUNT(Dong),"",IF(OFFSET(TH!N$1,SMALL(Dong,ROWS($1:12)),)="331",OFFSET(TH!M$1,SMALL(Dong,ROWS($1:12)),),0))</f>
        <v>0</v>
      </c>
      <c r="H25" s="96">
        <f ca="1">IF(ROWS($1:12)&gt;COUNT(Dong),"",IF(OFFSET(TH!O$1,SMALL(Dong,ROWS($1:12)),)="331",OFFSET(TH!M$1,SMALL(Dong,ROWS($1:12)),),0))</f>
        <v>35000000</v>
      </c>
      <c r="I25" s="25">
        <f t="shared" ca="1" si="0"/>
        <v>0</v>
      </c>
      <c r="J25" s="25">
        <f t="shared" ca="1" si="1"/>
        <v>71960000</v>
      </c>
    </row>
    <row r="26" spans="1:10" s="18" customFormat="1" ht="18" customHeight="1">
      <c r="A26" s="9">
        <f ca="1">IF(ROWS($1:13)&gt;COUNT(Dong),"",OFFSET(TH!C$1,SMALL(Dong,ROWS($1:13)),))</f>
        <v>42693</v>
      </c>
      <c r="B26" s="9" t="str">
        <f ca="1">IF(ROWS($1:13)&gt;COUNT(Dong),"",OFFSET(TH!D$1,SMALL(Dong,ROWS($1:13)),))</f>
        <v>VL/N03</v>
      </c>
      <c r="C26" s="9">
        <f ca="1">IF(ROWS($1:13)&gt;COUNT(Dong),"",OFFSET(TH!E$1,SMALL(Dong,ROWS($1:13)),))</f>
        <v>42693</v>
      </c>
      <c r="D26" s="370" t="str">
        <f ca="1">IF(ROWS($1:13)&gt;COUNT(Dong),"",OFFSET(TH!F$1,SMALL(Dong,ROWS($1:13)),))</f>
        <v>VAT Hộp ghẹ</v>
      </c>
      <c r="E26" s="76" t="str">
        <f ca="1">IF(ROWS($1:13)&gt;COUNT(Dong),"",IF(OFFSET(TH!N$1,SMALL(Dong,ROWS($1:13)),)="331",OFFSET(TH!O$1,SMALL(Dong,ROWS($1:13)),),OFFSET(TH!N$1,SMALL(Dong,ROWS($1:13)),)))</f>
        <v>1331</v>
      </c>
      <c r="F26" s="76"/>
      <c r="G26" s="96">
        <f ca="1">IF(ROWS($1:13)&gt;COUNT(Dong),"",IF(OFFSET(TH!N$1,SMALL(Dong,ROWS($1:13)),)="331",OFFSET(TH!M$1,SMALL(Dong,ROWS($1:13)),),0))</f>
        <v>0</v>
      </c>
      <c r="H26" s="96">
        <f ca="1">IF(ROWS($1:13)&gt;COUNT(Dong),"",IF(OFFSET(TH!O$1,SMALL(Dong,ROWS($1:13)),)="331",OFFSET(TH!M$1,SMALL(Dong,ROWS($1:13)),),0))</f>
        <v>3500000</v>
      </c>
      <c r="I26" s="25">
        <f t="shared" ca="1" si="0"/>
        <v>0</v>
      </c>
      <c r="J26" s="25">
        <f t="shared" ca="1" si="1"/>
        <v>75460000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70" t="str">
        <f ca="1">IF(ROWS($1:14)&gt;COUNT(Dong),"",OFFSET(TH!F$1,SMALL(Dong,ROWS($1:14)),))</f>
        <v/>
      </c>
      <c r="E27" s="76" t="str">
        <f ca="1">IF(ROWS($1:14)&gt;COUNT(Dong),"",IF(OFFSET(TH!N$1,SMALL(Dong,ROWS($1:14)),)="331",OFFSET(TH!O$1,SMALL(Dong,ROWS($1:14)),),OFFSET(TH!N$1,SMALL(Dong,ROWS($1:14)),)))</f>
        <v/>
      </c>
      <c r="F27" s="76"/>
      <c r="G27" s="96" t="str">
        <f ca="1">IF(ROWS($1:14)&gt;COUNT(Dong),"",IF(OFFSET(TH!N$1,SMALL(Dong,ROWS($1:14)),)="331",OFFSET(TH!M$1,SMALL(Dong,ROWS($1:14)),),0))</f>
        <v/>
      </c>
      <c r="H27" s="96"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70" t="str">
        <f ca="1">IF(ROWS($1:15)&gt;COUNT(Dong),"",OFFSET(TH!F$1,SMALL(Dong,ROWS($1:15)),))</f>
        <v/>
      </c>
      <c r="E28" s="76" t="str">
        <f ca="1">IF(ROWS($1:15)&gt;COUNT(Dong),"",IF(OFFSET(TH!N$1,SMALL(Dong,ROWS($1:15)),)="331",OFFSET(TH!O$1,SMALL(Dong,ROWS($1:15)),),OFFSET(TH!N$1,SMALL(Dong,ROWS($1:15)),)))</f>
        <v/>
      </c>
      <c r="F28" s="76"/>
      <c r="G28" s="96" t="str">
        <f ca="1">IF(ROWS($1:15)&gt;COUNT(Dong),"",IF(OFFSET(TH!N$1,SMALL(Dong,ROWS($1:15)),)="331",OFFSET(TH!M$1,SMALL(Dong,ROWS($1:15)),),0))</f>
        <v/>
      </c>
      <c r="H28" s="96"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70" t="str">
        <f ca="1">IF(ROWS($1:16)&gt;COUNT(Dong),"",OFFSET(TH!F$1,SMALL(Dong,ROWS($1:16)),))</f>
        <v/>
      </c>
      <c r="E29" s="76" t="str">
        <f ca="1">IF(ROWS($1:16)&gt;COUNT(Dong),"",IF(OFFSET(TH!N$1,SMALL(Dong,ROWS($1:16)),)="331",OFFSET(TH!O$1,SMALL(Dong,ROWS($1:16)),),OFFSET(TH!N$1,SMALL(Dong,ROWS($1:16)),)))</f>
        <v/>
      </c>
      <c r="F29" s="76"/>
      <c r="G29" s="96" t="str">
        <f ca="1">IF(ROWS($1:16)&gt;COUNT(Dong),"",IF(OFFSET(TH!N$1,SMALL(Dong,ROWS($1:16)),)="331",OFFSET(TH!M$1,SMALL(Dong,ROWS($1:16)),),0))</f>
        <v/>
      </c>
      <c r="H29" s="96"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70" t="str">
        <f ca="1">IF(ROWS($1:17)&gt;COUNT(Dong),"",OFFSET(TH!F$1,SMALL(Dong,ROWS($1:17)),))</f>
        <v/>
      </c>
      <c r="E30" s="76" t="str">
        <f ca="1">IF(ROWS($1:17)&gt;COUNT(Dong),"",IF(OFFSET(TH!N$1,SMALL(Dong,ROWS($1:17)),)="331",OFFSET(TH!O$1,SMALL(Dong,ROWS($1:17)),),OFFSET(TH!N$1,SMALL(Dong,ROWS($1:17)),)))</f>
        <v/>
      </c>
      <c r="F30" s="76"/>
      <c r="G30" s="96" t="str">
        <f ca="1">IF(ROWS($1:17)&gt;COUNT(Dong),"",IF(OFFSET(TH!N$1,SMALL(Dong,ROWS($1:17)),)="331",OFFSET(TH!M$1,SMALL(Dong,ROWS($1:17)),),0))</f>
        <v/>
      </c>
      <c r="H30" s="96" t="str">
        <f ca="1">IF(ROWS($1:17)&gt;COUNT(Dong),"",IF(OFFSET(TH!O$1,SMALL(Dong,ROWS($1:17)),)="331",OFFSET(TH!M$1,SMALL(Dong,ROWS($1:17)),),0))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70" t="str">
        <f ca="1">IF(ROWS($1:18)&gt;COUNT(Dong),"",OFFSET(TH!F$1,SMALL(Dong,ROWS($1:18)),))</f>
        <v/>
      </c>
      <c r="E31" s="76" t="str">
        <f ca="1">IF(ROWS($1:18)&gt;COUNT(Dong),"",IF(OFFSET(TH!N$1,SMALL(Dong,ROWS($1:18)),)="331",OFFSET(TH!O$1,SMALL(Dong,ROWS($1:18)),),OFFSET(TH!N$1,SMALL(Dong,ROWS($1:18)),)))</f>
        <v/>
      </c>
      <c r="F31" s="76"/>
      <c r="G31" s="96" t="str">
        <f ca="1">IF(ROWS($1:18)&gt;COUNT(Dong),"",IF(OFFSET(TH!N$1,SMALL(Dong,ROWS($1:18)),)="331",OFFSET(TH!M$1,SMALL(Dong,ROWS($1:18)),),0))</f>
        <v/>
      </c>
      <c r="H31" s="96" t="str">
        <f ca="1">IF(ROWS($1:18)&gt;COUNT(Dong),"",IF(OFFSET(TH!O$1,SMALL(Dong,ROWS($1:18)),)="331",OFFSET(TH!M$1,SMALL(Dong,ROWS($1:18)),),0))</f>
        <v/>
      </c>
      <c r="I31" s="25">
        <f t="shared" ca="1" si="0"/>
        <v>0</v>
      </c>
      <c r="J31" s="25">
        <f t="shared" ca="1" si="1"/>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70" t="str">
        <f ca="1">IF(ROWS($1:19)&gt;COUNT(Dong),"",OFFSET(TH!F$1,SMALL(Dong,ROWS($1:19)),))</f>
        <v/>
      </c>
      <c r="E32" s="76" t="str">
        <f ca="1">IF(ROWS($1:19)&gt;COUNT(Dong),"",IF(OFFSET(TH!N$1,SMALL(Dong,ROWS($1:19)),)="331",OFFSET(TH!O$1,SMALL(Dong,ROWS($1:19)),),OFFSET(TH!N$1,SMALL(Dong,ROWS($1:19)),)))</f>
        <v/>
      </c>
      <c r="F32" s="76"/>
      <c r="G32" s="96" t="str">
        <f ca="1">IF(ROWS($1:19)&gt;COUNT(Dong),"",IF(OFFSET(TH!N$1,SMALL(Dong,ROWS($1:19)),)="331",OFFSET(TH!M$1,SMALL(Dong,ROWS($1:19)),),0))</f>
        <v/>
      </c>
      <c r="H32" s="96" t="str">
        <f ca="1">IF(ROWS($1:19)&gt;COUNT(Dong),"",IF(OFFSET(TH!O$1,SMALL(Dong,ROWS($1:19)),)="331",OFFSET(TH!M$1,SMALL(Dong,ROWS($1:19)),),0))</f>
        <v/>
      </c>
      <c r="I32" s="25">
        <f t="shared" ca="1" si="0"/>
        <v>0</v>
      </c>
      <c r="J32" s="25">
        <f t="shared" ca="1" si="1"/>
        <v>0</v>
      </c>
    </row>
    <row r="33" spans="1:11" s="18" customFormat="1" ht="18" customHeight="1">
      <c r="A33" s="9" t="str">
        <f ca="1">IF(ROWS($1:20)&gt;COUNT(Dong),"",OFFSET(TH!C$1,SMALL(Dong,ROWS($1:20)),))</f>
        <v/>
      </c>
      <c r="B33" s="9" t="str">
        <f ca="1">IF(ROWS($1:20)&gt;COUNT(Dong),"",OFFSET(TH!D$1,SMALL(Dong,ROWS($1:20)),))</f>
        <v/>
      </c>
      <c r="C33" s="9" t="str">
        <f ca="1">IF(ROWS($1:20)&gt;COUNT(Dong),"",OFFSET(TH!E$1,SMALL(Dong,ROWS($1:20)),))</f>
        <v/>
      </c>
      <c r="D33" s="370" t="str">
        <f ca="1">IF(ROWS($1:20)&gt;COUNT(Dong),"",OFFSET(TH!F$1,SMALL(Dong,ROWS($1:20)),))</f>
        <v/>
      </c>
      <c r="E33" s="76" t="str">
        <f ca="1">IF(ROWS($1:20)&gt;COUNT(Dong),"",IF(OFFSET(TH!N$1,SMALL(Dong,ROWS($1:20)),)="331",OFFSET(TH!O$1,SMALL(Dong,ROWS($1:20)),),OFFSET(TH!N$1,SMALL(Dong,ROWS($1:20)),)))</f>
        <v/>
      </c>
      <c r="F33" s="76"/>
      <c r="G33" s="96" t="str">
        <f ca="1">IF(ROWS($1:20)&gt;COUNT(Dong),"",IF(OFFSET(TH!N$1,SMALL(Dong,ROWS($1:20)),)="331",OFFSET(TH!M$1,SMALL(Dong,ROWS($1:20)),),0))</f>
        <v/>
      </c>
      <c r="H33" s="96" t="str">
        <f ca="1">IF(ROWS($1:20)&gt;COUNT(Dong),"",IF(OFFSET(TH!O$1,SMALL(Dong,ROWS($1:20)),)="331",OFFSET(TH!M$1,SMALL(Dong,ROWS($1:20)),),0))</f>
        <v/>
      </c>
      <c r="I33" s="25">
        <f t="shared" ca="1" si="0"/>
        <v>0</v>
      </c>
      <c r="J33" s="25">
        <f t="shared" ca="1" si="1"/>
        <v>0</v>
      </c>
    </row>
    <row r="34" spans="1:11" s="18" customFormat="1" ht="18" customHeight="1">
      <c r="A34" s="9" t="str">
        <f ca="1">IF(ROWS($1:21)&gt;COUNT(Dong),"",OFFSET(TH!C$1,SMALL(Dong,ROWS($1:21)),))</f>
        <v/>
      </c>
      <c r="B34" s="9" t="str">
        <f ca="1">IF(ROWS($1:21)&gt;COUNT(Dong),"",OFFSET(TH!D$1,SMALL(Dong,ROWS($1:21)),))</f>
        <v/>
      </c>
      <c r="C34" s="9" t="str">
        <f ca="1">IF(ROWS($1:21)&gt;COUNT(Dong),"",OFFSET(TH!E$1,SMALL(Dong,ROWS($1:21)),))</f>
        <v/>
      </c>
      <c r="D34" s="370" t="str">
        <f ca="1">IF(ROWS($1:21)&gt;COUNT(Dong),"",OFFSET(TH!F$1,SMALL(Dong,ROWS($1:21)),))</f>
        <v/>
      </c>
      <c r="E34" s="76" t="str">
        <f ca="1">IF(ROWS($1:21)&gt;COUNT(Dong),"",IF(OFFSET(TH!N$1,SMALL(Dong,ROWS($1:21)),)="331",OFFSET(TH!O$1,SMALL(Dong,ROWS($1:21)),),OFFSET(TH!N$1,SMALL(Dong,ROWS($1:21)),)))</f>
        <v/>
      </c>
      <c r="F34" s="76"/>
      <c r="G34" s="96" t="str">
        <f ca="1">IF(ROWS($1:21)&gt;COUNT(Dong),"",IF(OFFSET(TH!N$1,SMALL(Dong,ROWS($1:21)),)="331",OFFSET(TH!M$1,SMALL(Dong,ROWS($1:21)),),0))</f>
        <v/>
      </c>
      <c r="H34" s="96" t="str">
        <f ca="1">IF(ROWS($1:21)&gt;COUNT(Dong),"",IF(OFFSET(TH!O$1,SMALL(Dong,ROWS($1:21)),)="331",OFFSET(TH!M$1,SMALL(Dong,ROWS($1:21)),),0))</f>
        <v/>
      </c>
      <c r="I34" s="25">
        <f t="shared" ca="1" si="0"/>
        <v>0</v>
      </c>
      <c r="J34" s="25">
        <f t="shared" ca="1" si="1"/>
        <v>0</v>
      </c>
    </row>
    <row r="35" spans="1:11" s="18" customFormat="1" ht="18" customHeight="1">
      <c r="A35" s="9" t="str">
        <f ca="1">IF(ROWS($1:22)&gt;COUNT(Dong),"",OFFSET(TH!C$1,SMALL(Dong,ROWS($1:22)),))</f>
        <v/>
      </c>
      <c r="B35" s="9" t="str">
        <f ca="1">IF(ROWS($1:22)&gt;COUNT(Dong),"",OFFSET(TH!D$1,SMALL(Dong,ROWS($1:22)),))</f>
        <v/>
      </c>
      <c r="C35" s="9" t="str">
        <f ca="1">IF(ROWS($1:22)&gt;COUNT(Dong),"",OFFSET(TH!E$1,SMALL(Dong,ROWS($1:22)),))</f>
        <v/>
      </c>
      <c r="D35" s="370" t="str">
        <f ca="1">IF(ROWS($1:22)&gt;COUNT(Dong),"",OFFSET(TH!F$1,SMALL(Dong,ROWS($1:22)),))</f>
        <v/>
      </c>
      <c r="E35" s="76" t="str">
        <f ca="1">IF(ROWS($1:22)&gt;COUNT(Dong),"",IF(OFFSET(TH!N$1,SMALL(Dong,ROWS($1:22)),)="331",OFFSET(TH!O$1,SMALL(Dong,ROWS($1:22)),),OFFSET(TH!N$1,SMALL(Dong,ROWS($1:22)),)))</f>
        <v/>
      </c>
      <c r="F35" s="76"/>
      <c r="G35" s="96" t="str">
        <f ca="1">IF(ROWS($1:22)&gt;COUNT(Dong),"",IF(OFFSET(TH!N$1,SMALL(Dong,ROWS($1:22)),)="331",OFFSET(TH!M$1,SMALL(Dong,ROWS($1:22)),),0))</f>
        <v/>
      </c>
      <c r="H35" s="96" t="str">
        <f ca="1">IF(ROWS($1:22)&gt;COUNT(Dong),"",IF(OFFSET(TH!O$1,SMALL(Dong,ROWS($1:22)),)="331",OFFSET(TH!M$1,SMALL(Dong,ROWS($1:22)),),0))</f>
        <v/>
      </c>
      <c r="I35" s="25">
        <f t="shared" ca="1" si="0"/>
        <v>0</v>
      </c>
      <c r="J35" s="25">
        <f t="shared" ca="1" si="1"/>
        <v>0</v>
      </c>
    </row>
    <row r="36" spans="1:11" s="18" customFormat="1" ht="18" customHeight="1">
      <c r="A36" s="9" t="str">
        <f ca="1">IF(ROWS($1:23)&gt;COUNT(Dong),"",OFFSET(TH!C$1,SMALL(Dong,ROWS($1:23)),))</f>
        <v/>
      </c>
      <c r="B36" s="9" t="str">
        <f ca="1">IF(ROWS($1:23)&gt;COUNT(Dong),"",OFFSET(TH!D$1,SMALL(Dong,ROWS($1:23)),))</f>
        <v/>
      </c>
      <c r="C36" s="9" t="str">
        <f ca="1">IF(ROWS($1:23)&gt;COUNT(Dong),"",OFFSET(TH!E$1,SMALL(Dong,ROWS($1:23)),))</f>
        <v/>
      </c>
      <c r="D36" s="370" t="str">
        <f ca="1">IF(ROWS($1:23)&gt;COUNT(Dong),"",OFFSET(TH!F$1,SMALL(Dong,ROWS($1:23)),))</f>
        <v/>
      </c>
      <c r="E36" s="76" t="str">
        <f ca="1">IF(ROWS($1:23)&gt;COUNT(Dong),"",IF(OFFSET(TH!N$1,SMALL(Dong,ROWS($1:23)),)="331",OFFSET(TH!O$1,SMALL(Dong,ROWS($1:23)),),OFFSET(TH!N$1,SMALL(Dong,ROWS($1:23)),)))</f>
        <v/>
      </c>
      <c r="F36" s="76"/>
      <c r="G36" s="96" t="str">
        <f ca="1">IF(ROWS($1:23)&gt;COUNT(Dong),"",IF(OFFSET(TH!N$1,SMALL(Dong,ROWS($1:23)),)="331",OFFSET(TH!M$1,SMALL(Dong,ROWS($1:23)),),0))</f>
        <v/>
      </c>
      <c r="H36" s="96" t="str">
        <f ca="1">IF(ROWS($1:23)&gt;COUNT(Dong),"",IF(OFFSET(TH!O$1,SMALL(Dong,ROWS($1:23)),)="331",OFFSET(TH!M$1,SMALL(Dong,ROWS($1:23)),),0))</f>
        <v/>
      </c>
      <c r="I36" s="25">
        <f t="shared" ca="1" si="0"/>
        <v>0</v>
      </c>
      <c r="J36" s="25">
        <f t="shared" ca="1" si="1"/>
        <v>0</v>
      </c>
    </row>
    <row r="37" spans="1:11" s="18" customFormat="1" ht="18" customHeight="1">
      <c r="A37" s="9" t="str">
        <f ca="1">IF(ROWS($1:24)&gt;COUNT(Dong),"",OFFSET(TH!C$1,SMALL(Dong,ROWS($1:24)),))</f>
        <v/>
      </c>
      <c r="B37" s="9" t="str">
        <f ca="1">IF(ROWS($1:24)&gt;COUNT(Dong),"",OFFSET(TH!D$1,SMALL(Dong,ROWS($1:24)),))</f>
        <v/>
      </c>
      <c r="C37" s="9" t="str">
        <f ca="1">IF(ROWS($1:24)&gt;COUNT(Dong),"",OFFSET(TH!E$1,SMALL(Dong,ROWS($1:24)),))</f>
        <v/>
      </c>
      <c r="D37" s="370" t="str">
        <f ca="1">IF(ROWS($1:24)&gt;COUNT(Dong),"",OFFSET(TH!F$1,SMALL(Dong,ROWS($1:24)),))</f>
        <v/>
      </c>
      <c r="E37" s="76" t="str">
        <f ca="1">IF(ROWS($1:24)&gt;COUNT(Dong),"",IF(OFFSET(TH!N$1,SMALL(Dong,ROWS($1:24)),)="331",OFFSET(TH!O$1,SMALL(Dong,ROWS($1:24)),),OFFSET(TH!N$1,SMALL(Dong,ROWS($1:24)),)))</f>
        <v/>
      </c>
      <c r="F37" s="76"/>
      <c r="G37" s="96" t="str">
        <f ca="1">IF(ROWS($1:24)&gt;COUNT(Dong),"",IF(OFFSET(TH!N$1,SMALL(Dong,ROWS($1:24)),)="331",OFFSET(TH!M$1,SMALL(Dong,ROWS($1:24)),),0))</f>
        <v/>
      </c>
      <c r="H37" s="96" t="str">
        <f ca="1">IF(ROWS($1:24)&gt;COUNT(Dong),"",IF(OFFSET(TH!O$1,SMALL(Dong,ROWS($1:24)),)="331",OFFSET(TH!M$1,SMALL(Dong,ROWS($1:24)),),0))</f>
        <v/>
      </c>
      <c r="I37" s="25">
        <f t="shared" ca="1" si="0"/>
        <v>0</v>
      </c>
      <c r="J37" s="25">
        <f t="shared" ca="1" si="1"/>
        <v>0</v>
      </c>
    </row>
    <row r="38" spans="1:11" s="18" customFormat="1" ht="18" customHeight="1">
      <c r="A38" s="9" t="str">
        <f ca="1">IF(ROWS($1:25)&gt;COUNT(Dong),"",OFFSET(TH!C$1,SMALL(Dong,ROWS($1:25)),))</f>
        <v/>
      </c>
      <c r="B38" s="9" t="str">
        <f ca="1">IF(ROWS($1:25)&gt;COUNT(Dong),"",OFFSET(TH!D$1,SMALL(Dong,ROWS($1:25)),))</f>
        <v/>
      </c>
      <c r="C38" s="9" t="str">
        <f ca="1">IF(ROWS($1:25)&gt;COUNT(Dong),"",OFFSET(TH!E$1,SMALL(Dong,ROWS($1:25)),))</f>
        <v/>
      </c>
      <c r="D38" s="370" t="str">
        <f ca="1">IF(ROWS($1:25)&gt;COUNT(Dong),"",OFFSET(TH!F$1,SMALL(Dong,ROWS($1:25)),))</f>
        <v/>
      </c>
      <c r="E38" s="76" t="str">
        <f ca="1">IF(ROWS($1:25)&gt;COUNT(Dong),"",IF(OFFSET(TH!N$1,SMALL(Dong,ROWS($1:25)),)="331",OFFSET(TH!O$1,SMALL(Dong,ROWS($1:25)),),OFFSET(TH!N$1,SMALL(Dong,ROWS($1:25)),)))</f>
        <v/>
      </c>
      <c r="F38" s="76"/>
      <c r="G38" s="96" t="str">
        <f ca="1">IF(ROWS($1:25)&gt;COUNT(Dong),"",IF(OFFSET(TH!N$1,SMALL(Dong,ROWS($1:25)),)="331",OFFSET(TH!M$1,SMALL(Dong,ROWS($1:25)),),0))</f>
        <v/>
      </c>
      <c r="H38" s="96" t="str">
        <f ca="1">IF(ROWS($1:25)&gt;COUNT(Dong),"",IF(OFFSET(TH!O$1,SMALL(Dong,ROWS($1:25)),)="331",OFFSET(TH!M$1,SMALL(Dong,ROWS($1:25)),),0))</f>
        <v/>
      </c>
      <c r="I38" s="25">
        <f t="shared" ca="1" si="0"/>
        <v>0</v>
      </c>
      <c r="J38" s="25">
        <f t="shared" ca="1" si="1"/>
        <v>0</v>
      </c>
    </row>
    <row r="39" spans="1:11" s="18" customFormat="1" ht="18" customHeight="1">
      <c r="A39" s="364"/>
      <c r="B39" s="364"/>
      <c r="C39" s="364"/>
      <c r="D39" s="365"/>
      <c r="E39" s="366"/>
      <c r="F39" s="366"/>
      <c r="G39" s="367"/>
      <c r="H39" s="367"/>
      <c r="I39" s="368"/>
      <c r="J39" s="368"/>
    </row>
    <row r="40" spans="1:11" s="18" customFormat="1" ht="18" customHeight="1">
      <c r="A40" s="24"/>
      <c r="B40" s="21"/>
      <c r="C40" s="26"/>
      <c r="D40" s="23" t="s">
        <v>35</v>
      </c>
      <c r="E40" s="21" t="s">
        <v>21</v>
      </c>
      <c r="F40" s="21" t="s">
        <v>21</v>
      </c>
      <c r="G40" s="27">
        <f ca="1">SUM(G14:G30)</f>
        <v>138600000</v>
      </c>
      <c r="H40" s="27">
        <f ca="1">SUM(H14:H30)</f>
        <v>214060000</v>
      </c>
      <c r="I40" s="27" t="s">
        <v>21</v>
      </c>
      <c r="J40" s="27" t="s">
        <v>21</v>
      </c>
    </row>
    <row r="41" spans="1:11" s="18" customFormat="1" ht="18" customHeight="1">
      <c r="A41" s="24"/>
      <c r="B41" s="21"/>
      <c r="C41" s="21"/>
      <c r="D41" s="23" t="s">
        <v>10</v>
      </c>
      <c r="E41" s="21" t="s">
        <v>21</v>
      </c>
      <c r="F41" s="21" t="s">
        <v>21</v>
      </c>
      <c r="G41" s="27" t="s">
        <v>21</v>
      </c>
      <c r="H41" s="27" t="s">
        <v>21</v>
      </c>
      <c r="I41" s="27">
        <f ca="1">MAX(I13+G40-H40-J13,0)</f>
        <v>0</v>
      </c>
      <c r="J41" s="27">
        <f ca="1">MAX(J13+H40-G40-I13,0)</f>
        <v>75460000</v>
      </c>
    </row>
    <row r="42" spans="1:11" s="18" customFormat="1" ht="6" customHeight="1">
      <c r="B42" s="19"/>
      <c r="C42" s="19"/>
      <c r="E42" s="19"/>
    </row>
    <row r="43" spans="1:11" s="18" customFormat="1" ht="14.25" customHeight="1">
      <c r="A43" s="28" t="s">
        <v>233</v>
      </c>
      <c r="B43" s="19"/>
      <c r="C43" s="19"/>
      <c r="E43" s="19"/>
      <c r="K43" s="28" t="s">
        <v>233</v>
      </c>
    </row>
    <row r="44" spans="1:11" s="18" customFormat="1" ht="14.25" customHeight="1">
      <c r="A44" s="28" t="s">
        <v>188</v>
      </c>
      <c r="B44" s="19"/>
      <c r="C44" s="19"/>
      <c r="E44" s="19"/>
      <c r="K44" s="28" t="s">
        <v>36</v>
      </c>
    </row>
    <row r="45" spans="1:11" s="18" customFormat="1" ht="14.25" customHeight="1">
      <c r="B45" s="19"/>
      <c r="C45" s="19"/>
      <c r="E45" s="1266" t="s">
        <v>175</v>
      </c>
      <c r="F45" s="1266"/>
      <c r="G45" s="1266"/>
      <c r="H45" s="1266"/>
      <c r="I45" s="1266"/>
      <c r="J45" s="1266"/>
    </row>
    <row r="46" spans="1:11" s="18" customFormat="1" ht="14.25" customHeight="1">
      <c r="C46" s="354" t="s">
        <v>11</v>
      </c>
      <c r="E46" s="1266" t="s">
        <v>12</v>
      </c>
      <c r="F46" s="1266"/>
      <c r="G46" s="1266"/>
      <c r="H46" s="1266"/>
      <c r="I46" s="1266"/>
      <c r="J46" s="1266"/>
    </row>
    <row r="47" spans="1:11" s="18" customFormat="1" ht="14.25" customHeight="1">
      <c r="C47" s="354" t="s">
        <v>13</v>
      </c>
      <c r="E47" s="1266" t="s">
        <v>13</v>
      </c>
      <c r="F47" s="1266"/>
      <c r="G47" s="1266"/>
      <c r="H47" s="1266"/>
      <c r="I47" s="1266"/>
      <c r="J47" s="1266"/>
    </row>
    <row r="48" spans="1:11" s="29" customFormat="1"/>
    <row r="54" spans="3:3" ht="15">
      <c r="C54" s="369" t="s">
        <v>229</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8.xml><?xml version="1.0" encoding="utf-8"?>
<worksheet xmlns="http://schemas.openxmlformats.org/spreadsheetml/2006/main" xmlns:r="http://schemas.openxmlformats.org/officeDocument/2006/relationships">
  <sheetPr>
    <tabColor theme="3"/>
  </sheetPr>
  <dimension ref="A1:P56"/>
  <sheetViews>
    <sheetView showZeros="0" workbookViewId="0">
      <pane ySplit="4" topLeftCell="A32" activePane="bottomLeft" state="frozen"/>
      <selection activeCell="G34" sqref="G34"/>
      <selection pane="bottomLeft" activeCell="L56" sqref="L56:L57"/>
    </sheetView>
  </sheetViews>
  <sheetFormatPr defaultColWidth="8" defaultRowHeight="13.5"/>
  <cols>
    <col min="1" max="1" width="4.28515625" style="228" customWidth="1"/>
    <col min="2" max="2" width="21.85546875" style="228" customWidth="1"/>
    <col min="3" max="3" width="8.7109375" style="228" customWidth="1"/>
    <col min="4" max="4" width="8.7109375" style="228" hidden="1" customWidth="1"/>
    <col min="5" max="5" width="8.140625" style="228" customWidth="1"/>
    <col min="6" max="6" width="9.42578125" style="228" customWidth="1"/>
    <col min="7" max="7" width="9.140625" style="1162" customWidth="1"/>
    <col min="8" max="8" width="13.7109375" style="228" customWidth="1"/>
    <col min="9" max="9" width="10.5703125" style="1162" customWidth="1"/>
    <col min="10" max="10" width="14.5703125" style="228" customWidth="1"/>
    <col min="11" max="11" width="9.7109375" style="1162" customWidth="1"/>
    <col min="12" max="12" width="13.7109375" style="228" customWidth="1"/>
    <col min="13" max="13" width="8.140625" style="228" customWidth="1"/>
    <col min="14" max="14" width="12.140625" style="228" customWidth="1"/>
    <col min="15" max="15" width="10.85546875" style="1162" customWidth="1"/>
    <col min="16" max="16" width="14" style="228" customWidth="1"/>
    <col min="17" max="16384" width="8" style="228"/>
  </cols>
  <sheetData>
    <row r="1" spans="1:16" ht="21.75" customHeight="1">
      <c r="A1" s="1353" t="s">
        <v>176</v>
      </c>
      <c r="B1" s="1353"/>
      <c r="C1" s="1353"/>
      <c r="D1" s="1353"/>
      <c r="E1" s="1353"/>
      <c r="F1" s="1353"/>
      <c r="G1" s="1353"/>
      <c r="H1" s="1353"/>
      <c r="I1" s="1353"/>
      <c r="J1" s="1353"/>
      <c r="K1" s="1353"/>
      <c r="L1" s="1353"/>
      <c r="M1" s="1353"/>
      <c r="N1" s="1353"/>
      <c r="O1" s="1353"/>
      <c r="P1" s="1353"/>
    </row>
    <row r="2" spans="1:16" s="10" customFormat="1" ht="15.75" customHeight="1">
      <c r="A2" s="1400" t="s">
        <v>37</v>
      </c>
      <c r="B2" s="1402" t="s">
        <v>177</v>
      </c>
      <c r="C2" s="1402" t="s">
        <v>178</v>
      </c>
      <c r="D2" s="1402" t="s">
        <v>180</v>
      </c>
      <c r="E2" s="1352" t="s">
        <v>39</v>
      </c>
      <c r="F2" s="1352"/>
      <c r="G2" s="1352"/>
      <c r="H2" s="1352"/>
      <c r="I2" s="1352" t="s">
        <v>40</v>
      </c>
      <c r="J2" s="1352"/>
      <c r="K2" s="1352"/>
      <c r="L2" s="1352"/>
      <c r="M2" s="1398" t="s">
        <v>44</v>
      </c>
      <c r="N2" s="1407"/>
      <c r="O2" s="1407"/>
      <c r="P2" s="1399"/>
    </row>
    <row r="3" spans="1:16" s="10" customFormat="1" ht="15.75" customHeight="1">
      <c r="A3" s="1401"/>
      <c r="B3" s="1403"/>
      <c r="C3" s="1403"/>
      <c r="D3" s="1403"/>
      <c r="E3" s="1352" t="s">
        <v>45</v>
      </c>
      <c r="F3" s="1352"/>
      <c r="G3" s="1352" t="s">
        <v>46</v>
      </c>
      <c r="H3" s="1352"/>
      <c r="I3" s="1352" t="s">
        <v>45</v>
      </c>
      <c r="J3" s="1352"/>
      <c r="K3" s="1352" t="s">
        <v>46</v>
      </c>
      <c r="L3" s="1352"/>
      <c r="M3" s="1352" t="s">
        <v>45</v>
      </c>
      <c r="N3" s="1352"/>
      <c r="O3" s="1352" t="s">
        <v>46</v>
      </c>
      <c r="P3" s="1352"/>
    </row>
    <row r="4" spans="1:16" s="10" customFormat="1" ht="15.75" customHeight="1">
      <c r="A4" s="1401"/>
      <c r="B4" s="1403"/>
      <c r="C4" s="1403"/>
      <c r="D4" s="1403"/>
      <c r="E4" s="331" t="s">
        <v>227</v>
      </c>
      <c r="F4" s="331" t="s">
        <v>228</v>
      </c>
      <c r="G4" s="1160" t="s">
        <v>227</v>
      </c>
      <c r="H4" s="331" t="s">
        <v>228</v>
      </c>
      <c r="I4" s="1160" t="s">
        <v>227</v>
      </c>
      <c r="J4" s="331" t="s">
        <v>228</v>
      </c>
      <c r="K4" s="1160" t="s">
        <v>227</v>
      </c>
      <c r="L4" s="331" t="s">
        <v>228</v>
      </c>
      <c r="M4" s="331" t="s">
        <v>227</v>
      </c>
      <c r="N4" s="331" t="s">
        <v>228</v>
      </c>
      <c r="O4" s="1160" t="s">
        <v>227</v>
      </c>
      <c r="P4" s="331" t="s">
        <v>228</v>
      </c>
    </row>
    <row r="5" spans="1:16" s="10" customFormat="1" ht="18" customHeight="1">
      <c r="A5" s="884">
        <f t="shared" ref="A5:A41" si="0">IF(B5&lt;&gt;"",ROW()-4,"")</f>
        <v>1</v>
      </c>
      <c r="B5" s="881" t="s">
        <v>1449</v>
      </c>
      <c r="C5" s="229">
        <v>42475</v>
      </c>
      <c r="D5" s="229"/>
      <c r="E5" s="229"/>
      <c r="F5" s="8"/>
      <c r="G5" s="230"/>
      <c r="H5" s="8"/>
      <c r="I5" s="333">
        <f t="array" ref="I5">SUM(IF("341"&amp;B5=LEFT(KHN,3)&amp;KH,_TH))</f>
        <v>0</v>
      </c>
      <c r="J5" s="8">
        <f t="array" ref="J5">SUM(IF("341"&amp;B5=LEFT(KHN,3)&amp;KH,TH))</f>
        <v>1600000000</v>
      </c>
      <c r="K5" s="230">
        <f t="array" ref="K5">SUM(IF("341"&amp;B5=LEFT(KHC,3)&amp;KH,_TH))</f>
        <v>0</v>
      </c>
      <c r="L5" s="8">
        <f t="array" ref="L5">SUM(IF("341"&amp;B5=LEFT(KHC,3)&amp;KH,TH))</f>
        <v>1600000000</v>
      </c>
      <c r="M5" s="232">
        <f t="shared" ref="M5:M41" si="1">ROUND(MAX(E5+I5-G5-K5,0),2)</f>
        <v>0</v>
      </c>
      <c r="N5" s="232">
        <f t="shared" ref="N5:N41" si="2">ROUND(MAX(F5+J5-H5-L5,0),2)</f>
        <v>0</v>
      </c>
      <c r="O5" s="231">
        <f t="shared" ref="O5:O41" si="3">ROUND(MAX(G5+K5-E5-I5,0),2)</f>
        <v>0</v>
      </c>
      <c r="P5" s="232">
        <f t="shared" ref="P5:P41" si="4">ROUND(MAX(H5+L5-F5-J5,0),2)</f>
        <v>0</v>
      </c>
    </row>
    <row r="6" spans="1:16" s="10" customFormat="1" ht="18" customHeight="1">
      <c r="A6" s="884">
        <f t="shared" si="0"/>
        <v>2</v>
      </c>
      <c r="B6" s="881" t="s">
        <v>1540</v>
      </c>
      <c r="C6" s="229">
        <v>42501</v>
      </c>
      <c r="D6" s="229"/>
      <c r="E6" s="229"/>
      <c r="F6" s="8"/>
      <c r="G6" s="230"/>
      <c r="H6" s="8"/>
      <c r="I6" s="333">
        <f t="array" ref="I6">SUM(IF("341"&amp;B6=LEFT(KHN,3)&amp;KH,_TH))</f>
        <v>0</v>
      </c>
      <c r="J6" s="8">
        <f t="array" ref="J6">SUM(IF("341"&amp;B6=LEFT(KHN,3)&amp;KH,TH))</f>
        <v>1418407200</v>
      </c>
      <c r="K6" s="230">
        <f t="array" ref="K6">SUM(IF("341"&amp;B6=LEFT(KHC,3)&amp;KH,_TH))</f>
        <v>0</v>
      </c>
      <c r="L6" s="8">
        <f t="array" ref="L6">SUM(IF("341"&amp;B6=LEFT(KHC,3)&amp;KH,TH))</f>
        <v>1418407200</v>
      </c>
      <c r="M6" s="232">
        <f t="shared" si="1"/>
        <v>0</v>
      </c>
      <c r="N6" s="232">
        <f t="shared" si="2"/>
        <v>0</v>
      </c>
      <c r="O6" s="231">
        <f t="shared" si="3"/>
        <v>0</v>
      </c>
      <c r="P6" s="232">
        <f t="shared" si="4"/>
        <v>0</v>
      </c>
    </row>
    <row r="7" spans="1:16" s="10" customFormat="1" ht="18" customHeight="1">
      <c r="A7" s="884">
        <f t="shared" si="0"/>
        <v>3</v>
      </c>
      <c r="B7" s="881" t="s">
        <v>1541</v>
      </c>
      <c r="C7" s="229">
        <v>42503</v>
      </c>
      <c r="D7" s="229"/>
      <c r="E7" s="229"/>
      <c r="F7" s="8"/>
      <c r="G7" s="230"/>
      <c r="H7" s="8"/>
      <c r="I7" s="333">
        <f t="array" ref="I7">SUM(IF("341"&amp;B7=LEFT(KHN,3)&amp;KH,_TH))</f>
        <v>0</v>
      </c>
      <c r="J7" s="8">
        <f t="array" ref="J7">SUM(IF("341"&amp;B7=LEFT(KHN,3)&amp;KH,TH))</f>
        <v>837658200</v>
      </c>
      <c r="K7" s="230">
        <f t="array" ref="K7">SUM(IF("341"&amp;B7=LEFT(KHC,3)&amp;KH,_TH))</f>
        <v>0</v>
      </c>
      <c r="L7" s="8">
        <f t="array" ref="L7">SUM(IF("341"&amp;B7=LEFT(KHC,3)&amp;KH,TH))</f>
        <v>837658200</v>
      </c>
      <c r="M7" s="232">
        <f t="shared" si="1"/>
        <v>0</v>
      </c>
      <c r="N7" s="232">
        <f t="shared" si="2"/>
        <v>0</v>
      </c>
      <c r="O7" s="231">
        <f t="shared" si="3"/>
        <v>0</v>
      </c>
      <c r="P7" s="232">
        <f t="shared" si="4"/>
        <v>0</v>
      </c>
    </row>
    <row r="8" spans="1:16" s="10" customFormat="1" ht="18" customHeight="1">
      <c r="A8" s="884">
        <f t="shared" si="0"/>
        <v>4</v>
      </c>
      <c r="B8" s="881" t="s">
        <v>1887</v>
      </c>
      <c r="C8" s="229">
        <v>42528</v>
      </c>
      <c r="D8" s="229"/>
      <c r="E8" s="229"/>
      <c r="F8" s="8"/>
      <c r="G8" s="230"/>
      <c r="H8" s="8"/>
      <c r="I8" s="333">
        <f t="array" ref="I8">SUM(IF("341"&amp;B8=LEFT(KHN,3)&amp;KH,_TH))</f>
        <v>76050</v>
      </c>
      <c r="J8" s="8">
        <f t="array" ref="J8">SUM(IF("341"&amp;B8=LEFT(KHN,3)&amp;KH,TH))</f>
        <v>1697436000</v>
      </c>
      <c r="K8" s="230">
        <f t="array" ref="K8">SUM(IF("341"&amp;B8=LEFT(KHC,3)&amp;KH,_TH))</f>
        <v>76050</v>
      </c>
      <c r="L8" s="8">
        <f t="array" ref="L8">SUM(IF("341"&amp;B8=LEFT(KHC,3)&amp;KH,TH))</f>
        <v>1697436000</v>
      </c>
      <c r="M8" s="232">
        <f t="shared" si="1"/>
        <v>0</v>
      </c>
      <c r="N8" s="232">
        <f t="shared" si="2"/>
        <v>0</v>
      </c>
      <c r="O8" s="231">
        <f t="shared" si="3"/>
        <v>0</v>
      </c>
      <c r="P8" s="232">
        <f t="shared" si="4"/>
        <v>0</v>
      </c>
    </row>
    <row r="9" spans="1:16" s="10" customFormat="1" ht="18" customHeight="1">
      <c r="A9" s="884">
        <f t="shared" si="0"/>
        <v>5</v>
      </c>
      <c r="B9" s="7" t="s">
        <v>717</v>
      </c>
      <c r="C9" s="229">
        <v>40200</v>
      </c>
      <c r="D9" s="229">
        <v>0</v>
      </c>
      <c r="E9" s="229">
        <v>0</v>
      </c>
      <c r="F9" s="8">
        <v>0</v>
      </c>
      <c r="G9" s="230">
        <v>13915</v>
      </c>
      <c r="H9" s="8">
        <v>312878775</v>
      </c>
      <c r="I9" s="333">
        <f t="array" ref="I9">SUM(IF("341"&amp;B9=LEFT(KHN,3)&amp;KH,_TH))</f>
        <v>13915</v>
      </c>
      <c r="J9" s="8">
        <f t="array" ref="J9">SUM(IF("341"&amp;B9=LEFT(KHN,3)&amp;KH,TH))</f>
        <v>312878775</v>
      </c>
      <c r="K9" s="230">
        <f t="array" ref="K9">SUM(IF("341"&amp;B9=LEFT(KHC,3)&amp;KH,_TH))</f>
        <v>0</v>
      </c>
      <c r="L9" s="8">
        <f t="array" ref="L9">SUM(IF("341"&amp;B9=LEFT(KHC,3)&amp;KH,TH))</f>
        <v>0</v>
      </c>
      <c r="M9" s="232">
        <f t="shared" si="1"/>
        <v>0</v>
      </c>
      <c r="N9" s="232">
        <f t="shared" si="2"/>
        <v>0</v>
      </c>
      <c r="O9" s="231">
        <f t="shared" si="3"/>
        <v>0</v>
      </c>
      <c r="P9" s="232">
        <f t="shared" si="4"/>
        <v>0</v>
      </c>
    </row>
    <row r="10" spans="1:16" s="10" customFormat="1" ht="18" customHeight="1">
      <c r="A10" s="884">
        <f t="shared" si="0"/>
        <v>6</v>
      </c>
      <c r="B10" s="7" t="s">
        <v>710</v>
      </c>
      <c r="C10" s="229">
        <v>40964</v>
      </c>
      <c r="D10" s="229">
        <v>0</v>
      </c>
      <c r="E10" s="229">
        <v>0</v>
      </c>
      <c r="F10" s="8">
        <v>0</v>
      </c>
      <c r="G10" s="230">
        <v>33319.39</v>
      </c>
      <c r="H10" s="8">
        <v>749186484</v>
      </c>
      <c r="I10" s="333">
        <f t="array" ref="I10">SUM(IF("341"&amp;B10=LEFT(KHN,3)&amp;KH,_TH))</f>
        <v>33319.39</v>
      </c>
      <c r="J10" s="8">
        <f t="array" ref="J10">SUM(IF("341"&amp;B10=LEFT(KHN,3)&amp;KH,TH))</f>
        <v>749186484</v>
      </c>
      <c r="K10" s="230">
        <f t="array" ref="K10">SUM(IF("341"&amp;B10=LEFT(KHC,3)&amp;KH,_TH))</f>
        <v>0</v>
      </c>
      <c r="L10" s="8">
        <f t="array" ref="L10">SUM(IF("341"&amp;B10=LEFT(KHC,3)&amp;KH,TH))</f>
        <v>0</v>
      </c>
      <c r="M10" s="232">
        <f t="shared" si="1"/>
        <v>0</v>
      </c>
      <c r="N10" s="232">
        <f t="shared" si="2"/>
        <v>0</v>
      </c>
      <c r="O10" s="231">
        <f t="shared" si="3"/>
        <v>0</v>
      </c>
      <c r="P10" s="232">
        <f t="shared" si="4"/>
        <v>0</v>
      </c>
    </row>
    <row r="11" spans="1:16" s="10" customFormat="1" ht="18" customHeight="1">
      <c r="A11" s="884">
        <f t="shared" si="0"/>
        <v>7</v>
      </c>
      <c r="B11" s="7" t="s">
        <v>711</v>
      </c>
      <c r="C11" s="229">
        <v>40964</v>
      </c>
      <c r="D11" s="229">
        <v>0</v>
      </c>
      <c r="E11" s="229">
        <v>0</v>
      </c>
      <c r="F11" s="8">
        <v>0</v>
      </c>
      <c r="G11" s="230">
        <v>20515.96</v>
      </c>
      <c r="H11" s="8">
        <v>461301361</v>
      </c>
      <c r="I11" s="333">
        <f t="array" ref="I11">SUM(IF("341"&amp;B11=LEFT(KHN,3)&amp;KH,_TH))</f>
        <v>20515.96</v>
      </c>
      <c r="J11" s="8">
        <f t="array" ref="J11">SUM(IF("341"&amp;B11=LEFT(KHN,3)&amp;KH,TH))</f>
        <v>461301361</v>
      </c>
      <c r="K11" s="230">
        <f t="array" ref="K11">SUM(IF("341"&amp;B11=LEFT(KHC,3)&amp;KH,_TH))</f>
        <v>0</v>
      </c>
      <c r="L11" s="8">
        <f t="array" ref="L11">SUM(IF("341"&amp;B11=LEFT(KHC,3)&amp;KH,TH))</f>
        <v>0</v>
      </c>
      <c r="M11" s="232">
        <f t="shared" si="1"/>
        <v>0</v>
      </c>
      <c r="N11" s="232">
        <f t="shared" si="2"/>
        <v>0</v>
      </c>
      <c r="O11" s="231">
        <f t="shared" si="3"/>
        <v>0</v>
      </c>
      <c r="P11" s="232">
        <f t="shared" si="4"/>
        <v>0</v>
      </c>
    </row>
    <row r="12" spans="1:16" s="10" customFormat="1" ht="18" customHeight="1">
      <c r="A12" s="884">
        <f t="shared" si="0"/>
        <v>8</v>
      </c>
      <c r="B12" s="7" t="s">
        <v>718</v>
      </c>
      <c r="C12" s="229">
        <v>40964</v>
      </c>
      <c r="D12" s="229">
        <v>0</v>
      </c>
      <c r="E12" s="229">
        <v>0</v>
      </c>
      <c r="F12" s="8">
        <v>0</v>
      </c>
      <c r="G12" s="230">
        <v>28719.38</v>
      </c>
      <c r="H12" s="8">
        <v>645755259</v>
      </c>
      <c r="I12" s="333">
        <f t="array" ref="I12">SUM(IF("341"&amp;B12=LEFT(KHN,3)&amp;KH,_TH))</f>
        <v>28719.38</v>
      </c>
      <c r="J12" s="8">
        <f t="array" ref="J12">SUM(IF("341"&amp;B12=LEFT(KHN,3)&amp;KH,TH))</f>
        <v>645755259</v>
      </c>
      <c r="K12" s="230">
        <f t="array" ref="K12">SUM(IF("341"&amp;B12=LEFT(KHC,3)&amp;KH,_TH))</f>
        <v>0</v>
      </c>
      <c r="L12" s="8">
        <f t="array" ref="L12">SUM(IF("341"&amp;B12=LEFT(KHC,3)&amp;KH,TH))</f>
        <v>0</v>
      </c>
      <c r="M12" s="232">
        <f t="shared" si="1"/>
        <v>0</v>
      </c>
      <c r="N12" s="232">
        <f t="shared" si="2"/>
        <v>0</v>
      </c>
      <c r="O12" s="231">
        <f t="shared" si="3"/>
        <v>0</v>
      </c>
      <c r="P12" s="232">
        <f t="shared" si="4"/>
        <v>0</v>
      </c>
    </row>
    <row r="13" spans="1:16" s="10" customFormat="1" ht="18" customHeight="1">
      <c r="A13" s="884">
        <f t="shared" si="0"/>
        <v>9</v>
      </c>
      <c r="B13" s="7" t="s">
        <v>714</v>
      </c>
      <c r="C13" s="229">
        <v>42205</v>
      </c>
      <c r="D13" s="229">
        <v>0</v>
      </c>
      <c r="E13" s="229">
        <v>0</v>
      </c>
      <c r="F13" s="8">
        <v>0</v>
      </c>
      <c r="G13" s="230">
        <v>97000</v>
      </c>
      <c r="H13" s="8">
        <v>2117025000</v>
      </c>
      <c r="I13" s="333">
        <f t="array" ref="I13">SUM(IF("341"&amp;B13=LEFT(KHN,3)&amp;KH,_TH))</f>
        <v>97000</v>
      </c>
      <c r="J13" s="8">
        <f t="array" ref="J13">SUM(IF("341"&amp;B13=LEFT(KHN,3)&amp;KH,TH))</f>
        <v>2168920000</v>
      </c>
      <c r="K13" s="230">
        <f t="array" ref="K13">SUM(IF("341"&amp;B13=LEFT(KHC,3)&amp;KH,_TH))</f>
        <v>0</v>
      </c>
      <c r="L13" s="8">
        <f t="array" ref="L13">SUM(IF("341"&amp;B13=LEFT(KHC,3)&amp;KH,TH))</f>
        <v>51895000</v>
      </c>
      <c r="M13" s="232">
        <f t="shared" si="1"/>
        <v>0</v>
      </c>
      <c r="N13" s="232">
        <f t="shared" si="2"/>
        <v>0</v>
      </c>
      <c r="O13" s="231">
        <f t="shared" si="3"/>
        <v>0</v>
      </c>
      <c r="P13" s="232">
        <f t="shared" si="4"/>
        <v>0</v>
      </c>
    </row>
    <row r="14" spans="1:16" s="10" customFormat="1" ht="18" customHeight="1">
      <c r="A14" s="884">
        <f t="shared" si="0"/>
        <v>10</v>
      </c>
      <c r="B14" s="7" t="s">
        <v>719</v>
      </c>
      <c r="C14" s="229">
        <v>42247</v>
      </c>
      <c r="D14" s="229">
        <v>0</v>
      </c>
      <c r="E14" s="229">
        <v>0</v>
      </c>
      <c r="F14" s="8">
        <v>0</v>
      </c>
      <c r="G14" s="230">
        <v>82000</v>
      </c>
      <c r="H14" s="8">
        <v>1842950000</v>
      </c>
      <c r="I14" s="333">
        <f t="array" ref="I14">SUM(IF("341"&amp;B14=LEFT(KHN,3)&amp;KH,_TH))</f>
        <v>82000</v>
      </c>
      <c r="J14" s="8">
        <f t="array" ref="J14">SUM(IF("341"&amp;B14=LEFT(KHN,3)&amp;KH,TH))</f>
        <v>1842950000</v>
      </c>
      <c r="K14" s="230">
        <f t="array" ref="K14">SUM(IF("341"&amp;B14=LEFT(KHC,3)&amp;KH,_TH))</f>
        <v>0</v>
      </c>
      <c r="L14" s="8">
        <f t="array" ref="L14">SUM(IF("341"&amp;B14=LEFT(KHC,3)&amp;KH,TH))</f>
        <v>0</v>
      </c>
      <c r="M14" s="232">
        <f t="shared" si="1"/>
        <v>0</v>
      </c>
      <c r="N14" s="232">
        <f t="shared" si="2"/>
        <v>0</v>
      </c>
      <c r="O14" s="231">
        <f t="shared" si="3"/>
        <v>0</v>
      </c>
      <c r="P14" s="232">
        <f t="shared" si="4"/>
        <v>0</v>
      </c>
    </row>
    <row r="15" spans="1:16" s="10" customFormat="1" ht="18" customHeight="1">
      <c r="A15" s="884">
        <f t="shared" si="0"/>
        <v>11</v>
      </c>
      <c r="B15" s="7" t="s">
        <v>720</v>
      </c>
      <c r="C15" s="229">
        <v>42248</v>
      </c>
      <c r="D15" s="229">
        <v>0</v>
      </c>
      <c r="E15" s="229">
        <v>0</v>
      </c>
      <c r="F15" s="8">
        <v>0</v>
      </c>
      <c r="G15" s="230">
        <v>40000</v>
      </c>
      <c r="H15" s="8">
        <v>899520000</v>
      </c>
      <c r="I15" s="333">
        <f t="array" ref="I15">SUM(IF("341"&amp;B15=LEFT(KHN,3)&amp;KH,_TH))</f>
        <v>40000</v>
      </c>
      <c r="J15" s="8">
        <f t="array" ref="J15">SUM(IF("341"&amp;B15=LEFT(KHN,3)&amp;KH,TH))</f>
        <v>899520000</v>
      </c>
      <c r="K15" s="230">
        <f t="array" ref="K15">SUM(IF("341"&amp;B15=LEFT(KHC,3)&amp;KH,_TH))</f>
        <v>0</v>
      </c>
      <c r="L15" s="8">
        <f t="array" ref="L15">SUM(IF("341"&amp;B15=LEFT(KHC,3)&amp;KH,TH))</f>
        <v>0</v>
      </c>
      <c r="M15" s="232">
        <f t="shared" si="1"/>
        <v>0</v>
      </c>
      <c r="N15" s="232">
        <f t="shared" si="2"/>
        <v>0</v>
      </c>
      <c r="O15" s="231">
        <f t="shared" si="3"/>
        <v>0</v>
      </c>
      <c r="P15" s="232">
        <f t="shared" si="4"/>
        <v>0</v>
      </c>
    </row>
    <row r="16" spans="1:16" s="10" customFormat="1" ht="18" customHeight="1">
      <c r="A16" s="884">
        <f t="shared" si="0"/>
        <v>12</v>
      </c>
      <c r="B16" s="7" t="s">
        <v>721</v>
      </c>
      <c r="C16" s="229">
        <v>42251</v>
      </c>
      <c r="D16" s="229">
        <v>0</v>
      </c>
      <c r="E16" s="229">
        <v>0</v>
      </c>
      <c r="F16" s="8">
        <v>0</v>
      </c>
      <c r="G16" s="230">
        <v>50000</v>
      </c>
      <c r="H16" s="8">
        <v>1124250000</v>
      </c>
      <c r="I16" s="333">
        <f t="array" ref="I16">SUM(IF("341"&amp;B16=LEFT(KHN,3)&amp;KH,_TH))</f>
        <v>50000</v>
      </c>
      <c r="J16" s="8">
        <f t="array" ref="J16">SUM(IF("341"&amp;B16=LEFT(KHN,3)&amp;KH,TH))</f>
        <v>1124250000</v>
      </c>
      <c r="K16" s="230">
        <f t="array" ref="K16">SUM(IF("341"&amp;B16=LEFT(KHC,3)&amp;KH,_TH))</f>
        <v>0</v>
      </c>
      <c r="L16" s="8">
        <f t="array" ref="L16">SUM(IF("341"&amp;B16=LEFT(KHC,3)&amp;KH,TH))</f>
        <v>0</v>
      </c>
      <c r="M16" s="232">
        <f t="shared" si="1"/>
        <v>0</v>
      </c>
      <c r="N16" s="232">
        <f t="shared" si="2"/>
        <v>0</v>
      </c>
      <c r="O16" s="231">
        <f t="shared" si="3"/>
        <v>0</v>
      </c>
      <c r="P16" s="232">
        <f t="shared" si="4"/>
        <v>0</v>
      </c>
    </row>
    <row r="17" spans="1:16" s="10" customFormat="1" ht="18" customHeight="1">
      <c r="A17" s="884">
        <f t="shared" si="0"/>
        <v>13</v>
      </c>
      <c r="B17" s="7" t="s">
        <v>722</v>
      </c>
      <c r="C17" s="229">
        <v>42278</v>
      </c>
      <c r="D17" s="229">
        <v>0</v>
      </c>
      <c r="E17" s="229">
        <v>0</v>
      </c>
      <c r="F17" s="8">
        <v>0</v>
      </c>
      <c r="G17" s="230">
        <v>89500</v>
      </c>
      <c r="H17" s="8">
        <v>2011244000</v>
      </c>
      <c r="I17" s="333">
        <f t="array" ref="I17">SUM(IF("341"&amp;B17=LEFT(KHN,3)&amp;KH,_TH))</f>
        <v>89500</v>
      </c>
      <c r="J17" s="8">
        <f t="array" ref="J17">SUM(IF("341"&amp;B17=LEFT(KHN,3)&amp;KH,TH))</f>
        <v>2011244000</v>
      </c>
      <c r="K17" s="230">
        <f t="array" ref="K17">SUM(IF("341"&amp;B17=LEFT(KHC,3)&amp;KH,_TH))</f>
        <v>0</v>
      </c>
      <c r="L17" s="8">
        <f t="array" ref="L17">SUM(IF("341"&amp;B17=LEFT(KHC,3)&amp;KH,TH))</f>
        <v>0</v>
      </c>
      <c r="M17" s="232">
        <f t="shared" si="1"/>
        <v>0</v>
      </c>
      <c r="N17" s="232">
        <f t="shared" si="2"/>
        <v>0</v>
      </c>
      <c r="O17" s="231">
        <f t="shared" si="3"/>
        <v>0</v>
      </c>
      <c r="P17" s="232">
        <f t="shared" si="4"/>
        <v>0</v>
      </c>
    </row>
    <row r="18" spans="1:16" s="10" customFormat="1" ht="18" customHeight="1">
      <c r="A18" s="884">
        <f t="shared" si="0"/>
        <v>14</v>
      </c>
      <c r="B18" s="7" t="s">
        <v>723</v>
      </c>
      <c r="C18" s="229">
        <v>42279</v>
      </c>
      <c r="D18" s="229">
        <v>0</v>
      </c>
      <c r="E18" s="229">
        <v>0</v>
      </c>
      <c r="F18" s="8">
        <v>0</v>
      </c>
      <c r="G18" s="230">
        <v>89000</v>
      </c>
      <c r="H18" s="8">
        <v>2001165000</v>
      </c>
      <c r="I18" s="333">
        <f t="array" ref="I18">SUM(IF("341"&amp;B18=LEFT(KHN,3)&amp;KH,_TH))</f>
        <v>89000</v>
      </c>
      <c r="J18" s="8">
        <f t="array" ref="J18">SUM(IF("341"&amp;B18=LEFT(KHN,3)&amp;KH,TH))</f>
        <v>2001165000</v>
      </c>
      <c r="K18" s="230">
        <f t="array" ref="K18">SUM(IF("341"&amp;B18=LEFT(KHC,3)&amp;KH,_TH))</f>
        <v>0</v>
      </c>
      <c r="L18" s="8">
        <f t="array" ref="L18">SUM(IF("341"&amp;B18=LEFT(KHC,3)&amp;KH,TH))</f>
        <v>0</v>
      </c>
      <c r="M18" s="232">
        <f t="shared" si="1"/>
        <v>0</v>
      </c>
      <c r="N18" s="232">
        <f t="shared" si="2"/>
        <v>0</v>
      </c>
      <c r="O18" s="231">
        <f t="shared" si="3"/>
        <v>0</v>
      </c>
      <c r="P18" s="232">
        <f t="shared" si="4"/>
        <v>0</v>
      </c>
    </row>
    <row r="19" spans="1:16" s="10" customFormat="1" ht="18" customHeight="1">
      <c r="A19" s="884">
        <f t="shared" si="0"/>
        <v>15</v>
      </c>
      <c r="B19" s="7" t="s">
        <v>730</v>
      </c>
      <c r="C19" s="229">
        <v>42328</v>
      </c>
      <c r="D19" s="229">
        <v>0</v>
      </c>
      <c r="E19" s="229">
        <v>0</v>
      </c>
      <c r="F19" s="8">
        <v>0</v>
      </c>
      <c r="G19" s="230">
        <v>61000</v>
      </c>
      <c r="H19" s="8">
        <v>1368840000</v>
      </c>
      <c r="I19" s="333">
        <f t="array" ref="I19">SUM(IF("341"&amp;B19=LEFT(KHN,3)&amp;KH,_TH))</f>
        <v>61000</v>
      </c>
      <c r="J19" s="8">
        <f t="array" ref="J19">SUM(IF("341"&amp;B19=LEFT(KHN,3)&amp;KH,TH))</f>
        <v>1368840000</v>
      </c>
      <c r="K19" s="230">
        <f t="array" ref="K19">SUM(IF("341"&amp;B19=LEFT(KHC,3)&amp;KH,_TH))</f>
        <v>0</v>
      </c>
      <c r="L19" s="8">
        <f t="array" ref="L19">SUM(IF("341"&amp;B19=LEFT(KHC,3)&amp;KH,TH))</f>
        <v>0</v>
      </c>
      <c r="M19" s="232">
        <f t="shared" si="1"/>
        <v>0</v>
      </c>
      <c r="N19" s="232">
        <f t="shared" si="2"/>
        <v>0</v>
      </c>
      <c r="O19" s="231">
        <f t="shared" si="3"/>
        <v>0</v>
      </c>
      <c r="P19" s="232">
        <f t="shared" si="4"/>
        <v>0</v>
      </c>
    </row>
    <row r="20" spans="1:16" s="10" customFormat="1" ht="18" customHeight="1">
      <c r="A20" s="884">
        <f t="shared" si="0"/>
        <v>16</v>
      </c>
      <c r="B20" s="7" t="s">
        <v>724</v>
      </c>
      <c r="C20" s="229">
        <v>42339</v>
      </c>
      <c r="D20" s="229">
        <v>0</v>
      </c>
      <c r="E20" s="229">
        <v>0</v>
      </c>
      <c r="F20" s="8">
        <v>0</v>
      </c>
      <c r="G20" s="230">
        <v>89000</v>
      </c>
      <c r="H20" s="8">
        <v>2001343000</v>
      </c>
      <c r="I20" s="333">
        <f t="array" ref="I20">SUM(IF("341"&amp;B20=LEFT(KHN,3)&amp;KH,_TH))</f>
        <v>89000</v>
      </c>
      <c r="J20" s="8">
        <f t="array" ref="J20">SUM(IF("341"&amp;B20=LEFT(KHN,3)&amp;KH,TH))</f>
        <v>2001343000</v>
      </c>
      <c r="K20" s="230">
        <f t="array" ref="K20">SUM(IF("341"&amp;B20=LEFT(KHC,3)&amp;KH,_TH))</f>
        <v>0</v>
      </c>
      <c r="L20" s="8">
        <f t="array" ref="L20">SUM(IF("341"&amp;B20=LEFT(KHC,3)&amp;KH,TH))</f>
        <v>0</v>
      </c>
      <c r="M20" s="232">
        <f t="shared" si="1"/>
        <v>0</v>
      </c>
      <c r="N20" s="232">
        <f t="shared" si="2"/>
        <v>0</v>
      </c>
      <c r="O20" s="231">
        <f t="shared" si="3"/>
        <v>0</v>
      </c>
      <c r="P20" s="232">
        <f t="shared" si="4"/>
        <v>0</v>
      </c>
    </row>
    <row r="21" spans="1:16" s="10" customFormat="1" ht="18" customHeight="1">
      <c r="A21" s="884">
        <f t="shared" si="0"/>
        <v>17</v>
      </c>
      <c r="B21" s="7" t="s">
        <v>725</v>
      </c>
      <c r="C21" s="229">
        <v>42360</v>
      </c>
      <c r="D21" s="229">
        <v>0</v>
      </c>
      <c r="E21" s="229">
        <v>0</v>
      </c>
      <c r="F21" s="8">
        <v>0</v>
      </c>
      <c r="G21" s="230">
        <v>88000</v>
      </c>
      <c r="H21" s="8">
        <v>1983520000</v>
      </c>
      <c r="I21" s="333">
        <f t="array" ref="I21">SUM(IF("341"&amp;B21=LEFT(KHN,3)&amp;KH,_TH))</f>
        <v>88000</v>
      </c>
      <c r="J21" s="8">
        <f t="array" ref="J21">SUM(IF("341"&amp;B21=LEFT(KHN,3)&amp;KH,TH))</f>
        <v>1983520000</v>
      </c>
      <c r="K21" s="230">
        <f t="array" ref="K21">SUM(IF("341"&amp;B21=LEFT(KHC,3)&amp;KH,_TH))</f>
        <v>0</v>
      </c>
      <c r="L21" s="8">
        <f t="array" ref="L21">SUM(IF("341"&amp;B21=LEFT(KHC,3)&amp;KH,TH))</f>
        <v>0</v>
      </c>
      <c r="M21" s="232">
        <f t="shared" si="1"/>
        <v>0</v>
      </c>
      <c r="N21" s="232">
        <f t="shared" si="2"/>
        <v>0</v>
      </c>
      <c r="O21" s="231">
        <f t="shared" si="3"/>
        <v>0</v>
      </c>
      <c r="P21" s="232">
        <f t="shared" si="4"/>
        <v>0</v>
      </c>
    </row>
    <row r="22" spans="1:16" s="10" customFormat="1" ht="18" customHeight="1">
      <c r="A22" s="884">
        <f t="shared" si="0"/>
        <v>18</v>
      </c>
      <c r="B22" s="7" t="s">
        <v>733</v>
      </c>
      <c r="C22" s="229">
        <v>42394</v>
      </c>
      <c r="D22" s="229"/>
      <c r="E22" s="229"/>
      <c r="F22" s="8"/>
      <c r="G22" s="230"/>
      <c r="H22" s="8"/>
      <c r="I22" s="333">
        <f t="array" ref="I22">SUM(IF("341"&amp;B22=LEFT(KHN,3)&amp;KH,_TH))</f>
        <v>97000</v>
      </c>
      <c r="J22" s="8">
        <f t="array" ref="J22">SUM(IF("341"&amp;B22=LEFT(KHN,3)&amp;KH,TH))</f>
        <v>2168920000</v>
      </c>
      <c r="K22" s="230">
        <f t="array" ref="K22">SUM(IF("341"&amp;B22=LEFT(KHC,3)&amp;KH,_TH))</f>
        <v>97000</v>
      </c>
      <c r="L22" s="8">
        <f t="array" ref="L22">SUM(IF("341"&amp;B22=LEFT(KHC,3)&amp;KH,TH))</f>
        <v>2168920000</v>
      </c>
      <c r="M22" s="232">
        <f t="shared" si="1"/>
        <v>0</v>
      </c>
      <c r="N22" s="232">
        <f t="shared" si="2"/>
        <v>0</v>
      </c>
      <c r="O22" s="231">
        <f t="shared" si="3"/>
        <v>0</v>
      </c>
      <c r="P22" s="232">
        <f t="shared" si="4"/>
        <v>0</v>
      </c>
    </row>
    <row r="23" spans="1:16" s="10" customFormat="1" ht="18" customHeight="1">
      <c r="A23" s="884">
        <f t="shared" si="0"/>
        <v>19</v>
      </c>
      <c r="B23" s="72" t="s">
        <v>1181</v>
      </c>
      <c r="C23" s="229">
        <v>42436</v>
      </c>
      <c r="D23" s="229"/>
      <c r="E23" s="229"/>
      <c r="F23" s="8"/>
      <c r="G23" s="230"/>
      <c r="H23" s="8"/>
      <c r="I23" s="333">
        <f t="array" ref="I23">SUM(IF("341"&amp;B23=LEFT(KHN,3)&amp;KH,_TH))</f>
        <v>82000</v>
      </c>
      <c r="J23" s="8">
        <f t="array" ref="J23">SUM(IF("341"&amp;B23=LEFT(KHN,3)&amp;KH,TH))</f>
        <v>1829256000</v>
      </c>
      <c r="K23" s="230">
        <f t="array" ref="K23">SUM(IF("341"&amp;B23=LEFT(KHC,3)&amp;KH,_TH))</f>
        <v>82000</v>
      </c>
      <c r="L23" s="8">
        <f t="array" ref="L23">SUM(IF("341"&amp;B23=LEFT(KHC,3)&amp;KH,TH))</f>
        <v>1829256000</v>
      </c>
      <c r="M23" s="232">
        <f t="shared" si="1"/>
        <v>0</v>
      </c>
      <c r="N23" s="232">
        <f t="shared" si="2"/>
        <v>0</v>
      </c>
      <c r="O23" s="231">
        <f t="shared" si="3"/>
        <v>0</v>
      </c>
      <c r="P23" s="232">
        <f t="shared" si="4"/>
        <v>0</v>
      </c>
    </row>
    <row r="24" spans="1:16" s="10" customFormat="1" ht="18" customHeight="1">
      <c r="A24" s="884">
        <f t="shared" si="0"/>
        <v>20</v>
      </c>
      <c r="B24" s="72" t="s">
        <v>1182</v>
      </c>
      <c r="C24" s="229">
        <v>42437</v>
      </c>
      <c r="D24" s="229"/>
      <c r="E24" s="229"/>
      <c r="F24" s="8"/>
      <c r="G24" s="230"/>
      <c r="H24" s="8"/>
      <c r="I24" s="333">
        <f t="array" ref="I24">SUM(IF("341"&amp;B24=LEFT(KHN,3)&amp;KH,_TH))</f>
        <v>90000</v>
      </c>
      <c r="J24" s="8">
        <f t="array" ref="J24">SUM(IF("341"&amp;B24=LEFT(KHN,3)&amp;KH,TH))</f>
        <v>2007720000</v>
      </c>
      <c r="K24" s="230">
        <f t="array" ref="K24">SUM(IF("341"&amp;B24=LEFT(KHC,3)&amp;KH,_TH))</f>
        <v>90000</v>
      </c>
      <c r="L24" s="8">
        <f t="array" ref="L24">SUM(IF("341"&amp;B24=LEFT(KHC,3)&amp;KH,TH))</f>
        <v>2007720000</v>
      </c>
      <c r="M24" s="232">
        <f t="shared" si="1"/>
        <v>0</v>
      </c>
      <c r="N24" s="232">
        <f t="shared" si="2"/>
        <v>0</v>
      </c>
      <c r="O24" s="231">
        <f t="shared" si="3"/>
        <v>0</v>
      </c>
      <c r="P24" s="232">
        <f t="shared" si="4"/>
        <v>0</v>
      </c>
    </row>
    <row r="25" spans="1:16" s="10" customFormat="1" ht="18" customHeight="1">
      <c r="A25" s="884">
        <f t="shared" si="0"/>
        <v>21</v>
      </c>
      <c r="B25" s="7" t="s">
        <v>716</v>
      </c>
      <c r="C25" s="229">
        <v>42234</v>
      </c>
      <c r="D25" s="229">
        <v>0</v>
      </c>
      <c r="E25" s="229">
        <v>0</v>
      </c>
      <c r="F25" s="8">
        <v>0</v>
      </c>
      <c r="G25" s="230">
        <v>52300</v>
      </c>
      <c r="H25" s="8">
        <v>1154784000</v>
      </c>
      <c r="I25" s="333">
        <f t="array" ref="I25">SUM(IF("341"&amp;B25=LEFT(KHN,3)&amp;KH,_TH))</f>
        <v>52300</v>
      </c>
      <c r="J25" s="8">
        <f t="array" ref="J25">SUM(IF("341"&amp;B25=LEFT(KHN,3)&amp;KH,TH))</f>
        <v>1176227000</v>
      </c>
      <c r="K25" s="230">
        <f t="array" ref="K25">SUM(IF("341"&amp;B25=LEFT(KHC,3)&amp;KH,_TH))</f>
        <v>0</v>
      </c>
      <c r="L25" s="8">
        <f t="array" ref="L25">SUM(IF("341"&amp;B25=LEFT(KHC,3)&amp;KH,TH))</f>
        <v>21443000</v>
      </c>
      <c r="M25" s="232">
        <f t="shared" si="1"/>
        <v>0</v>
      </c>
      <c r="N25" s="232">
        <f t="shared" si="2"/>
        <v>0</v>
      </c>
      <c r="O25" s="231">
        <f t="shared" si="3"/>
        <v>0</v>
      </c>
      <c r="P25" s="232">
        <f t="shared" si="4"/>
        <v>0</v>
      </c>
    </row>
    <row r="26" spans="1:16" s="10" customFormat="1" ht="18" customHeight="1">
      <c r="A26" s="884">
        <f t="shared" si="0"/>
        <v>22</v>
      </c>
      <c r="B26" s="7" t="s">
        <v>726</v>
      </c>
      <c r="C26" s="229">
        <v>42340</v>
      </c>
      <c r="D26" s="229">
        <v>0</v>
      </c>
      <c r="E26" s="229">
        <v>0</v>
      </c>
      <c r="F26" s="8">
        <v>0</v>
      </c>
      <c r="G26" s="230">
        <v>70900</v>
      </c>
      <c r="H26" s="8">
        <v>1595604500</v>
      </c>
      <c r="I26" s="333">
        <f t="array" ref="I26">SUM(IF("341"&amp;B26=LEFT(KHN,3)&amp;KH,_TH))</f>
        <v>70900</v>
      </c>
      <c r="J26" s="8">
        <f t="array" ref="J26">SUM(IF("341"&amp;B26=LEFT(KHN,3)&amp;KH,TH))</f>
        <v>1595604500</v>
      </c>
      <c r="K26" s="230">
        <f t="array" ref="K26">SUM(IF("341"&amp;B26=LEFT(KHC,3)&amp;KH,_TH))</f>
        <v>0</v>
      </c>
      <c r="L26" s="8">
        <f t="array" ref="L26">SUM(IF("341"&amp;B26=LEFT(KHC,3)&amp;KH,TH))</f>
        <v>0</v>
      </c>
      <c r="M26" s="232">
        <f t="shared" si="1"/>
        <v>0</v>
      </c>
      <c r="N26" s="232">
        <f t="shared" si="2"/>
        <v>0</v>
      </c>
      <c r="O26" s="231">
        <f t="shared" si="3"/>
        <v>0</v>
      </c>
      <c r="P26" s="232">
        <f t="shared" si="4"/>
        <v>0</v>
      </c>
    </row>
    <row r="27" spans="1:16" s="10" customFormat="1" ht="18" customHeight="1">
      <c r="A27" s="884">
        <f t="shared" si="0"/>
        <v>23</v>
      </c>
      <c r="B27" s="7" t="s">
        <v>727</v>
      </c>
      <c r="C27" s="229">
        <v>42346</v>
      </c>
      <c r="D27" s="229">
        <v>0</v>
      </c>
      <c r="E27" s="229">
        <v>0</v>
      </c>
      <c r="F27" s="8">
        <v>0</v>
      </c>
      <c r="G27" s="230">
        <v>62000</v>
      </c>
      <c r="H27" s="8">
        <v>1392210000</v>
      </c>
      <c r="I27" s="333">
        <f t="array" ref="I27">SUM(IF("341"&amp;B27=LEFT(KHN,3)&amp;KH,_TH))</f>
        <v>62000</v>
      </c>
      <c r="J27" s="8">
        <f t="array" ref="J27">SUM(IF("341"&amp;B27=LEFT(KHN,3)&amp;KH,TH))</f>
        <v>1392210000</v>
      </c>
      <c r="K27" s="230">
        <f t="array" ref="K27">SUM(IF("341"&amp;B27=LEFT(KHC,3)&amp;KH,_TH))</f>
        <v>0</v>
      </c>
      <c r="L27" s="8">
        <f t="array" ref="L27">SUM(IF("341"&amp;B27=LEFT(KHC,3)&amp;KH,TH))</f>
        <v>0</v>
      </c>
      <c r="M27" s="232">
        <f t="shared" si="1"/>
        <v>0</v>
      </c>
      <c r="N27" s="232">
        <f t="shared" si="2"/>
        <v>0</v>
      </c>
      <c r="O27" s="231">
        <f t="shared" si="3"/>
        <v>0</v>
      </c>
      <c r="P27" s="232">
        <f t="shared" si="4"/>
        <v>0</v>
      </c>
    </row>
    <row r="28" spans="1:16" s="10" customFormat="1" ht="18" customHeight="1">
      <c r="A28" s="884">
        <f t="shared" si="0"/>
        <v>24</v>
      </c>
      <c r="B28" s="7" t="s">
        <v>728</v>
      </c>
      <c r="C28" s="229">
        <v>42348</v>
      </c>
      <c r="D28" s="229">
        <v>0</v>
      </c>
      <c r="E28" s="229">
        <v>0</v>
      </c>
      <c r="F28" s="8">
        <v>0</v>
      </c>
      <c r="G28" s="230">
        <v>33000</v>
      </c>
      <c r="H28" s="8">
        <v>741675000</v>
      </c>
      <c r="I28" s="333">
        <f t="array" ref="I28">SUM(IF("341"&amp;B28=LEFT(KHN,3)&amp;KH,_TH))</f>
        <v>33000</v>
      </c>
      <c r="J28" s="8">
        <f t="array" ref="J28">SUM(IF("341"&amp;B28=LEFT(KHN,3)&amp;KH,TH))</f>
        <v>741675000</v>
      </c>
      <c r="K28" s="230">
        <f t="array" ref="K28">SUM(IF("341"&amp;B28=LEFT(KHC,3)&amp;KH,_TH))</f>
        <v>0</v>
      </c>
      <c r="L28" s="8">
        <f t="array" ref="L28">SUM(IF("341"&amp;B28=LEFT(KHC,3)&amp;KH,TH))</f>
        <v>0</v>
      </c>
      <c r="M28" s="232">
        <f t="shared" si="1"/>
        <v>0</v>
      </c>
      <c r="N28" s="232">
        <f t="shared" si="2"/>
        <v>0</v>
      </c>
      <c r="O28" s="231">
        <f t="shared" si="3"/>
        <v>0</v>
      </c>
      <c r="P28" s="232">
        <f t="shared" si="4"/>
        <v>0</v>
      </c>
    </row>
    <row r="29" spans="1:16" s="10" customFormat="1" ht="18" customHeight="1">
      <c r="A29" s="884">
        <f t="shared" si="0"/>
        <v>25</v>
      </c>
      <c r="B29" s="7" t="s">
        <v>729</v>
      </c>
      <c r="C29" s="229">
        <v>42363</v>
      </c>
      <c r="D29" s="229">
        <v>0</v>
      </c>
      <c r="E29" s="229">
        <v>0</v>
      </c>
      <c r="F29" s="8">
        <v>0</v>
      </c>
      <c r="G29" s="230">
        <v>43000</v>
      </c>
      <c r="H29" s="8">
        <v>968790000</v>
      </c>
      <c r="I29" s="333">
        <f t="array" ref="I29">SUM(IF("341"&amp;B29=LEFT(KHN,3)&amp;KH,_TH))</f>
        <v>43000</v>
      </c>
      <c r="J29" s="8">
        <f t="array" ref="J29">SUM(IF("341"&amp;B29=LEFT(KHN,3)&amp;KH,TH))</f>
        <v>968790000</v>
      </c>
      <c r="K29" s="230">
        <f t="array" ref="K29">SUM(IF("341"&amp;B29=LEFT(KHC,3)&amp;KH,_TH))</f>
        <v>0</v>
      </c>
      <c r="L29" s="8">
        <f t="array" ref="L29">SUM(IF("341"&amp;B29=LEFT(KHC,3)&amp;KH,TH))</f>
        <v>0</v>
      </c>
      <c r="M29" s="232">
        <f t="shared" si="1"/>
        <v>0</v>
      </c>
      <c r="N29" s="232">
        <f t="shared" si="2"/>
        <v>0</v>
      </c>
      <c r="O29" s="231">
        <f t="shared" si="3"/>
        <v>0</v>
      </c>
      <c r="P29" s="232">
        <f t="shared" si="4"/>
        <v>0</v>
      </c>
    </row>
    <row r="30" spans="1:16" s="10" customFormat="1" ht="18" customHeight="1">
      <c r="A30" s="884">
        <f t="shared" si="0"/>
        <v>26</v>
      </c>
      <c r="B30" s="7" t="s">
        <v>739</v>
      </c>
      <c r="C30" s="229">
        <v>42398</v>
      </c>
      <c r="D30" s="229"/>
      <c r="E30" s="229"/>
      <c r="F30" s="8"/>
      <c r="G30" s="230"/>
      <c r="H30" s="8"/>
      <c r="I30" s="333">
        <f t="array" ref="I30">SUM(IF("341"&amp;B30=LEFT(KHN,3)&amp;KH,_TH))</f>
        <v>52300</v>
      </c>
      <c r="J30" s="8">
        <f t="array" ref="J30">SUM(IF("341"&amp;B30=LEFT(KHN,3)&amp;KH,TH))</f>
        <v>1165244000</v>
      </c>
      <c r="K30" s="230">
        <f t="array" ref="K30">SUM(IF("341"&amp;B30=LEFT(KHC,3)&amp;KH,_TH))</f>
        <v>52300</v>
      </c>
      <c r="L30" s="8">
        <f t="array" ref="L30">SUM(IF("341"&amp;B30=LEFT(KHC,3)&amp;KH,TH))</f>
        <v>1165244000</v>
      </c>
      <c r="M30" s="232">
        <f t="shared" si="1"/>
        <v>0</v>
      </c>
      <c r="N30" s="232">
        <f t="shared" si="2"/>
        <v>0</v>
      </c>
      <c r="O30" s="231">
        <f t="shared" si="3"/>
        <v>0</v>
      </c>
      <c r="P30" s="232">
        <f t="shared" si="4"/>
        <v>0</v>
      </c>
    </row>
    <row r="31" spans="1:16" s="10" customFormat="1" ht="18" customHeight="1">
      <c r="A31" s="884">
        <f t="shared" si="0"/>
        <v>27</v>
      </c>
      <c r="B31" s="72" t="s">
        <v>1665</v>
      </c>
      <c r="C31" s="64">
        <v>42529</v>
      </c>
      <c r="D31" s="229"/>
      <c r="E31" s="229"/>
      <c r="F31" s="8"/>
      <c r="G31" s="230"/>
      <c r="H31" s="8"/>
      <c r="I31" s="333">
        <f t="array" ref="I31">SUM(IF("341"&amp;B31=LEFT(KHN,3)&amp;KH,_TH))</f>
        <v>0</v>
      </c>
      <c r="J31" s="8">
        <f t="array" ref="J31">SUM(IF("341"&amp;B31=LEFT(KHN,3)&amp;KH,TH))</f>
        <v>0</v>
      </c>
      <c r="K31" s="230">
        <f t="array" ref="K31">SUM(IF("341"&amp;B31=LEFT(KHC,3)&amp;KH,_TH))</f>
        <v>70900</v>
      </c>
      <c r="L31" s="8">
        <f t="array" ref="L31">SUM(IF("341"&amp;B31=LEFT(KHC,3)&amp;KH,TH))</f>
        <v>1584615000</v>
      </c>
      <c r="M31" s="232">
        <f t="shared" si="1"/>
        <v>0</v>
      </c>
      <c r="N31" s="232">
        <f t="shared" si="2"/>
        <v>0</v>
      </c>
      <c r="O31" s="231">
        <f t="shared" si="3"/>
        <v>70900</v>
      </c>
      <c r="P31" s="232">
        <f t="shared" si="4"/>
        <v>1584615000</v>
      </c>
    </row>
    <row r="32" spans="1:16" s="10" customFormat="1" ht="18" customHeight="1">
      <c r="A32" s="884">
        <f t="shared" si="0"/>
        <v>28</v>
      </c>
      <c r="B32" s="72" t="s">
        <v>1667</v>
      </c>
      <c r="C32" s="64">
        <v>42529</v>
      </c>
      <c r="D32" s="229"/>
      <c r="E32" s="229"/>
      <c r="F32" s="8"/>
      <c r="G32" s="230"/>
      <c r="H32" s="8"/>
      <c r="I32" s="333">
        <f t="array" ref="I32">SUM(IF("341"&amp;B32=LEFT(KHN,3)&amp;KH,_TH))</f>
        <v>0</v>
      </c>
      <c r="J32" s="8">
        <f t="array" ref="J32">SUM(IF("341"&amp;B32=LEFT(KHN,3)&amp;KH,TH))</f>
        <v>0</v>
      </c>
      <c r="K32" s="230">
        <f t="array" ref="K32">SUM(IF("341"&amp;B32=LEFT(KHC,3)&amp;KH,_TH))</f>
        <v>95000</v>
      </c>
      <c r="L32" s="8">
        <f t="array" ref="L32">SUM(IF("341"&amp;B32=LEFT(KHC,3)&amp;KH,TH))</f>
        <v>2123725000</v>
      </c>
      <c r="M32" s="232">
        <f t="shared" si="1"/>
        <v>0</v>
      </c>
      <c r="N32" s="232">
        <f t="shared" si="2"/>
        <v>0</v>
      </c>
      <c r="O32" s="231">
        <f t="shared" si="3"/>
        <v>95000</v>
      </c>
      <c r="P32" s="232">
        <f t="shared" si="4"/>
        <v>2123725000</v>
      </c>
    </row>
    <row r="33" spans="1:16" s="10" customFormat="1" ht="18" customHeight="1">
      <c r="A33" s="884">
        <f t="shared" si="0"/>
        <v>29</v>
      </c>
      <c r="B33" s="72" t="s">
        <v>1892</v>
      </c>
      <c r="C33" s="229">
        <v>42552</v>
      </c>
      <c r="D33" s="229"/>
      <c r="E33" s="229"/>
      <c r="F33" s="8"/>
      <c r="G33" s="230"/>
      <c r="H33" s="8"/>
      <c r="I33" s="333">
        <f t="array" ref="I33">SUM(IF("341"&amp;B33=LEFT(KHN,3)&amp;KH,_TH))</f>
        <v>0</v>
      </c>
      <c r="J33" s="8">
        <f t="array" ref="J33">SUM(IF("341"&amp;B33=LEFT(KHN,3)&amp;KH,TH))</f>
        <v>0</v>
      </c>
      <c r="K33" s="230">
        <f t="array" ref="K33">SUM(IF("341"&amp;B33=LEFT(KHC,3)&amp;KH,_TH))</f>
        <v>43000</v>
      </c>
      <c r="L33" s="8">
        <f t="array" ref="L33">SUM(IF("341"&amp;B33=LEFT(KHC,3)&amp;KH,TH))</f>
        <v>959330000</v>
      </c>
      <c r="M33" s="232">
        <f t="shared" si="1"/>
        <v>0</v>
      </c>
      <c r="N33" s="232">
        <f t="shared" si="2"/>
        <v>0</v>
      </c>
      <c r="O33" s="231">
        <f t="shared" si="3"/>
        <v>43000</v>
      </c>
      <c r="P33" s="232">
        <f t="shared" si="4"/>
        <v>959330000</v>
      </c>
    </row>
    <row r="34" spans="1:16" s="10" customFormat="1" ht="18" customHeight="1">
      <c r="A34" s="884">
        <f t="shared" si="0"/>
        <v>30</v>
      </c>
      <c r="B34" s="72" t="s">
        <v>1895</v>
      </c>
      <c r="C34" s="229">
        <v>42586</v>
      </c>
      <c r="D34" s="229"/>
      <c r="E34" s="229"/>
      <c r="F34" s="8"/>
      <c r="G34" s="230"/>
      <c r="H34" s="8"/>
      <c r="I34" s="333">
        <f t="array" ref="I34">SUM(IF("341"&amp;B34=LEFT(KHN,3)&amp;KH,_TH))</f>
        <v>0</v>
      </c>
      <c r="J34" s="8">
        <f t="array" ref="J34">SUM(IF("341"&amp;B34=LEFT(KHN,3)&amp;KH,TH))</f>
        <v>0</v>
      </c>
      <c r="K34" s="230">
        <f t="array" ref="K34">SUM(IF("341"&amp;B34=LEFT(KHC,3)&amp;KH,_TH))</f>
        <v>52300</v>
      </c>
      <c r="L34" s="8">
        <f t="array" ref="L34">SUM(IF("341"&amp;B34=LEFT(KHC,3)&amp;KH,TH))</f>
        <v>1166028500</v>
      </c>
      <c r="M34" s="232">
        <f t="shared" si="1"/>
        <v>0</v>
      </c>
      <c r="N34" s="232">
        <f t="shared" si="2"/>
        <v>0</v>
      </c>
      <c r="O34" s="231">
        <f t="shared" si="3"/>
        <v>52300</v>
      </c>
      <c r="P34" s="232">
        <f t="shared" si="4"/>
        <v>1166028500</v>
      </c>
    </row>
    <row r="35" spans="1:16" s="10" customFormat="1" ht="18" customHeight="1">
      <c r="A35" s="884">
        <f t="shared" si="0"/>
        <v>31</v>
      </c>
      <c r="B35" s="1150" t="s">
        <v>1879</v>
      </c>
      <c r="C35" s="229">
        <v>42545</v>
      </c>
      <c r="D35" s="229"/>
      <c r="E35" s="332"/>
      <c r="F35" s="25"/>
      <c r="G35" s="333"/>
      <c r="H35" s="25"/>
      <c r="I35" s="333">
        <f t="array" ref="I35">SUM(IF("341"&amp;B35=LEFT(KHN,3)&amp;KH,_TH))</f>
        <v>0</v>
      </c>
      <c r="J35" s="8">
        <f t="array" ref="J35">SUM(IF("341"&amp;B35=LEFT(KHN,3)&amp;KH,TH))</f>
        <v>0</v>
      </c>
      <c r="K35" s="230">
        <f t="array" ref="K35">SUM(IF("341"&amp;B35=LEFT(KHC,3)&amp;KH,_TH))</f>
        <v>150000</v>
      </c>
      <c r="L35" s="8">
        <f t="array" ref="L35">SUM(IF("341"&amp;B35=LEFT(KHC,3)&amp;KH,TH))</f>
        <v>3348750000</v>
      </c>
      <c r="M35" s="232">
        <f t="shared" si="1"/>
        <v>0</v>
      </c>
      <c r="N35" s="232">
        <f t="shared" si="2"/>
        <v>0</v>
      </c>
      <c r="O35" s="231">
        <f t="shared" si="3"/>
        <v>150000</v>
      </c>
      <c r="P35" s="232">
        <f t="shared" si="4"/>
        <v>3348750000</v>
      </c>
    </row>
    <row r="36" spans="1:16" s="10" customFormat="1" ht="18" customHeight="1">
      <c r="A36" s="884">
        <f t="shared" si="0"/>
        <v>32</v>
      </c>
      <c r="B36" s="72" t="s">
        <v>1883</v>
      </c>
      <c r="C36" s="229">
        <v>42552</v>
      </c>
      <c r="D36" s="229"/>
      <c r="E36" s="229"/>
      <c r="F36" s="8"/>
      <c r="G36" s="230"/>
      <c r="H36" s="8"/>
      <c r="I36" s="333">
        <f t="array" ref="I36">SUM(IF("341"&amp;B36=LEFT(KHN,3)&amp;KH,_TH))</f>
        <v>0</v>
      </c>
      <c r="J36" s="8">
        <f t="array" ref="J36">SUM(IF("341"&amp;B36=LEFT(KHN,3)&amp;KH,TH))</f>
        <v>0</v>
      </c>
      <c r="K36" s="230">
        <f t="array" ref="K36">SUM(IF("341"&amp;B36=LEFT(KHC,3)&amp;KH,_TH))</f>
        <v>89500</v>
      </c>
      <c r="L36" s="8">
        <f t="array" ref="L36">SUM(IF("341"&amp;B36=LEFT(KHC,3)&amp;KH,TH))</f>
        <v>1995134000</v>
      </c>
      <c r="M36" s="232">
        <f t="shared" si="1"/>
        <v>0</v>
      </c>
      <c r="N36" s="232">
        <f t="shared" si="2"/>
        <v>0</v>
      </c>
      <c r="O36" s="231">
        <f t="shared" si="3"/>
        <v>89500</v>
      </c>
      <c r="P36" s="232">
        <f t="shared" si="4"/>
        <v>1995134000</v>
      </c>
    </row>
    <row r="37" spans="1:16" s="10" customFormat="1" ht="18" customHeight="1">
      <c r="A37" s="884">
        <f t="shared" si="0"/>
        <v>33</v>
      </c>
      <c r="B37" s="72" t="s">
        <v>1885</v>
      </c>
      <c r="C37" s="229">
        <v>42556</v>
      </c>
      <c r="D37" s="229"/>
      <c r="E37" s="229"/>
      <c r="F37" s="8"/>
      <c r="G37" s="230"/>
      <c r="H37" s="8"/>
      <c r="I37" s="333">
        <f t="array" ref="I37">SUM(IF("341"&amp;B37=LEFT(KHN,3)&amp;KH,_TH))</f>
        <v>0</v>
      </c>
      <c r="J37" s="8">
        <f t="array" ref="J37">SUM(IF("341"&amp;B37=LEFT(KHN,3)&amp;KH,TH))</f>
        <v>0</v>
      </c>
      <c r="K37" s="230">
        <f t="array" ref="K37">SUM(IF("341"&amp;B37=LEFT(KHC,3)&amp;KH,_TH))</f>
        <v>89000</v>
      </c>
      <c r="L37" s="8">
        <f t="array" ref="L37">SUM(IF("341"&amp;B37=LEFT(KHC,3)&amp;KH,TH))</f>
        <v>1983988000</v>
      </c>
      <c r="M37" s="232">
        <f t="shared" si="1"/>
        <v>0</v>
      </c>
      <c r="N37" s="232">
        <f t="shared" si="2"/>
        <v>0</v>
      </c>
      <c r="O37" s="231">
        <f t="shared" si="3"/>
        <v>89000</v>
      </c>
      <c r="P37" s="232">
        <f t="shared" si="4"/>
        <v>1983988000</v>
      </c>
    </row>
    <row r="38" spans="1:16" s="10" customFormat="1" ht="18" customHeight="1">
      <c r="A38" s="884">
        <f t="shared" si="0"/>
        <v>34</v>
      </c>
      <c r="B38" s="963" t="s">
        <v>1926</v>
      </c>
      <c r="C38" s="229">
        <v>42600</v>
      </c>
      <c r="D38" s="229"/>
      <c r="E38" s="229"/>
      <c r="F38" s="8"/>
      <c r="G38" s="230"/>
      <c r="H38" s="8"/>
      <c r="I38" s="333">
        <f t="array" ref="I38">SUM(IF("341"&amp;B38=LEFT(KHN,3)&amp;KH,_TH))</f>
        <v>0</v>
      </c>
      <c r="J38" s="8">
        <f t="array" ref="J38">SUM(IF("341"&amp;B38=LEFT(KHN,3)&amp;KH,TH))</f>
        <v>0</v>
      </c>
      <c r="K38" s="230">
        <f t="array" ref="K38">SUM(IF("341"&amp;B38=LEFT(KHC,3)&amp;KH,_TH))</f>
        <v>63000</v>
      </c>
      <c r="L38" s="8">
        <f t="array" ref="L38">SUM(IF("341"&amp;B38=LEFT(KHC,3)&amp;KH,TH))</f>
        <v>1404396000</v>
      </c>
      <c r="M38" s="232">
        <f t="shared" si="1"/>
        <v>0</v>
      </c>
      <c r="N38" s="232">
        <f t="shared" si="2"/>
        <v>0</v>
      </c>
      <c r="O38" s="231">
        <f t="shared" si="3"/>
        <v>63000</v>
      </c>
      <c r="P38" s="232">
        <f t="shared" si="4"/>
        <v>1404396000</v>
      </c>
    </row>
    <row r="39" spans="1:16" s="10" customFormat="1" ht="18" customHeight="1">
      <c r="A39" s="884">
        <f t="shared" si="0"/>
        <v>35</v>
      </c>
      <c r="B39" s="72" t="s">
        <v>1940</v>
      </c>
      <c r="C39" s="229">
        <v>42612</v>
      </c>
      <c r="D39" s="229"/>
      <c r="E39" s="229"/>
      <c r="F39" s="8"/>
      <c r="G39" s="230"/>
      <c r="H39" s="8"/>
      <c r="I39" s="333">
        <f t="array" ref="I39">SUM(IF("341"&amp;B39=LEFT(KHN,3)&amp;KH,_TH))</f>
        <v>0</v>
      </c>
      <c r="J39" s="8">
        <f t="array" ref="J39">SUM(IF("341"&amp;B39=LEFT(KHN,3)&amp;KH,TH))</f>
        <v>0</v>
      </c>
      <c r="K39" s="230">
        <f t="array" ref="K39">SUM(IF("341"&amp;B39=LEFT(KHC,3)&amp;KH,_TH))</f>
        <v>89500</v>
      </c>
      <c r="L39" s="8">
        <f t="array" ref="L39">SUM(IF("341"&amp;B39=LEFT(KHC,3)&amp;KH,TH))</f>
        <v>1996566000</v>
      </c>
      <c r="M39" s="232">
        <f t="shared" si="1"/>
        <v>0</v>
      </c>
      <c r="N39" s="232">
        <f t="shared" si="2"/>
        <v>0</v>
      </c>
      <c r="O39" s="231">
        <f t="shared" si="3"/>
        <v>89500</v>
      </c>
      <c r="P39" s="232">
        <f t="shared" si="4"/>
        <v>1996566000</v>
      </c>
    </row>
    <row r="40" spans="1:16" s="10" customFormat="1" ht="18" customHeight="1">
      <c r="A40" s="884">
        <f t="shared" si="0"/>
        <v>36</v>
      </c>
      <c r="B40" s="72" t="s">
        <v>1936</v>
      </c>
      <c r="C40" s="229">
        <v>42604</v>
      </c>
      <c r="D40" s="229"/>
      <c r="E40" s="229"/>
      <c r="F40" s="8"/>
      <c r="G40" s="230"/>
      <c r="H40" s="8"/>
      <c r="I40" s="333">
        <f t="array" ref="I40">SUM(IF("341"&amp;B40=LEFT(KHN,3)&amp;KH,_TH))</f>
        <v>63000</v>
      </c>
      <c r="J40" s="8">
        <f t="array" ref="J40">SUM(IF("341"&amp;B40=LEFT(KHN,3)&amp;KH,TH))</f>
        <v>1404396000</v>
      </c>
      <c r="K40" s="230">
        <f t="array" ref="K40">SUM(IF("341"&amp;B40=LEFT(KHC,3)&amp;KH,_TH))</f>
        <v>63000</v>
      </c>
      <c r="L40" s="8">
        <f t="array" ref="L40">SUM(IF("341"&amp;B40=LEFT(KHC,3)&amp;KH,TH))</f>
        <v>1404396000</v>
      </c>
      <c r="M40" s="232">
        <f t="shared" si="1"/>
        <v>0</v>
      </c>
      <c r="N40" s="232">
        <f t="shared" si="2"/>
        <v>0</v>
      </c>
      <c r="O40" s="231">
        <f t="shared" si="3"/>
        <v>0</v>
      </c>
      <c r="P40" s="232">
        <f t="shared" si="4"/>
        <v>0</v>
      </c>
    </row>
    <row r="41" spans="1:16" s="10" customFormat="1" ht="18" customHeight="1">
      <c r="A41" s="884">
        <f t="shared" si="0"/>
        <v>37</v>
      </c>
      <c r="B41" s="963" t="s">
        <v>1875</v>
      </c>
      <c r="C41" s="229">
        <v>42543</v>
      </c>
      <c r="D41" s="229"/>
      <c r="E41" s="229"/>
      <c r="F41" s="8"/>
      <c r="G41" s="230"/>
      <c r="H41" s="8"/>
      <c r="I41" s="333">
        <f t="array" ref="I41">SUM(IF("341"&amp;B41=LEFT(KHN,3)&amp;KH,_TH))</f>
        <v>609969.73</v>
      </c>
      <c r="J41" s="8">
        <f t="array" ref="J41">SUM(IF("341"&amp;B41=LEFT(KHN,3)&amp;KH,TH))</f>
        <v>13607204737</v>
      </c>
      <c r="K41" s="230">
        <f t="array" ref="K41">SUM(IF("341"&amp;B41=LEFT(KHC,3)&amp;KH,_TH))</f>
        <v>781969.73</v>
      </c>
      <c r="L41" s="8">
        <f t="array" ref="L41">SUM(IF("341"&amp;B41=LEFT(KHC,3)&amp;KH,TH))</f>
        <v>17444180737</v>
      </c>
      <c r="M41" s="232">
        <f t="shared" si="1"/>
        <v>0</v>
      </c>
      <c r="N41" s="232">
        <f t="shared" si="2"/>
        <v>0</v>
      </c>
      <c r="O41" s="231">
        <f t="shared" si="3"/>
        <v>172000</v>
      </c>
      <c r="P41" s="232">
        <f t="shared" si="4"/>
        <v>3836976000</v>
      </c>
    </row>
    <row r="42" spans="1:16" s="10" customFormat="1" ht="18" customHeight="1">
      <c r="A42" s="884">
        <f t="shared" ref="A42:A49" si="5">IF(B42&lt;&gt;"",ROW()-4,"")</f>
        <v>38</v>
      </c>
      <c r="B42" s="72" t="s">
        <v>2192</v>
      </c>
      <c r="C42" s="229"/>
      <c r="D42" s="229"/>
      <c r="E42" s="229"/>
      <c r="F42" s="8"/>
      <c r="G42" s="230"/>
      <c r="H42" s="8"/>
      <c r="I42" s="333">
        <f t="array" ref="I42">SUM(IF("341"&amp;B42=LEFT(KHN,3)&amp;KH,_TH))</f>
        <v>0</v>
      </c>
      <c r="J42" s="8">
        <f t="array" ref="J42">SUM(IF("341"&amp;B42=LEFT(KHN,3)&amp;KH,TH))</f>
        <v>0</v>
      </c>
      <c r="K42" s="230">
        <f t="array" ref="K42">SUM(IF("341"&amp;B42=LEFT(KHC,3)&amp;KH,_TH))</f>
        <v>88000</v>
      </c>
      <c r="L42" s="8">
        <f t="array" ref="L42">SUM(IF("341"&amp;B42=LEFT(KHC,3)&amp;KH,TH))</f>
        <v>1961960000</v>
      </c>
      <c r="M42" s="232">
        <f t="shared" ref="M42:M50" si="6">ROUND(MAX(E42+I42-G42-K42,0),2)</f>
        <v>0</v>
      </c>
      <c r="N42" s="232">
        <f t="shared" ref="N42:N50" si="7">ROUND(MAX(F42+J42-H42-L42,0),2)</f>
        <v>0</v>
      </c>
      <c r="O42" s="231">
        <f t="shared" ref="O42:O50" si="8">ROUND(MAX(G42+K42-E42-I42,0),2)</f>
        <v>88000</v>
      </c>
      <c r="P42" s="232">
        <f t="shared" ref="P42:P50" si="9">ROUND(MAX(H42+L42-F42-J42,0),2)</f>
        <v>1961960000</v>
      </c>
    </row>
    <row r="43" spans="1:16" s="10" customFormat="1" ht="18" customHeight="1">
      <c r="A43" s="884">
        <f t="shared" si="5"/>
        <v>39</v>
      </c>
      <c r="B43" s="72" t="s">
        <v>2162</v>
      </c>
      <c r="C43" s="229"/>
      <c r="D43" s="229"/>
      <c r="E43" s="229"/>
      <c r="F43" s="8"/>
      <c r="G43" s="230"/>
      <c r="H43" s="8"/>
      <c r="I43" s="333">
        <f t="array" ref="I43">SUM(IF("341"&amp;B43=LEFT(KHN,3)&amp;KH,_TH))</f>
        <v>37611.32</v>
      </c>
      <c r="J43" s="8">
        <f t="array" ref="J43">SUM(IF("341"&amp;B43=LEFT(KHN,3)&amp;KH,TH))</f>
        <v>838753203</v>
      </c>
      <c r="K43" s="230">
        <f t="array" ref="K43">SUM(IF("341"&amp;B43=LEFT(KHC,3)&amp;KH,_TH))</f>
        <v>37611.32</v>
      </c>
      <c r="L43" s="8">
        <f t="array" ref="L43">SUM(IF("341"&amp;B43=LEFT(KHC,3)&amp;KH,TH))</f>
        <v>838753203</v>
      </c>
      <c r="M43" s="231">
        <f t="shared" si="6"/>
        <v>0</v>
      </c>
      <c r="N43" s="232">
        <f t="shared" si="7"/>
        <v>0</v>
      </c>
      <c r="O43" s="231">
        <f t="shared" si="8"/>
        <v>0</v>
      </c>
      <c r="P43" s="232">
        <f t="shared" si="9"/>
        <v>0</v>
      </c>
    </row>
    <row r="44" spans="1:16" s="10" customFormat="1" ht="18" customHeight="1">
      <c r="A44" s="884">
        <f t="shared" si="5"/>
        <v>40</v>
      </c>
      <c r="B44" s="72" t="s">
        <v>2188</v>
      </c>
      <c r="C44" s="229"/>
      <c r="D44" s="229"/>
      <c r="E44" s="229"/>
      <c r="F44" s="8"/>
      <c r="G44" s="230"/>
      <c r="H44" s="8"/>
      <c r="I44" s="333">
        <f t="array" ref="I44">SUM(IF("341"&amp;B44=LEFT(KHN,3)&amp;KH,_TH))</f>
        <v>0</v>
      </c>
      <c r="J44" s="8">
        <f t="array" ref="J44">SUM(IF("341"&amp;B44=LEFT(KHN,3)&amp;KH,TH))</f>
        <v>0</v>
      </c>
      <c r="K44" s="230">
        <f t="array" ref="K44">SUM(IF("341"&amp;B44=LEFT(KHC,3)&amp;KH,_TH))</f>
        <v>41590</v>
      </c>
      <c r="L44" s="8">
        <f t="array" ref="L44">SUM(IF("341"&amp;B44=LEFT(KHC,3)&amp;KH,TH))</f>
        <v>927041100</v>
      </c>
      <c r="M44" s="232">
        <f t="shared" si="6"/>
        <v>0</v>
      </c>
      <c r="N44" s="232">
        <f t="shared" si="7"/>
        <v>0</v>
      </c>
      <c r="O44" s="231">
        <f t="shared" si="8"/>
        <v>41590</v>
      </c>
      <c r="P44" s="232">
        <f t="shared" si="9"/>
        <v>927041100</v>
      </c>
    </row>
    <row r="45" spans="1:16" s="10" customFormat="1" ht="18" customHeight="1">
      <c r="A45" s="884">
        <f t="shared" si="5"/>
        <v>41</v>
      </c>
      <c r="B45" s="72" t="s">
        <v>2189</v>
      </c>
      <c r="C45" s="229"/>
      <c r="D45" s="229"/>
      <c r="E45" s="229"/>
      <c r="F45" s="8"/>
      <c r="G45" s="230"/>
      <c r="H45" s="8"/>
      <c r="I45" s="333">
        <f t="array" ref="I45">SUM(IF("341"&amp;B45=LEFT(KHN,3)&amp;KH,_TH))</f>
        <v>0</v>
      </c>
      <c r="J45" s="8">
        <f t="array" ref="J45">SUM(IF("341"&amp;B45=LEFT(KHN,3)&amp;KH,TH))</f>
        <v>0</v>
      </c>
      <c r="K45" s="230">
        <f t="array" ref="K45">SUM(IF("341"&amp;B45=LEFT(KHC,3)&amp;KH,_TH))</f>
        <v>96000</v>
      </c>
      <c r="L45" s="8">
        <f t="array" ref="L45">SUM(IF("341"&amp;B45=LEFT(KHC,3)&amp;KH,TH))</f>
        <v>2140416000</v>
      </c>
      <c r="M45" s="232">
        <f t="shared" si="6"/>
        <v>0</v>
      </c>
      <c r="N45" s="232">
        <f t="shared" si="7"/>
        <v>0</v>
      </c>
      <c r="O45" s="231">
        <f t="shared" si="8"/>
        <v>96000</v>
      </c>
      <c r="P45" s="232">
        <f t="shared" si="9"/>
        <v>2140416000</v>
      </c>
    </row>
    <row r="46" spans="1:16" s="10" customFormat="1" ht="18" customHeight="1">
      <c r="A46" s="884">
        <f t="shared" si="5"/>
        <v>42</v>
      </c>
      <c r="B46" s="72" t="s">
        <v>2190</v>
      </c>
      <c r="C46" s="229"/>
      <c r="D46" s="229"/>
      <c r="E46" s="229"/>
      <c r="F46" s="8"/>
      <c r="G46" s="230"/>
      <c r="H46" s="8"/>
      <c r="I46" s="333">
        <f t="array" ref="I46">SUM(IF("341"&amp;B46=LEFT(KHN,3)&amp;KH,_TH))</f>
        <v>0</v>
      </c>
      <c r="J46" s="8">
        <f t="array" ref="J46">SUM(IF("341"&amp;B46=LEFT(KHN,3)&amp;KH,TH))</f>
        <v>0</v>
      </c>
      <c r="K46" s="230">
        <f t="array" ref="K46">SUM(IF("341"&amp;B46=LEFT(KHC,3)&amp;KH,_TH))</f>
        <v>96000</v>
      </c>
      <c r="L46" s="8">
        <f t="array" ref="L46">SUM(IF("341"&amp;B46=LEFT(KHC,3)&amp;KH,TH))</f>
        <v>2140896000</v>
      </c>
      <c r="M46" s="232">
        <f t="shared" si="6"/>
        <v>0</v>
      </c>
      <c r="N46" s="232">
        <f t="shared" si="7"/>
        <v>0</v>
      </c>
      <c r="O46" s="231">
        <f t="shared" si="8"/>
        <v>96000</v>
      </c>
      <c r="P46" s="232">
        <f t="shared" si="9"/>
        <v>2140896000</v>
      </c>
    </row>
    <row r="47" spans="1:16" s="10" customFormat="1" ht="18" customHeight="1">
      <c r="A47" s="884">
        <f t="shared" si="5"/>
        <v>43</v>
      </c>
      <c r="B47" s="72" t="s">
        <v>2191</v>
      </c>
      <c r="C47" s="229"/>
      <c r="D47" s="229"/>
      <c r="E47" s="229"/>
      <c r="F47" s="8"/>
      <c r="G47" s="230"/>
      <c r="H47" s="8"/>
      <c r="I47" s="333">
        <f t="array" ref="I47">SUM(IF("341"&amp;B47=LEFT(KHN,3)&amp;KH,_TH))</f>
        <v>0</v>
      </c>
      <c r="J47" s="8">
        <f t="array" ref="J47">SUM(IF("341"&amp;B47=LEFT(KHN,3)&amp;KH,TH))</f>
        <v>0</v>
      </c>
      <c r="K47" s="230">
        <f t="array" ref="K47">SUM(IF("341"&amp;B47=LEFT(KHC,3)&amp;KH,_TH))</f>
        <v>33400</v>
      </c>
      <c r="L47" s="8">
        <f t="array" ref="L47">SUM(IF("341"&amp;B47=LEFT(KHC,3)&amp;KH,TH))</f>
        <v>745087200</v>
      </c>
      <c r="M47" s="232">
        <f t="shared" si="6"/>
        <v>0</v>
      </c>
      <c r="N47" s="232">
        <f t="shared" si="7"/>
        <v>0</v>
      </c>
      <c r="O47" s="231">
        <f t="shared" si="8"/>
        <v>33400</v>
      </c>
      <c r="P47" s="232">
        <f t="shared" si="9"/>
        <v>745087200</v>
      </c>
    </row>
    <row r="48" spans="1:16" s="10" customFormat="1" ht="18" customHeight="1">
      <c r="A48" s="884" t="str">
        <f>IF(B48&lt;&gt;"",ROW()-4,"")</f>
        <v/>
      </c>
      <c r="B48" s="72"/>
      <c r="C48" s="229"/>
      <c r="D48" s="229"/>
      <c r="E48" s="229"/>
      <c r="F48" s="8"/>
      <c r="G48" s="230"/>
      <c r="H48" s="8"/>
      <c r="I48" s="333">
        <f t="array" ref="I48">SUM(IF("341"&amp;B48=LEFT(KHN,3)&amp;KH,_TH))</f>
        <v>0</v>
      </c>
      <c r="J48" s="8">
        <f t="array" ref="J48">SUM(IF("341"&amp;B48=LEFT(KHN,3)&amp;KH,TH))</f>
        <v>0</v>
      </c>
      <c r="K48" s="230">
        <f t="array" ref="K48">SUM(IF("341"&amp;B48=LEFT(KHC,3)&amp;KH,_TH))</f>
        <v>0</v>
      </c>
      <c r="L48" s="8">
        <f t="array" ref="L48">SUM(IF("341"&amp;B48=LEFT(KHC,3)&amp;KH,TH))</f>
        <v>0</v>
      </c>
      <c r="M48" s="232">
        <f t="shared" si="6"/>
        <v>0</v>
      </c>
      <c r="N48" s="232">
        <f t="shared" si="7"/>
        <v>0</v>
      </c>
      <c r="O48" s="231">
        <f t="shared" si="8"/>
        <v>0</v>
      </c>
      <c r="P48" s="232">
        <f t="shared" si="9"/>
        <v>0</v>
      </c>
    </row>
    <row r="49" spans="1:16" s="10" customFormat="1" ht="18" customHeight="1">
      <c r="A49" s="884" t="str">
        <f t="shared" si="5"/>
        <v/>
      </c>
      <c r="B49" s="72"/>
      <c r="C49" s="229"/>
      <c r="D49" s="229"/>
      <c r="E49" s="229"/>
      <c r="F49" s="8"/>
      <c r="G49" s="230"/>
      <c r="H49" s="8"/>
      <c r="I49" s="333">
        <f t="array" ref="I49">SUM(IF("341"&amp;B49=LEFT(KHN,3)&amp;KH,_TH))</f>
        <v>0</v>
      </c>
      <c r="J49" s="8">
        <f t="array" ref="J49">SUM(IF("341"&amp;B49=LEFT(KHN,3)&amp;KH,TH))</f>
        <v>0</v>
      </c>
      <c r="K49" s="230">
        <f t="array" ref="K49">SUM(IF("341"&amp;B49=LEFT(KHC,3)&amp;KH,_TH))</f>
        <v>0</v>
      </c>
      <c r="L49" s="8">
        <f t="array" ref="L49">SUM(IF("341"&amp;B49=LEFT(KHC,3)&amp;KH,TH))</f>
        <v>0</v>
      </c>
      <c r="M49" s="232">
        <f t="shared" si="6"/>
        <v>0</v>
      </c>
      <c r="N49" s="232">
        <f t="shared" si="7"/>
        <v>0</v>
      </c>
      <c r="O49" s="231">
        <f t="shared" si="8"/>
        <v>0</v>
      </c>
      <c r="P49" s="232">
        <f t="shared" si="9"/>
        <v>0</v>
      </c>
    </row>
    <row r="50" spans="1:16" s="10" customFormat="1" ht="18" customHeight="1">
      <c r="A50" s="884" t="str">
        <f>IF(B50&lt;&gt;"",ROW()-4,"")</f>
        <v/>
      </c>
      <c r="B50" s="72"/>
      <c r="C50" s="229"/>
      <c r="D50" s="229"/>
      <c r="E50" s="229"/>
      <c r="F50" s="8"/>
      <c r="G50" s="230"/>
      <c r="H50" s="8"/>
      <c r="I50" s="333">
        <f t="array" ref="I50">SUM(IF("341"&amp;B50=LEFT(KHN,3)&amp;KH,_TH))</f>
        <v>0</v>
      </c>
      <c r="J50" s="8">
        <f t="array" ref="J50">SUM(IF("341"&amp;B50=LEFT(KHN,3)&amp;KH,TH))</f>
        <v>0</v>
      </c>
      <c r="K50" s="230">
        <f t="array" ref="K50">SUM(IF("341"&amp;B50=LEFT(KHC,3)&amp;KH,_TH))</f>
        <v>0</v>
      </c>
      <c r="L50" s="8">
        <f t="array" ref="L50">SUM(IF("341"&amp;B50=LEFT(KHC,3)&amp;KH,TH))</f>
        <v>0</v>
      </c>
      <c r="M50" s="232">
        <f t="shared" si="6"/>
        <v>0</v>
      </c>
      <c r="N50" s="232">
        <f t="shared" si="7"/>
        <v>0</v>
      </c>
      <c r="O50" s="231">
        <f t="shared" si="8"/>
        <v>0</v>
      </c>
      <c r="P50" s="232">
        <f t="shared" si="9"/>
        <v>0</v>
      </c>
    </row>
    <row r="51" spans="1:16" s="10" customFormat="1" ht="18" customHeight="1">
      <c r="A51" s="884" t="str">
        <f>IF(B51&lt;&gt;"",ROW()-4,"")</f>
        <v/>
      </c>
      <c r="B51" s="233"/>
      <c r="C51" s="234"/>
      <c r="D51" s="234"/>
      <c r="E51" s="234"/>
      <c r="F51" s="230"/>
      <c r="G51" s="230"/>
      <c r="H51" s="230"/>
      <c r="I51" s="230"/>
      <c r="J51" s="230"/>
      <c r="K51" s="230"/>
      <c r="L51" s="230"/>
      <c r="M51" s="333"/>
      <c r="N51" s="231"/>
      <c r="O51" s="231"/>
      <c r="P51" s="231"/>
    </row>
    <row r="52" spans="1:16" s="14" customFormat="1" ht="18" customHeight="1">
      <c r="A52" s="11"/>
      <c r="B52" s="12" t="s">
        <v>41</v>
      </c>
      <c r="C52" s="12"/>
      <c r="D52" s="12"/>
      <c r="E52" s="12"/>
      <c r="F52" s="13">
        <f>SUM(F5:F51)</f>
        <v>0</v>
      </c>
      <c r="G52" s="1161"/>
      <c r="H52" s="13">
        <f>SUM(H5:H51)</f>
        <v>23372042379</v>
      </c>
      <c r="I52" s="1161"/>
      <c r="J52" s="13">
        <f>SUM(J5:J51)</f>
        <v>52020375719</v>
      </c>
      <c r="K52" s="1161"/>
      <c r="L52" s="13">
        <f>SUM(L5:L51)</f>
        <v>56963242140</v>
      </c>
      <c r="M52" s="13">
        <f>SUM(M5:M51)</f>
        <v>0</v>
      </c>
      <c r="N52" s="13">
        <f>SUM(N5:N51)</f>
        <v>0</v>
      </c>
      <c r="O52" s="1161">
        <f>SUM(O5:O51)</f>
        <v>1269190</v>
      </c>
      <c r="P52" s="13">
        <f>SUM(P5:P51)</f>
        <v>28314908800</v>
      </c>
    </row>
    <row r="53" spans="1:16">
      <c r="J53" s="228">
        <f>CDPS!$E$56</f>
        <v>52020375719</v>
      </c>
      <c r="L53" s="228">
        <f>CDPS!$F$56</f>
        <v>56963242140</v>
      </c>
      <c r="P53" s="15">
        <f>CDPS!$H$56</f>
        <v>28314908800</v>
      </c>
    </row>
    <row r="54" spans="1:16">
      <c r="J54" s="235">
        <f>J52-J53</f>
        <v>0</v>
      </c>
      <c r="K54" s="235">
        <f t="shared" ref="K54:L54" si="10">K52-K53</f>
        <v>0</v>
      </c>
      <c r="L54" s="235">
        <f t="shared" si="10"/>
        <v>0</v>
      </c>
      <c r="P54" s="235">
        <f>P52-P53</f>
        <v>0</v>
      </c>
    </row>
    <row r="56" spans="1:16">
      <c r="B56" s="228">
        <v>1</v>
      </c>
      <c r="C56" s="228">
        <v>2</v>
      </c>
      <c r="D56" s="228">
        <v>3</v>
      </c>
      <c r="E56" s="228">
        <v>4</v>
      </c>
      <c r="F56" s="228">
        <v>5</v>
      </c>
      <c r="G56" s="1162">
        <v>6</v>
      </c>
      <c r="H56" s="228">
        <v>7</v>
      </c>
      <c r="I56" s="1162">
        <v>8</v>
      </c>
      <c r="J56" s="228">
        <v>9</v>
      </c>
      <c r="K56" s="1162">
        <v>10</v>
      </c>
      <c r="L56" s="228">
        <v>11</v>
      </c>
      <c r="M56" s="228">
        <v>12</v>
      </c>
      <c r="N56" s="228">
        <v>13</v>
      </c>
      <c r="O56" s="1162">
        <v>14</v>
      </c>
      <c r="P56" s="228">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60" customWidth="1"/>
    <col min="2" max="2" width="7" style="460" customWidth="1"/>
    <col min="3" max="3" width="9.140625" style="460"/>
    <col min="4" max="4" width="25" style="460" customWidth="1"/>
    <col min="5" max="5" width="6.5703125" style="460" customWidth="1"/>
    <col min="6" max="10" width="10" style="460" customWidth="1"/>
    <col min="11" max="11" width="8.7109375" style="460" customWidth="1"/>
    <col min="12" max="12" width="15" style="460" customWidth="1"/>
    <col min="13" max="13" width="10" style="460" customWidth="1"/>
    <col min="14" max="14" width="9.42578125" style="460" customWidth="1"/>
    <col min="15" max="16384" width="9.140625" style="460"/>
  </cols>
  <sheetData>
    <row r="2" spans="1:14">
      <c r="A2" s="459" t="s">
        <v>181</v>
      </c>
      <c r="C2" s="461"/>
      <c r="F2" s="462"/>
      <c r="G2" s="462"/>
      <c r="H2" s="462"/>
      <c r="I2" s="462"/>
      <c r="J2" s="462"/>
      <c r="K2" s="462" t="s">
        <v>304</v>
      </c>
      <c r="L2" s="462"/>
      <c r="M2" s="462"/>
      <c r="N2" s="462"/>
    </row>
    <row r="3" spans="1:14">
      <c r="A3" s="459" t="s">
        <v>183</v>
      </c>
      <c r="C3" s="461"/>
      <c r="F3" s="463"/>
      <c r="G3" s="463"/>
      <c r="H3" s="463"/>
      <c r="I3" s="463"/>
      <c r="J3" s="463"/>
      <c r="K3" s="463" t="s">
        <v>236</v>
      </c>
      <c r="L3" s="463"/>
      <c r="M3" s="463"/>
      <c r="N3" s="463"/>
    </row>
    <row r="4" spans="1:14">
      <c r="F4" s="463"/>
      <c r="G4" s="463"/>
      <c r="H4" s="463"/>
      <c r="I4" s="463"/>
      <c r="J4" s="463"/>
      <c r="K4" s="463" t="s">
        <v>237</v>
      </c>
      <c r="L4" s="463"/>
      <c r="M4" s="463"/>
      <c r="N4" s="463"/>
    </row>
    <row r="5" spans="1:14" s="464" customFormat="1" ht="23.25" customHeight="1">
      <c r="A5" s="1416" t="s">
        <v>305</v>
      </c>
      <c r="B5" s="1416"/>
      <c r="C5" s="1416"/>
      <c r="D5" s="1416"/>
      <c r="E5" s="1416"/>
      <c r="F5" s="1416"/>
      <c r="G5" s="1416"/>
      <c r="H5" s="1416"/>
      <c r="I5" s="1416"/>
      <c r="J5" s="1416"/>
      <c r="K5" s="1416"/>
      <c r="L5" s="1416"/>
      <c r="M5" s="1416"/>
      <c r="N5" s="1416"/>
    </row>
    <row r="6" spans="1:14">
      <c r="A6" s="1417" t="s">
        <v>256</v>
      </c>
      <c r="B6" s="1417" t="s">
        <v>306</v>
      </c>
      <c r="C6" s="1417"/>
      <c r="D6" s="1417"/>
      <c r="E6" s="1417"/>
      <c r="F6" s="1417"/>
      <c r="G6" s="1417"/>
      <c r="H6" s="1417"/>
      <c r="I6" s="1417"/>
      <c r="J6" s="1417"/>
      <c r="K6" s="1417"/>
      <c r="L6" s="1417"/>
      <c r="M6" s="1417"/>
      <c r="N6" s="1417"/>
    </row>
    <row r="7" spans="1:14">
      <c r="C7" s="1418"/>
      <c r="D7" s="1418"/>
      <c r="E7" s="1418"/>
      <c r="F7" s="1418"/>
      <c r="G7" s="1418"/>
      <c r="H7" s="1418"/>
      <c r="I7" s="1418"/>
      <c r="J7" s="1418"/>
      <c r="K7" s="1418"/>
      <c r="L7" s="1418"/>
      <c r="M7" s="1418"/>
      <c r="N7" s="1418"/>
    </row>
    <row r="8" spans="1:14" ht="15.75" customHeight="1">
      <c r="A8" s="1410" t="s">
        <v>22</v>
      </c>
      <c r="B8" s="1419" t="s">
        <v>1</v>
      </c>
      <c r="C8" s="1420"/>
      <c r="D8" s="1410" t="s">
        <v>0</v>
      </c>
      <c r="E8" s="1410" t="s">
        <v>16</v>
      </c>
      <c r="F8" s="1409" t="s">
        <v>23</v>
      </c>
      <c r="G8" s="1409"/>
      <c r="H8" s="1409"/>
      <c r="I8" s="1409"/>
      <c r="J8" s="1409"/>
      <c r="K8" s="1409"/>
      <c r="L8" s="1409" t="s">
        <v>33</v>
      </c>
      <c r="M8" s="1409"/>
      <c r="N8" s="1409"/>
    </row>
    <row r="9" spans="1:14" ht="15.75" customHeight="1">
      <c r="A9" s="1410"/>
      <c r="B9" s="1421"/>
      <c r="C9" s="1422"/>
      <c r="D9" s="1410"/>
      <c r="E9" s="1410"/>
      <c r="F9" s="1409" t="s">
        <v>307</v>
      </c>
      <c r="G9" s="1409"/>
      <c r="H9" s="1409"/>
      <c r="I9" s="1409" t="s">
        <v>308</v>
      </c>
      <c r="J9" s="1409"/>
      <c r="K9" s="1409"/>
      <c r="L9" s="1410" t="s">
        <v>309</v>
      </c>
      <c r="M9" s="1410" t="s">
        <v>310</v>
      </c>
      <c r="N9" s="1410" t="s">
        <v>311</v>
      </c>
    </row>
    <row r="10" spans="1:14" ht="15.75" customHeight="1">
      <c r="A10" s="1410"/>
      <c r="B10" s="1412" t="s">
        <v>17</v>
      </c>
      <c r="C10" s="1412" t="s">
        <v>34</v>
      </c>
      <c r="D10" s="1410"/>
      <c r="E10" s="1410"/>
      <c r="F10" s="1414" t="s">
        <v>309</v>
      </c>
      <c r="G10" s="1414" t="s">
        <v>310</v>
      </c>
      <c r="H10" s="1414" t="s">
        <v>311</v>
      </c>
      <c r="I10" s="1414" t="s">
        <v>309</v>
      </c>
      <c r="J10" s="1414" t="s">
        <v>310</v>
      </c>
      <c r="K10" s="1414" t="s">
        <v>311</v>
      </c>
      <c r="L10" s="1411"/>
      <c r="M10" s="1411"/>
      <c r="N10" s="1411"/>
    </row>
    <row r="11" spans="1:14">
      <c r="A11" s="1410"/>
      <c r="B11" s="1413"/>
      <c r="C11" s="1413"/>
      <c r="D11" s="1410"/>
      <c r="E11" s="1410"/>
      <c r="F11" s="1415"/>
      <c r="G11" s="1415"/>
      <c r="H11" s="1415"/>
      <c r="I11" s="1415"/>
      <c r="J11" s="1415"/>
      <c r="K11" s="1415"/>
      <c r="L11" s="1411"/>
      <c r="M11" s="1411"/>
      <c r="N11" s="1411"/>
    </row>
    <row r="12" spans="1:14" s="463" customFormat="1">
      <c r="A12" s="465" t="s">
        <v>2</v>
      </c>
      <c r="B12" s="466" t="s">
        <v>3</v>
      </c>
      <c r="C12" s="465" t="s">
        <v>4</v>
      </c>
      <c r="D12" s="465" t="s">
        <v>5</v>
      </c>
      <c r="E12" s="465" t="s">
        <v>6</v>
      </c>
      <c r="F12" s="465">
        <v>1</v>
      </c>
      <c r="G12" s="465"/>
      <c r="H12" s="465"/>
      <c r="I12" s="465"/>
      <c r="J12" s="465"/>
      <c r="K12" s="465"/>
      <c r="L12" s="465"/>
      <c r="M12" s="465"/>
      <c r="N12" s="465"/>
    </row>
    <row r="13" spans="1:14">
      <c r="A13" s="467"/>
      <c r="B13" s="467"/>
      <c r="C13" s="467"/>
      <c r="D13" s="468" t="s">
        <v>7</v>
      </c>
      <c r="E13" s="467"/>
      <c r="F13" s="467"/>
      <c r="G13" s="467"/>
      <c r="H13" s="467"/>
      <c r="I13" s="467"/>
      <c r="J13" s="467"/>
      <c r="K13" s="467"/>
      <c r="L13" s="469">
        <f>CDPS!$D$58</f>
        <v>10000000000</v>
      </c>
      <c r="M13" s="467"/>
      <c r="N13" s="467"/>
    </row>
    <row r="14" spans="1:14">
      <c r="A14" s="470"/>
      <c r="B14" s="470"/>
      <c r="C14" s="470"/>
      <c r="D14" s="471" t="s">
        <v>312</v>
      </c>
      <c r="E14" s="470"/>
      <c r="F14" s="470"/>
      <c r="G14" s="470"/>
      <c r="H14" s="470"/>
      <c r="I14" s="470"/>
      <c r="J14" s="470"/>
      <c r="K14" s="470"/>
      <c r="L14" s="470"/>
      <c r="M14" s="470"/>
      <c r="N14" s="470"/>
    </row>
    <row r="15" spans="1:14">
      <c r="A15" s="470"/>
      <c r="B15" s="470"/>
      <c r="C15" s="470"/>
      <c r="D15" s="470"/>
      <c r="E15" s="470"/>
      <c r="F15" s="470"/>
      <c r="G15" s="470"/>
      <c r="H15" s="470"/>
      <c r="I15" s="470"/>
      <c r="J15" s="470"/>
      <c r="K15" s="470"/>
      <c r="L15" s="470"/>
      <c r="M15" s="470"/>
      <c r="N15" s="470"/>
    </row>
    <row r="16" spans="1:14">
      <c r="A16" s="470"/>
      <c r="B16" s="470"/>
      <c r="C16" s="470"/>
      <c r="D16" s="472"/>
      <c r="E16" s="472"/>
      <c r="F16" s="472"/>
      <c r="G16" s="472"/>
      <c r="H16" s="472"/>
      <c r="I16" s="472"/>
      <c r="J16" s="472"/>
      <c r="K16" s="472"/>
      <c r="L16" s="472"/>
      <c r="M16" s="472"/>
      <c r="N16" s="472"/>
    </row>
    <row r="17" spans="1:14">
      <c r="A17" s="470"/>
      <c r="B17" s="470"/>
      <c r="C17" s="470"/>
      <c r="D17" s="473" t="s">
        <v>158</v>
      </c>
      <c r="E17" s="991" t="s">
        <v>21</v>
      </c>
      <c r="F17" s="474"/>
      <c r="G17" s="474"/>
      <c r="H17" s="474"/>
      <c r="I17" s="474"/>
      <c r="J17" s="474"/>
      <c r="K17" s="474"/>
      <c r="L17" s="474"/>
      <c r="M17" s="474"/>
      <c r="N17" s="474"/>
    </row>
    <row r="18" spans="1:14">
      <c r="A18" s="475"/>
      <c r="B18" s="475"/>
      <c r="C18" s="475"/>
      <c r="D18" s="476" t="s">
        <v>10</v>
      </c>
      <c r="E18" s="992" t="s">
        <v>21</v>
      </c>
      <c r="F18" s="475"/>
      <c r="G18" s="475"/>
      <c r="H18" s="475"/>
      <c r="I18" s="475"/>
      <c r="J18" s="475"/>
      <c r="K18" s="475"/>
      <c r="L18" s="477">
        <f>L13+L17</f>
        <v>10000000000</v>
      </c>
      <c r="M18" s="475"/>
      <c r="N18" s="475"/>
    </row>
    <row r="20" spans="1:14">
      <c r="C20" s="478" t="s">
        <v>313</v>
      </c>
    </row>
    <row r="21" spans="1:14">
      <c r="C21" s="478" t="s">
        <v>314</v>
      </c>
    </row>
    <row r="22" spans="1:14">
      <c r="B22" s="479"/>
      <c r="C22" s="479"/>
      <c r="D22" s="479"/>
      <c r="E22" s="1408" t="s">
        <v>315</v>
      </c>
      <c r="F22" s="1408"/>
      <c r="G22" s="1408"/>
      <c r="H22" s="1408"/>
      <c r="I22" s="1408"/>
      <c r="J22" s="1408"/>
      <c r="K22" s="1408"/>
      <c r="L22" s="1408"/>
      <c r="M22" s="1408"/>
      <c r="N22" s="1408"/>
    </row>
    <row r="23" spans="1:14">
      <c r="A23" s="1408" t="s">
        <v>11</v>
      </c>
      <c r="B23" s="1408"/>
      <c r="C23" s="1408"/>
      <c r="D23" s="1408"/>
      <c r="E23" s="1408" t="s">
        <v>12</v>
      </c>
      <c r="F23" s="1408"/>
      <c r="G23" s="1408"/>
      <c r="H23" s="1408"/>
      <c r="I23" s="1408"/>
      <c r="J23" s="1408"/>
      <c r="K23" s="1408"/>
      <c r="L23" s="1408"/>
      <c r="M23" s="1408"/>
      <c r="N23" s="1408"/>
    </row>
    <row r="24" spans="1:14">
      <c r="A24" s="1408" t="s">
        <v>13</v>
      </c>
      <c r="B24" s="1408"/>
      <c r="C24" s="1408"/>
      <c r="D24" s="1408"/>
      <c r="E24" s="1408" t="s">
        <v>13</v>
      </c>
      <c r="F24" s="1408"/>
      <c r="G24" s="1408"/>
      <c r="H24" s="1408"/>
      <c r="I24" s="1408"/>
      <c r="J24" s="1408"/>
      <c r="K24" s="1408"/>
      <c r="L24" s="1408"/>
      <c r="M24" s="1408"/>
      <c r="N24" s="1408"/>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36" customWidth="1"/>
    <col min="2" max="2" width="29.7109375" style="536" customWidth="1"/>
    <col min="3" max="3" width="5.7109375" style="536" customWidth="1"/>
    <col min="4" max="4" width="6.7109375" style="536" customWidth="1"/>
    <col min="5" max="5" width="12.7109375" style="536" customWidth="1"/>
    <col min="6" max="6" width="9.85546875" style="536" customWidth="1"/>
    <col min="7" max="7" width="11" style="536" customWidth="1"/>
    <col min="8" max="8" width="14" style="536" customWidth="1"/>
    <col min="9" max="9" width="4.28515625" style="536" customWidth="1"/>
    <col min="10" max="10" width="5.7109375" style="536" customWidth="1"/>
    <col min="11" max="11" width="3.140625" style="536" customWidth="1"/>
    <col min="12" max="12" width="5.7109375" style="536" customWidth="1"/>
    <col min="13" max="13" width="2.7109375" style="536" customWidth="1"/>
    <col min="14" max="14" width="4" style="536" customWidth="1"/>
    <col min="15" max="15" width="3.7109375" style="536" customWidth="1"/>
    <col min="16" max="16384" width="9.140625" style="536"/>
  </cols>
  <sheetData>
    <row r="1" spans="1:16" ht="5.25" customHeight="1"/>
    <row r="2" spans="1:16" ht="12.75" customHeight="1">
      <c r="A2" s="97" t="s">
        <v>138</v>
      </c>
      <c r="G2" s="112" t="str">
        <f>+IF(LEFT($D$7,1)="N","Mẫu số 01 - VT","Mẫu số 02 - VT")</f>
        <v>Mẫu số 02 - VT</v>
      </c>
    </row>
    <row r="3" spans="1:16" ht="12.75" customHeight="1">
      <c r="A3" s="108" t="s">
        <v>139</v>
      </c>
      <c r="G3" s="109" t="s">
        <v>319</v>
      </c>
      <c r="N3" s="112" t="s">
        <v>126</v>
      </c>
      <c r="O3" s="537"/>
    </row>
    <row r="4" spans="1:16" ht="11.25" customHeight="1">
      <c r="G4" s="109" t="s">
        <v>237</v>
      </c>
      <c r="J4" s="538" t="s">
        <v>464</v>
      </c>
      <c r="M4" s="539"/>
      <c r="N4" s="112" t="s">
        <v>127</v>
      </c>
      <c r="O4" s="537"/>
    </row>
    <row r="5" spans="1:16" ht="18" customHeight="1">
      <c r="D5" s="540" t="str">
        <f>+IF(LEFT($L$5,1)="N","PHIẾU NHẬP KHO","PHIẾU XUẤT KHO")</f>
        <v>PHIẾU XUẤT KHO</v>
      </c>
      <c r="J5" s="541">
        <v>1</v>
      </c>
      <c r="K5" s="542"/>
      <c r="L5" s="543" t="s">
        <v>577</v>
      </c>
      <c r="M5" s="544"/>
      <c r="N5" s="545">
        <v>1</v>
      </c>
      <c r="O5" s="537"/>
      <c r="P5" s="537"/>
    </row>
    <row r="6" spans="1:16" s="546" customFormat="1" ht="12" customHeight="1">
      <c r="D6" s="547" t="str">
        <f ca="1">"Ngày  " &amp;DAY(IF(ROWS($1:1)&gt;COUNT(Dong10),"",OFFSET(TH!C$1,SMALL(Dong10,ROWS($1:1)),)))&amp;"  tháng  " &amp; MONTH(IF(ROWS($1:1)&gt;COUNT(Dong10),"",OFFSET(TH!C$1,SMALL(Dong10,ROWS($1:1)),)))&amp;"  năm  "&amp;YEAR(IF(ROWS($1:1)&gt;COUNT(Dong10),"",OFFSET(TH!C$1,SMALL(Dong10,ROWS($1:1)),)))</f>
        <v>Ngày  2  tháng  1  năm  2016</v>
      </c>
      <c r="E6" s="548"/>
      <c r="M6" s="549"/>
      <c r="O6" s="550"/>
    </row>
    <row r="7" spans="1:16" s="546" customFormat="1" ht="12" customHeight="1">
      <c r="C7" s="551" t="str">
        <f xml:space="preserve"> "Số:"</f>
        <v>Số:</v>
      </c>
      <c r="D7" s="552" t="str">
        <f xml:space="preserve"> RIGHT($L$5,2)&amp;"/"&amp;LEFT($L$5,1)&amp;IF($N$5&gt;=10,$N$5,"0"&amp;$N$5)</f>
        <v>VL/X01</v>
      </c>
      <c r="G7" s="546" t="str">
        <f ca="1">"Nợ:  "&amp;IF(ROWS($1:1)&gt;COUNT(Dong10),"",OFFSET(TH!N$1,SMALL(Dong10,ROWS($1:1)),))</f>
        <v>Nợ:  154</v>
      </c>
      <c r="M7" s="549"/>
      <c r="O7" s="550"/>
    </row>
    <row r="8" spans="1:16" s="546" customFormat="1" ht="12" customHeight="1">
      <c r="D8" s="109"/>
      <c r="G8" s="546" t="str">
        <f ca="1">"Có:  "&amp;IF(ROWS($1:1)&gt;COUNT(Dong10),"",OFFSET(TH!O$1,SMALL(Dong10,ROWS($1:1)),))</f>
        <v>Có:  1522</v>
      </c>
      <c r="M8" s="549"/>
      <c r="O8" s="553"/>
    </row>
    <row r="9" spans="1:16" s="546" customFormat="1" ht="12" customHeight="1">
      <c r="A9" s="546"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49"/>
    </row>
    <row r="10" spans="1:16" s="546" customFormat="1" ht="12" customHeight="1">
      <c r="A10" s="546" t="str">
        <f>+IF(LEFT($D$7,1)="N","Theo……………………………………....…………..số………….…………….……ngày……...tháng…......năm……....","Lý do xuất :                                 Xuất dùng ")</f>
        <v xml:space="preserve">Lý do xuất :                                 Xuất dùng </v>
      </c>
    </row>
    <row r="11" spans="1:16" s="546" customFormat="1" ht="12" customHeight="1">
      <c r="A11" s="546" t="str">
        <f>+IF(LEFT($D$7,1)="N","của………………………………………………………………………………………………………………………………....","Xuất tại kho (ngăn lô) :            Công ty TNHH Hải Sản An Lạc                      Địa điểm :  Đức Hòa, Long An.")</f>
        <v>Xuất tại kho (ngăn lô) :            Công ty TNHH Hải Sản An Lạc                      Địa điểm :  Đức Hòa, Long An.</v>
      </c>
    </row>
    <row r="12" spans="1:16" s="546" customFormat="1" ht="12" customHeight="1">
      <c r="A12" s="546" t="str">
        <f>+IF(LEFT("x",1)="N","Nhập tại kho:       Công ty TNHH Hải Sản An Lạc                      Địa điểm:  Đức Hòa, Long An."," ")</f>
        <v/>
      </c>
    </row>
    <row r="13" spans="1:16" s="546" customFormat="1" ht="2.25" customHeight="1"/>
    <row r="14" spans="1:16" s="546" customFormat="1" ht="11.25" customHeight="1">
      <c r="A14" s="1423" t="s">
        <v>37</v>
      </c>
      <c r="B14" s="1423" t="s">
        <v>465</v>
      </c>
      <c r="C14" s="1423" t="s">
        <v>466</v>
      </c>
      <c r="D14" s="1423" t="s">
        <v>326</v>
      </c>
      <c r="E14" s="1425" t="s">
        <v>467</v>
      </c>
      <c r="F14" s="1425"/>
      <c r="G14" s="1423" t="s">
        <v>468</v>
      </c>
      <c r="H14" s="1423" t="s">
        <v>469</v>
      </c>
    </row>
    <row r="15" spans="1:16" s="546" customFormat="1" ht="19.5" customHeight="1">
      <c r="A15" s="1424"/>
      <c r="B15" s="1424"/>
      <c r="C15" s="1424"/>
      <c r="D15" s="1424"/>
      <c r="E15" s="554" t="s">
        <v>470</v>
      </c>
      <c r="F15" s="554" t="str">
        <f>IF(LEFT($D$7,1)="N","Thực nhập","Thực xuất")</f>
        <v>Thực xuất</v>
      </c>
      <c r="G15" s="1424"/>
      <c r="H15" s="1424"/>
    </row>
    <row r="16" spans="1:16" s="556" customFormat="1" ht="8.25" customHeight="1">
      <c r="A16" s="555" t="s">
        <v>2</v>
      </c>
      <c r="B16" s="555" t="s">
        <v>3</v>
      </c>
      <c r="C16" s="555" t="s">
        <v>4</v>
      </c>
      <c r="D16" s="555" t="s">
        <v>5</v>
      </c>
      <c r="E16" s="555">
        <v>1</v>
      </c>
      <c r="F16" s="555">
        <v>2</v>
      </c>
      <c r="G16" s="555">
        <v>3</v>
      </c>
      <c r="H16" s="555">
        <v>4</v>
      </c>
    </row>
    <row r="17" spans="1:8" s="546" customFormat="1" ht="12" customHeight="1">
      <c r="A17" s="557">
        <f ca="1">IF(B17="","",ROW()-16)</f>
        <v>1</v>
      </c>
      <c r="B17" s="558" t="str">
        <f ca="1">IF(ROWS($1:1)&gt;COUNT(Dong10),"",OFFSET(TH!F$1,SMALL(Dong10,ROWS($1:1)),))</f>
        <v>Bột ngọt</v>
      </c>
      <c r="C17" s="559"/>
      <c r="D17" s="560" t="str">
        <f ca="1">IF(ISNA(VLOOKUP(B17,NXT!$C$12:$D$105,2,0)),"",VLOOKUP(B17,NXT!$C$12:$D$105,2,0))</f>
        <v>kg</v>
      </c>
      <c r="E17" s="561"/>
      <c r="F17" s="562">
        <f ca="1">IF(ROWS($1:1)&gt;COUNT(Dong10),"",OFFSET(TH!I$1,SMALL(Dong10,ROWS($1:1)),))</f>
        <v>100</v>
      </c>
      <c r="G17" s="563">
        <f ca="1">IF(ROWS($1:1)&gt;COUNT(Dong10),"",OFFSET(TH!J$1,SMALL(Dong10,ROWS($1:1)),))</f>
        <v>35444.444444444445</v>
      </c>
      <c r="H17" s="561">
        <f t="shared" ref="H17:H23" ca="1" si="0">IF(F17&lt;&gt;"",ROUND(F17*G17,0),"")</f>
        <v>3544444</v>
      </c>
    </row>
    <row r="18" spans="1:8" s="546" customFormat="1" ht="12" customHeight="1">
      <c r="A18" s="557">
        <f t="shared" ref="A18:A23" ca="1" si="1">IF(B18="","",A17+1)</f>
        <v>2</v>
      </c>
      <c r="B18" s="558" t="str">
        <f ca="1">IF(ROWS($1:2)&gt;COUNT(Dong10),"",OFFSET(TH!F$1,SMALL(Dong10,ROWS($1:2)),))</f>
        <v>Bột biến tính</v>
      </c>
      <c r="C18" s="559"/>
      <c r="D18" s="560" t="str">
        <f ca="1">IF(ISNA(VLOOKUP(B18,NXT!$C$12:$D$105,2,0)),"",VLOOKUP(B18,NXT!$C$12:$D$105,2,0))</f>
        <v>kg</v>
      </c>
      <c r="E18" s="561"/>
      <c r="F18" s="562">
        <f ca="1">IF(ROWS($1:2)&gt;COUNT(Dong10),"",OFFSET(TH!I$1,SMALL(Dong10,ROWS($1:2)),))</f>
        <v>20</v>
      </c>
      <c r="G18" s="563">
        <f ca="1">IF(ROWS($1:2)&gt;COUNT(Dong10),"",OFFSET(TH!J$1,SMALL(Dong10,ROWS($1:2)),))</f>
        <v>46741.2</v>
      </c>
      <c r="H18" s="561">
        <f t="shared" ca="1" si="0"/>
        <v>934824</v>
      </c>
    </row>
    <row r="19" spans="1:8" s="546" customFormat="1" ht="12" customHeight="1">
      <c r="A19" s="557">
        <f t="shared" ca="1" si="1"/>
        <v>3</v>
      </c>
      <c r="B19" s="558" t="str">
        <f ca="1">IF(ROWS($1:3)&gt;COUNT(Dong10),"",OFFSET(TH!F$1,SMALL(Dong10,ROWS($1:3)),))</f>
        <v>Đường</v>
      </c>
      <c r="C19" s="559"/>
      <c r="D19" s="560" t="str">
        <f ca="1">IF(ISNA(VLOOKUP(B19,NXT!$C$12:$D$105,2,0)),"",VLOOKUP(B19,NXT!$C$12:$D$105,2,0))</f>
        <v>kg</v>
      </c>
      <c r="E19" s="561"/>
      <c r="F19" s="562">
        <f ca="1">IF(ROWS($1:3)&gt;COUNT(Dong10),"",OFFSET(TH!I$1,SMALL(Dong10,ROWS($1:3)),))</f>
        <v>150</v>
      </c>
      <c r="G19" s="563">
        <f ca="1">IF(ROWS($1:3)&gt;COUNT(Dong10),"",OFFSET(TH!J$1,SMALL(Dong10,ROWS($1:3)),))</f>
        <v>11666.673333333334</v>
      </c>
      <c r="H19" s="561">
        <f t="shared" ca="1" si="0"/>
        <v>1750001</v>
      </c>
    </row>
    <row r="20" spans="1:8" s="546" customFormat="1" ht="12" customHeight="1">
      <c r="A20" s="557" t="str">
        <f t="shared" ca="1" si="1"/>
        <v/>
      </c>
      <c r="B20" s="558" t="str">
        <f ca="1">IF(ROWS($1:4)&gt;COUNT(Dong10),"",OFFSET(TH!F$1,SMALL(Dong10,ROWS($1:4)),))</f>
        <v/>
      </c>
      <c r="C20" s="559"/>
      <c r="D20" s="560" t="str">
        <f ca="1">IF(ISNA(VLOOKUP(B20,NXT!$C$12:$D$105,2,0)),"",VLOOKUP(B20,NXT!$C$12:$D$105,2,0))</f>
        <v/>
      </c>
      <c r="E20" s="561"/>
      <c r="F20" s="562" t="str">
        <f ca="1">IF(ROWS($1:4)&gt;COUNT(Dong10),"",OFFSET(TH!I$1,SMALL(Dong10,ROWS($1:4)),))</f>
        <v/>
      </c>
      <c r="G20" s="563" t="str">
        <f ca="1">IF(ROWS($1:4)&gt;COUNT(Dong10),"",OFFSET(TH!J$1,SMALL(Dong10,ROWS($1:4)),))</f>
        <v/>
      </c>
      <c r="H20" s="561" t="str">
        <f t="shared" ca="1" si="0"/>
        <v/>
      </c>
    </row>
    <row r="21" spans="1:8" s="546" customFormat="1" ht="12" customHeight="1">
      <c r="A21" s="557" t="str">
        <f t="shared" ca="1" si="1"/>
        <v/>
      </c>
      <c r="B21" s="558" t="str">
        <f ca="1">IF(ROWS($1:5)&gt;COUNT(Dong10),"",OFFSET(TH!F$1,SMALL(Dong10,ROWS($1:5)),))</f>
        <v/>
      </c>
      <c r="C21" s="559"/>
      <c r="D21" s="560" t="str">
        <f ca="1">IF(ISNA(VLOOKUP(B21,NXT!$C$12:$D$105,2,0)),"",VLOOKUP(B21,NXT!$C$12:$D$105,2,0))</f>
        <v/>
      </c>
      <c r="E21" s="561"/>
      <c r="F21" s="562" t="str">
        <f ca="1">IF(ROWS($1:5)&gt;COUNT(Dong10),"",OFFSET(TH!I$1,SMALL(Dong10,ROWS($1:5)),))</f>
        <v/>
      </c>
      <c r="G21" s="563" t="str">
        <f ca="1">IF(ROWS($1:5)&gt;COUNT(Dong10),"",OFFSET(TH!J$1,SMALL(Dong10,ROWS($1:5)),))</f>
        <v/>
      </c>
      <c r="H21" s="561" t="str">
        <f t="shared" ca="1" si="0"/>
        <v/>
      </c>
    </row>
    <row r="22" spans="1:8" s="546" customFormat="1" ht="12" customHeight="1">
      <c r="A22" s="557" t="str">
        <f t="shared" ca="1" si="1"/>
        <v/>
      </c>
      <c r="B22" s="558" t="str">
        <f ca="1">IF(ROWS($1:6)&gt;COUNT(Dong10),"",OFFSET(TH!F$1,SMALL(Dong10,ROWS($1:6)),))</f>
        <v/>
      </c>
      <c r="C22" s="559"/>
      <c r="D22" s="560" t="str">
        <f ca="1">IF(ISNA(VLOOKUP(B22,NXT!$C$12:$D$105,2,0)),"",VLOOKUP(B22,NXT!$C$12:$D$105,2,0))</f>
        <v/>
      </c>
      <c r="E22" s="561"/>
      <c r="F22" s="562" t="str">
        <f ca="1">IF(ROWS($1:6)&gt;COUNT(Dong10),"",OFFSET(TH!I$1,SMALL(Dong10,ROWS($1:6)),))</f>
        <v/>
      </c>
      <c r="G22" s="563" t="str">
        <f ca="1">IF(ROWS($1:6)&gt;COUNT(Dong10),"",OFFSET(TH!J$1,SMALL(Dong10,ROWS($1:6)),))</f>
        <v/>
      </c>
      <c r="H22" s="561" t="str">
        <f t="shared" ca="1" si="0"/>
        <v/>
      </c>
    </row>
    <row r="23" spans="1:8" s="546" customFormat="1" ht="12" customHeight="1">
      <c r="A23" s="564" t="str">
        <f t="shared" ca="1" si="1"/>
        <v/>
      </c>
      <c r="B23" s="558" t="str">
        <f ca="1">IF(ROWS($1:7)&gt;COUNT(Dong10),"",OFFSET(TH!F$1,SMALL(Dong10,ROWS($1:7)),))</f>
        <v/>
      </c>
      <c r="C23" s="559"/>
      <c r="D23" s="560" t="str">
        <f ca="1">IF(ISNA(VLOOKUP(B23,NXT!$C$12:$D$105,2,0)),"",VLOOKUP(B23,NXT!$C$12:$D$105,2,0))</f>
        <v/>
      </c>
      <c r="E23" s="561"/>
      <c r="F23" s="562" t="str">
        <f ca="1">IF(ROWS($1:7)&gt;COUNT(Dong10),"",OFFSET(TH!I$1,SMALL(Dong10,ROWS($1:7)),))</f>
        <v/>
      </c>
      <c r="G23" s="563" t="str">
        <f ca="1">IF(ROWS($1:7)&gt;COUNT(Dong10),"",OFFSET(TH!J$1,SMALL(Dong10,ROWS($1:7)),))</f>
        <v/>
      </c>
      <c r="H23" s="565" t="str">
        <f t="shared" ca="1" si="0"/>
        <v/>
      </c>
    </row>
    <row r="24" spans="1:8" s="546" customFormat="1" ht="12" customHeight="1">
      <c r="A24" s="1425" t="s">
        <v>471</v>
      </c>
      <c r="B24" s="1425"/>
      <c r="C24" s="566"/>
      <c r="D24" s="566"/>
      <c r="E24" s="567"/>
      <c r="F24" s="567"/>
      <c r="G24" s="567"/>
      <c r="H24" s="567">
        <f ca="1">SUM(H17:H23)</f>
        <v>6229269</v>
      </c>
    </row>
    <row r="25" spans="1:8" s="546" customFormat="1" ht="3" customHeight="1">
      <c r="A25" s="568"/>
      <c r="B25" s="568"/>
      <c r="C25" s="549"/>
      <c r="D25" s="549"/>
      <c r="E25" s="569"/>
      <c r="F25" s="569"/>
      <c r="G25" s="569"/>
      <c r="H25" s="569"/>
    </row>
    <row r="26" spans="1:8" s="546" customFormat="1" ht="14.25" customHeight="1">
      <c r="A26" s="546" t="e">
        <f ca="1">"Tổng số tiền (viết bằng chữ):  "&amp; [3]!VND(H24, TRUE)</f>
        <v>#NAME?</v>
      </c>
    </row>
    <row r="27" spans="1:8" s="546" customFormat="1" ht="14.25" customHeight="1">
      <c r="A27" s="546" t="str">
        <f>"Số chứng từ gốc kèm theo :  "</f>
        <v xml:space="preserve">Số chứng từ gốc kèm theo :  </v>
      </c>
    </row>
    <row r="28" spans="1:8" s="546" customFormat="1" ht="14.25" customHeight="1">
      <c r="F28" s="120" t="str">
        <f ca="1">+IF(LEFT($D$7,1)="N","                                                          "&amp;D6,"                                                                                           "&amp;D6)</f>
        <v xml:space="preserve">                                                                                           Ngày  2  tháng  1  năm  2016</v>
      </c>
    </row>
    <row r="29" spans="1:8" s="571" customFormat="1" ht="14.25" customHeight="1">
      <c r="A29" s="570" t="s">
        <v>472</v>
      </c>
      <c r="C29" s="572"/>
      <c r="E29" s="572"/>
      <c r="F29" s="572" t="str">
        <f>+IF(LEFT($D$7,1)="N","                                                       Kế toán trưởng","                                          Kế toán trưởng                           Giám đốc")</f>
        <v xml:space="preserve">                                          Kế toán trưởng                           Giám đốc</v>
      </c>
    </row>
    <row r="30" spans="1:8" s="546" customFormat="1" ht="12.75" customHeight="1">
      <c r="A30" s="552" t="s">
        <v>473</v>
      </c>
      <c r="C30" s="120"/>
      <c r="E30" s="120"/>
      <c r="F30" s="120" t="str">
        <f>+IF(LEFT($D$7,1)="N","                                                     (Ký, họ tên)","                (Ký, họ tên)                ")</f>
        <v xml:space="preserve">                (Ký, họ tên)                </v>
      </c>
      <c r="H30" s="552" t="str">
        <f>+IF(LEFT($D$7,1)="N","","  (Ký, họ tên)")</f>
        <v xml:space="preserve">  (Ký, họ tên)</v>
      </c>
    </row>
    <row r="31" spans="1:8" s="546" customFormat="1" ht="12.75" customHeight="1">
      <c r="G31" s="120"/>
    </row>
    <row r="32" spans="1:8" s="546" customFormat="1" ht="11.25" customHeight="1"/>
    <row r="33" spans="1:6" s="546" customFormat="1" ht="11.25" customHeight="1"/>
    <row r="34" spans="1:6" s="546" customFormat="1" ht="11.25" customHeight="1"/>
    <row r="35" spans="1:6" s="546" customFormat="1" ht="11.25" customHeight="1"/>
    <row r="36" spans="1:6" ht="11.25" customHeight="1">
      <c r="A36" s="573" t="s">
        <v>474</v>
      </c>
      <c r="F36" s="574"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33" customWidth="1"/>
    <col min="2" max="2" width="9.140625" style="633"/>
    <col min="3" max="3" width="9.140625" style="697" customWidth="1"/>
    <col min="4" max="4" width="10.85546875" style="697" customWidth="1"/>
    <col min="5" max="5" width="39.42578125" style="698" customWidth="1"/>
    <col min="6" max="6" width="10.85546875" style="699" customWidth="1"/>
    <col min="7" max="7" width="9" style="700" customWidth="1"/>
    <col min="8" max="8" width="9.5703125" style="700" customWidth="1"/>
    <col min="9" max="9" width="10" style="700" customWidth="1"/>
    <col min="10" max="10" width="8" style="633" customWidth="1"/>
    <col min="11" max="11" width="2.42578125" style="633" customWidth="1"/>
    <col min="12" max="12" width="6.5703125" style="633" customWidth="1"/>
    <col min="13" max="16384" width="9.140625" style="633"/>
  </cols>
  <sheetData>
    <row r="1" spans="1:12" ht="15" customHeight="1">
      <c r="A1" s="628" t="s">
        <v>181</v>
      </c>
      <c r="B1" s="629"/>
      <c r="C1" s="629"/>
      <c r="D1" s="629"/>
      <c r="E1" s="630"/>
      <c r="F1" s="629"/>
      <c r="G1" s="631"/>
      <c r="H1" s="632" t="s">
        <v>491</v>
      </c>
      <c r="I1" s="633"/>
      <c r="J1" s="634"/>
      <c r="K1" s="634"/>
      <c r="L1" s="635"/>
    </row>
    <row r="2" spans="1:12" ht="15" customHeight="1">
      <c r="A2" s="636" t="s">
        <v>318</v>
      </c>
      <c r="B2" s="637"/>
      <c r="C2" s="637"/>
      <c r="D2" s="637"/>
      <c r="E2" s="638"/>
      <c r="F2" s="639"/>
      <c r="G2" s="640"/>
      <c r="H2" s="641" t="s">
        <v>319</v>
      </c>
      <c r="I2" s="633"/>
      <c r="J2" s="634"/>
      <c r="K2" s="634"/>
    </row>
    <row r="3" spans="1:12" ht="15">
      <c r="A3" s="637"/>
      <c r="B3" s="637"/>
      <c r="C3" s="637"/>
      <c r="D3" s="637"/>
      <c r="E3" s="638"/>
      <c r="F3" s="639"/>
      <c r="G3" s="640"/>
      <c r="H3" s="641" t="s">
        <v>237</v>
      </c>
      <c r="I3" s="633"/>
      <c r="J3" s="634"/>
      <c r="K3" s="634"/>
    </row>
    <row r="4" spans="1:12" ht="18.75" customHeight="1">
      <c r="A4" s="642"/>
      <c r="B4" s="642"/>
      <c r="C4" s="642"/>
      <c r="D4" s="642"/>
      <c r="E4" s="643" t="s">
        <v>492</v>
      </c>
      <c r="F4" s="642"/>
      <c r="G4" s="642"/>
      <c r="H4" s="642"/>
      <c r="I4" s="642"/>
      <c r="J4" s="634"/>
      <c r="K4" s="634"/>
    </row>
    <row r="5" spans="1:12" ht="15">
      <c r="A5" s="644"/>
      <c r="B5" s="644"/>
      <c r="C5" s="644"/>
      <c r="D5" s="644"/>
      <c r="E5" s="645" t="str">
        <f ca="1">IF(ISERROR("Ngày lập thẻ: ngày "&amp;DAY(B14)&amp;"/"&amp;MONTH(B14)&amp;"/"&amp;YEAR(B14)),"Ngày lập thẻ: ngày 01/ 01/2016 ","Ngày lập thẻ: ngày "&amp;DAY(B14)&amp;"/"&amp;MONTH(B14)&amp;"/"&amp;YEAR(B14))</f>
        <v>Ngày lập thẻ: ngày 5/1/2016</v>
      </c>
      <c r="F5" s="644"/>
      <c r="G5" s="644"/>
      <c r="H5" s="644"/>
      <c r="I5" s="644"/>
      <c r="J5" s="634"/>
      <c r="K5" s="634"/>
    </row>
    <row r="6" spans="1:12" ht="15">
      <c r="A6" s="644"/>
      <c r="B6" s="644"/>
      <c r="C6" s="644"/>
      <c r="D6" s="644"/>
      <c r="E6" s="645" t="s">
        <v>493</v>
      </c>
      <c r="F6" s="644"/>
      <c r="G6" s="644"/>
      <c r="H6" s="644"/>
      <c r="I6" s="644"/>
      <c r="J6" s="634"/>
      <c r="K6" s="634"/>
    </row>
    <row r="7" spans="1:12" ht="15">
      <c r="A7" s="623" t="s">
        <v>494</v>
      </c>
      <c r="B7" s="623"/>
      <c r="C7" s="646"/>
      <c r="D7" s="646"/>
      <c r="E7" s="647" t="s">
        <v>348</v>
      </c>
      <c r="F7" s="639"/>
      <c r="G7" s="648"/>
      <c r="H7" s="648"/>
      <c r="I7" s="648"/>
      <c r="J7" s="634"/>
      <c r="K7" s="634"/>
    </row>
    <row r="8" spans="1:12" ht="15">
      <c r="A8" s="623" t="s">
        <v>495</v>
      </c>
      <c r="B8" s="623"/>
      <c r="C8" s="634" t="str">
        <f>VLOOKUP($E$7,NXT!$C$12:$L$106,2,0)</f>
        <v>kg</v>
      </c>
      <c r="D8" s="623"/>
      <c r="E8" s="647"/>
      <c r="F8" s="639"/>
      <c r="G8" s="648"/>
      <c r="H8" s="648"/>
      <c r="I8" s="648"/>
      <c r="J8" s="634"/>
      <c r="K8" s="634"/>
    </row>
    <row r="9" spans="1:12" ht="15">
      <c r="A9" s="1426" t="s">
        <v>496</v>
      </c>
      <c r="B9" s="1427"/>
      <c r="C9" s="1427"/>
      <c r="D9" s="1427"/>
      <c r="E9" s="647"/>
      <c r="F9" s="639"/>
      <c r="G9" s="648"/>
      <c r="H9" s="648"/>
      <c r="I9" s="648"/>
      <c r="J9" s="649"/>
      <c r="K9" s="649"/>
    </row>
    <row r="10" spans="1:12" ht="19.5" customHeight="1">
      <c r="A10" s="1428" t="s">
        <v>497</v>
      </c>
      <c r="B10" s="1429" t="s">
        <v>498</v>
      </c>
      <c r="C10" s="1431" t="s">
        <v>17</v>
      </c>
      <c r="D10" s="1432"/>
      <c r="E10" s="1433" t="s">
        <v>0</v>
      </c>
      <c r="F10" s="1442" t="s">
        <v>499</v>
      </c>
      <c r="G10" s="1436" t="s">
        <v>467</v>
      </c>
      <c r="H10" s="1436"/>
      <c r="I10" s="1432"/>
      <c r="J10" s="1437" t="s">
        <v>500</v>
      </c>
      <c r="K10" s="650"/>
      <c r="L10" s="651" t="s">
        <v>485</v>
      </c>
    </row>
    <row r="11" spans="1:12" ht="19.5" customHeight="1">
      <c r="A11" s="1428"/>
      <c r="B11" s="1430"/>
      <c r="C11" s="652" t="s">
        <v>482</v>
      </c>
      <c r="D11" s="652" t="s">
        <v>483</v>
      </c>
      <c r="E11" s="1434"/>
      <c r="F11" s="1443"/>
      <c r="G11" s="653" t="s">
        <v>482</v>
      </c>
      <c r="H11" s="653" t="s">
        <v>483</v>
      </c>
      <c r="I11" s="653" t="s">
        <v>484</v>
      </c>
      <c r="J11" s="1438"/>
      <c r="K11" s="650"/>
    </row>
    <row r="12" spans="1:12" ht="15">
      <c r="A12" s="654" t="s">
        <v>2</v>
      </c>
      <c r="B12" s="655" t="s">
        <v>3</v>
      </c>
      <c r="C12" s="656" t="s">
        <v>4</v>
      </c>
      <c r="D12" s="656" t="s">
        <v>5</v>
      </c>
      <c r="E12" s="657" t="s">
        <v>6</v>
      </c>
      <c r="F12" s="655" t="s">
        <v>155</v>
      </c>
      <c r="G12" s="658">
        <v>1</v>
      </c>
      <c r="H12" s="658">
        <v>2</v>
      </c>
      <c r="I12" s="658">
        <v>3</v>
      </c>
      <c r="J12" s="656" t="s">
        <v>156</v>
      </c>
      <c r="K12" s="659"/>
    </row>
    <row r="13" spans="1:12" ht="16.5" customHeight="1">
      <c r="A13" s="660"/>
      <c r="B13" s="661"/>
      <c r="C13" s="662"/>
      <c r="D13" s="662"/>
      <c r="E13" s="663" t="s">
        <v>333</v>
      </c>
      <c r="F13" s="661"/>
      <c r="G13" s="664"/>
      <c r="H13" s="664"/>
      <c r="I13" s="665">
        <f>VLOOKUP($E$7,NXT!$C$12:$L$106,3,0)</f>
        <v>300</v>
      </c>
      <c r="J13" s="660"/>
      <c r="K13" s="666"/>
    </row>
    <row r="14" spans="1:12" ht="16.5" customHeight="1">
      <c r="A14" s="667">
        <f ca="1">IF(B14&lt;&gt;"",ROW()-(ROW()-1),"")</f>
        <v>1</v>
      </c>
      <c r="B14" s="668">
        <f ca="1">IF(ROWS($1:1)&gt;COUNT(Dong12),"",OFFSET(TH!E$1,SMALL(Dong12,ROWS($1:1)),))</f>
        <v>42374</v>
      </c>
      <c r="C14" s="858" t="str">
        <f ca="1">IF(ROWS($1:1)&gt;COUNT(Dong12),"",IF(MID(OFFSET(TH!D$1,SMALL(Dong12,ROWS($1:1)),),4,1)="N",OFFSET(TH!D$1,SMALL(Dong12,ROWS($1:1)),),""))</f>
        <v>VL/N01</v>
      </c>
      <c r="D14" s="668" t="str">
        <f ca="1">IF(ROWS($1:1)&gt;COUNT(Dong12),"",IF(MID(OFFSET(TH!D$1,SMALL(Dong12,ROWS($1:1)),),4,1)="X",OFFSET(TH!D$1,SMALL(Dong12,ROWS($1:1)),),""))</f>
        <v/>
      </c>
      <c r="E14" s="669" t="str">
        <f ca="1">IF(ROWS($1:1)&gt;COUNT(Dong12),"",OFFSET(TH!F$1,SMALL(Dong12,ROWS($1:1)),)&amp;" - "&amp;OFFSET(TH!H$1,SMALL(Dong12,ROWS($1:1)),))</f>
        <v>Đường - Cty TNHH TM - DV Thanh Thanh</v>
      </c>
      <c r="F14" s="668">
        <f ca="1">B14</f>
        <v>42374</v>
      </c>
      <c r="G14" s="670">
        <f ca="1">IF(ROWS($1:1)&gt;COUNT(Dong12),0,IF(MID(OFFSET(TH!D$1,SMALL(Dong12,ROWS($1:1)),),4,1)="N",OFFSET(TH!I$1,SMALL(Dong12,ROWS($1:1)),),0))</f>
        <v>1000</v>
      </c>
      <c r="H14" s="670">
        <f ca="1">IF(ROWS($1:1)&gt;COUNT(Dong12),0,IF(MID(OFFSET(TH!D$1,SMALL(Dong12,ROWS($1:1)),),4,1)="X",OFFSET(TH!I$1,SMALL(Dong12,ROWS($1:1)),),0))</f>
        <v>0</v>
      </c>
      <c r="I14" s="671">
        <f ca="1">IF(E14&lt;&gt;"",I13+G14-H14,0)</f>
        <v>1300</v>
      </c>
      <c r="J14" s="672"/>
      <c r="K14" s="673"/>
    </row>
    <row r="15" spans="1:12" ht="16.5" customHeight="1">
      <c r="A15" s="674">
        <f ca="1">IF(B15&lt;&gt;"",A14+1,"")</f>
        <v>2</v>
      </c>
      <c r="B15" s="668">
        <f ca="1">IF(ROWS($1:2)&gt;COUNT(Dong12),"",OFFSET(TH!E$1,SMALL(Dong12,ROWS($1:2)),))</f>
        <v>42387</v>
      </c>
      <c r="C15" s="858" t="str">
        <f ca="1">IF(ROWS($1:2)&gt;COUNT(Dong12),"",IF(MID(OFFSET(TH!D$1,SMALL(Dong12,ROWS($1:2)),),4,1)="N",OFFSET(TH!D$1,SMALL(Dong12,ROWS($1:2)),),""))</f>
        <v>VL/N05</v>
      </c>
      <c r="D15" s="668" t="str">
        <f ca="1">IF(ROWS($1:2)&gt;COUNT(Dong12),"",IF(MID(OFFSET(TH!D$1,SMALL(Dong12,ROWS($1:2)),),4,1)="X",OFFSET(TH!D$1,SMALL(Dong12,ROWS($1:2)),),""))</f>
        <v/>
      </c>
      <c r="E15" s="669" t="str">
        <f ca="1">IF(ROWS($1:2)&gt;COUNT(Dong12),"",OFFSET(TH!F$1,SMALL(Dong12,ROWS($1:2)),)&amp;" - "&amp;OFFSET(TH!H$1,SMALL(Dong12,ROWS($1:2)),))</f>
        <v>Đường - Cty TNHH TM - DV Thanh Thanh</v>
      </c>
      <c r="F15" s="668">
        <f t="shared" ref="F15:F30" ca="1" si="0">B15</f>
        <v>42387</v>
      </c>
      <c r="G15" s="670">
        <f ca="1">IF(ROWS($1:2)&gt;COUNT(Dong12),0,IF(MID(OFFSET(TH!D$1,SMALL(Dong12,ROWS($1:2)),),4,1)="N",OFFSET(TH!I$1,SMALL(Dong12,ROWS($1:2)),),0))</f>
        <v>1000</v>
      </c>
      <c r="H15" s="670">
        <f ca="1">IF(ROWS($1:2)&gt;COUNT(Dong12),0,IF(MID(OFFSET(TH!D$1,SMALL(Dong12,ROWS($1:2)),),4,1)="X",OFFSET(TH!I$1,SMALL(Dong12,ROWS($1:2)),),0))</f>
        <v>0</v>
      </c>
      <c r="I15" s="671">
        <f t="shared" ref="I15:I30" ca="1" si="1">IF(E15&lt;&gt;"",I14+G15-H15,0)</f>
        <v>2300</v>
      </c>
      <c r="J15" s="672"/>
      <c r="K15" s="673"/>
    </row>
    <row r="16" spans="1:12" ht="16.5" customHeight="1">
      <c r="A16" s="674">
        <f t="shared" ref="A16:A30" ca="1" si="2">IF(B16&lt;&gt;"",A15+1,"")</f>
        <v>3</v>
      </c>
      <c r="B16" s="668">
        <f ca="1">IF(ROWS($1:3)&gt;COUNT(Dong12),"",OFFSET(TH!E$1,SMALL(Dong12,ROWS($1:3)),))</f>
        <v>42371</v>
      </c>
      <c r="C16" s="858" t="str">
        <f ca="1">IF(ROWS($1:3)&gt;COUNT(Dong12),"",IF(MID(OFFSET(TH!D$1,SMALL(Dong12,ROWS($1:3)),),4,1)="N",OFFSET(TH!D$1,SMALL(Dong12,ROWS($1:3)),),""))</f>
        <v/>
      </c>
      <c r="D16" s="668" t="str">
        <f ca="1">IF(ROWS($1:3)&gt;COUNT(Dong12),"",IF(MID(OFFSET(TH!D$1,SMALL(Dong12,ROWS($1:3)),),4,1)="X",OFFSET(TH!D$1,SMALL(Dong12,ROWS($1:3)),),""))</f>
        <v>VL/X01</v>
      </c>
      <c r="E16" s="669" t="str">
        <f ca="1">IF(ROWS($1:3)&gt;COUNT(Dong12),"",OFFSET(TH!F$1,SMALL(Dong12,ROWS($1:3)),)&amp;" - "&amp;OFFSET(TH!H$1,SMALL(Dong12,ROWS($1:3)),))</f>
        <v>Đường - Xuất SX</v>
      </c>
      <c r="F16" s="668">
        <f t="shared" ca="1" si="0"/>
        <v>42371</v>
      </c>
      <c r="G16" s="670">
        <f ca="1">IF(ROWS($1:3)&gt;COUNT(Dong12),0,IF(MID(OFFSET(TH!D$1,SMALL(Dong12,ROWS($1:3)),),4,1)="N",OFFSET(TH!I$1,SMALL(Dong12,ROWS($1:3)),),0))</f>
        <v>0</v>
      </c>
      <c r="H16" s="670">
        <f ca="1">IF(ROWS($1:3)&gt;COUNT(Dong12),0,IF(MID(OFFSET(TH!D$1,SMALL(Dong12,ROWS($1:3)),),4,1)="X",OFFSET(TH!I$1,SMALL(Dong12,ROWS($1:3)),),0))</f>
        <v>150</v>
      </c>
      <c r="I16" s="671">
        <f t="shared" ca="1" si="1"/>
        <v>2150</v>
      </c>
      <c r="J16" s="672"/>
      <c r="K16" s="673"/>
    </row>
    <row r="17" spans="1:11" ht="16.5" customHeight="1">
      <c r="A17" s="674">
        <f t="shared" ca="1" si="2"/>
        <v>4</v>
      </c>
      <c r="B17" s="668">
        <f ca="1">IF(ROWS($1:4)&gt;COUNT(Dong12),"",OFFSET(TH!E$1,SMALL(Dong12,ROWS($1:4)),))</f>
        <v>42415</v>
      </c>
      <c r="C17" s="858" t="str">
        <f ca="1">IF(ROWS($1:4)&gt;COUNT(Dong12),"",IF(MID(OFFSET(TH!D$1,SMALL(Dong12,ROWS($1:4)),),4,1)="N",OFFSET(TH!D$1,SMALL(Dong12,ROWS($1:4)),),""))</f>
        <v/>
      </c>
      <c r="D17" s="668" t="str">
        <f ca="1">IF(ROWS($1:4)&gt;COUNT(Dong12),"",IF(MID(OFFSET(TH!D$1,SMALL(Dong12,ROWS($1:4)),),4,1)="X",OFFSET(TH!D$1,SMALL(Dong12,ROWS($1:4)),),""))</f>
        <v>VL/X02</v>
      </c>
      <c r="E17" s="669" t="str">
        <f ca="1">IF(ROWS($1:4)&gt;COUNT(Dong12),"",OFFSET(TH!F$1,SMALL(Dong12,ROWS($1:4)),)&amp;" - "&amp;OFFSET(TH!H$1,SMALL(Dong12,ROWS($1:4)),))</f>
        <v>Đường - Xuất SX</v>
      </c>
      <c r="F17" s="668">
        <f t="shared" ca="1" si="0"/>
        <v>42415</v>
      </c>
      <c r="G17" s="670">
        <f ca="1">IF(ROWS($1:4)&gt;COUNT(Dong12),0,IF(MID(OFFSET(TH!D$1,SMALL(Dong12,ROWS($1:4)),),4,1)="N",OFFSET(TH!I$1,SMALL(Dong12,ROWS($1:4)),),0))</f>
        <v>0</v>
      </c>
      <c r="H17" s="670">
        <f ca="1">IF(ROWS($1:4)&gt;COUNT(Dong12),0,IF(MID(OFFSET(TH!D$1,SMALL(Dong12,ROWS($1:4)),),4,1)="X",OFFSET(TH!I$1,SMALL(Dong12,ROWS($1:4)),),0))</f>
        <v>150</v>
      </c>
      <c r="I17" s="671">
        <f t="shared" ca="1" si="1"/>
        <v>2000</v>
      </c>
      <c r="J17" s="672"/>
      <c r="K17" s="673"/>
    </row>
    <row r="18" spans="1:11" ht="16.5" customHeight="1">
      <c r="A18" s="674">
        <f t="shared" ca="1" si="2"/>
        <v>5</v>
      </c>
      <c r="B18" s="668">
        <f ca="1">IF(ROWS($1:5)&gt;COUNT(Dong12),"",OFFSET(TH!E$1,SMALL(Dong12,ROWS($1:5)),))</f>
        <v>42437</v>
      </c>
      <c r="C18" s="858" t="str">
        <f ca="1">IF(ROWS($1:5)&gt;COUNT(Dong12),"",IF(MID(OFFSET(TH!D$1,SMALL(Dong12,ROWS($1:5)),),4,1)="N",OFFSET(TH!D$1,SMALL(Dong12,ROWS($1:5)),),""))</f>
        <v>VL/N02</v>
      </c>
      <c r="D18" s="668" t="str">
        <f ca="1">IF(ROWS($1:5)&gt;COUNT(Dong12),"",IF(MID(OFFSET(TH!D$1,SMALL(Dong12,ROWS($1:5)),),4,1)="X",OFFSET(TH!D$1,SMALL(Dong12,ROWS($1:5)),),""))</f>
        <v/>
      </c>
      <c r="E18" s="669" t="str">
        <f ca="1">IF(ROWS($1:5)&gt;COUNT(Dong12),"",OFFSET(TH!F$1,SMALL(Dong12,ROWS($1:5)),)&amp;" - "&amp;OFFSET(TH!H$1,SMALL(Dong12,ROWS($1:5)),))</f>
        <v>Đường - Cty TNHH TM - DV Thanh Thanh</v>
      </c>
      <c r="F18" s="668">
        <f t="shared" ca="1" si="0"/>
        <v>42437</v>
      </c>
      <c r="G18" s="670">
        <f ca="1">IF(ROWS($1:5)&gt;COUNT(Dong12),0,IF(MID(OFFSET(TH!D$1,SMALL(Dong12,ROWS($1:5)),),4,1)="N",OFFSET(TH!I$1,SMALL(Dong12,ROWS($1:5)),),0))</f>
        <v>1000</v>
      </c>
      <c r="H18" s="670">
        <f ca="1">IF(ROWS($1:5)&gt;COUNT(Dong12),0,IF(MID(OFFSET(TH!D$1,SMALL(Dong12,ROWS($1:5)),),4,1)="X",OFFSET(TH!I$1,SMALL(Dong12,ROWS($1:5)),),0))</f>
        <v>0</v>
      </c>
      <c r="I18" s="671">
        <f t="shared" ca="1" si="1"/>
        <v>3000</v>
      </c>
      <c r="J18" s="672"/>
      <c r="K18" s="673"/>
    </row>
    <row r="19" spans="1:11" ht="16.5" customHeight="1">
      <c r="A19" s="674">
        <f t="shared" ca="1" si="2"/>
        <v>6</v>
      </c>
      <c r="B19" s="668">
        <f ca="1">IF(ROWS($1:6)&gt;COUNT(Dong12),"",OFFSET(TH!E$1,SMALL(Dong12,ROWS($1:6)),))</f>
        <v>42457</v>
      </c>
      <c r="C19" s="858" t="str">
        <f ca="1">IF(ROWS($1:6)&gt;COUNT(Dong12),"",IF(MID(OFFSET(TH!D$1,SMALL(Dong12,ROWS($1:6)),),4,1)="N",OFFSET(TH!D$1,SMALL(Dong12,ROWS($1:6)),),""))</f>
        <v>VL/N04</v>
      </c>
      <c r="D19" s="668" t="str">
        <f ca="1">IF(ROWS($1:6)&gt;COUNT(Dong12),"",IF(MID(OFFSET(TH!D$1,SMALL(Dong12,ROWS($1:6)),),4,1)="X",OFFSET(TH!D$1,SMALL(Dong12,ROWS($1:6)),),""))</f>
        <v/>
      </c>
      <c r="E19" s="669" t="str">
        <f ca="1">IF(ROWS($1:6)&gt;COUNT(Dong12),"",OFFSET(TH!F$1,SMALL(Dong12,ROWS($1:6)),)&amp;" - "&amp;OFFSET(TH!H$1,SMALL(Dong12,ROWS($1:6)),))</f>
        <v>Đường - Cty TNHH TM - DV Thanh Thanh</v>
      </c>
      <c r="F19" s="668">
        <f t="shared" ca="1" si="0"/>
        <v>42457</v>
      </c>
      <c r="G19" s="670">
        <f ca="1">IF(ROWS($1:6)&gt;COUNT(Dong12),0,IF(MID(OFFSET(TH!D$1,SMALL(Dong12,ROWS($1:6)),),4,1)="N",OFFSET(TH!I$1,SMALL(Dong12,ROWS($1:6)),),0))</f>
        <v>1000</v>
      </c>
      <c r="H19" s="670">
        <f ca="1">IF(ROWS($1:6)&gt;COUNT(Dong12),0,IF(MID(OFFSET(TH!D$1,SMALL(Dong12,ROWS($1:6)),),4,1)="X",OFFSET(TH!I$1,SMALL(Dong12,ROWS($1:6)),),0))</f>
        <v>0</v>
      </c>
      <c r="I19" s="671">
        <f t="shared" ca="1" si="1"/>
        <v>4000</v>
      </c>
      <c r="J19" s="672"/>
      <c r="K19" s="673"/>
    </row>
    <row r="20" spans="1:11" ht="16.5" customHeight="1">
      <c r="A20" s="674">
        <f t="shared" ca="1" si="2"/>
        <v>7</v>
      </c>
      <c r="B20" s="668">
        <f ca="1">IF(ROWS($1:7)&gt;COUNT(Dong12),"",OFFSET(TH!E$1,SMALL(Dong12,ROWS($1:7)),))</f>
        <v>42431</v>
      </c>
      <c r="C20" s="858" t="str">
        <f ca="1">IF(ROWS($1:7)&gt;COUNT(Dong12),"",IF(MID(OFFSET(TH!D$1,SMALL(Dong12,ROWS($1:7)),),4,1)="N",OFFSET(TH!D$1,SMALL(Dong12,ROWS($1:7)),),""))</f>
        <v/>
      </c>
      <c r="D20" s="668" t="str">
        <f ca="1">IF(ROWS($1:7)&gt;COUNT(Dong12),"",IF(MID(OFFSET(TH!D$1,SMALL(Dong12,ROWS($1:7)),),4,1)="X",OFFSET(TH!D$1,SMALL(Dong12,ROWS($1:7)),),""))</f>
        <v>VL/X01</v>
      </c>
      <c r="E20" s="669" t="str">
        <f ca="1">IF(ROWS($1:7)&gt;COUNT(Dong12),"",OFFSET(TH!F$1,SMALL(Dong12,ROWS($1:7)),)&amp;" - "&amp;OFFSET(TH!H$1,SMALL(Dong12,ROWS($1:7)),))</f>
        <v>Đường - Xuất SX</v>
      </c>
      <c r="F20" s="668">
        <f t="shared" ca="1" si="0"/>
        <v>42431</v>
      </c>
      <c r="G20" s="670">
        <f ca="1">IF(ROWS($1:7)&gt;COUNT(Dong12),0,IF(MID(OFFSET(TH!D$1,SMALL(Dong12,ROWS($1:7)),),4,1)="N",OFFSET(TH!I$1,SMALL(Dong12,ROWS($1:7)),),0))</f>
        <v>0</v>
      </c>
      <c r="H20" s="670">
        <f ca="1">IF(ROWS($1:7)&gt;COUNT(Dong12),0,IF(MID(OFFSET(TH!D$1,SMALL(Dong12,ROWS($1:7)),),4,1)="X",OFFSET(TH!I$1,SMALL(Dong12,ROWS($1:7)),),0))</f>
        <v>150</v>
      </c>
      <c r="I20" s="671">
        <f t="shared" ca="1" si="1"/>
        <v>3850</v>
      </c>
      <c r="J20" s="672"/>
      <c r="K20" s="673"/>
    </row>
    <row r="21" spans="1:11" ht="16.5" customHeight="1">
      <c r="A21" s="674">
        <f t="shared" ca="1" si="2"/>
        <v>8</v>
      </c>
      <c r="B21" s="668">
        <f ca="1">IF(ROWS($1:8)&gt;COUNT(Dong12),"",OFFSET(TH!E$1,SMALL(Dong12,ROWS($1:8)),))</f>
        <v>42461</v>
      </c>
      <c r="C21" s="858" t="str">
        <f ca="1">IF(ROWS($1:8)&gt;COUNT(Dong12),"",IF(MID(OFFSET(TH!D$1,SMALL(Dong12,ROWS($1:8)),),4,1)="N",OFFSET(TH!D$1,SMALL(Dong12,ROWS($1:8)),),""))</f>
        <v/>
      </c>
      <c r="D21" s="668" t="str">
        <f ca="1">IF(ROWS($1:8)&gt;COUNT(Dong12),"",IF(MID(OFFSET(TH!D$1,SMALL(Dong12,ROWS($1:8)),),4,1)="X",OFFSET(TH!D$1,SMALL(Dong12,ROWS($1:8)),),""))</f>
        <v>VL/X01</v>
      </c>
      <c r="E21" s="669" t="str">
        <f ca="1">IF(ROWS($1:8)&gt;COUNT(Dong12),"",OFFSET(TH!F$1,SMALL(Dong12,ROWS($1:8)),)&amp;" - "&amp;OFFSET(TH!H$1,SMALL(Dong12,ROWS($1:8)),))</f>
        <v>Đường - Xuất SX</v>
      </c>
      <c r="F21" s="668">
        <f t="shared" ca="1" si="0"/>
        <v>42461</v>
      </c>
      <c r="G21" s="670">
        <f ca="1">IF(ROWS($1:8)&gt;COUNT(Dong12),0,IF(MID(OFFSET(TH!D$1,SMALL(Dong12,ROWS($1:8)),),4,1)="N",OFFSET(TH!I$1,SMALL(Dong12,ROWS($1:8)),),0))</f>
        <v>0</v>
      </c>
      <c r="H21" s="670">
        <f ca="1">IF(ROWS($1:8)&gt;COUNT(Dong12),0,IF(MID(OFFSET(TH!D$1,SMALL(Dong12,ROWS($1:8)),),4,1)="X",OFFSET(TH!I$1,SMALL(Dong12,ROWS($1:8)),),0))</f>
        <v>250</v>
      </c>
      <c r="I21" s="671">
        <f t="shared" ca="1" si="1"/>
        <v>3600</v>
      </c>
      <c r="J21" s="672"/>
      <c r="K21" s="673"/>
    </row>
    <row r="22" spans="1:11" ht="16.5" customHeight="1">
      <c r="A22" s="674">
        <f t="shared" ca="1" si="2"/>
        <v>9</v>
      </c>
      <c r="B22" s="668">
        <f ca="1">IF(ROWS($1:9)&gt;COUNT(Dong12),"",OFFSET(TH!E$1,SMALL(Dong12,ROWS($1:9)),))</f>
        <v>42492</v>
      </c>
      <c r="C22" s="858" t="str">
        <f ca="1">IF(ROWS($1:9)&gt;COUNT(Dong12),"",IF(MID(OFFSET(TH!D$1,SMALL(Dong12,ROWS($1:9)),),4,1)="N",OFFSET(TH!D$1,SMALL(Dong12,ROWS($1:9)),),""))</f>
        <v/>
      </c>
      <c r="D22" s="668" t="str">
        <f ca="1">IF(ROWS($1:9)&gt;COUNT(Dong12),"",IF(MID(OFFSET(TH!D$1,SMALL(Dong12,ROWS($1:9)),),4,1)="X",OFFSET(TH!D$1,SMALL(Dong12,ROWS($1:9)),),""))</f>
        <v>VL/X01</v>
      </c>
      <c r="E22" s="669" t="str">
        <f ca="1">IF(ROWS($1:9)&gt;COUNT(Dong12),"",OFFSET(TH!F$1,SMALL(Dong12,ROWS($1:9)),)&amp;" - "&amp;OFFSET(TH!H$1,SMALL(Dong12,ROWS($1:9)),))</f>
        <v>Đường - Xuất SX</v>
      </c>
      <c r="F22" s="668">
        <f t="shared" ca="1" si="0"/>
        <v>42492</v>
      </c>
      <c r="G22" s="670">
        <f ca="1">IF(ROWS($1:9)&gt;COUNT(Dong12),0,IF(MID(OFFSET(TH!D$1,SMALL(Dong12,ROWS($1:9)),),4,1)="N",OFFSET(TH!I$1,SMALL(Dong12,ROWS($1:9)),),0))</f>
        <v>0</v>
      </c>
      <c r="H22" s="670">
        <f ca="1">IF(ROWS($1:9)&gt;COUNT(Dong12),0,IF(MID(OFFSET(TH!D$1,SMALL(Dong12,ROWS($1:9)),),4,1)="X",OFFSET(TH!I$1,SMALL(Dong12,ROWS($1:9)),),0))</f>
        <v>270</v>
      </c>
      <c r="I22" s="671">
        <f t="shared" ca="1" si="1"/>
        <v>3330</v>
      </c>
      <c r="J22" s="672"/>
      <c r="K22" s="673"/>
    </row>
    <row r="23" spans="1:11" ht="16.5" customHeight="1">
      <c r="A23" s="674">
        <f t="shared" ca="1" si="2"/>
        <v>10</v>
      </c>
      <c r="B23" s="668">
        <f ca="1">IF(ROWS($1:10)&gt;COUNT(Dong12),"",OFFSET(TH!E$1,SMALL(Dong12,ROWS($1:10)),))</f>
        <v>42523</v>
      </c>
      <c r="C23" s="858" t="str">
        <f ca="1">IF(ROWS($1:10)&gt;COUNT(Dong12),"",IF(MID(OFFSET(TH!D$1,SMALL(Dong12,ROWS($1:10)),),4,1)="N",OFFSET(TH!D$1,SMALL(Dong12,ROWS($1:10)),),""))</f>
        <v/>
      </c>
      <c r="D23" s="668" t="str">
        <f ca="1">IF(ROWS($1:10)&gt;COUNT(Dong12),"",IF(MID(OFFSET(TH!D$1,SMALL(Dong12,ROWS($1:10)),),4,1)="X",OFFSET(TH!D$1,SMALL(Dong12,ROWS($1:10)),),""))</f>
        <v>VL/X01</v>
      </c>
      <c r="E23" s="669" t="str">
        <f ca="1">IF(ROWS($1:10)&gt;COUNT(Dong12),"",OFFSET(TH!F$1,SMALL(Dong12,ROWS($1:10)),)&amp;" - "&amp;OFFSET(TH!H$1,SMALL(Dong12,ROWS($1:10)),))</f>
        <v>Đường - Xuất SX</v>
      </c>
      <c r="F23" s="668">
        <f t="shared" ca="1" si="0"/>
        <v>42523</v>
      </c>
      <c r="G23" s="670">
        <f ca="1">IF(ROWS($1:10)&gt;COUNT(Dong12),0,IF(MID(OFFSET(TH!D$1,SMALL(Dong12,ROWS($1:10)),),4,1)="N",OFFSET(TH!I$1,SMALL(Dong12,ROWS($1:10)),),0))</f>
        <v>0</v>
      </c>
      <c r="H23" s="670">
        <f ca="1">IF(ROWS($1:10)&gt;COUNT(Dong12),0,IF(MID(OFFSET(TH!D$1,SMALL(Dong12,ROWS($1:10)),),4,1)="X",OFFSET(TH!I$1,SMALL(Dong12,ROWS($1:10)),),0))</f>
        <v>330</v>
      </c>
      <c r="I23" s="671">
        <f t="shared" ca="1" si="1"/>
        <v>3000</v>
      </c>
      <c r="J23" s="672"/>
      <c r="K23" s="673"/>
    </row>
    <row r="24" spans="1:11" ht="16.5" customHeight="1">
      <c r="A24" s="674">
        <f t="shared" ca="1" si="2"/>
        <v>11</v>
      </c>
      <c r="B24" s="668">
        <f ca="1">IF(ROWS($1:11)&gt;COUNT(Dong12),"",OFFSET(TH!E$1,SMALL(Dong12,ROWS($1:11)),))</f>
        <v>42552</v>
      </c>
      <c r="C24" s="858" t="str">
        <f ca="1">IF(ROWS($1:11)&gt;COUNT(Dong12),"",IF(MID(OFFSET(TH!D$1,SMALL(Dong12,ROWS($1:11)),),4,1)="N",OFFSET(TH!D$1,SMALL(Dong12,ROWS($1:11)),),""))</f>
        <v/>
      </c>
      <c r="D24" s="668" t="str">
        <f ca="1">IF(ROWS($1:11)&gt;COUNT(Dong12),"",IF(MID(OFFSET(TH!D$1,SMALL(Dong12,ROWS($1:11)),),4,1)="X",OFFSET(TH!D$1,SMALL(Dong12,ROWS($1:11)),),""))</f>
        <v>VL/X01</v>
      </c>
      <c r="E24" s="669" t="str">
        <f ca="1">IF(ROWS($1:11)&gt;COUNT(Dong12),"",OFFSET(TH!F$1,SMALL(Dong12,ROWS($1:11)),)&amp;" - "&amp;OFFSET(TH!H$1,SMALL(Dong12,ROWS($1:11)),))</f>
        <v>Đường - Xuất SX</v>
      </c>
      <c r="F24" s="668">
        <f t="shared" ca="1" si="0"/>
        <v>42552</v>
      </c>
      <c r="G24" s="670">
        <f ca="1">IF(ROWS($1:11)&gt;COUNT(Dong12),0,IF(MID(OFFSET(TH!D$1,SMALL(Dong12,ROWS($1:11)),),4,1)="N",OFFSET(TH!I$1,SMALL(Dong12,ROWS($1:11)),),0))</f>
        <v>0</v>
      </c>
      <c r="H24" s="670">
        <f ca="1">IF(ROWS($1:11)&gt;COUNT(Dong12),0,IF(MID(OFFSET(TH!D$1,SMALL(Dong12,ROWS($1:11)),),4,1)="X",OFFSET(TH!I$1,SMALL(Dong12,ROWS($1:11)),),0))</f>
        <v>250</v>
      </c>
      <c r="I24" s="671">
        <f t="shared" ca="1" si="1"/>
        <v>2750</v>
      </c>
      <c r="J24" s="672"/>
      <c r="K24" s="673"/>
    </row>
    <row r="25" spans="1:11" ht="16.5" customHeight="1">
      <c r="A25" s="674">
        <f t="shared" ca="1" si="2"/>
        <v>12</v>
      </c>
      <c r="B25" s="668">
        <f ca="1">IF(ROWS($1:12)&gt;COUNT(Dong12),"",OFFSET(TH!E$1,SMALL(Dong12,ROWS($1:12)),))</f>
        <v>42583</v>
      </c>
      <c r="C25" s="858" t="str">
        <f ca="1">IF(ROWS($1:12)&gt;COUNT(Dong12),"",IF(MID(OFFSET(TH!D$1,SMALL(Dong12,ROWS($1:12)),),4,1)="N",OFFSET(TH!D$1,SMALL(Dong12,ROWS($1:12)),),""))</f>
        <v/>
      </c>
      <c r="D25" s="668" t="str">
        <f ca="1">IF(ROWS($1:12)&gt;COUNT(Dong12),"",IF(MID(OFFSET(TH!D$1,SMALL(Dong12,ROWS($1:12)),),4,1)="X",OFFSET(TH!D$1,SMALL(Dong12,ROWS($1:12)),),""))</f>
        <v>VL/X01</v>
      </c>
      <c r="E25" s="669" t="str">
        <f ca="1">IF(ROWS($1:12)&gt;COUNT(Dong12),"",OFFSET(TH!F$1,SMALL(Dong12,ROWS($1:12)),)&amp;" - "&amp;OFFSET(TH!H$1,SMALL(Dong12,ROWS($1:12)),))</f>
        <v>Đường - Xuất SX</v>
      </c>
      <c r="F25" s="668">
        <f t="shared" ca="1" si="0"/>
        <v>42583</v>
      </c>
      <c r="G25" s="670">
        <f ca="1">IF(ROWS($1:12)&gt;COUNT(Dong12),0,IF(MID(OFFSET(TH!D$1,SMALL(Dong12,ROWS($1:12)),),4,1)="N",OFFSET(TH!I$1,SMALL(Dong12,ROWS($1:12)),),0))</f>
        <v>0</v>
      </c>
      <c r="H25" s="670">
        <f ca="1">IF(ROWS($1:12)&gt;COUNT(Dong12),0,IF(MID(OFFSET(TH!D$1,SMALL(Dong12,ROWS($1:12)),),4,1)="X",OFFSET(TH!I$1,SMALL(Dong12,ROWS($1:12)),),0))</f>
        <v>400</v>
      </c>
      <c r="I25" s="671">
        <f t="shared" ca="1" si="1"/>
        <v>2350</v>
      </c>
      <c r="J25" s="672"/>
      <c r="K25" s="673"/>
    </row>
    <row r="26" spans="1:11" ht="16.5" customHeight="1">
      <c r="A26" s="674">
        <f t="shared" ca="1" si="2"/>
        <v>13</v>
      </c>
      <c r="B26" s="668">
        <f ca="1">IF(ROWS($1:13)&gt;COUNT(Dong12),"",OFFSET(TH!E$1,SMALL(Dong12,ROWS($1:13)),))</f>
        <v>42616</v>
      </c>
      <c r="C26" s="858" t="str">
        <f ca="1">IF(ROWS($1:13)&gt;COUNT(Dong12),"",IF(MID(OFFSET(TH!D$1,SMALL(Dong12,ROWS($1:13)),),4,1)="N",OFFSET(TH!D$1,SMALL(Dong12,ROWS($1:13)),),""))</f>
        <v/>
      </c>
      <c r="D26" s="668" t="str">
        <f ca="1">IF(ROWS($1:13)&gt;COUNT(Dong12),"",IF(MID(OFFSET(TH!D$1,SMALL(Dong12,ROWS($1:13)),),4,1)="X",OFFSET(TH!D$1,SMALL(Dong12,ROWS($1:13)),),""))</f>
        <v>VL/X01</v>
      </c>
      <c r="E26" s="669" t="str">
        <f ca="1">IF(ROWS($1:13)&gt;COUNT(Dong12),"",OFFSET(TH!F$1,SMALL(Dong12,ROWS($1:13)),)&amp;" - "&amp;OFFSET(TH!H$1,SMALL(Dong12,ROWS($1:13)),))</f>
        <v>Đường - Xuất SX</v>
      </c>
      <c r="F26" s="668">
        <f t="shared" ca="1" si="0"/>
        <v>42616</v>
      </c>
      <c r="G26" s="670">
        <f ca="1">IF(ROWS($1:13)&gt;COUNT(Dong12),0,IF(MID(OFFSET(TH!D$1,SMALL(Dong12,ROWS($1:13)),),4,1)="N",OFFSET(TH!I$1,SMALL(Dong12,ROWS($1:13)),),0))</f>
        <v>0</v>
      </c>
      <c r="H26" s="670">
        <f ca="1">IF(ROWS($1:13)&gt;COUNT(Dong12),0,IF(MID(OFFSET(TH!D$1,SMALL(Dong12,ROWS($1:13)),),4,1)="X",OFFSET(TH!I$1,SMALL(Dong12,ROWS($1:13)),),0))</f>
        <v>350</v>
      </c>
      <c r="I26" s="671">
        <f t="shared" ca="1" si="1"/>
        <v>2000</v>
      </c>
      <c r="J26" s="672"/>
      <c r="K26" s="673"/>
    </row>
    <row r="27" spans="1:11" ht="16.5" customHeight="1">
      <c r="A27" s="674">
        <f t="shared" ca="1" si="2"/>
        <v>14</v>
      </c>
      <c r="B27" s="668">
        <f ca="1">IF(ROWS($1:14)&gt;COUNT(Dong12),"",OFFSET(TH!E$1,SMALL(Dong12,ROWS($1:14)),))</f>
        <v>42644</v>
      </c>
      <c r="C27" s="858" t="str">
        <f ca="1">IF(ROWS($1:14)&gt;COUNT(Dong12),"",IF(MID(OFFSET(TH!D$1,SMALL(Dong12,ROWS($1:14)),),4,1)="N",OFFSET(TH!D$1,SMALL(Dong12,ROWS($1:14)),),""))</f>
        <v/>
      </c>
      <c r="D27" s="668" t="str">
        <f ca="1">IF(ROWS($1:14)&gt;COUNT(Dong12),"",IF(MID(OFFSET(TH!D$1,SMALL(Dong12,ROWS($1:14)),),4,1)="X",OFFSET(TH!D$1,SMALL(Dong12,ROWS($1:14)),),""))</f>
        <v>VL/X01</v>
      </c>
      <c r="E27" s="669" t="str">
        <f ca="1">IF(ROWS($1:14)&gt;COUNT(Dong12),"",OFFSET(TH!F$1,SMALL(Dong12,ROWS($1:14)),)&amp;" - "&amp;OFFSET(TH!H$1,SMALL(Dong12,ROWS($1:14)),))</f>
        <v>Đường - Xuất SX</v>
      </c>
      <c r="F27" s="668">
        <f t="shared" ca="1" si="0"/>
        <v>42644</v>
      </c>
      <c r="G27" s="670">
        <f ca="1">IF(ROWS($1:14)&gt;COUNT(Dong12),0,IF(MID(OFFSET(TH!D$1,SMALL(Dong12,ROWS($1:14)),),4,1)="N",OFFSET(TH!I$1,SMALL(Dong12,ROWS($1:14)),),0))</f>
        <v>0</v>
      </c>
      <c r="H27" s="670">
        <f ca="1">IF(ROWS($1:14)&gt;COUNT(Dong12),0,IF(MID(OFFSET(TH!D$1,SMALL(Dong12,ROWS($1:14)),),4,1)="X",OFFSET(TH!I$1,SMALL(Dong12,ROWS($1:14)),),0))</f>
        <v>450</v>
      </c>
      <c r="I27" s="671">
        <f t="shared" ca="1" si="1"/>
        <v>1550</v>
      </c>
      <c r="J27" s="672"/>
      <c r="K27" s="673"/>
    </row>
    <row r="28" spans="1:11" ht="16.5" customHeight="1">
      <c r="A28" s="674" t="str">
        <f t="shared" ca="1" si="2"/>
        <v/>
      </c>
      <c r="B28" s="668" t="str">
        <f ca="1">IF(ROWS($1:15)&gt;COUNT(Dong12),"",OFFSET(TH!E$1,SMALL(Dong12,ROWS($1:15)),))</f>
        <v/>
      </c>
      <c r="C28" s="858" t="str">
        <f ca="1">IF(ROWS($1:15)&gt;COUNT(Dong12),"",IF(MID(OFFSET(TH!D$1,SMALL(Dong12,ROWS($1:15)),),4,1)="N",OFFSET(TH!D$1,SMALL(Dong12,ROWS($1:15)),),""))</f>
        <v/>
      </c>
      <c r="D28" s="668" t="str">
        <f ca="1">IF(ROWS($1:15)&gt;COUNT(Dong12),"",IF(MID(OFFSET(TH!D$1,SMALL(Dong12,ROWS($1:15)),),4,1)="X",OFFSET(TH!D$1,SMALL(Dong12,ROWS($1:15)),),""))</f>
        <v/>
      </c>
      <c r="E28" s="669" t="str">
        <f ca="1">IF(ROWS($1:15)&gt;COUNT(Dong12),"",OFFSET(TH!F$1,SMALL(Dong12,ROWS($1:15)),)&amp;" - "&amp;OFFSET(TH!H$1,SMALL(Dong12,ROWS($1:15)),))</f>
        <v/>
      </c>
      <c r="F28" s="668" t="str">
        <f t="shared" ca="1" si="0"/>
        <v/>
      </c>
      <c r="G28" s="670">
        <f ca="1">IF(ROWS($1:15)&gt;COUNT(Dong12),0,IF(MID(OFFSET(TH!D$1,SMALL(Dong12,ROWS($1:15)),),4,1)="N",OFFSET(TH!I$1,SMALL(Dong12,ROWS($1:15)),),0))</f>
        <v>0</v>
      </c>
      <c r="H28" s="670">
        <f ca="1">IF(ROWS($1:15)&gt;COUNT(Dong12),0,IF(MID(OFFSET(TH!D$1,SMALL(Dong12,ROWS($1:15)),),4,1)="X",OFFSET(TH!I$1,SMALL(Dong12,ROWS($1:15)),),0))</f>
        <v>0</v>
      </c>
      <c r="I28" s="671">
        <f t="shared" ca="1" si="1"/>
        <v>0</v>
      </c>
      <c r="J28" s="672"/>
      <c r="K28" s="673"/>
    </row>
    <row r="29" spans="1:11" ht="16.5" customHeight="1">
      <c r="A29" s="674" t="str">
        <f t="shared" ca="1" si="2"/>
        <v/>
      </c>
      <c r="B29" s="668" t="str">
        <f ca="1">IF(ROWS($1:16)&gt;COUNT(Dong12),"",OFFSET(TH!E$1,SMALL(Dong12,ROWS($1:16)),))</f>
        <v/>
      </c>
      <c r="C29" s="858" t="str">
        <f ca="1">IF(ROWS($1:16)&gt;COUNT(Dong12),"",IF(MID(OFFSET(TH!D$1,SMALL(Dong12,ROWS($1:16)),),4,1)="N",OFFSET(TH!D$1,SMALL(Dong12,ROWS($1:16)),),""))</f>
        <v/>
      </c>
      <c r="D29" s="668" t="str">
        <f ca="1">IF(ROWS($1:16)&gt;COUNT(Dong12),"",IF(MID(OFFSET(TH!D$1,SMALL(Dong12,ROWS($1:16)),),4,1)="X",OFFSET(TH!D$1,SMALL(Dong12,ROWS($1:16)),),""))</f>
        <v/>
      </c>
      <c r="E29" s="669" t="str">
        <f ca="1">IF(ROWS($1:16)&gt;COUNT(Dong12),"",OFFSET(TH!F$1,SMALL(Dong12,ROWS($1:16)),)&amp;" - "&amp;OFFSET(TH!H$1,SMALL(Dong12,ROWS($1:16)),))</f>
        <v/>
      </c>
      <c r="F29" s="668" t="str">
        <f t="shared" ca="1" si="0"/>
        <v/>
      </c>
      <c r="G29" s="670">
        <f ca="1">IF(ROWS($1:16)&gt;COUNT(Dong12),0,IF(MID(OFFSET(TH!D$1,SMALL(Dong12,ROWS($1:16)),),4,1)="N",OFFSET(TH!I$1,SMALL(Dong12,ROWS($1:16)),),0))</f>
        <v>0</v>
      </c>
      <c r="H29" s="670">
        <f ca="1">IF(ROWS($1:16)&gt;COUNT(Dong12),0,IF(MID(OFFSET(TH!D$1,SMALL(Dong12,ROWS($1:16)),),4,1)="X",OFFSET(TH!I$1,SMALL(Dong12,ROWS($1:16)),),0))</f>
        <v>0</v>
      </c>
      <c r="I29" s="671">
        <f t="shared" ca="1" si="1"/>
        <v>0</v>
      </c>
      <c r="J29" s="672"/>
      <c r="K29" s="673"/>
    </row>
    <row r="30" spans="1:11" ht="16.5" customHeight="1">
      <c r="A30" s="674" t="str">
        <f t="shared" ca="1" si="2"/>
        <v/>
      </c>
      <c r="B30" s="668" t="str">
        <f ca="1">IF(ROWS($1:17)&gt;COUNT(Dong12),"",OFFSET(TH!E$1,SMALL(Dong12,ROWS($1:17)),))</f>
        <v/>
      </c>
      <c r="C30" s="858" t="str">
        <f ca="1">IF(ROWS($1:17)&gt;COUNT(Dong12),"",IF(MID(OFFSET(TH!D$1,SMALL(Dong12,ROWS($1:17)),),4,1)="N",OFFSET(TH!D$1,SMALL(Dong12,ROWS($1:17)),),""))</f>
        <v/>
      </c>
      <c r="D30" s="668" t="str">
        <f ca="1">IF(ROWS($1:17)&gt;COUNT(Dong12),"",IF(MID(OFFSET(TH!D$1,SMALL(Dong12,ROWS($1:17)),),4,1)="X",OFFSET(TH!D$1,SMALL(Dong12,ROWS($1:17)),),""))</f>
        <v/>
      </c>
      <c r="E30" s="669" t="str">
        <f ca="1">IF(ROWS($1:17)&gt;COUNT(Dong12),"",OFFSET(TH!F$1,SMALL(Dong12,ROWS($1:17)),)&amp;" - "&amp;OFFSET(TH!H$1,SMALL(Dong12,ROWS($1:17)),))</f>
        <v/>
      </c>
      <c r="F30" s="668" t="str">
        <f t="shared" ca="1" si="0"/>
        <v/>
      </c>
      <c r="G30" s="670">
        <f ca="1">IF(ROWS($1:17)&gt;COUNT(Dong12),0,IF(MID(OFFSET(TH!D$1,SMALL(Dong12,ROWS($1:17)),),4,1)="N",OFFSET(TH!I$1,SMALL(Dong12,ROWS($1:17)),),0))</f>
        <v>0</v>
      </c>
      <c r="H30" s="670">
        <f ca="1">IF(ROWS($1:17)&gt;COUNT(Dong12),0,IF(MID(OFFSET(TH!D$1,SMALL(Dong12,ROWS($1:17)),),4,1)="X",OFFSET(TH!I$1,SMALL(Dong12,ROWS($1:17)),),0))</f>
        <v>0</v>
      </c>
      <c r="I30" s="671">
        <f t="shared" ca="1" si="1"/>
        <v>0</v>
      </c>
      <c r="J30" s="672"/>
      <c r="K30" s="673"/>
    </row>
    <row r="31" spans="1:11" ht="16.5" customHeight="1">
      <c r="A31" s="675" t="str">
        <f>IF(D31&lt;&gt;"",A21+1,"")</f>
        <v/>
      </c>
      <c r="B31" s="676"/>
      <c r="C31" s="677"/>
      <c r="D31" s="677"/>
      <c r="E31" s="678"/>
      <c r="F31" s="676"/>
      <c r="G31" s="679"/>
      <c r="H31" s="679"/>
      <c r="I31" s="679"/>
      <c r="J31" s="680"/>
      <c r="K31" s="673"/>
    </row>
    <row r="32" spans="1:11" ht="16.5" customHeight="1">
      <c r="A32" s="662"/>
      <c r="B32" s="681"/>
      <c r="C32" s="662"/>
      <c r="D32" s="662"/>
      <c r="E32" s="663" t="s">
        <v>501</v>
      </c>
      <c r="F32" s="682" t="s">
        <v>21</v>
      </c>
      <c r="G32" s="683">
        <f ca="1">SUM(G14:G31)</f>
        <v>4000</v>
      </c>
      <c r="H32" s="683">
        <f ca="1">SUM(H14:H31)</f>
        <v>2750</v>
      </c>
      <c r="I32" s="683">
        <f ca="1">I13+G32-H32</f>
        <v>1550</v>
      </c>
      <c r="J32" s="662" t="s">
        <v>21</v>
      </c>
      <c r="K32" s="684"/>
    </row>
    <row r="33" spans="1:11" ht="12.75" customHeight="1">
      <c r="A33" s="685"/>
      <c r="B33" s="639"/>
      <c r="C33" s="685"/>
      <c r="D33" s="685"/>
      <c r="E33" s="647"/>
      <c r="F33" s="639"/>
      <c r="G33" s="648"/>
      <c r="H33" s="648"/>
      <c r="I33" s="648"/>
      <c r="J33" s="634"/>
      <c r="K33" s="634"/>
    </row>
    <row r="34" spans="1:11" ht="15">
      <c r="A34" s="686" t="s">
        <v>502</v>
      </c>
      <c r="B34" s="686"/>
      <c r="C34" s="687"/>
      <c r="D34" s="687"/>
      <c r="E34" s="647"/>
      <c r="F34" s="639"/>
      <c r="G34" s="648"/>
      <c r="H34" s="648"/>
      <c r="I34" s="648"/>
      <c r="J34" s="634"/>
      <c r="K34" s="634"/>
    </row>
    <row r="35" spans="1:11" ht="15">
      <c r="A35" s="1439"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440"/>
      <c r="C35" s="1440"/>
      <c r="D35" s="1440"/>
      <c r="E35" s="1440"/>
      <c r="F35" s="639"/>
      <c r="G35" s="648"/>
      <c r="H35" s="648"/>
      <c r="I35" s="648"/>
      <c r="J35" s="634"/>
      <c r="K35" s="634"/>
    </row>
    <row r="36" spans="1:11" ht="15">
      <c r="A36" s="688"/>
      <c r="B36" s="689"/>
      <c r="C36" s="690"/>
      <c r="D36" s="685"/>
      <c r="E36" s="647"/>
      <c r="F36" s="639"/>
      <c r="H36" s="534"/>
      <c r="I36" s="1074" t="s">
        <v>456</v>
      </c>
      <c r="J36" s="534"/>
      <c r="K36" s="535"/>
    </row>
    <row r="37" spans="1:11" ht="15" customHeight="1">
      <c r="A37" s="688"/>
      <c r="C37" s="691" t="s">
        <v>503</v>
      </c>
      <c r="D37" s="685"/>
      <c r="E37" s="1441" t="s">
        <v>12</v>
      </c>
      <c r="F37" s="1441"/>
      <c r="G37" s="648"/>
      <c r="I37" s="1112" t="s">
        <v>131</v>
      </c>
      <c r="J37" s="637"/>
      <c r="K37" s="688"/>
    </row>
    <row r="38" spans="1:11" ht="15" customHeight="1">
      <c r="A38" s="692"/>
      <c r="C38" s="693" t="s">
        <v>13</v>
      </c>
      <c r="D38" s="694"/>
      <c r="E38" s="1435" t="s">
        <v>13</v>
      </c>
      <c r="F38" s="1435"/>
      <c r="G38" s="648"/>
      <c r="I38" s="1113" t="s">
        <v>161</v>
      </c>
      <c r="J38" s="1111"/>
      <c r="K38" s="692"/>
    </row>
    <row r="39" spans="1:11" ht="15">
      <c r="A39" s="692"/>
      <c r="C39" s="693"/>
      <c r="D39" s="685"/>
      <c r="E39" s="695"/>
      <c r="F39" s="696"/>
      <c r="G39" s="648"/>
      <c r="H39" s="692"/>
      <c r="I39" s="692"/>
      <c r="J39" s="692"/>
      <c r="K39" s="692"/>
    </row>
    <row r="40" spans="1:11" ht="15">
      <c r="A40" s="692"/>
      <c r="B40" s="693"/>
      <c r="C40" s="692"/>
      <c r="D40" s="685"/>
      <c r="E40" s="695"/>
      <c r="F40" s="696"/>
      <c r="G40" s="648"/>
      <c r="H40" s="692"/>
      <c r="I40" s="692"/>
      <c r="J40" s="692"/>
      <c r="K40" s="692"/>
    </row>
    <row r="41" spans="1:11" ht="15">
      <c r="A41" s="692"/>
      <c r="B41" s="693"/>
      <c r="C41" s="692"/>
      <c r="D41" s="685"/>
      <c r="E41" s="695"/>
      <c r="F41" s="696"/>
      <c r="G41" s="648"/>
      <c r="H41" s="692"/>
      <c r="I41" s="692"/>
      <c r="J41" s="692"/>
      <c r="K41" s="692"/>
    </row>
    <row r="46" spans="1:11" ht="15">
      <c r="C46" s="1114" t="s">
        <v>1320</v>
      </c>
      <c r="H46" s="1110"/>
      <c r="I46" s="1109" t="s">
        <v>125</v>
      </c>
      <c r="J46" s="111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M14" sqref="M14"/>
    </sheetView>
  </sheetViews>
  <sheetFormatPr defaultRowHeight="12.75"/>
  <cols>
    <col min="1" max="1" width="9.85546875" customWidth="1"/>
    <col min="2" max="2" width="23.5703125" customWidth="1"/>
    <col min="3" max="4" width="0" hidden="1" customWidth="1"/>
    <col min="5" max="5" width="25" style="1133"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47" t="s">
        <v>504</v>
      </c>
      <c r="B1" s="1447"/>
      <c r="C1" s="1447"/>
      <c r="D1" s="1447"/>
      <c r="E1" s="1447"/>
      <c r="F1" s="1447"/>
      <c r="G1" s="1447"/>
      <c r="H1" s="1447"/>
      <c r="I1" s="1447"/>
      <c r="J1" s="1448" t="s">
        <v>505</v>
      </c>
      <c r="K1" s="1449"/>
      <c r="L1" s="701"/>
      <c r="M1" s="701"/>
      <c r="N1" s="702"/>
    </row>
    <row r="2" spans="1:14" ht="15.75">
      <c r="A2" s="1447"/>
      <c r="B2" s="1447"/>
      <c r="C2" s="1447"/>
      <c r="D2" s="1447"/>
      <c r="E2" s="1447"/>
      <c r="F2" s="1447"/>
      <c r="G2" s="1447"/>
      <c r="H2" s="1447"/>
      <c r="I2" s="1447"/>
      <c r="J2" s="1450"/>
      <c r="K2" s="1451"/>
      <c r="L2" s="701"/>
      <c r="M2" s="701"/>
      <c r="N2" s="702"/>
    </row>
    <row r="3" spans="1:14" ht="15.75">
      <c r="A3" s="1447"/>
      <c r="B3" s="1447"/>
      <c r="C3" s="1447"/>
      <c r="D3" s="1447"/>
      <c r="E3" s="1447"/>
      <c r="F3" s="1447"/>
      <c r="G3" s="1447"/>
      <c r="H3" s="1447"/>
      <c r="I3" s="1447"/>
      <c r="J3" s="1450"/>
      <c r="K3" s="1451"/>
      <c r="L3" s="701"/>
      <c r="M3" s="701"/>
      <c r="N3" s="702"/>
    </row>
    <row r="4" spans="1:14" ht="16.5">
      <c r="A4" s="1454" t="str">
        <f>"( " &amp; IF(OR($M$11=1,$M$11=4,$M$11=6,$M$11=9,$M$11=11),"Ngày  30  tháng  "&amp;$M$11&amp;"  năm 2016",IF(OR($M$11=3,$M$11=5,$M$11=7,$M$11=8,$M$11=10,$M$11=12),"Ngày  31  tháng  "&amp;$M$11&amp;"  năm 2016","Ngày  29  tháng  "&amp;$M$11&amp;"  năm 2016")) &amp; " ) "</f>
        <v xml:space="preserve">( Ngày  29  tháng  2  năm 2016 ) </v>
      </c>
      <c r="B4" s="1454"/>
      <c r="C4" s="1454"/>
      <c r="D4" s="1454"/>
      <c r="E4" s="1454"/>
      <c r="F4" s="1454"/>
      <c r="G4" s="1454"/>
      <c r="H4" s="1454"/>
      <c r="I4" s="1454"/>
      <c r="J4" s="1452"/>
      <c r="K4" s="1453"/>
      <c r="L4" s="701"/>
      <c r="M4" s="701"/>
      <c r="N4" s="702"/>
    </row>
    <row r="5" spans="1:14" ht="20.25">
      <c r="A5" s="703"/>
      <c r="B5" s="701"/>
      <c r="C5" s="701"/>
      <c r="D5" s="701"/>
      <c r="E5" s="1126"/>
      <c r="F5" s="704"/>
      <c r="G5" s="701"/>
      <c r="H5" s="705"/>
      <c r="I5" s="705"/>
      <c r="J5" s="701"/>
      <c r="K5" s="701"/>
      <c r="L5" s="701"/>
      <c r="M5" s="702"/>
      <c r="N5" s="702"/>
    </row>
    <row r="6" spans="1:14" ht="15.75">
      <c r="A6" s="703" t="s">
        <v>506</v>
      </c>
      <c r="B6" s="701"/>
      <c r="C6" s="701"/>
      <c r="D6" s="701"/>
      <c r="E6" s="1127"/>
      <c r="F6" s="701"/>
      <c r="G6" s="701" t="s">
        <v>507</v>
      </c>
      <c r="H6" s="705"/>
      <c r="I6" s="705"/>
      <c r="J6" s="701"/>
      <c r="K6" s="701"/>
      <c r="L6" s="701"/>
      <c r="M6" s="702"/>
      <c r="N6" s="702"/>
    </row>
    <row r="7" spans="1:14" ht="15.75">
      <c r="A7" s="703" t="s">
        <v>508</v>
      </c>
      <c r="B7" s="701"/>
      <c r="C7" s="701"/>
      <c r="D7" s="701"/>
      <c r="E7" s="1127"/>
      <c r="F7" s="701"/>
      <c r="G7" s="701"/>
      <c r="H7" s="705"/>
      <c r="I7" s="705"/>
      <c r="J7" s="701"/>
      <c r="K7" s="701"/>
      <c r="L7" s="701"/>
      <c r="M7" s="702"/>
      <c r="N7" s="702"/>
    </row>
    <row r="8" spans="1:14" ht="15.75">
      <c r="A8" s="703" t="s">
        <v>509</v>
      </c>
      <c r="B8" s="701"/>
      <c r="C8" s="701"/>
      <c r="D8" s="701"/>
      <c r="E8" s="1127"/>
      <c r="F8" s="701"/>
      <c r="G8" s="701"/>
      <c r="H8" s="705"/>
      <c r="I8" s="705"/>
      <c r="J8" s="701"/>
      <c r="K8" s="701"/>
      <c r="L8" s="701"/>
      <c r="M8" s="702"/>
      <c r="N8" s="702"/>
    </row>
    <row r="9" spans="1:14" ht="15.75">
      <c r="A9" s="703" t="s">
        <v>510</v>
      </c>
      <c r="B9" s="701"/>
      <c r="C9" s="701"/>
      <c r="D9" s="701"/>
      <c r="E9" s="1127"/>
      <c r="F9" s="701"/>
      <c r="G9" s="701"/>
      <c r="H9" s="705"/>
      <c r="I9" s="705"/>
      <c r="J9" s="701"/>
      <c r="K9" s="701"/>
      <c r="L9" s="701"/>
      <c r="M9" s="702"/>
      <c r="N9" s="702"/>
    </row>
    <row r="10" spans="1:14" ht="16.5" thickBot="1">
      <c r="A10" s="703"/>
      <c r="B10" s="701"/>
      <c r="C10" s="701"/>
      <c r="D10" s="701"/>
      <c r="E10" s="1127"/>
      <c r="F10" s="701"/>
      <c r="G10" s="701"/>
      <c r="H10" s="705"/>
      <c r="I10" s="705"/>
      <c r="J10" s="701"/>
      <c r="K10" s="701"/>
      <c r="L10" s="701"/>
      <c r="M10" s="706"/>
      <c r="N10" s="702"/>
    </row>
    <row r="11" spans="1:14" ht="15.75" thickBot="1">
      <c r="A11" s="1455" t="s">
        <v>578</v>
      </c>
      <c r="B11" s="1457" t="s">
        <v>511</v>
      </c>
      <c r="C11" s="1458"/>
      <c r="D11" s="1458"/>
      <c r="E11" s="1458"/>
      <c r="F11" s="1459"/>
      <c r="G11" s="1460" t="s">
        <v>512</v>
      </c>
      <c r="H11" s="1460"/>
      <c r="I11" s="1460"/>
      <c r="J11" s="1460"/>
      <c r="K11" s="1461" t="s">
        <v>152</v>
      </c>
      <c r="L11" s="707"/>
      <c r="M11" s="1125">
        <v>2</v>
      </c>
      <c r="N11" s="709"/>
    </row>
    <row r="12" spans="1:14" ht="36" customHeight="1">
      <c r="A12" s="1456"/>
      <c r="B12" s="710" t="s">
        <v>513</v>
      </c>
      <c r="C12" s="710"/>
      <c r="D12" s="710" t="s">
        <v>514</v>
      </c>
      <c r="E12" s="710" t="s">
        <v>515</v>
      </c>
      <c r="F12" s="710" t="s">
        <v>516</v>
      </c>
      <c r="G12" s="710" t="s">
        <v>517</v>
      </c>
      <c r="H12" s="711" t="s">
        <v>467</v>
      </c>
      <c r="I12" s="711" t="s">
        <v>468</v>
      </c>
      <c r="J12" s="710" t="s">
        <v>518</v>
      </c>
      <c r="K12" s="1462"/>
      <c r="L12" s="712"/>
      <c r="M12" s="713"/>
      <c r="N12" s="713"/>
    </row>
    <row r="13" spans="1:14">
      <c r="A13" s="714" t="s">
        <v>172</v>
      </c>
      <c r="B13" s="715">
        <v>2</v>
      </c>
      <c r="C13" s="715"/>
      <c r="D13" s="715"/>
      <c r="E13" s="1128">
        <v>3</v>
      </c>
      <c r="F13" s="715">
        <v>4</v>
      </c>
      <c r="G13" s="715">
        <v>5</v>
      </c>
      <c r="H13" s="716" t="s">
        <v>519</v>
      </c>
      <c r="I13" s="716" t="s">
        <v>520</v>
      </c>
      <c r="J13" s="715">
        <v>8</v>
      </c>
      <c r="K13" s="715">
        <v>9</v>
      </c>
      <c r="L13" s="717"/>
      <c r="M13" s="717"/>
      <c r="N13" s="717"/>
    </row>
    <row r="14" spans="1:14" ht="27" customHeight="1">
      <c r="A14" s="223">
        <f ca="1">IF(ROWS($1:1)&gt;COUNT(Dong13),"",OFFSET(TH!E$1,SMALL(Dong13,ROWS($1:1)),))</f>
        <v>42401</v>
      </c>
      <c r="B14" s="226" t="str">
        <f ca="1">IF(ROWS($1:1)&gt;COUNT(Dong13),"",OFFSET(TH!H$1,SMALL(Dong13,ROWS($1:1)),))</f>
        <v>Lê Thị Diệu</v>
      </c>
      <c r="C14" s="718" t="str">
        <f ca="1">IF(ISNA(VLOOKUP($B14,DSNL,6,0)),"",VLOOKUP($B14,DSNL,6,0))</f>
        <v>Tiền</v>
      </c>
      <c r="D14" s="718" t="str">
        <f ca="1">IF(ROWS($1:1)&gt;COUNT(Dong13),"",OFFSET(TH!D$1,SMALL(Dong13,ROWS($1:1)),))</f>
        <v>NL/N01</v>
      </c>
      <c r="E14" s="1129" t="str">
        <f t="shared" ref="E14:E40" ca="1" si="0">IF(ISNA(VLOOKUP($B14,DSNL,4,0)),"",VLOOKUP($B14,DSNL,4,0))</f>
        <v>Đức Linh - Bình Thuận</v>
      </c>
      <c r="F14" s="719">
        <f t="shared" ref="F14:F40" ca="1" si="1">IF(ISNA(VLOOKUP($B14,DSNL,3,0)),"",VLOOKUP($B14,DSNL,3,0))</f>
        <v>250746332</v>
      </c>
      <c r="G14" s="720" t="str">
        <f ca="1">IF(ROWS($1:1)&gt;COUNT(Dong13),"",OFFSET(TH!F$1,SMALL(Dong13,ROWS($1:1)),))</f>
        <v>Cá cơm NL</v>
      </c>
      <c r="H14" s="721">
        <f ca="1">IF(ROWS($1:1)&gt;COUNT(Dong13),"",OFFSET(TH!I$1,SMALL(Dong13,ROWS($1:1)),))</f>
        <v>6540</v>
      </c>
      <c r="I14" s="721">
        <f ca="1">IF(ROWS($1:1)&gt;COUNT(Dong13),"",OFFSET(TH!J$1,SMALL(Dong13,ROWS($1:1)),))</f>
        <v>17500</v>
      </c>
      <c r="J14" s="722">
        <f ca="1">IF(B14&lt;&gt;"",H14*I14,0)</f>
        <v>114450000</v>
      </c>
      <c r="K14" s="722"/>
      <c r="L14" s="723"/>
      <c r="M14" s="702"/>
      <c r="N14" s="702"/>
    </row>
    <row r="15" spans="1:14" ht="27" customHeight="1">
      <c r="A15" s="223">
        <f ca="1">IF(ROWS($1:2)&gt;COUNT(Dong13),"",OFFSET(TH!E$1,SMALL(Dong13,ROWS($1:2)),))</f>
        <v>42401</v>
      </c>
      <c r="B15" s="226" t="str">
        <f ca="1">IF(ROWS($1:2)&gt;COUNT(Dong13),"",OFFSET(TH!H$1,SMALL(Dong13,ROWS($1:2)),))</f>
        <v>Lê Thị Thiện Em</v>
      </c>
      <c r="C15" s="718" t="str">
        <f t="shared" ref="C15:C40" ca="1" si="2">IF(ISNA(VLOOKUP($B15,DSNL,6,0)),"",VLOOKUP($B15,DSNL,6,0))</f>
        <v>Tiền</v>
      </c>
      <c r="D15" s="718" t="str">
        <f ca="1">IF(ROWS($1:2)&gt;COUNT(Dong13),"",OFFSET(TH!D$1,SMALL(Dong13,ROWS($1:2)),))</f>
        <v>NL/N02</v>
      </c>
      <c r="E15" s="1129" t="str">
        <f t="shared" ca="1" si="0"/>
        <v>Đức Linh - Bình Thuận</v>
      </c>
      <c r="F15" s="719">
        <f t="shared" ca="1" si="1"/>
        <v>260682094</v>
      </c>
      <c r="G15" s="720" t="str">
        <f ca="1">IF(ROWS($1:2)&gt;COUNT(Dong13),"",OFFSET(TH!F$1,SMALL(Dong13,ROWS($1:2)),))</f>
        <v>Cá cơm NL</v>
      </c>
      <c r="H15" s="721">
        <f ca="1">IF(ROWS($1:2)&gt;COUNT(Dong13),"",OFFSET(TH!I$1,SMALL(Dong13,ROWS($1:2)),))</f>
        <v>6358</v>
      </c>
      <c r="I15" s="721">
        <f ca="1">IF(ROWS($1:2)&gt;COUNT(Dong13),"",OFFSET(TH!J$1,SMALL(Dong13,ROWS($1:2)),))</f>
        <v>17500</v>
      </c>
      <c r="J15" s="722">
        <f t="shared" ref="J15:J40" ca="1" si="3">IF(B15&lt;&gt;"",H15*I15,0)</f>
        <v>111265000</v>
      </c>
      <c r="K15" s="724"/>
      <c r="L15" s="723"/>
      <c r="M15" s="702"/>
      <c r="N15" s="702"/>
    </row>
    <row r="16" spans="1:14" ht="27" customHeight="1">
      <c r="A16" s="223">
        <f ca="1">IF(ROWS($1:3)&gt;COUNT(Dong13),"",OFFSET(TH!E$1,SMALL(Dong13,ROWS($1:3)),))</f>
        <v>42401</v>
      </c>
      <c r="B16" s="226" t="str">
        <f ca="1">IF(ROWS($1:3)&gt;COUNT(Dong13),"",OFFSET(TH!H$1,SMALL(Dong13,ROWS($1:3)),))</f>
        <v>Trần Văn An</v>
      </c>
      <c r="C16" s="718" t="str">
        <f t="shared" ca="1" si="2"/>
        <v>Tiền</v>
      </c>
      <c r="D16" s="718" t="str">
        <f ca="1">IF(ROWS($1:3)&gt;COUNT(Dong13),"",OFFSET(TH!D$1,SMALL(Dong13,ROWS($1:3)),))</f>
        <v>NL/N03</v>
      </c>
      <c r="E16" s="1129" t="str">
        <f t="shared" ca="1" si="0"/>
        <v>Hàm Tân - Bình Thuận</v>
      </c>
      <c r="F16" s="719">
        <f t="shared" ca="1" si="1"/>
        <v>260690910</v>
      </c>
      <c r="G16" s="720" t="str">
        <f ca="1">IF(ROWS($1:3)&gt;COUNT(Dong13),"",OFFSET(TH!F$1,SMALL(Dong13,ROWS($1:3)),))</f>
        <v>Cá cơm NL</v>
      </c>
      <c r="H16" s="721">
        <f ca="1">IF(ROWS($1:3)&gt;COUNT(Dong13),"",OFFSET(TH!I$1,SMALL(Dong13,ROWS($1:3)),))</f>
        <v>6259</v>
      </c>
      <c r="I16" s="721">
        <f ca="1">IF(ROWS($1:3)&gt;COUNT(Dong13),"",OFFSET(TH!J$1,SMALL(Dong13,ROWS($1:3)),))</f>
        <v>17500</v>
      </c>
      <c r="J16" s="722">
        <f t="shared" ca="1" si="3"/>
        <v>109532500</v>
      </c>
      <c r="K16" s="724"/>
      <c r="L16" s="723"/>
      <c r="M16" s="702"/>
      <c r="N16" s="702"/>
    </row>
    <row r="17" spans="1:14" ht="27" customHeight="1">
      <c r="A17" s="223">
        <f ca="1">IF(ROWS($1:4)&gt;COUNT(Dong13),"",OFFSET(TH!E$1,SMALL(Dong13,ROWS($1:4)),))</f>
        <v>42408</v>
      </c>
      <c r="B17" s="226" t="str">
        <f ca="1">IF(ROWS($1:4)&gt;COUNT(Dong13),"",OFFSET(TH!H$1,SMALL(Dong13,ROWS($1:4)),))</f>
        <v>Nguyễn Văn Hạnh</v>
      </c>
      <c r="C17" s="718" t="str">
        <f t="shared" ca="1" si="2"/>
        <v>Tiền</v>
      </c>
      <c r="D17" s="718" t="str">
        <f ca="1">IF(ROWS($1:4)&gt;COUNT(Dong13),"",OFFSET(TH!D$1,SMALL(Dong13,ROWS($1:4)),))</f>
        <v>NL/N04</v>
      </c>
      <c r="E17" s="1129" t="str">
        <f t="shared" ca="1" si="0"/>
        <v>Phan Thiết - Bình Thuận</v>
      </c>
      <c r="F17" s="719">
        <f t="shared" ca="1" si="1"/>
        <v>260850613</v>
      </c>
      <c r="G17" s="720" t="str">
        <f ca="1">IF(ROWS($1:4)&gt;COUNT(Dong13),"",OFFSET(TH!F$1,SMALL(Dong13,ROWS($1:4)),))</f>
        <v>Cá cơm NL</v>
      </c>
      <c r="H17" s="721">
        <f ca="1">IF(ROWS($1:4)&gt;COUNT(Dong13),"",OFFSET(TH!I$1,SMALL(Dong13,ROWS($1:4)),))</f>
        <v>6583</v>
      </c>
      <c r="I17" s="721">
        <f ca="1">IF(ROWS($1:4)&gt;COUNT(Dong13),"",OFFSET(TH!J$1,SMALL(Dong13,ROWS($1:4)),))</f>
        <v>17500</v>
      </c>
      <c r="J17" s="722">
        <f t="shared" ca="1" si="3"/>
        <v>115202500</v>
      </c>
      <c r="K17" s="724"/>
      <c r="L17" s="723"/>
      <c r="M17" s="702"/>
      <c r="N17" s="702"/>
    </row>
    <row r="18" spans="1:14" ht="27" customHeight="1">
      <c r="A18" s="223">
        <f ca="1">IF(ROWS($1:5)&gt;COUNT(Dong13),"",OFFSET(TH!E$1,SMALL(Dong13,ROWS($1:5)),))</f>
        <v>42408</v>
      </c>
      <c r="B18" s="226" t="str">
        <f ca="1">IF(ROWS($1:5)&gt;COUNT(Dong13),"",OFFSET(TH!H$1,SMALL(Dong13,ROWS($1:5)),))</f>
        <v>Trần Thị Thu Hiếu</v>
      </c>
      <c r="C18" s="718" t="str">
        <f t="shared" ca="1" si="2"/>
        <v>Tiền</v>
      </c>
      <c r="D18" s="718" t="str">
        <f ca="1">IF(ROWS($1:5)&gt;COUNT(Dong13),"",OFFSET(TH!D$1,SMALL(Dong13,ROWS($1:5)),))</f>
        <v>NL/N05</v>
      </c>
      <c r="E18" s="1129" t="str">
        <f t="shared" ca="1" si="0"/>
        <v>Phan Thiết - Bình Thuận</v>
      </c>
      <c r="F18" s="719">
        <f t="shared" ca="1" si="1"/>
        <v>280853616</v>
      </c>
      <c r="G18" s="720" t="str">
        <f ca="1">IF(ROWS($1:5)&gt;COUNT(Dong13),"",OFFSET(TH!F$1,SMALL(Dong13,ROWS($1:5)),))</f>
        <v>Cá cơm NL</v>
      </c>
      <c r="H18" s="721">
        <f ca="1">IF(ROWS($1:5)&gt;COUNT(Dong13),"",OFFSET(TH!I$1,SMALL(Dong13,ROWS($1:5)),))</f>
        <v>6930</v>
      </c>
      <c r="I18" s="721">
        <f ca="1">IF(ROWS($1:5)&gt;COUNT(Dong13),"",OFFSET(TH!J$1,SMALL(Dong13,ROWS($1:5)),))</f>
        <v>17500</v>
      </c>
      <c r="J18" s="722">
        <f t="shared" ca="1" si="3"/>
        <v>121275000</v>
      </c>
      <c r="K18" s="724"/>
      <c r="L18" s="723"/>
      <c r="M18" s="702"/>
      <c r="N18" s="702"/>
    </row>
    <row r="19" spans="1:14" ht="27" customHeight="1">
      <c r="A19" s="223">
        <f ca="1">IF(ROWS($1:6)&gt;COUNT(Dong13),"",OFFSET(TH!E$1,SMALL(Dong13,ROWS($1:6)),))</f>
        <v>42408</v>
      </c>
      <c r="B19" s="226" t="str">
        <f ca="1">IF(ROWS($1:6)&gt;COUNT(Dong13),"",OFFSET(TH!H$1,SMALL(Dong13,ROWS($1:6)),))</f>
        <v>Nguyễn Văn Nhân</v>
      </c>
      <c r="C19" s="718" t="str">
        <f t="shared" ca="1" si="2"/>
        <v>Tiền</v>
      </c>
      <c r="D19" s="718" t="str">
        <f ca="1">IF(ROWS($1:6)&gt;COUNT(Dong13),"",OFFSET(TH!D$1,SMALL(Dong13,ROWS($1:6)),))</f>
        <v>NL/N06</v>
      </c>
      <c r="E19" s="1129" t="str">
        <f t="shared" ca="1" si="0"/>
        <v>Thanh Hải - Bình Thuận</v>
      </c>
      <c r="F19" s="719">
        <f t="shared" ca="1" si="1"/>
        <v>261005222</v>
      </c>
      <c r="G19" s="720" t="str">
        <f ca="1">IF(ROWS($1:6)&gt;COUNT(Dong13),"",OFFSET(TH!F$1,SMALL(Dong13,ROWS($1:6)),))</f>
        <v>Cá cơm NL</v>
      </c>
      <c r="H19" s="721">
        <f ca="1">IF(ROWS($1:6)&gt;COUNT(Dong13),"",OFFSET(TH!I$1,SMALL(Dong13,ROWS($1:6)),))</f>
        <v>6045</v>
      </c>
      <c r="I19" s="721">
        <f ca="1">IF(ROWS($1:6)&gt;COUNT(Dong13),"",OFFSET(TH!J$1,SMALL(Dong13,ROWS($1:6)),))</f>
        <v>17500</v>
      </c>
      <c r="J19" s="722">
        <f t="shared" ca="1" si="3"/>
        <v>105787500</v>
      </c>
      <c r="K19" s="724"/>
      <c r="L19" s="723"/>
      <c r="M19" s="702"/>
      <c r="N19" s="702"/>
    </row>
    <row r="20" spans="1:14" ht="31.5" customHeight="1">
      <c r="A20" s="223">
        <f ca="1">IF(ROWS($1:7)&gt;COUNT(Dong13),"",OFFSET(TH!E$1,SMALL(Dong13,ROWS($1:7)),))</f>
        <v>42415</v>
      </c>
      <c r="B20" s="226" t="str">
        <f ca="1">IF(ROWS($1:7)&gt;COUNT(Dong13),"",OFFSET(TH!H$1,SMALL(Dong13,ROWS($1:7)),))</f>
        <v>Nguyễn Thanh Bình</v>
      </c>
      <c r="C20" s="718" t="str">
        <f t="shared" ca="1" si="2"/>
        <v>Tiền</v>
      </c>
      <c r="D20" s="718" t="str">
        <f ca="1">IF(ROWS($1:7)&gt;COUNT(Dong13),"",OFFSET(TH!D$1,SMALL(Dong13,ROWS($1:7)),))</f>
        <v>NL/N07</v>
      </c>
      <c r="E20" s="1129" t="str">
        <f t="shared" ca="1" si="0"/>
        <v>Phan Thiết - Bình Thuận</v>
      </c>
      <c r="F20" s="719">
        <f t="shared" ca="1" si="1"/>
        <v>260178873</v>
      </c>
      <c r="G20" s="720" t="str">
        <f ca="1">IF(ROWS($1:7)&gt;COUNT(Dong13),"",OFFSET(TH!F$1,SMALL(Dong13,ROWS($1:7)),))</f>
        <v>Cá cơm NL</v>
      </c>
      <c r="H20" s="721">
        <f ca="1">IF(ROWS($1:7)&gt;COUNT(Dong13),"",OFFSET(TH!I$1,SMALL(Dong13,ROWS($1:7)),))</f>
        <v>6647</v>
      </c>
      <c r="I20" s="721">
        <f ca="1">IF(ROWS($1:7)&gt;COUNT(Dong13),"",OFFSET(TH!J$1,SMALL(Dong13,ROWS($1:7)),))</f>
        <v>17500</v>
      </c>
      <c r="J20" s="722">
        <f t="shared" ca="1" si="3"/>
        <v>116322500</v>
      </c>
      <c r="K20" s="724"/>
      <c r="L20" s="723"/>
      <c r="M20" s="702"/>
      <c r="N20" s="702"/>
    </row>
    <row r="21" spans="1:14" ht="27" customHeight="1">
      <c r="A21" s="223">
        <f ca="1">IF(ROWS($1:8)&gt;COUNT(Dong13),"",OFFSET(TH!E$1,SMALL(Dong13,ROWS($1:8)),))</f>
        <v>42415</v>
      </c>
      <c r="B21" s="226" t="str">
        <f ca="1">IF(ROWS($1:8)&gt;COUNT(Dong13),"",OFFSET(TH!H$1,SMALL(Dong13,ROWS($1:8)),))</f>
        <v>Trần Văn An</v>
      </c>
      <c r="C21" s="718" t="str">
        <f t="shared" ca="1" si="2"/>
        <v>Tiền</v>
      </c>
      <c r="D21" s="718" t="str">
        <f ca="1">IF(ROWS($1:8)&gt;COUNT(Dong13),"",OFFSET(TH!D$1,SMALL(Dong13,ROWS($1:8)),))</f>
        <v>NL/N08</v>
      </c>
      <c r="E21" s="1129" t="str">
        <f t="shared" ca="1" si="0"/>
        <v>Hàm Tân - Bình Thuận</v>
      </c>
      <c r="F21" s="719">
        <f t="shared" ca="1" si="1"/>
        <v>260690910</v>
      </c>
      <c r="G21" s="720" t="str">
        <f ca="1">IF(ROWS($1:8)&gt;COUNT(Dong13),"",OFFSET(TH!F$1,SMALL(Dong13,ROWS($1:8)),))</f>
        <v>Cá cơm NL</v>
      </c>
      <c r="H21" s="721">
        <f ca="1">IF(ROWS($1:8)&gt;COUNT(Dong13),"",OFFSET(TH!I$1,SMALL(Dong13,ROWS($1:8)),))</f>
        <v>6123</v>
      </c>
      <c r="I21" s="721">
        <f ca="1">IF(ROWS($1:8)&gt;COUNT(Dong13),"",OFFSET(TH!J$1,SMALL(Dong13,ROWS($1:8)),))</f>
        <v>17500</v>
      </c>
      <c r="J21" s="722">
        <f t="shared" ca="1" si="3"/>
        <v>107152500</v>
      </c>
      <c r="K21" s="724"/>
      <c r="L21" s="723"/>
      <c r="M21" s="702"/>
      <c r="N21" s="702"/>
    </row>
    <row r="22" spans="1:14" ht="27" customHeight="1">
      <c r="A22" s="223">
        <f ca="1">IF(ROWS($1:9)&gt;COUNT(Dong13),"",OFFSET(TH!E$1,SMALL(Dong13,ROWS($1:9)),))</f>
        <v>42415</v>
      </c>
      <c r="B22" s="226" t="str">
        <f ca="1">IF(ROWS($1:9)&gt;COUNT(Dong13),"",OFFSET(TH!H$1,SMALL(Dong13,ROWS($1:9)),))</f>
        <v>Nguyễn Văn Hạnh</v>
      </c>
      <c r="C22" s="718" t="str">
        <f t="shared" ca="1" si="2"/>
        <v>Tiền</v>
      </c>
      <c r="D22" s="718" t="str">
        <f ca="1">IF(ROWS($1:9)&gt;COUNT(Dong13),"",OFFSET(TH!D$1,SMALL(Dong13,ROWS($1:9)),))</f>
        <v>NL/N09</v>
      </c>
      <c r="E22" s="1129" t="str">
        <f t="shared" ca="1" si="0"/>
        <v>Phan Thiết - Bình Thuận</v>
      </c>
      <c r="F22" s="719">
        <f t="shared" ca="1" si="1"/>
        <v>260850613</v>
      </c>
      <c r="G22" s="720" t="str">
        <f ca="1">IF(ROWS($1:9)&gt;COUNT(Dong13),"",OFFSET(TH!F$1,SMALL(Dong13,ROWS($1:9)),))</f>
        <v>Cá cơm NL</v>
      </c>
      <c r="H22" s="721">
        <f ca="1">IF(ROWS($1:9)&gt;COUNT(Dong13),"",OFFSET(TH!I$1,SMALL(Dong13,ROWS($1:9)),))</f>
        <v>6652</v>
      </c>
      <c r="I22" s="721">
        <f ca="1">IF(ROWS($1:9)&gt;COUNT(Dong13),"",OFFSET(TH!J$1,SMALL(Dong13,ROWS($1:9)),))</f>
        <v>17500</v>
      </c>
      <c r="J22" s="722">
        <f t="shared" ca="1" si="3"/>
        <v>116410000</v>
      </c>
      <c r="K22" s="724"/>
      <c r="L22" s="723"/>
      <c r="M22" s="702"/>
      <c r="N22" s="702"/>
    </row>
    <row r="23" spans="1:14" ht="27" customHeight="1">
      <c r="A23" s="223">
        <f ca="1">IF(ROWS($1:10)&gt;COUNT(Dong13),"",OFFSET(TH!E$1,SMALL(Dong13,ROWS($1:10)),))</f>
        <v>42423</v>
      </c>
      <c r="B23" s="226" t="str">
        <f ca="1">IF(ROWS($1:10)&gt;COUNT(Dong13),"",OFFSET(TH!H$1,SMALL(Dong13,ROWS($1:10)),))</f>
        <v>Trần Văn An</v>
      </c>
      <c r="C23" s="718" t="str">
        <f t="shared" ca="1" si="2"/>
        <v>Tiền</v>
      </c>
      <c r="D23" s="718" t="str">
        <f ca="1">IF(ROWS($1:10)&gt;COUNT(Dong13),"",OFFSET(TH!D$1,SMALL(Dong13,ROWS($1:10)),))</f>
        <v>NL/N14</v>
      </c>
      <c r="E23" s="1129" t="str">
        <f t="shared" ca="1" si="0"/>
        <v>Hàm Tân - Bình Thuận</v>
      </c>
      <c r="F23" s="719">
        <f t="shared" ca="1" si="1"/>
        <v>260690910</v>
      </c>
      <c r="G23" s="720" t="str">
        <f ca="1">IF(ROWS($1:10)&gt;COUNT(Dong13),"",OFFSET(TH!F$1,SMALL(Dong13,ROWS($1:10)),))</f>
        <v>Cá cơm NL</v>
      </c>
      <c r="H23" s="721">
        <f ca="1">IF(ROWS($1:10)&gt;COUNT(Dong13),"",OFFSET(TH!I$1,SMALL(Dong13,ROWS($1:10)),))</f>
        <v>6980</v>
      </c>
      <c r="I23" s="721">
        <f ca="1">IF(ROWS($1:10)&gt;COUNT(Dong13),"",OFFSET(TH!J$1,SMALL(Dong13,ROWS($1:10)),))</f>
        <v>17500</v>
      </c>
      <c r="J23" s="722">
        <f t="shared" ca="1" si="3"/>
        <v>122150000</v>
      </c>
      <c r="K23" s="724"/>
      <c r="L23" s="723"/>
      <c r="M23" s="702"/>
      <c r="N23" s="702"/>
    </row>
    <row r="24" spans="1:14" ht="27" customHeight="1">
      <c r="A24" s="223">
        <f ca="1">IF(ROWS($1:11)&gt;COUNT(Dong13),"",OFFSET(TH!E$1,SMALL(Dong13,ROWS($1:11)),))</f>
        <v>42423</v>
      </c>
      <c r="B24" s="226" t="str">
        <f ca="1">IF(ROWS($1:11)&gt;COUNT(Dong13),"",OFFSET(TH!H$1,SMALL(Dong13,ROWS($1:11)),))</f>
        <v>Lê Thị Diệu</v>
      </c>
      <c r="C24" s="718" t="str">
        <f t="shared" ca="1" si="2"/>
        <v>Tiền</v>
      </c>
      <c r="D24" s="718" t="str">
        <f ca="1">IF(ROWS($1:11)&gt;COUNT(Dong13),"",OFFSET(TH!D$1,SMALL(Dong13,ROWS($1:11)),))</f>
        <v>NL/N15</v>
      </c>
      <c r="E24" s="1129" t="str">
        <f t="shared" ca="1" si="0"/>
        <v>Đức Linh - Bình Thuận</v>
      </c>
      <c r="F24" s="719">
        <f t="shared" ca="1" si="1"/>
        <v>250746332</v>
      </c>
      <c r="G24" s="720" t="str">
        <f ca="1">IF(ROWS($1:11)&gt;COUNT(Dong13),"",OFFSET(TH!F$1,SMALL(Dong13,ROWS($1:11)),))</f>
        <v>Cá cơm NL</v>
      </c>
      <c r="H24" s="721">
        <f ca="1">IF(ROWS($1:11)&gt;COUNT(Dong13),"",OFFSET(TH!I$1,SMALL(Dong13,ROWS($1:11)),))</f>
        <v>6750</v>
      </c>
      <c r="I24" s="721">
        <f ca="1">IF(ROWS($1:11)&gt;COUNT(Dong13),"",OFFSET(TH!J$1,SMALL(Dong13,ROWS($1:11)),))</f>
        <v>17500</v>
      </c>
      <c r="J24" s="722">
        <f t="shared" ca="1" si="3"/>
        <v>118125000</v>
      </c>
      <c r="K24" s="724"/>
      <c r="L24" s="723"/>
      <c r="M24" s="702"/>
      <c r="N24" s="702"/>
    </row>
    <row r="25" spans="1:14" ht="27" customHeight="1">
      <c r="A25" s="223">
        <f ca="1">IF(ROWS($1:12)&gt;COUNT(Dong13),"",OFFSET(TH!E$1,SMALL(Dong13,ROWS($1:12)),))</f>
        <v>42423</v>
      </c>
      <c r="B25" s="226" t="str">
        <f ca="1">IF(ROWS($1:12)&gt;COUNT(Dong13),"",OFFSET(TH!H$1,SMALL(Dong13,ROWS($1:12)),))</f>
        <v>Lê Thị Thiện Em</v>
      </c>
      <c r="C25" s="718" t="str">
        <f t="shared" ca="1" si="2"/>
        <v>Tiền</v>
      </c>
      <c r="D25" s="718" t="str">
        <f ca="1">IF(ROWS($1:12)&gt;COUNT(Dong13),"",OFFSET(TH!D$1,SMALL(Dong13,ROWS($1:12)),))</f>
        <v>NL/N16</v>
      </c>
      <c r="E25" s="1129" t="str">
        <f t="shared" ca="1" si="0"/>
        <v>Đức Linh - Bình Thuận</v>
      </c>
      <c r="F25" s="719">
        <f t="shared" ca="1" si="1"/>
        <v>260682094</v>
      </c>
      <c r="G25" s="720" t="str">
        <f ca="1">IF(ROWS($1:12)&gt;COUNT(Dong13),"",OFFSET(TH!F$1,SMALL(Dong13,ROWS($1:12)),))</f>
        <v>Cá cơm NL</v>
      </c>
      <c r="H25" s="721">
        <f ca="1">IF(ROWS($1:12)&gt;COUNT(Dong13),"",OFFSET(TH!I$1,SMALL(Dong13,ROWS($1:12)),))</f>
        <v>6133</v>
      </c>
      <c r="I25" s="721">
        <f ca="1">IF(ROWS($1:12)&gt;COUNT(Dong13),"",OFFSET(TH!J$1,SMALL(Dong13,ROWS($1:12)),))</f>
        <v>17500</v>
      </c>
      <c r="J25" s="722">
        <f t="shared" ca="1" si="3"/>
        <v>107327500</v>
      </c>
      <c r="K25" s="724"/>
      <c r="L25" s="723"/>
      <c r="M25" s="702"/>
      <c r="N25" s="702"/>
    </row>
    <row r="26" spans="1:14" ht="27" customHeight="1">
      <c r="A26" s="223">
        <f ca="1">IF(ROWS($1:13)&gt;COUNT(Dong13),"",OFFSET(TH!E$1,SMALL(Dong13,ROWS($1:13)),))</f>
        <v>42417</v>
      </c>
      <c r="B26" s="226" t="str">
        <f ca="1">IF(ROWS($1:13)&gt;COUNT(Dong13),"",OFFSET(TH!H$1,SMALL(Dong13,ROWS($1:13)),))</f>
        <v>Võ Thị Bảy</v>
      </c>
      <c r="C26" s="718" t="str">
        <f t="shared" ca="1" si="2"/>
        <v>Hai</v>
      </c>
      <c r="D26" s="718" t="str">
        <f ca="1">IF(ROWS($1:13)&gt;COUNT(Dong13),"",OFFSET(TH!D$1,SMALL(Dong13,ROWS($1:13)),))</f>
        <v>NL/N10</v>
      </c>
      <c r="E26" s="1129" t="str">
        <f t="shared" ca="1" si="0"/>
        <v>Vũng Tàu</v>
      </c>
      <c r="F26" s="719">
        <f t="shared" ca="1" si="1"/>
        <v>270106056</v>
      </c>
      <c r="G26" s="720" t="str">
        <f ca="1">IF(ROWS($1:13)&gt;COUNT(Dong13),"",OFFSET(TH!F$1,SMALL(Dong13,ROWS($1:13)),))</f>
        <v>Cá bò NL</v>
      </c>
      <c r="H26" s="721">
        <f ca="1">IF(ROWS($1:13)&gt;COUNT(Dong13),"",OFFSET(TH!I$1,SMALL(Dong13,ROWS($1:13)),))</f>
        <v>7043</v>
      </c>
      <c r="I26" s="721">
        <f ca="1">IF(ROWS($1:13)&gt;COUNT(Dong13),"",OFFSET(TH!J$1,SMALL(Dong13,ROWS($1:13)),))</f>
        <v>14300</v>
      </c>
      <c r="J26" s="722">
        <f t="shared" ca="1" si="3"/>
        <v>100714900</v>
      </c>
      <c r="K26" s="724"/>
      <c r="L26" s="723"/>
      <c r="M26" s="702"/>
      <c r="N26" s="702"/>
    </row>
    <row r="27" spans="1:14" ht="27" customHeight="1">
      <c r="A27" s="223">
        <f ca="1">IF(ROWS($1:14)&gt;COUNT(Dong13),"",OFFSET(TH!E$1,SMALL(Dong13,ROWS($1:14)),))</f>
        <v>42417</v>
      </c>
      <c r="B27" s="226" t="str">
        <f ca="1">IF(ROWS($1:14)&gt;COUNT(Dong13),"",OFFSET(TH!H$1,SMALL(Dong13,ROWS($1:14)),))</f>
        <v>Nguyễn Thanh Vinh</v>
      </c>
      <c r="C27" s="718" t="str">
        <f t="shared" ca="1" si="2"/>
        <v>Hai</v>
      </c>
      <c r="D27" s="718" t="str">
        <f ca="1">IF(ROWS($1:14)&gt;COUNT(Dong13),"",OFFSET(TH!D$1,SMALL(Dong13,ROWS($1:14)),))</f>
        <v>NL/N11</v>
      </c>
      <c r="E27" s="1129" t="str">
        <f t="shared" ca="1" si="0"/>
        <v>Vũng Tàu</v>
      </c>
      <c r="F27" s="719">
        <f t="shared" ca="1" si="1"/>
        <v>271181056</v>
      </c>
      <c r="G27" s="720" t="str">
        <f ca="1">IF(ROWS($1:14)&gt;COUNT(Dong13),"",OFFSET(TH!F$1,SMALL(Dong13,ROWS($1:14)),))</f>
        <v>Cá bò NL</v>
      </c>
      <c r="H27" s="721">
        <f ca="1">IF(ROWS($1:14)&gt;COUNT(Dong13),"",OFFSET(TH!I$1,SMALL(Dong13,ROWS($1:14)),))</f>
        <v>7150</v>
      </c>
      <c r="I27" s="721">
        <f ca="1">IF(ROWS($1:14)&gt;COUNT(Dong13),"",OFFSET(TH!J$1,SMALL(Dong13,ROWS($1:14)),))</f>
        <v>14300</v>
      </c>
      <c r="J27" s="722">
        <f t="shared" ca="1" si="3"/>
        <v>102245000</v>
      </c>
      <c r="K27" s="724"/>
      <c r="L27" s="723"/>
      <c r="M27" s="702"/>
      <c r="N27" s="702"/>
    </row>
    <row r="28" spans="1:14" ht="27" customHeight="1">
      <c r="A28" s="223">
        <f ca="1">IF(ROWS($1:15)&gt;COUNT(Dong13),"",OFFSET(TH!E$1,SMALL(Dong13,ROWS($1:15)),))</f>
        <v>42417</v>
      </c>
      <c r="B28" s="226" t="str">
        <f ca="1">IF(ROWS($1:15)&gt;COUNT(Dong13),"",OFFSET(TH!H$1,SMALL(Dong13,ROWS($1:15)),))</f>
        <v>Hồ Thị Mỹ</v>
      </c>
      <c r="C28" s="718" t="str">
        <f t="shared" ca="1" si="2"/>
        <v>Hai</v>
      </c>
      <c r="D28" s="718" t="str">
        <f ca="1">IF(ROWS($1:15)&gt;COUNT(Dong13),"",OFFSET(TH!D$1,SMALL(Dong13,ROWS($1:15)),))</f>
        <v>NL/N12</v>
      </c>
      <c r="E28" s="1129" t="str">
        <f t="shared" ca="1" si="0"/>
        <v>Vũng Tàu</v>
      </c>
      <c r="F28" s="719">
        <f t="shared" ca="1" si="1"/>
        <v>270986506</v>
      </c>
      <c r="G28" s="720" t="str">
        <f ca="1">IF(ROWS($1:15)&gt;COUNT(Dong13),"",OFFSET(TH!F$1,SMALL(Dong13,ROWS($1:15)),))</f>
        <v>Cá bò NL</v>
      </c>
      <c r="H28" s="721">
        <f ca="1">IF(ROWS($1:15)&gt;COUNT(Dong13),"",OFFSET(TH!I$1,SMALL(Dong13,ROWS($1:15)),))</f>
        <v>6970</v>
      </c>
      <c r="I28" s="721">
        <f ca="1">IF(ROWS($1:15)&gt;COUNT(Dong13),"",OFFSET(TH!J$1,SMALL(Dong13,ROWS($1:15)),))</f>
        <v>14300</v>
      </c>
      <c r="J28" s="722">
        <f t="shared" ca="1" si="3"/>
        <v>99671000</v>
      </c>
      <c r="K28" s="724"/>
      <c r="L28" s="723"/>
      <c r="M28" s="702"/>
      <c r="N28" s="702"/>
    </row>
    <row r="29" spans="1:14" ht="27" customHeight="1">
      <c r="A29" s="223">
        <f ca="1">IF(ROWS($1:16)&gt;COUNT(Dong13),"",OFFSET(TH!E$1,SMALL(Dong13,ROWS($1:16)),))</f>
        <v>42417</v>
      </c>
      <c r="B29" s="226" t="str">
        <f ca="1">IF(ROWS($1:16)&gt;COUNT(Dong13),"",OFFSET(TH!H$1,SMALL(Dong13,ROWS($1:16)),))</f>
        <v>Đỗ Văn Tâm</v>
      </c>
      <c r="C29" s="718" t="str">
        <f t="shared" ca="1" si="2"/>
        <v>Hai</v>
      </c>
      <c r="D29" s="718" t="str">
        <f ca="1">IF(ROWS($1:16)&gt;COUNT(Dong13),"",OFFSET(TH!D$1,SMALL(Dong13,ROWS($1:16)),))</f>
        <v>NL/N13</v>
      </c>
      <c r="E29" s="1129" t="str">
        <f t="shared" ca="1" si="0"/>
        <v>Vũng Tàu</v>
      </c>
      <c r="F29" s="719">
        <f t="shared" ca="1" si="1"/>
        <v>271642418</v>
      </c>
      <c r="G29" s="720" t="str">
        <f ca="1">IF(ROWS($1:16)&gt;COUNT(Dong13),"",OFFSET(TH!F$1,SMALL(Dong13,ROWS($1:16)),))</f>
        <v>Cá bò NL</v>
      </c>
      <c r="H29" s="721">
        <f ca="1">IF(ROWS($1:16)&gt;COUNT(Dong13),"",OFFSET(TH!I$1,SMALL(Dong13,ROWS($1:16)),))</f>
        <v>7450</v>
      </c>
      <c r="I29" s="721">
        <f ca="1">IF(ROWS($1:16)&gt;COUNT(Dong13),"",OFFSET(TH!J$1,SMALL(Dong13,ROWS($1:16)),))</f>
        <v>14300</v>
      </c>
      <c r="J29" s="722">
        <f t="shared" ca="1" si="3"/>
        <v>106535000</v>
      </c>
      <c r="K29" s="724"/>
      <c r="L29" s="723"/>
      <c r="M29" s="702"/>
      <c r="N29" s="702"/>
    </row>
    <row r="30" spans="1:14" ht="27" customHeight="1">
      <c r="A30" s="223">
        <f ca="1">IF(ROWS($1:17)&gt;COUNT(Dong13),"",OFFSET(TH!E$1,SMALL(Dong13,ROWS($1:17)),))</f>
        <v>42424</v>
      </c>
      <c r="B30" s="226" t="str">
        <f ca="1">IF(ROWS($1:17)&gt;COUNT(Dong13),"",OFFSET(TH!H$1,SMALL(Dong13,ROWS($1:17)),))</f>
        <v>Nguyễn Thanh Vinh</v>
      </c>
      <c r="C30" s="718" t="str">
        <f t="shared" ca="1" si="2"/>
        <v>Hai</v>
      </c>
      <c r="D30" s="718" t="str">
        <f ca="1">IF(ROWS($1:17)&gt;COUNT(Dong13),"",OFFSET(TH!D$1,SMALL(Dong13,ROWS($1:17)),))</f>
        <v>NL/N17</v>
      </c>
      <c r="E30" s="1129" t="str">
        <f t="shared" ca="1" si="0"/>
        <v>Vũng Tàu</v>
      </c>
      <c r="F30" s="719">
        <f t="shared" ca="1" si="1"/>
        <v>271181056</v>
      </c>
      <c r="G30" s="720" t="str">
        <f ca="1">IF(ROWS($1:17)&gt;COUNT(Dong13),"",OFFSET(TH!F$1,SMALL(Dong13,ROWS($1:17)),))</f>
        <v>Cá bò NL</v>
      </c>
      <c r="H30" s="721">
        <f ca="1">IF(ROWS($1:17)&gt;COUNT(Dong13),"",OFFSET(TH!I$1,SMALL(Dong13,ROWS($1:17)),))</f>
        <v>7460</v>
      </c>
      <c r="I30" s="721">
        <f ca="1">IF(ROWS($1:17)&gt;COUNT(Dong13),"",OFFSET(TH!J$1,SMALL(Dong13,ROWS($1:17)),))</f>
        <v>14300</v>
      </c>
      <c r="J30" s="722">
        <f t="shared" ca="1" si="3"/>
        <v>106678000</v>
      </c>
      <c r="K30" s="724"/>
      <c r="L30" s="723"/>
      <c r="M30" s="702"/>
      <c r="N30" s="702"/>
    </row>
    <row r="31" spans="1:14" ht="27" customHeight="1">
      <c r="A31" s="223">
        <f ca="1">IF(ROWS($1:18)&gt;COUNT(Dong13),"",OFFSET(TH!E$1,SMALL(Dong13,ROWS($1:18)),))</f>
        <v>42424</v>
      </c>
      <c r="B31" s="226" t="str">
        <f ca="1">IF(ROWS($1:18)&gt;COUNT(Dong13),"",OFFSET(TH!H$1,SMALL(Dong13,ROWS($1:18)),))</f>
        <v>Hồ Thị Mỹ</v>
      </c>
      <c r="C31" s="718" t="str">
        <f t="shared" ca="1" si="2"/>
        <v>Hai</v>
      </c>
      <c r="D31" s="718" t="str">
        <f ca="1">IF(ROWS($1:18)&gt;COUNT(Dong13),"",OFFSET(TH!D$1,SMALL(Dong13,ROWS($1:18)),))</f>
        <v>NL/N18</v>
      </c>
      <c r="E31" s="1129" t="str">
        <f t="shared" ca="1" si="0"/>
        <v>Vũng Tàu</v>
      </c>
      <c r="F31" s="719">
        <f t="shared" ca="1" si="1"/>
        <v>270986506</v>
      </c>
      <c r="G31" s="720" t="str">
        <f ca="1">IF(ROWS($1:18)&gt;COUNT(Dong13),"",OFFSET(TH!F$1,SMALL(Dong13,ROWS($1:18)),))</f>
        <v>Cá bò NL</v>
      </c>
      <c r="H31" s="721">
        <f ca="1">IF(ROWS($1:18)&gt;COUNT(Dong13),"",OFFSET(TH!I$1,SMALL(Dong13,ROWS($1:18)),))</f>
        <v>7328</v>
      </c>
      <c r="I31" s="721">
        <f ca="1">IF(ROWS($1:18)&gt;COUNT(Dong13),"",OFFSET(TH!J$1,SMALL(Dong13,ROWS($1:18)),))</f>
        <v>14300</v>
      </c>
      <c r="J31" s="722">
        <f t="shared" ca="1" si="3"/>
        <v>104790400</v>
      </c>
      <c r="K31" s="724"/>
      <c r="L31" s="723"/>
      <c r="M31" s="702"/>
      <c r="N31" s="702"/>
    </row>
    <row r="32" spans="1:14" ht="27" customHeight="1">
      <c r="A32" s="223">
        <f ca="1">IF(ROWS($1:19)&gt;COUNT(Dong13),"",OFFSET(TH!E$1,SMALL(Dong13,ROWS($1:19)),))</f>
        <v>42424</v>
      </c>
      <c r="B32" s="226" t="str">
        <f ca="1">IF(ROWS($1:19)&gt;COUNT(Dong13),"",OFFSET(TH!H$1,SMALL(Dong13,ROWS($1:19)),))</f>
        <v>Phạm Thị Ngọc</v>
      </c>
      <c r="C32" s="718" t="str">
        <f t="shared" ca="1" si="2"/>
        <v>Hai</v>
      </c>
      <c r="D32" s="718" t="str">
        <f ca="1">IF(ROWS($1:19)&gt;COUNT(Dong13),"",OFFSET(TH!D$1,SMALL(Dong13,ROWS($1:19)),))</f>
        <v>NL/N19</v>
      </c>
      <c r="E32" s="1129" t="str">
        <f t="shared" ca="1" si="0"/>
        <v>62 Đinh Tiên Hoàng, P2, Bà Rịa Vũng Tàu</v>
      </c>
      <c r="F32" s="719">
        <f t="shared" ca="1" si="1"/>
        <v>273042454</v>
      </c>
      <c r="G32" s="720" t="str">
        <f ca="1">IF(ROWS($1:19)&gt;COUNT(Dong13),"",OFFSET(TH!F$1,SMALL(Dong13,ROWS($1:19)),))</f>
        <v>Cá bò NL</v>
      </c>
      <c r="H32" s="721">
        <f ca="1">IF(ROWS($1:19)&gt;COUNT(Dong13),"",OFFSET(TH!I$1,SMALL(Dong13,ROWS($1:19)),))</f>
        <v>6099</v>
      </c>
      <c r="I32" s="721">
        <f ca="1">IF(ROWS($1:19)&gt;COUNT(Dong13),"",OFFSET(TH!J$1,SMALL(Dong13,ROWS($1:19)),))</f>
        <v>14300</v>
      </c>
      <c r="J32" s="722">
        <f t="shared" ca="1" si="3"/>
        <v>87215700</v>
      </c>
      <c r="K32" s="724"/>
      <c r="L32" s="723"/>
      <c r="M32" s="702"/>
      <c r="N32" s="702"/>
    </row>
    <row r="33" spans="1:14" ht="27" customHeight="1">
      <c r="A33" s="223">
        <f ca="1">IF(ROWS($1:20)&gt;COUNT(Dong13),"",OFFSET(TH!E$1,SMALL(Dong13,ROWS($1:20)),))</f>
        <v>42426</v>
      </c>
      <c r="B33" s="226" t="str">
        <f ca="1">IF(ROWS($1:20)&gt;COUNT(Dong13),"",OFFSET(TH!H$1,SMALL(Dong13,ROWS($1:20)),))</f>
        <v>BADA N HAECHO FISHERY CORP</v>
      </c>
      <c r="C33" s="718" t="str">
        <f t="shared" ca="1" si="2"/>
        <v/>
      </c>
      <c r="D33" s="718" t="str">
        <f ca="1">IF(ROWS($1:20)&gt;COUNT(Dong13),"",OFFSET(TH!D$1,SMALL(Dong13,ROWS($1:20)),))</f>
        <v>NL/N20</v>
      </c>
      <c r="E33" s="1129" t="str">
        <f t="shared" ca="1" si="0"/>
        <v/>
      </c>
      <c r="F33" s="719" t="str">
        <f t="shared" ca="1" si="1"/>
        <v/>
      </c>
      <c r="G33" s="720" t="str">
        <f ca="1">IF(ROWS($1:20)&gt;COUNT(Dong13),"",OFFSET(TH!F$1,SMALL(Dong13,ROWS($1:20)),))</f>
        <v>Lá rong biển muối</v>
      </c>
      <c r="H33" s="721">
        <f ca="1">IF(ROWS($1:20)&gt;COUNT(Dong13),"",OFFSET(TH!I$1,SMALL(Dong13,ROWS($1:20)),))</f>
        <v>16100</v>
      </c>
      <c r="I33" s="721">
        <f ca="1">IF(ROWS($1:20)&gt;COUNT(Dong13),"",OFFSET(TH!J$1,SMALL(Dong13,ROWS($1:20)),))</f>
        <v>11165</v>
      </c>
      <c r="J33" s="722">
        <f t="shared" ca="1" si="3"/>
        <v>179756500</v>
      </c>
      <c r="K33" s="724"/>
      <c r="L33" s="723"/>
      <c r="M33" s="702"/>
      <c r="N33" s="702"/>
    </row>
    <row r="34" spans="1:14" ht="27" customHeight="1">
      <c r="A34" s="223">
        <f ca="1">IF(ROWS($1:21)&gt;COUNT(Dong13),"",OFFSET(TH!E$1,SMALL(Dong13,ROWS($1:21)),))</f>
        <v>42426</v>
      </c>
      <c r="B34" s="226" t="str">
        <f ca="1">IF(ROWS($1:21)&gt;COUNT(Dong13),"",OFFSET(TH!H$1,SMALL(Dong13,ROWS($1:21)),))</f>
        <v>BADA N HAECHO FISHERY CORP</v>
      </c>
      <c r="C34" s="718" t="str">
        <f t="shared" ca="1" si="2"/>
        <v/>
      </c>
      <c r="D34" s="718" t="str">
        <f ca="1">IF(ROWS($1:21)&gt;COUNT(Dong13),"",OFFSET(TH!D$1,SMALL(Dong13,ROWS($1:21)),))</f>
        <v>NL/N21</v>
      </c>
      <c r="E34" s="1129" t="str">
        <f t="shared" ca="1" si="0"/>
        <v/>
      </c>
      <c r="F34" s="719" t="str">
        <f t="shared" ca="1" si="1"/>
        <v/>
      </c>
      <c r="G34" s="720" t="str">
        <f ca="1">IF(ROWS($1:21)&gt;COUNT(Dong13),"",OFFSET(TH!F$1,SMALL(Dong13,ROWS($1:21)),))</f>
        <v>Cọng rong biển muối</v>
      </c>
      <c r="H34" s="721">
        <f ca="1">IF(ROWS($1:21)&gt;COUNT(Dong13),"",OFFSET(TH!I$1,SMALL(Dong13,ROWS($1:21)),))</f>
        <v>7700</v>
      </c>
      <c r="I34" s="721">
        <f ca="1">IF(ROWS($1:21)&gt;COUNT(Dong13),"",OFFSET(TH!J$1,SMALL(Dong13,ROWS($1:21)),))</f>
        <v>11165</v>
      </c>
      <c r="J34" s="722">
        <f t="shared" ca="1" si="3"/>
        <v>85970500</v>
      </c>
      <c r="K34" s="724"/>
      <c r="L34" s="723"/>
      <c r="M34" s="702"/>
      <c r="N34" s="702"/>
    </row>
    <row r="35" spans="1:14" ht="27" customHeight="1">
      <c r="A35" s="223" t="str">
        <f ca="1">IF(ROWS($1:22)&gt;COUNT(Dong13),"",OFFSET(TH!E$1,SMALL(Dong13,ROWS($1:22)),))</f>
        <v/>
      </c>
      <c r="B35" s="226" t="str">
        <f ca="1">IF(ROWS($1:22)&gt;COUNT(Dong13),"",OFFSET(TH!H$1,SMALL(Dong13,ROWS($1:22)),))</f>
        <v/>
      </c>
      <c r="C35" s="718" t="str">
        <f t="shared" ca="1" si="2"/>
        <v/>
      </c>
      <c r="D35" s="718" t="str">
        <f ca="1">IF(ROWS($1:22)&gt;COUNT(Dong13),"",OFFSET(TH!D$1,SMALL(Dong13,ROWS($1:22)),))</f>
        <v/>
      </c>
      <c r="E35" s="1129" t="str">
        <f t="shared" ca="1" si="0"/>
        <v/>
      </c>
      <c r="F35" s="719" t="str">
        <f t="shared" ca="1" si="1"/>
        <v/>
      </c>
      <c r="G35" s="720" t="str">
        <f ca="1">IF(ROWS($1:22)&gt;COUNT(Dong13),"",OFFSET(TH!F$1,SMALL(Dong13,ROWS($1:22)),))</f>
        <v/>
      </c>
      <c r="H35" s="721" t="str">
        <f ca="1">IF(ROWS($1:22)&gt;COUNT(Dong13),"",OFFSET(TH!I$1,SMALL(Dong13,ROWS($1:22)),))</f>
        <v/>
      </c>
      <c r="I35" s="721" t="str">
        <f ca="1">IF(ROWS($1:22)&gt;COUNT(Dong13),"",OFFSET(TH!J$1,SMALL(Dong13,ROWS($1:22)),))</f>
        <v/>
      </c>
      <c r="J35" s="722">
        <f t="shared" ca="1" si="3"/>
        <v>0</v>
      </c>
      <c r="K35" s="724"/>
      <c r="L35" s="723"/>
      <c r="M35" s="702"/>
      <c r="N35" s="702"/>
    </row>
    <row r="36" spans="1:14" ht="27" customHeight="1">
      <c r="A36" s="223" t="str">
        <f ca="1">IF(ROWS($1:23)&gt;COUNT(Dong13),"",OFFSET(TH!E$1,SMALL(Dong13,ROWS($1:23)),))</f>
        <v/>
      </c>
      <c r="B36" s="226" t="str">
        <f ca="1">IF(ROWS($1:23)&gt;COUNT(Dong13),"",OFFSET(TH!H$1,SMALL(Dong13,ROWS($1:23)),))</f>
        <v/>
      </c>
      <c r="C36" s="718" t="str">
        <f t="shared" ca="1" si="2"/>
        <v/>
      </c>
      <c r="D36" s="718" t="str">
        <f ca="1">IF(ROWS($1:23)&gt;COUNT(Dong13),"",OFFSET(TH!D$1,SMALL(Dong13,ROWS($1:23)),))</f>
        <v/>
      </c>
      <c r="E36" s="1129" t="str">
        <f t="shared" ca="1" si="0"/>
        <v/>
      </c>
      <c r="F36" s="719" t="str">
        <f t="shared" ca="1" si="1"/>
        <v/>
      </c>
      <c r="G36" s="720" t="str">
        <f ca="1">IF(ROWS($1:23)&gt;COUNT(Dong13),"",OFFSET(TH!F$1,SMALL(Dong13,ROWS($1:23)),))</f>
        <v/>
      </c>
      <c r="H36" s="721" t="str">
        <f ca="1">IF(ROWS($1:23)&gt;COUNT(Dong13),"",OFFSET(TH!I$1,SMALL(Dong13,ROWS($1:23)),))</f>
        <v/>
      </c>
      <c r="I36" s="721" t="str">
        <f ca="1">IF(ROWS($1:23)&gt;COUNT(Dong13),"",OFFSET(TH!J$1,SMALL(Dong13,ROWS($1:23)),))</f>
        <v/>
      </c>
      <c r="J36" s="722">
        <f t="shared" ca="1" si="3"/>
        <v>0</v>
      </c>
      <c r="K36" s="724"/>
      <c r="L36" s="723"/>
      <c r="M36" s="702"/>
      <c r="N36" s="702"/>
    </row>
    <row r="37" spans="1:14" ht="27" customHeight="1">
      <c r="A37" s="223" t="str">
        <f ca="1">IF(ROWS($1:24)&gt;COUNT(Dong13),"",OFFSET(TH!E$1,SMALL(Dong13,ROWS($1:24)),))</f>
        <v/>
      </c>
      <c r="B37" s="226" t="str">
        <f ca="1">IF(ROWS($1:24)&gt;COUNT(Dong13),"",OFFSET(TH!H$1,SMALL(Dong13,ROWS($1:24)),))</f>
        <v/>
      </c>
      <c r="C37" s="718" t="str">
        <f t="shared" ca="1" si="2"/>
        <v/>
      </c>
      <c r="D37" s="718" t="str">
        <f ca="1">IF(ROWS($1:24)&gt;COUNT(Dong13),"",OFFSET(TH!D$1,SMALL(Dong13,ROWS($1:24)),))</f>
        <v/>
      </c>
      <c r="E37" s="1129" t="str">
        <f t="shared" ca="1" si="0"/>
        <v/>
      </c>
      <c r="F37" s="719" t="str">
        <f t="shared" ca="1" si="1"/>
        <v/>
      </c>
      <c r="G37" s="720" t="str">
        <f ca="1">IF(ROWS($1:24)&gt;COUNT(Dong13),"",OFFSET(TH!F$1,SMALL(Dong13,ROWS($1:24)),))</f>
        <v/>
      </c>
      <c r="H37" s="721" t="str">
        <f ca="1">IF(ROWS($1:24)&gt;COUNT(Dong13),"",OFFSET(TH!I$1,SMALL(Dong13,ROWS($1:24)),))</f>
        <v/>
      </c>
      <c r="I37" s="721" t="str">
        <f ca="1">IF(ROWS($1:24)&gt;COUNT(Dong13),"",OFFSET(TH!J$1,SMALL(Dong13,ROWS($1:24)),))</f>
        <v/>
      </c>
      <c r="J37" s="722">
        <f t="shared" ca="1" si="3"/>
        <v>0</v>
      </c>
      <c r="K37" s="724"/>
      <c r="L37" s="723"/>
      <c r="M37" s="702"/>
      <c r="N37" s="702"/>
    </row>
    <row r="38" spans="1:14" ht="27" customHeight="1">
      <c r="A38" s="223" t="str">
        <f ca="1">IF(ROWS($1:25)&gt;COUNT(Dong13),"",OFFSET(TH!E$1,SMALL(Dong13,ROWS($1:25)),))</f>
        <v/>
      </c>
      <c r="B38" s="226" t="str">
        <f ca="1">IF(ROWS($1:25)&gt;COUNT(Dong13),"",OFFSET(TH!H$1,SMALL(Dong13,ROWS($1:25)),))</f>
        <v/>
      </c>
      <c r="C38" s="718" t="str">
        <f t="shared" ca="1" si="2"/>
        <v/>
      </c>
      <c r="D38" s="718" t="str">
        <f ca="1">IF(ROWS($1:25)&gt;COUNT(Dong13),"",OFFSET(TH!D$1,SMALL(Dong13,ROWS($1:25)),))</f>
        <v/>
      </c>
      <c r="E38" s="1129" t="str">
        <f t="shared" ca="1" si="0"/>
        <v/>
      </c>
      <c r="F38" s="719" t="str">
        <f t="shared" ca="1" si="1"/>
        <v/>
      </c>
      <c r="G38" s="720" t="str">
        <f ca="1">IF(ROWS($1:25)&gt;COUNT(Dong13),"",OFFSET(TH!F$1,SMALL(Dong13,ROWS($1:25)),))</f>
        <v/>
      </c>
      <c r="H38" s="721" t="str">
        <f ca="1">IF(ROWS($1:25)&gt;COUNT(Dong13),"",OFFSET(TH!I$1,SMALL(Dong13,ROWS($1:25)),))</f>
        <v/>
      </c>
      <c r="I38" s="721" t="str">
        <f ca="1">IF(ROWS($1:25)&gt;COUNT(Dong13),"",OFFSET(TH!J$1,SMALL(Dong13,ROWS($1:25)),))</f>
        <v/>
      </c>
      <c r="J38" s="722">
        <f t="shared" ca="1" si="3"/>
        <v>0</v>
      </c>
      <c r="K38" s="724"/>
      <c r="L38" s="723"/>
      <c r="M38" s="702"/>
      <c r="N38" s="702"/>
    </row>
    <row r="39" spans="1:14" ht="27" customHeight="1">
      <c r="A39" s="223" t="str">
        <f ca="1">IF(ROWS($1:26)&gt;COUNT(Dong13),"",OFFSET(TH!E$1,SMALL(Dong13,ROWS($1:26)),))</f>
        <v/>
      </c>
      <c r="B39" s="226" t="str">
        <f ca="1">IF(ROWS($1:26)&gt;COUNT(Dong13),"",OFFSET(TH!H$1,SMALL(Dong13,ROWS($1:26)),))</f>
        <v/>
      </c>
      <c r="C39" s="718" t="str">
        <f t="shared" ca="1" si="2"/>
        <v/>
      </c>
      <c r="D39" s="718" t="str">
        <f ca="1">IF(ROWS($1:26)&gt;COUNT(Dong13),"",OFFSET(TH!D$1,SMALL(Dong13,ROWS($1:26)),))</f>
        <v/>
      </c>
      <c r="E39" s="1129" t="str">
        <f t="shared" ca="1" si="0"/>
        <v/>
      </c>
      <c r="F39" s="719" t="str">
        <f t="shared" ca="1" si="1"/>
        <v/>
      </c>
      <c r="G39" s="720" t="str">
        <f ca="1">IF(ROWS($1:26)&gt;COUNT(Dong13),"",OFFSET(TH!F$1,SMALL(Dong13,ROWS($1:26)),))</f>
        <v/>
      </c>
      <c r="H39" s="721" t="str">
        <f ca="1">IF(ROWS($1:26)&gt;COUNT(Dong13),"",OFFSET(TH!I$1,SMALL(Dong13,ROWS($1:26)),))</f>
        <v/>
      </c>
      <c r="I39" s="721" t="str">
        <f ca="1">IF(ROWS($1:26)&gt;COUNT(Dong13),"",OFFSET(TH!J$1,SMALL(Dong13,ROWS($1:26)),))</f>
        <v/>
      </c>
      <c r="J39" s="722">
        <f t="shared" ca="1" si="3"/>
        <v>0</v>
      </c>
      <c r="K39" s="724"/>
      <c r="L39" s="723"/>
      <c r="M39" s="702"/>
      <c r="N39" s="702"/>
    </row>
    <row r="40" spans="1:14" ht="27" customHeight="1">
      <c r="A40" s="223" t="str">
        <f ca="1">IF(ROWS($1:27)&gt;COUNT(Dong13),"",OFFSET(TH!E$1,SMALL(Dong13,ROWS($1:27)),))</f>
        <v/>
      </c>
      <c r="B40" s="226" t="str">
        <f ca="1">IF(ROWS($1:27)&gt;COUNT(Dong13),"",OFFSET(TH!H$1,SMALL(Dong13,ROWS($1:27)),))</f>
        <v/>
      </c>
      <c r="C40" s="718" t="str">
        <f t="shared" ca="1" si="2"/>
        <v/>
      </c>
      <c r="D40" s="718" t="str">
        <f ca="1">IF(ROWS($1:27)&gt;COUNT(Dong13),"",OFFSET(TH!D$1,SMALL(Dong13,ROWS($1:27)),))</f>
        <v/>
      </c>
      <c r="E40" s="1129" t="str">
        <f t="shared" ca="1" si="0"/>
        <v/>
      </c>
      <c r="F40" s="719" t="str">
        <f t="shared" ca="1" si="1"/>
        <v/>
      </c>
      <c r="G40" s="720" t="str">
        <f ca="1">IF(ROWS($1:27)&gt;COUNT(Dong13),"",OFFSET(TH!F$1,SMALL(Dong13,ROWS($1:27)),))</f>
        <v/>
      </c>
      <c r="H40" s="721" t="str">
        <f ca="1">IF(ROWS($1:27)&gt;COUNT(Dong13),"",OFFSET(TH!I$1,SMALL(Dong13,ROWS($1:27)),))</f>
        <v/>
      </c>
      <c r="I40" s="721" t="str">
        <f ca="1">IF(ROWS($1:27)&gt;COUNT(Dong13),"",OFFSET(TH!J$1,SMALL(Dong13,ROWS($1:27)),))</f>
        <v/>
      </c>
      <c r="J40" s="722">
        <f t="shared" ca="1" si="3"/>
        <v>0</v>
      </c>
      <c r="K40" s="724"/>
      <c r="L40" s="723"/>
      <c r="M40" s="702"/>
      <c r="N40" s="702"/>
    </row>
    <row r="41" spans="1:14" ht="28.5" customHeight="1">
      <c r="A41" s="703" t="s">
        <v>521</v>
      </c>
      <c r="B41" s="701"/>
      <c r="C41" s="701"/>
      <c r="D41" s="701"/>
      <c r="E41" s="1130">
        <f ca="1">SUM(J14:J40)</f>
        <v>2338577000</v>
      </c>
      <c r="F41" s="725"/>
      <c r="G41" s="701"/>
      <c r="H41" s="705"/>
      <c r="I41" s="705"/>
      <c r="J41" s="726"/>
      <c r="K41" s="701"/>
      <c r="L41" s="701"/>
      <c r="M41" s="702"/>
      <c r="N41" s="727">
        <f ca="1">SUBTOTAL(9,J14:J40)</f>
        <v>2338577000</v>
      </c>
    </row>
    <row r="42" spans="1:14" ht="15.75">
      <c r="A42" s="703"/>
      <c r="B42" s="701"/>
      <c r="C42" s="701"/>
      <c r="D42" s="701"/>
      <c r="E42" s="1131"/>
      <c r="F42" s="705"/>
      <c r="G42" s="701"/>
      <c r="H42" s="705"/>
      <c r="I42" s="705"/>
      <c r="J42" s="729" t="str">
        <f xml:space="preserve"> IF(OR($M$11=1,$M$11=4,$M$11=6,$M$11=9,$M$11=11),"Ngày  30  tháng  "&amp;$M$11&amp;"  năm 2016",IF(OR($M$11=3,$M$11=5,$M$11=7,$M$11=8,$M$11=10,$M$11=12),"Ngày  31  tháng  "&amp;$M$11&amp;"  năm 2016","Ngày  29  tháng  "&amp;$M$11&amp;"  năm 2016"))</f>
        <v>Ngày  29  tháng  2  năm 2016</v>
      </c>
      <c r="K42" s="730"/>
      <c r="L42" s="701"/>
      <c r="M42" s="702"/>
      <c r="N42" s="702"/>
    </row>
    <row r="43" spans="1:14" ht="15.75">
      <c r="A43" s="703"/>
      <c r="B43" s="731" t="s">
        <v>522</v>
      </c>
      <c r="C43" s="731"/>
      <c r="D43" s="731"/>
      <c r="E43" s="1127"/>
      <c r="F43" s="701"/>
      <c r="G43" s="701"/>
      <c r="H43" s="705"/>
      <c r="I43" s="705"/>
      <c r="J43" s="732" t="s">
        <v>523</v>
      </c>
      <c r="K43" s="701"/>
      <c r="L43" s="701"/>
      <c r="M43" s="702"/>
      <c r="N43" s="702"/>
    </row>
    <row r="44" spans="1:14" ht="15.75">
      <c r="A44" s="703"/>
      <c r="B44" s="733" t="s">
        <v>524</v>
      </c>
      <c r="C44" s="733"/>
      <c r="D44" s="733"/>
      <c r="E44" s="1127"/>
      <c r="F44" s="734"/>
      <c r="G44" s="701"/>
      <c r="H44" s="705"/>
      <c r="I44" s="705"/>
      <c r="J44" s="735" t="s">
        <v>525</v>
      </c>
      <c r="K44" s="701"/>
      <c r="L44" s="701"/>
      <c r="M44" s="702"/>
      <c r="N44" s="702"/>
    </row>
    <row r="45" spans="1:14" ht="15.75">
      <c r="A45" s="703"/>
      <c r="B45" s="733"/>
      <c r="C45" s="733"/>
      <c r="D45" s="733"/>
      <c r="E45" s="1127"/>
      <c r="F45" s="734"/>
      <c r="G45" s="701"/>
      <c r="H45" s="705"/>
      <c r="I45" s="735"/>
      <c r="J45" s="701"/>
      <c r="K45" s="701"/>
      <c r="L45" s="701"/>
      <c r="M45" s="702"/>
      <c r="N45" s="702"/>
    </row>
    <row r="46" spans="1:14" ht="15.75">
      <c r="A46" s="703"/>
      <c r="B46" s="733"/>
      <c r="C46" s="733"/>
      <c r="D46" s="733"/>
      <c r="E46" s="1127"/>
      <c r="F46" s="734"/>
      <c r="G46" s="701"/>
      <c r="H46" s="705"/>
      <c r="I46" s="735"/>
      <c r="J46" s="701"/>
      <c r="K46" s="701"/>
      <c r="L46" s="701"/>
      <c r="M46" s="702"/>
      <c r="N46" s="702"/>
    </row>
    <row r="47" spans="1:14" ht="15.75">
      <c r="A47" s="703"/>
      <c r="B47" s="728"/>
      <c r="C47" s="701"/>
      <c r="D47" s="701"/>
      <c r="E47" s="1127"/>
      <c r="F47" s="728"/>
      <c r="G47" s="701"/>
      <c r="H47" s="705"/>
      <c r="I47" s="705"/>
      <c r="J47" s="502"/>
      <c r="K47" s="701"/>
      <c r="L47" s="701"/>
      <c r="M47" s="702"/>
      <c r="N47" s="702"/>
    </row>
    <row r="48" spans="1:14" ht="15.75">
      <c r="A48" s="703"/>
      <c r="B48" s="736"/>
      <c r="C48" s="736"/>
      <c r="D48" s="736"/>
      <c r="E48" s="1132"/>
      <c r="F48" s="701"/>
      <c r="G48" s="701"/>
      <c r="H48" s="1444"/>
      <c r="I48" s="1444"/>
      <c r="J48" s="1444"/>
      <c r="K48" s="701"/>
      <c r="L48" s="701"/>
      <c r="M48" s="702"/>
      <c r="N48" s="702"/>
    </row>
    <row r="49" spans="1:14" ht="15.75">
      <c r="A49" s="703"/>
      <c r="B49" s="1115" t="s">
        <v>229</v>
      </c>
      <c r="C49" s="1123"/>
      <c r="D49" s="701"/>
      <c r="E49" s="1127"/>
      <c r="F49" s="701"/>
      <c r="G49" s="701"/>
      <c r="H49" s="705"/>
      <c r="I49" s="705"/>
      <c r="J49" s="1116" t="s">
        <v>125</v>
      </c>
      <c r="K49" s="1116"/>
      <c r="L49" s="1116"/>
      <c r="M49" s="1116"/>
      <c r="N49" s="702"/>
    </row>
    <row r="50" spans="1:14" ht="15.75">
      <c r="A50" s="737" t="s">
        <v>526</v>
      </c>
      <c r="B50" s="701"/>
      <c r="C50" s="701"/>
      <c r="D50" s="701"/>
      <c r="E50" s="1127"/>
      <c r="F50" s="701"/>
      <c r="G50" s="701"/>
      <c r="H50" s="705"/>
      <c r="I50" s="705"/>
      <c r="J50" s="701"/>
      <c r="K50" s="701"/>
      <c r="L50" s="701"/>
      <c r="M50" s="702"/>
      <c r="N50" s="702"/>
    </row>
    <row r="51" spans="1:14" ht="37.5" customHeight="1">
      <c r="A51" s="1445" t="s">
        <v>527</v>
      </c>
      <c r="B51" s="1446"/>
      <c r="C51" s="1446"/>
      <c r="D51" s="1446"/>
      <c r="E51" s="1446"/>
      <c r="F51" s="1446"/>
      <c r="G51" s="1446"/>
      <c r="H51" s="1446"/>
      <c r="I51" s="1446"/>
      <c r="J51" s="1446"/>
      <c r="K51" s="1446"/>
      <c r="L51" s="701"/>
      <c r="M51" s="702"/>
      <c r="N51" s="702"/>
    </row>
    <row r="52" spans="1:14" ht="45" customHeight="1">
      <c r="A52" s="1445" t="s">
        <v>528</v>
      </c>
      <c r="B52" s="1445"/>
      <c r="C52" s="1445"/>
      <c r="D52" s="1445"/>
      <c r="E52" s="1445"/>
      <c r="F52" s="1445"/>
      <c r="G52" s="1445"/>
      <c r="H52" s="1445"/>
      <c r="I52" s="1445"/>
      <c r="J52" s="1445"/>
      <c r="K52" s="1445"/>
      <c r="L52" s="701"/>
      <c r="M52" s="702"/>
      <c r="N52" s="702"/>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3.xml><?xml version="1.0" encoding="utf-8"?>
<worksheet xmlns="http://schemas.openxmlformats.org/spreadsheetml/2006/main" xmlns:r="http://schemas.openxmlformats.org/officeDocument/2006/relationships">
  <sheetPr>
    <tabColor indexed="50"/>
  </sheetPr>
  <dimension ref="A1:Y321"/>
  <sheetViews>
    <sheetView workbookViewId="0">
      <pane xSplit="3" ySplit="1" topLeftCell="F233" activePane="bottomRight" state="frozen"/>
      <selection activeCell="C33" sqref="C33"/>
      <selection pane="topRight" activeCell="C33" sqref="C33"/>
      <selection pane="bottomLeft" activeCell="C33" sqref="C33"/>
      <selection pane="bottomRight" activeCell="J258" sqref="J258"/>
    </sheetView>
  </sheetViews>
  <sheetFormatPr defaultColWidth="10.28515625" defaultRowHeight="12.75"/>
  <cols>
    <col min="1" max="1" width="4.7109375" style="738" customWidth="1"/>
    <col min="2" max="2" width="27.7109375" style="738" customWidth="1"/>
    <col min="3" max="3" width="6.7109375" style="738" customWidth="1"/>
    <col min="4" max="5" width="8.85546875" style="738" customWidth="1"/>
    <col min="6" max="6" width="9.140625" style="738" customWidth="1"/>
    <col min="7" max="7" width="14.28515625" style="738" customWidth="1"/>
    <col min="8" max="11" width="13.7109375" style="738" customWidth="1"/>
    <col min="12" max="12" width="11.85546875" style="738" customWidth="1"/>
    <col min="13" max="13" width="13.7109375" style="738" customWidth="1"/>
    <col min="14" max="14" width="19.140625" style="738" bestFit="1" customWidth="1"/>
    <col min="15" max="15" width="8.5703125" style="738" customWidth="1"/>
    <col min="16" max="16" width="7.7109375" style="738" customWidth="1"/>
    <col min="17" max="17" width="3.42578125" style="739" customWidth="1"/>
    <col min="18" max="18" width="23" style="738" customWidth="1"/>
    <col min="19" max="19" width="10.140625" style="740" customWidth="1"/>
    <col min="20" max="21" width="7.5703125" style="741" customWidth="1"/>
    <col min="22" max="22" width="12.140625" style="738" customWidth="1"/>
    <col min="23" max="23" width="7.7109375" style="738" customWidth="1"/>
    <col min="24" max="24" width="11.140625" style="738" bestFit="1" customWidth="1"/>
    <col min="25" max="25" width="12" style="738" bestFit="1" customWidth="1"/>
    <col min="26" max="16384" width="10.28515625" style="738"/>
  </cols>
  <sheetData>
    <row r="1" spans="1:25">
      <c r="B1" s="738">
        <v>1</v>
      </c>
      <c r="C1" s="738">
        <v>2</v>
      </c>
      <c r="D1" s="738">
        <v>3</v>
      </c>
      <c r="E1" s="738">
        <v>4</v>
      </c>
      <c r="F1" s="738">
        <v>5</v>
      </c>
      <c r="G1" s="738">
        <v>6</v>
      </c>
      <c r="H1" s="738">
        <v>8</v>
      </c>
      <c r="I1" s="738">
        <v>7</v>
      </c>
      <c r="J1" s="738">
        <v>9</v>
      </c>
      <c r="K1" s="738">
        <v>10</v>
      </c>
      <c r="L1" s="738">
        <v>11</v>
      </c>
      <c r="M1" s="738">
        <v>12</v>
      </c>
      <c r="N1" s="738">
        <v>13</v>
      </c>
      <c r="O1" s="738">
        <v>14</v>
      </c>
      <c r="P1" s="738">
        <v>15</v>
      </c>
    </row>
    <row r="2" spans="1:25" ht="18" customHeight="1">
      <c r="A2" s="742" t="s">
        <v>529</v>
      </c>
      <c r="B2" s="742"/>
      <c r="C2" s="743"/>
      <c r="D2" s="744"/>
      <c r="E2" s="744"/>
      <c r="F2" s="744"/>
      <c r="G2" s="741"/>
      <c r="H2" s="741"/>
      <c r="I2" s="741"/>
      <c r="J2" s="741"/>
      <c r="K2" s="741"/>
      <c r="L2" s="745"/>
      <c r="M2" s="741"/>
      <c r="N2" s="741"/>
      <c r="O2" s="746"/>
      <c r="P2" s="741"/>
      <c r="Q2" s="747"/>
      <c r="R2" s="741"/>
      <c r="S2" s="748"/>
    </row>
    <row r="3" spans="1:25" ht="18.75" customHeight="1">
      <c r="A3" s="749" t="s">
        <v>530</v>
      </c>
      <c r="B3" s="749"/>
      <c r="C3" s="749"/>
      <c r="D3" s="749"/>
      <c r="E3" s="749"/>
      <c r="F3" s="749"/>
      <c r="G3" s="749"/>
      <c r="H3" s="749"/>
      <c r="I3" s="749"/>
      <c r="J3" s="749"/>
      <c r="K3" s="749"/>
      <c r="L3" s="749"/>
      <c r="M3" s="749"/>
      <c r="N3" s="749"/>
      <c r="O3" s="749"/>
      <c r="P3" s="749"/>
      <c r="Q3" s="747"/>
      <c r="R3" s="741"/>
      <c r="S3" s="748"/>
    </row>
    <row r="4" spans="1:25" ht="18.75" customHeight="1">
      <c r="A4" s="750"/>
      <c r="B4" s="750"/>
      <c r="C4" s="751"/>
      <c r="D4" s="750"/>
      <c r="E4" s="750"/>
      <c r="F4" s="750"/>
      <c r="G4" s="750"/>
      <c r="H4" s="750"/>
      <c r="I4" s="750"/>
      <c r="J4" s="750"/>
      <c r="K4" s="750"/>
      <c r="L4" s="749"/>
      <c r="M4" s="750"/>
      <c r="N4" s="750"/>
      <c r="O4" s="752"/>
      <c r="P4" s="750"/>
      <c r="Q4" s="747"/>
      <c r="R4" s="741"/>
      <c r="S4" s="748"/>
    </row>
    <row r="5" spans="1:25" ht="12.75" customHeight="1">
      <c r="A5" s="753"/>
      <c r="B5" s="753"/>
      <c r="C5" s="754"/>
      <c r="D5" s="753"/>
      <c r="E5" s="753"/>
      <c r="F5" s="753"/>
      <c r="G5" s="753"/>
      <c r="H5" s="753"/>
      <c r="I5" s="753"/>
      <c r="J5" s="753"/>
      <c r="K5" s="753"/>
      <c r="L5" s="753"/>
      <c r="M5" s="753"/>
      <c r="N5" s="753"/>
      <c r="O5" s="755"/>
      <c r="P5" s="753"/>
      <c r="Q5" s="747"/>
      <c r="R5" s="756"/>
      <c r="S5" s="1463"/>
      <c r="T5" s="1463"/>
      <c r="U5" s="757"/>
      <c r="V5" s="1463"/>
      <c r="W5" s="1463"/>
      <c r="X5" s="756"/>
      <c r="Y5" s="756"/>
    </row>
    <row r="6" spans="1:25" s="764" customFormat="1" ht="30.75" customHeight="1">
      <c r="A6" s="758" t="s">
        <v>37</v>
      </c>
      <c r="B6" s="758" t="s">
        <v>531</v>
      </c>
      <c r="C6" s="759" t="s">
        <v>532</v>
      </c>
      <c r="D6" s="760" t="s">
        <v>533</v>
      </c>
      <c r="E6" s="760" t="s">
        <v>534</v>
      </c>
      <c r="F6" s="760" t="s">
        <v>535</v>
      </c>
      <c r="G6" s="760" t="s">
        <v>536</v>
      </c>
      <c r="H6" s="760" t="s">
        <v>537</v>
      </c>
      <c r="I6" s="760" t="s">
        <v>538</v>
      </c>
      <c r="J6" s="760" t="s">
        <v>539</v>
      </c>
      <c r="K6" s="761" t="s">
        <v>540</v>
      </c>
      <c r="L6" s="760" t="s">
        <v>541</v>
      </c>
      <c r="M6" s="761" t="s">
        <v>542</v>
      </c>
      <c r="N6" s="760" t="s">
        <v>543</v>
      </c>
      <c r="O6" s="762" t="s">
        <v>534</v>
      </c>
      <c r="P6" s="760" t="s">
        <v>544</v>
      </c>
      <c r="Q6" s="763"/>
      <c r="R6" s="758" t="s">
        <v>531</v>
      </c>
      <c r="S6" s="760" t="s">
        <v>498</v>
      </c>
      <c r="T6" s="760" t="s">
        <v>337</v>
      </c>
      <c r="U6" s="760" t="s">
        <v>535</v>
      </c>
      <c r="V6" s="760" t="s">
        <v>545</v>
      </c>
      <c r="W6" s="758" t="s">
        <v>545</v>
      </c>
    </row>
    <row r="7" spans="1:25">
      <c r="A7" s="765">
        <f>IF(B7&lt;&gt;"",ROW()-(ROW()-1),"")</f>
        <v>1</v>
      </c>
      <c r="B7" s="509" t="s">
        <v>448</v>
      </c>
      <c r="C7" s="766">
        <v>13</v>
      </c>
      <c r="D7" s="618">
        <f>ROUND(C7*O7,0)</f>
        <v>92300</v>
      </c>
      <c r="E7" s="618"/>
      <c r="F7" s="618">
        <v>16000</v>
      </c>
      <c r="G7" s="767">
        <f>(D7+E7)*F7</f>
        <v>1476800000</v>
      </c>
      <c r="H7" s="618">
        <f>IF($D$11&lt;&gt;0,H$11/($D$11+$E$11/5)*($D7+$E7/5),0)</f>
        <v>50725599.459459454</v>
      </c>
      <c r="I7" s="618">
        <f>IF($D$11&lt;&gt;0,I$11/$D$11*$D7,0)</f>
        <v>18477292.108108107</v>
      </c>
      <c r="J7" s="618">
        <f t="shared" ref="J7:K9" si="0">IF($D$11&lt;&gt;0,J$11/$D$11*$D7,0)</f>
        <v>29152289.189189192</v>
      </c>
      <c r="K7" s="618">
        <f t="shared" si="0"/>
        <v>20075809.351351351</v>
      </c>
      <c r="L7" s="618">
        <f>V18+V19</f>
        <v>7800000</v>
      </c>
      <c r="M7" s="618"/>
      <c r="N7" s="767">
        <f>G7+I7+H7+J7+L7+K7+M7</f>
        <v>1603030990.108108</v>
      </c>
      <c r="O7" s="618">
        <v>7100</v>
      </c>
      <c r="P7" s="618">
        <f>IF(O7&lt;&gt;"",N7/O7,"")</f>
        <v>225779.01269128281</v>
      </c>
      <c r="Q7" s="768"/>
      <c r="R7" s="769" t="s">
        <v>339</v>
      </c>
      <c r="S7" s="770">
        <v>42371</v>
      </c>
      <c r="T7" s="232">
        <v>100</v>
      </c>
      <c r="U7" s="771">
        <v>35444.444444444445</v>
      </c>
      <c r="V7" s="767">
        <f>ROUND(T7*U7,0)</f>
        <v>3544444</v>
      </c>
      <c r="W7" s="772"/>
    </row>
    <row r="8" spans="1:25">
      <c r="A8" s="765">
        <f>IF(B8&lt;&gt;"",A7+1,"")</f>
        <v>2</v>
      </c>
      <c r="B8" s="509" t="s">
        <v>450</v>
      </c>
      <c r="C8" s="766">
        <v>8</v>
      </c>
      <c r="D8" s="618">
        <f>ROUND(C8*O8,0)</f>
        <v>38400</v>
      </c>
      <c r="E8" s="618"/>
      <c r="F8" s="618">
        <v>18500</v>
      </c>
      <c r="G8" s="767">
        <f>(D8+E8)*F8</f>
        <v>710400000</v>
      </c>
      <c r="H8" s="618">
        <f>IF($D$11&lt;&gt;0,H$11/($D$11+$E$11/5)*($D8+$E8/5),0)</f>
        <v>21103608.009135894</v>
      </c>
      <c r="I8" s="618">
        <f>IF($D$11&lt;&gt;0,I$11/$D$11*$D8,0)</f>
        <v>7687194.1164826797</v>
      </c>
      <c r="J8" s="618">
        <f t="shared" si="0"/>
        <v>12128362.999619339</v>
      </c>
      <c r="K8" s="618">
        <f t="shared" si="0"/>
        <v>8352232.7095546247</v>
      </c>
      <c r="L8" s="618">
        <f>V20+V21</f>
        <v>44946000</v>
      </c>
      <c r="M8" s="618"/>
      <c r="N8" s="767">
        <f>G8+I8+H8+J8+L8+K8+M8</f>
        <v>804617397.83479261</v>
      </c>
      <c r="O8" s="773">
        <v>4800</v>
      </c>
      <c r="P8" s="618">
        <f>IF(O8&lt;&gt;"",N8/O8,"")</f>
        <v>167628.62454891513</v>
      </c>
      <c r="Q8" s="768"/>
      <c r="R8" s="774" t="s">
        <v>345</v>
      </c>
      <c r="S8" s="770">
        <v>42371</v>
      </c>
      <c r="T8" s="232">
        <v>20</v>
      </c>
      <c r="U8" s="775">
        <v>46741.2</v>
      </c>
      <c r="V8" s="767">
        <f t="shared" ref="V8:V14" si="1">ROUND(T8*U8,0)</f>
        <v>934824</v>
      </c>
      <c r="W8" s="776"/>
    </row>
    <row r="9" spans="1:25">
      <c r="A9" s="765">
        <f>IF(B9&lt;&gt;"",A8+1,"")</f>
        <v>3</v>
      </c>
      <c r="B9" s="777" t="s">
        <v>449</v>
      </c>
      <c r="C9" s="766">
        <v>11</v>
      </c>
      <c r="D9" s="618">
        <f>ROUND(C9*O9,0)</f>
        <v>132000</v>
      </c>
      <c r="E9" s="618"/>
      <c r="F9" s="618">
        <v>14500</v>
      </c>
      <c r="G9" s="767">
        <f>(D9+E9)*F9</f>
        <v>1914000000</v>
      </c>
      <c r="H9" s="618">
        <f>IF($D$11&lt;&gt;0,H$11/($D$11+$E$11/5)*($D9+$E9/5),0)</f>
        <v>72543652.531404644</v>
      </c>
      <c r="I9" s="618">
        <f>IF($D$11&lt;&gt;0,I$11/$D$11*$D9,0)</f>
        <v>26424729.77540921</v>
      </c>
      <c r="J9" s="618">
        <f t="shared" si="0"/>
        <v>41691247.811191477</v>
      </c>
      <c r="K9" s="618">
        <f t="shared" si="0"/>
        <v>28710799.939094022</v>
      </c>
      <c r="L9" s="618">
        <f>V22+V23</f>
        <v>15225000</v>
      </c>
      <c r="M9" s="618"/>
      <c r="N9" s="767">
        <f>G9+I9+H9+J9+L9+K9+M9</f>
        <v>2098595430.0570996</v>
      </c>
      <c r="O9" s="773">
        <v>12000</v>
      </c>
      <c r="P9" s="618">
        <f>IF(O9&lt;&gt;"",N9/O9,"")</f>
        <v>174882.95250475829</v>
      </c>
      <c r="Q9" s="768"/>
      <c r="R9" s="774" t="s">
        <v>348</v>
      </c>
      <c r="S9" s="770">
        <v>42371</v>
      </c>
      <c r="T9" s="232">
        <v>150</v>
      </c>
      <c r="U9" s="775">
        <v>11666.673333333334</v>
      </c>
      <c r="V9" s="767">
        <f t="shared" si="1"/>
        <v>1750001</v>
      </c>
      <c r="W9" s="776"/>
    </row>
    <row r="10" spans="1:25" s="787" customFormat="1">
      <c r="A10" s="765" t="str">
        <f>IF(B10&lt;&gt;"",#REF!+1,"")</f>
        <v/>
      </c>
      <c r="B10" s="778"/>
      <c r="C10" s="779"/>
      <c r="D10" s="618"/>
      <c r="E10" s="780"/>
      <c r="F10" s="781"/>
      <c r="G10" s="782"/>
      <c r="H10" s="618"/>
      <c r="I10" s="781"/>
      <c r="J10" s="783"/>
      <c r="K10" s="781"/>
      <c r="L10" s="784"/>
      <c r="M10" s="781"/>
      <c r="N10" s="767"/>
      <c r="O10" s="785"/>
      <c r="P10" s="618" t="str">
        <f>IF(B10&lt;&gt;"",N10/O10,"")</f>
        <v/>
      </c>
      <c r="Q10" s="786"/>
      <c r="R10" s="774" t="s">
        <v>224</v>
      </c>
      <c r="S10" s="770">
        <v>42376</v>
      </c>
      <c r="T10" s="232">
        <v>100</v>
      </c>
      <c r="U10" s="775">
        <v>21979.791919191921</v>
      </c>
      <c r="V10" s="767">
        <f t="shared" si="1"/>
        <v>2197979</v>
      </c>
      <c r="W10" s="776"/>
    </row>
    <row r="11" spans="1:25" s="742" customFormat="1">
      <c r="A11" s="788"/>
      <c r="B11" s="789" t="s">
        <v>546</v>
      </c>
      <c r="C11" s="790"/>
      <c r="D11" s="791">
        <f>SUM(D7:D10)</f>
        <v>262700</v>
      </c>
      <c r="E11" s="791"/>
      <c r="F11" s="791"/>
      <c r="G11" s="791">
        <f>SUM(G7:G10)</f>
        <v>4101200000</v>
      </c>
      <c r="H11" s="792">
        <v>144372860</v>
      </c>
      <c r="I11" s="792">
        <f>V17</f>
        <v>52589216</v>
      </c>
      <c r="J11" s="792">
        <v>82971900</v>
      </c>
      <c r="K11" s="792">
        <v>57138842</v>
      </c>
      <c r="L11" s="791">
        <f>ROUND(SUM(L7:L10),0)</f>
        <v>67971000</v>
      </c>
      <c r="M11" s="791">
        <f>ROUND(SUM(M7:M10),0)</f>
        <v>0</v>
      </c>
      <c r="N11" s="791">
        <f>ROUND(SUM(N7:N10),0)</f>
        <v>4506243818</v>
      </c>
      <c r="O11" s="791">
        <f>ROUND(SUM(O7:O10),0)</f>
        <v>23900</v>
      </c>
      <c r="P11" s="791"/>
      <c r="Q11" s="747"/>
      <c r="R11" s="774" t="s">
        <v>353</v>
      </c>
      <c r="S11" s="770"/>
      <c r="T11" s="232"/>
      <c r="U11" s="775">
        <v>3500</v>
      </c>
      <c r="V11" s="767">
        <f t="shared" si="1"/>
        <v>0</v>
      </c>
      <c r="W11" s="776"/>
    </row>
    <row r="12" spans="1:25" s="742" customFormat="1">
      <c r="A12" s="793"/>
      <c r="B12" s="794"/>
      <c r="C12" s="751"/>
      <c r="D12" s="795"/>
      <c r="E12" s="795"/>
      <c r="F12" s="795"/>
      <c r="G12" s="795"/>
      <c r="H12" s="795"/>
      <c r="I12" s="749"/>
      <c r="J12" s="795"/>
      <c r="K12" s="795"/>
      <c r="L12" s="795"/>
      <c r="M12" s="795"/>
      <c r="N12" s="795"/>
      <c r="O12" s="795"/>
      <c r="P12" s="795"/>
      <c r="Q12" s="747"/>
      <c r="R12" s="774" t="s">
        <v>356</v>
      </c>
      <c r="S12" s="770">
        <v>42376</v>
      </c>
      <c r="T12" s="232">
        <v>2700</v>
      </c>
      <c r="U12" s="775">
        <v>14899.99962962963</v>
      </c>
      <c r="V12" s="767">
        <f t="shared" si="1"/>
        <v>40229999</v>
      </c>
      <c r="W12" s="776"/>
    </row>
    <row r="13" spans="1:25" s="742" customFormat="1">
      <c r="A13" s="793"/>
      <c r="B13" s="794"/>
      <c r="C13" s="751"/>
      <c r="D13" s="795"/>
      <c r="E13" s="795"/>
      <c r="F13" s="795"/>
      <c r="G13" s="796"/>
      <c r="H13" s="795"/>
      <c r="I13" s="749"/>
      <c r="J13" s="795"/>
      <c r="K13" s="795"/>
      <c r="L13" s="795"/>
      <c r="M13" s="795"/>
      <c r="N13" s="795"/>
      <c r="O13" s="795"/>
      <c r="P13" s="795"/>
      <c r="Q13" s="747"/>
      <c r="R13" s="774" t="s">
        <v>359</v>
      </c>
      <c r="S13" s="770">
        <v>42384</v>
      </c>
      <c r="T13" s="232">
        <v>400</v>
      </c>
      <c r="U13" s="775">
        <v>8500</v>
      </c>
      <c r="V13" s="767">
        <f t="shared" si="1"/>
        <v>3400000</v>
      </c>
      <c r="W13" s="776"/>
    </row>
    <row r="14" spans="1:25" s="742" customFormat="1">
      <c r="A14" s="793"/>
      <c r="B14" s="794"/>
      <c r="C14" s="751"/>
      <c r="D14" s="795"/>
      <c r="E14" s="795"/>
      <c r="F14" s="795"/>
      <c r="G14" s="796"/>
      <c r="H14" s="795"/>
      <c r="I14" s="749"/>
      <c r="J14" s="795"/>
      <c r="K14" s="795"/>
      <c r="L14" s="795"/>
      <c r="M14" s="795"/>
      <c r="N14" s="795"/>
      <c r="O14" s="795"/>
      <c r="P14" s="795"/>
      <c r="Q14" s="747"/>
      <c r="R14" s="774" t="s">
        <v>363</v>
      </c>
      <c r="S14" s="770">
        <v>42384</v>
      </c>
      <c r="T14" s="797">
        <v>1647</v>
      </c>
      <c r="U14" s="797">
        <v>322.9927140255009</v>
      </c>
      <c r="V14" s="767">
        <f t="shared" si="1"/>
        <v>531969</v>
      </c>
      <c r="W14" s="776"/>
    </row>
    <row r="15" spans="1:25" s="742" customFormat="1">
      <c r="A15" s="793"/>
      <c r="B15" s="794"/>
      <c r="C15" s="751"/>
      <c r="D15" s="795"/>
      <c r="E15" s="795"/>
      <c r="F15" s="795"/>
      <c r="G15" s="796"/>
      <c r="H15" s="795"/>
      <c r="I15" s="749"/>
      <c r="J15" s="795"/>
      <c r="K15" s="795"/>
      <c r="L15" s="795"/>
      <c r="M15" s="795"/>
      <c r="N15" s="795"/>
      <c r="O15" s="795"/>
      <c r="P15" s="795"/>
      <c r="Q15" s="738"/>
      <c r="R15" s="798"/>
      <c r="S15" s="770"/>
      <c r="T15" s="799"/>
      <c r="U15" s="799"/>
      <c r="V15" s="799"/>
      <c r="W15" s="776"/>
    </row>
    <row r="16" spans="1:25" s="742" customFormat="1">
      <c r="A16" s="793"/>
      <c r="B16" s="794"/>
      <c r="C16" s="751"/>
      <c r="D16" s="795"/>
      <c r="E16" s="795"/>
      <c r="F16" s="795"/>
      <c r="G16" s="796"/>
      <c r="H16" s="795"/>
      <c r="I16" s="749"/>
      <c r="J16" s="795"/>
      <c r="K16" s="795"/>
      <c r="L16" s="795"/>
      <c r="M16" s="795"/>
      <c r="N16" s="795"/>
      <c r="O16" s="795"/>
      <c r="P16" s="795"/>
      <c r="Q16" s="738"/>
      <c r="R16" s="798"/>
      <c r="S16" s="770"/>
      <c r="T16" s="799"/>
      <c r="U16" s="799"/>
      <c r="V16" s="799"/>
      <c r="W16" s="776"/>
    </row>
    <row r="17" spans="1:24" s="742" customFormat="1">
      <c r="A17" s="793"/>
      <c r="B17" s="794"/>
      <c r="C17" s="751"/>
      <c r="D17" s="795"/>
      <c r="E17" s="795"/>
      <c r="F17" s="795"/>
      <c r="G17" s="795"/>
      <c r="H17" s="795"/>
      <c r="I17" s="749"/>
      <c r="J17" s="795"/>
      <c r="K17" s="795"/>
      <c r="L17" s="795"/>
      <c r="M17" s="795"/>
      <c r="N17" s="795"/>
      <c r="O17" s="795"/>
      <c r="P17" s="795"/>
      <c r="Q17" s="738"/>
      <c r="R17" s="1464"/>
      <c r="S17" s="1464"/>
      <c r="T17" s="1464"/>
      <c r="U17" s="942"/>
      <c r="V17" s="801">
        <f>SUM(V7:V16)</f>
        <v>52589216</v>
      </c>
      <c r="W17" s="801">
        <f>SUM(W7:W16)</f>
        <v>0</v>
      </c>
    </row>
    <row r="18" spans="1:24">
      <c r="G18" s="756"/>
      <c r="H18" s="756"/>
      <c r="I18" s="802"/>
      <c r="N18" s="803"/>
      <c r="O18" s="795"/>
      <c r="R18" s="797" t="s">
        <v>394</v>
      </c>
      <c r="S18" s="770">
        <v>42388</v>
      </c>
      <c r="T18" s="232">
        <v>400</v>
      </c>
      <c r="U18" s="232">
        <v>17000</v>
      </c>
      <c r="V18" s="767">
        <f t="shared" ref="V18:V23" si="2">ROUND(T18*U18,0)</f>
        <v>6800000</v>
      </c>
      <c r="W18" s="783"/>
    </row>
    <row r="19" spans="1:24">
      <c r="G19" s="756"/>
      <c r="H19" s="756"/>
      <c r="I19" s="802"/>
      <c r="N19" s="803"/>
      <c r="O19" s="795"/>
      <c r="R19" s="797" t="s">
        <v>397</v>
      </c>
      <c r="S19" s="770">
        <v>42388</v>
      </c>
      <c r="T19" s="232">
        <v>400</v>
      </c>
      <c r="U19" s="775">
        <v>2500</v>
      </c>
      <c r="V19" s="767">
        <f t="shared" si="2"/>
        <v>1000000</v>
      </c>
      <c r="W19" s="783"/>
    </row>
    <row r="20" spans="1:24">
      <c r="G20" s="756"/>
      <c r="H20" s="756"/>
      <c r="I20" s="802"/>
      <c r="N20" s="803"/>
      <c r="O20" s="795"/>
      <c r="R20" s="797" t="s">
        <v>401</v>
      </c>
      <c r="S20" s="770">
        <v>42391</v>
      </c>
      <c r="T20" s="775">
        <v>620</v>
      </c>
      <c r="U20" s="775">
        <v>18300</v>
      </c>
      <c r="V20" s="767">
        <f t="shared" si="2"/>
        <v>11346000</v>
      </c>
      <c r="W20" s="783"/>
    </row>
    <row r="21" spans="1:24">
      <c r="G21" s="756"/>
      <c r="H21" s="756"/>
      <c r="I21" s="802"/>
      <c r="N21" s="803"/>
      <c r="O21" s="795"/>
      <c r="R21" s="797" t="s">
        <v>650</v>
      </c>
      <c r="S21" s="770">
        <v>42391</v>
      </c>
      <c r="T21" s="775">
        <v>2400</v>
      </c>
      <c r="U21" s="775">
        <v>14000</v>
      </c>
      <c r="V21" s="767">
        <f t="shared" si="2"/>
        <v>33600000</v>
      </c>
      <c r="W21" s="783"/>
    </row>
    <row r="22" spans="1:24">
      <c r="G22" s="756"/>
      <c r="H22" s="756"/>
      <c r="I22" s="802"/>
      <c r="N22" s="803"/>
      <c r="O22" s="795"/>
      <c r="R22" s="774" t="s">
        <v>390</v>
      </c>
      <c r="S22" s="770">
        <v>42398</v>
      </c>
      <c r="T22" s="775">
        <v>1150</v>
      </c>
      <c r="U22" s="775">
        <v>12000</v>
      </c>
      <c r="V22" s="767">
        <f t="shared" si="2"/>
        <v>13800000</v>
      </c>
      <c r="W22" s="783"/>
    </row>
    <row r="23" spans="1:24">
      <c r="G23" s="756"/>
      <c r="H23" s="756"/>
      <c r="I23" s="802"/>
      <c r="N23" s="803"/>
      <c r="O23" s="795"/>
      <c r="R23" s="797" t="s">
        <v>392</v>
      </c>
      <c r="S23" s="770">
        <v>42398</v>
      </c>
      <c r="T23" s="775">
        <v>150</v>
      </c>
      <c r="U23" s="775">
        <v>9500</v>
      </c>
      <c r="V23" s="767">
        <f t="shared" si="2"/>
        <v>1425000</v>
      </c>
      <c r="W23" s="783"/>
    </row>
    <row r="24" spans="1:24" ht="18" customHeight="1">
      <c r="A24" s="742" t="s">
        <v>529</v>
      </c>
      <c r="B24" s="742"/>
      <c r="C24" s="743"/>
      <c r="D24" s="744"/>
      <c r="E24" s="744"/>
      <c r="F24" s="744"/>
      <c r="G24" s="741"/>
      <c r="H24" s="741"/>
      <c r="I24" s="741"/>
      <c r="J24" s="741"/>
      <c r="K24" s="741"/>
      <c r="L24" s="745"/>
      <c r="M24" s="741"/>
      <c r="N24" s="741"/>
      <c r="O24" s="746"/>
      <c r="P24" s="741"/>
      <c r="Q24" s="747"/>
      <c r="R24" s="804"/>
      <c r="S24" s="805"/>
      <c r="T24" s="806"/>
      <c r="U24" s="806"/>
      <c r="V24" s="806"/>
      <c r="W24" s="807"/>
      <c r="X24" s="756"/>
    </row>
    <row r="25" spans="1:24" ht="18.75" customHeight="1">
      <c r="A25" s="749" t="s">
        <v>547</v>
      </c>
      <c r="B25" s="749"/>
      <c r="C25" s="749"/>
      <c r="D25" s="749"/>
      <c r="E25" s="749"/>
      <c r="F25" s="749"/>
      <c r="G25" s="749"/>
      <c r="H25" s="749"/>
      <c r="I25" s="749"/>
      <c r="J25" s="749"/>
      <c r="K25" s="749"/>
      <c r="L25" s="749"/>
      <c r="M25" s="749"/>
      <c r="N25" s="749"/>
      <c r="O25" s="749"/>
      <c r="P25" s="749"/>
      <c r="Q25" s="747"/>
      <c r="R25" s="808"/>
      <c r="S25" s="809"/>
      <c r="T25" s="757"/>
      <c r="U25" s="757"/>
      <c r="V25" s="810"/>
    </row>
    <row r="26" spans="1:24" ht="18.75" customHeight="1">
      <c r="A26" s="750"/>
      <c r="B26" s="750"/>
      <c r="C26" s="751"/>
      <c r="D26" s="750"/>
      <c r="E26" s="750"/>
      <c r="F26" s="750"/>
      <c r="G26" s="750"/>
      <c r="H26" s="750"/>
      <c r="I26" s="750"/>
      <c r="J26" s="750"/>
      <c r="K26" s="750"/>
      <c r="L26" s="749"/>
      <c r="M26" s="750"/>
      <c r="N26" s="750"/>
      <c r="O26" s="752"/>
      <c r="P26" s="750"/>
      <c r="Q26" s="747"/>
      <c r="R26" s="741"/>
      <c r="S26" s="748"/>
    </row>
    <row r="27" spans="1:24" ht="12.75" customHeight="1">
      <c r="A27" s="753"/>
      <c r="B27" s="753"/>
      <c r="C27" s="754"/>
      <c r="D27" s="753"/>
      <c r="E27" s="753"/>
      <c r="F27" s="753"/>
      <c r="G27" s="753"/>
      <c r="H27" s="753"/>
      <c r="I27" s="753"/>
      <c r="J27" s="753"/>
      <c r="K27" s="753"/>
      <c r="L27" s="753"/>
      <c r="M27" s="753"/>
      <c r="N27" s="753"/>
      <c r="O27" s="755"/>
      <c r="P27" s="753"/>
      <c r="Q27" s="747"/>
      <c r="R27" s="741"/>
      <c r="S27" s="748"/>
    </row>
    <row r="28" spans="1:24" s="764" customFormat="1" ht="30.75" customHeight="1">
      <c r="A28" s="758" t="s">
        <v>37</v>
      </c>
      <c r="B28" s="758" t="s">
        <v>531</v>
      </c>
      <c r="C28" s="759" t="s">
        <v>532</v>
      </c>
      <c r="D28" s="760" t="s">
        <v>533</v>
      </c>
      <c r="E28" s="760" t="s">
        <v>534</v>
      </c>
      <c r="F28" s="760" t="s">
        <v>535</v>
      </c>
      <c r="G28" s="760" t="s">
        <v>536</v>
      </c>
      <c r="H28" s="760" t="s">
        <v>537</v>
      </c>
      <c r="I28" s="760" t="s">
        <v>538</v>
      </c>
      <c r="J28" s="760" t="s">
        <v>539</v>
      </c>
      <c r="K28" s="761" t="s">
        <v>540</v>
      </c>
      <c r="L28" s="760" t="s">
        <v>541</v>
      </c>
      <c r="M28" s="761" t="s">
        <v>542</v>
      </c>
      <c r="N28" s="760" t="s">
        <v>543</v>
      </c>
      <c r="O28" s="762" t="s">
        <v>534</v>
      </c>
      <c r="P28" s="760" t="s">
        <v>544</v>
      </c>
      <c r="Q28" s="763"/>
      <c r="R28" s="758" t="s">
        <v>531</v>
      </c>
      <c r="S28" s="760" t="s">
        <v>498</v>
      </c>
      <c r="T28" s="760" t="s">
        <v>337</v>
      </c>
      <c r="U28" s="760" t="s">
        <v>535</v>
      </c>
      <c r="V28" s="760" t="s">
        <v>545</v>
      </c>
      <c r="W28" s="758" t="s">
        <v>545</v>
      </c>
    </row>
    <row r="29" spans="1:24">
      <c r="A29" s="765">
        <f>IF(B29&lt;&gt;"",ROW()-(ROW()-1),"")</f>
        <v>1</v>
      </c>
      <c r="B29" s="777" t="s">
        <v>449</v>
      </c>
      <c r="C29" s="766">
        <v>11</v>
      </c>
      <c r="D29" s="618">
        <f>ROUND(C29*O29,0)</f>
        <v>88000</v>
      </c>
      <c r="E29" s="618"/>
      <c r="F29" s="618">
        <v>14500</v>
      </c>
      <c r="G29" s="767">
        <f>(D29+E29)*F29</f>
        <v>1276000000</v>
      </c>
      <c r="H29" s="618">
        <f>IF($D$32&lt;&gt;0,H$32/($D$32+$E$32/5)*($D29+$E29/5),0)</f>
        <v>64353064.096385546</v>
      </c>
      <c r="I29" s="618">
        <f t="shared" ref="I29:K30" si="3">IF($D$32&lt;&gt;0,I$32/$D$32*$D29,0)</f>
        <v>9517087.08433735</v>
      </c>
      <c r="J29" s="618">
        <f t="shared" si="3"/>
        <v>35296959.036144577</v>
      </c>
      <c r="K29" s="618">
        <f t="shared" si="3"/>
        <v>30290470.457831327</v>
      </c>
      <c r="L29" s="618">
        <f>V39</f>
        <v>12139811</v>
      </c>
      <c r="M29" s="618"/>
      <c r="N29" s="767">
        <f>SUM(G29:L29)</f>
        <v>1427597391.6746986</v>
      </c>
      <c r="O29" s="618">
        <v>8000</v>
      </c>
      <c r="P29" s="618">
        <f>IF(O29&lt;&gt;"",N29/O29,"")</f>
        <v>178449.67395933732</v>
      </c>
      <c r="Q29" s="786"/>
      <c r="R29" s="769" t="s">
        <v>339</v>
      </c>
      <c r="S29" s="770">
        <v>42415</v>
      </c>
      <c r="T29" s="232">
        <v>20</v>
      </c>
      <c r="U29" s="771">
        <v>35444.444444444445</v>
      </c>
      <c r="V29" s="767">
        <f t="shared" ref="V29:V36" si="4">ROUND(T29*U29,0)</f>
        <v>708889</v>
      </c>
      <c r="W29" s="772"/>
    </row>
    <row r="30" spans="1:24">
      <c r="A30" s="765">
        <f>IF(B30&lt;&gt;"",A29+1,"")</f>
        <v>2</v>
      </c>
      <c r="B30" s="777" t="s">
        <v>463</v>
      </c>
      <c r="C30" s="766">
        <v>3</v>
      </c>
      <c r="D30" s="618">
        <f>ROUND(C30*O30,0)</f>
        <v>78000</v>
      </c>
      <c r="E30" s="618"/>
      <c r="F30" s="618">
        <v>17500</v>
      </c>
      <c r="G30" s="767">
        <f>(D30+E30)*F30</f>
        <v>1365000000</v>
      </c>
      <c r="H30" s="618">
        <f>IF($D$32&lt;&gt;0,H$32/($D$32+$E$32/5)*($D30+$E30/5),0)</f>
        <v>57040215.903614461</v>
      </c>
      <c r="I30" s="618">
        <f t="shared" si="3"/>
        <v>8435599.9156626519</v>
      </c>
      <c r="J30" s="618">
        <f t="shared" si="3"/>
        <v>31285940.963855423</v>
      </c>
      <c r="K30" s="618">
        <f t="shared" si="3"/>
        <v>26848371.542168677</v>
      </c>
      <c r="L30" s="618"/>
      <c r="M30" s="618"/>
      <c r="N30" s="767">
        <f>SUM(G30:L30)</f>
        <v>1488610128.3253014</v>
      </c>
      <c r="O30" s="773">
        <v>26000</v>
      </c>
      <c r="P30" s="618">
        <f>IF(O30&lt;&gt;"",N30/O30,"")</f>
        <v>57254.235704819286</v>
      </c>
      <c r="Q30" s="786"/>
      <c r="R30" s="774" t="s">
        <v>345</v>
      </c>
      <c r="S30" s="770">
        <v>42415</v>
      </c>
      <c r="T30" s="232">
        <v>5</v>
      </c>
      <c r="U30" s="232">
        <v>46741.2</v>
      </c>
      <c r="V30" s="767">
        <f t="shared" si="4"/>
        <v>233706</v>
      </c>
      <c r="W30" s="776"/>
    </row>
    <row r="31" spans="1:24" s="787" customFormat="1">
      <c r="A31" s="765" t="str">
        <f>IF(B31&lt;&gt;"",#REF!+1,"")</f>
        <v/>
      </c>
      <c r="B31" s="811"/>
      <c r="C31" s="812"/>
      <c r="D31" s="813"/>
      <c r="E31" s="813"/>
      <c r="F31" s="813"/>
      <c r="G31" s="814"/>
      <c r="H31" s="815"/>
      <c r="I31" s="813"/>
      <c r="J31" s="816"/>
      <c r="K31" s="813"/>
      <c r="L31" s="817"/>
      <c r="M31" s="813"/>
      <c r="N31" s="815"/>
      <c r="O31" s="818"/>
      <c r="P31" s="813"/>
      <c r="Q31" s="786"/>
      <c r="R31" s="774" t="s">
        <v>348</v>
      </c>
      <c r="S31" s="770">
        <v>42415</v>
      </c>
      <c r="T31" s="232">
        <v>150</v>
      </c>
      <c r="U31" s="775">
        <v>11666.673333333334</v>
      </c>
      <c r="V31" s="767">
        <f t="shared" si="4"/>
        <v>1750001</v>
      </c>
      <c r="W31" s="776"/>
    </row>
    <row r="32" spans="1:24" s="742" customFormat="1">
      <c r="A32" s="788"/>
      <c r="B32" s="789" t="s">
        <v>546</v>
      </c>
      <c r="C32" s="790"/>
      <c r="D32" s="791">
        <f>SUM(D29:D31)</f>
        <v>166000</v>
      </c>
      <c r="E32" s="791">
        <f>SUM(E29:E31)</f>
        <v>0</v>
      </c>
      <c r="F32" s="791"/>
      <c r="G32" s="791">
        <f>SUM(G29:G31)</f>
        <v>2641000000</v>
      </c>
      <c r="H32" s="792">
        <v>121393280</v>
      </c>
      <c r="I32" s="792">
        <f>$V$38</f>
        <v>17952687</v>
      </c>
      <c r="J32" s="792">
        <v>66582900</v>
      </c>
      <c r="K32" s="792">
        <v>57138842</v>
      </c>
      <c r="L32" s="791">
        <f>ROUND(SUM(L29:L31),0)</f>
        <v>12139811</v>
      </c>
      <c r="M32" s="791">
        <f>ROUND(SUM(M29:M31),0)</f>
        <v>0</v>
      </c>
      <c r="N32" s="791">
        <f>ROUND(SUM(N29:N31),0)</f>
        <v>2916207520</v>
      </c>
      <c r="O32" s="791">
        <f>ROUND(SUM(O29:O31),0)</f>
        <v>34000</v>
      </c>
      <c r="P32" s="791"/>
      <c r="Q32" s="747"/>
      <c r="R32" s="774" t="s">
        <v>224</v>
      </c>
      <c r="S32" s="770">
        <v>42415</v>
      </c>
      <c r="T32" s="232">
        <v>45</v>
      </c>
      <c r="U32" s="775">
        <v>21979.791919191921</v>
      </c>
      <c r="V32" s="767">
        <f t="shared" si="4"/>
        <v>989091</v>
      </c>
      <c r="W32" s="776"/>
    </row>
    <row r="33" spans="1:23" s="742" customFormat="1">
      <c r="A33" s="793"/>
      <c r="B33" s="794"/>
      <c r="C33" s="751"/>
      <c r="D33" s="795"/>
      <c r="E33" s="795"/>
      <c r="F33" s="795"/>
      <c r="G33" s="795"/>
      <c r="H33" s="795"/>
      <c r="I33" s="749"/>
      <c r="J33" s="795"/>
      <c r="K33" s="795"/>
      <c r="L33" s="795"/>
      <c r="M33" s="795"/>
      <c r="N33" s="795"/>
      <c r="O33" s="795"/>
      <c r="P33" s="795"/>
      <c r="Q33" s="747"/>
      <c r="R33" s="774" t="s">
        <v>353</v>
      </c>
      <c r="S33" s="770"/>
      <c r="T33" s="232"/>
      <c r="U33" s="232">
        <v>3500</v>
      </c>
      <c r="V33" s="767">
        <f t="shared" si="4"/>
        <v>0</v>
      </c>
      <c r="W33" s="819"/>
    </row>
    <row r="34" spans="1:23" s="742" customFormat="1">
      <c r="A34" s="793"/>
      <c r="B34" s="794"/>
      <c r="C34" s="751"/>
      <c r="D34" s="795"/>
      <c r="E34" s="795"/>
      <c r="F34" s="795"/>
      <c r="G34" s="795"/>
      <c r="H34" s="795"/>
      <c r="I34" s="749"/>
      <c r="J34" s="795"/>
      <c r="K34" s="795"/>
      <c r="L34" s="795"/>
      <c r="M34" s="795"/>
      <c r="N34" s="795"/>
      <c r="O34" s="795"/>
      <c r="P34" s="795"/>
      <c r="Q34" s="747"/>
      <c r="R34" s="774" t="s">
        <v>356</v>
      </c>
      <c r="S34" s="770">
        <v>42415</v>
      </c>
      <c r="T34" s="232">
        <v>540</v>
      </c>
      <c r="U34" s="232">
        <v>14900</v>
      </c>
      <c r="V34" s="767">
        <f t="shared" si="4"/>
        <v>8046000</v>
      </c>
      <c r="W34" s="819"/>
    </row>
    <row r="35" spans="1:23" s="742" customFormat="1">
      <c r="A35" s="793"/>
      <c r="B35" s="794"/>
      <c r="C35" s="751"/>
      <c r="D35" s="795"/>
      <c r="E35" s="795"/>
      <c r="F35" s="795"/>
      <c r="G35" s="795"/>
      <c r="H35" s="795"/>
      <c r="I35" s="749"/>
      <c r="J35" s="795"/>
      <c r="K35" s="795"/>
      <c r="L35" s="795"/>
      <c r="M35" s="795"/>
      <c r="N35" s="795"/>
      <c r="O35" s="795"/>
      <c r="P35" s="795"/>
      <c r="Q35" s="747"/>
      <c r="R35" s="774" t="s">
        <v>359</v>
      </c>
      <c r="S35" s="770">
        <v>42425</v>
      </c>
      <c r="T35" s="232">
        <v>150</v>
      </c>
      <c r="U35" s="232">
        <v>8500</v>
      </c>
      <c r="V35" s="767">
        <f t="shared" si="4"/>
        <v>1275000</v>
      </c>
      <c r="W35" s="819"/>
    </row>
    <row r="36" spans="1:23" s="742" customFormat="1">
      <c r="A36" s="793"/>
      <c r="B36" s="794"/>
      <c r="C36" s="751"/>
      <c r="D36" s="795"/>
      <c r="E36" s="795"/>
      <c r="F36" s="795"/>
      <c r="G36" s="795"/>
      <c r="H36" s="795"/>
      <c r="I36" s="749"/>
      <c r="J36" s="795"/>
      <c r="K36" s="795"/>
      <c r="L36" s="795"/>
      <c r="M36" s="795"/>
      <c r="N36" s="795"/>
      <c r="O36" s="795"/>
      <c r="P36" s="795"/>
      <c r="Q36" s="747"/>
      <c r="R36" s="774" t="s">
        <v>363</v>
      </c>
      <c r="S36" s="770">
        <v>42425</v>
      </c>
      <c r="T36" s="232">
        <v>150</v>
      </c>
      <c r="U36" s="797">
        <v>33000</v>
      </c>
      <c r="V36" s="767">
        <f t="shared" si="4"/>
        <v>4950000</v>
      </c>
      <c r="W36" s="819"/>
    </row>
    <row r="37" spans="1:23">
      <c r="R37" s="798"/>
      <c r="S37" s="770"/>
      <c r="T37" s="799"/>
      <c r="U37" s="232"/>
      <c r="V37" s="799"/>
      <c r="W37" s="819"/>
    </row>
    <row r="38" spans="1:23">
      <c r="R38" s="820"/>
      <c r="S38" s="821"/>
      <c r="T38" s="822"/>
      <c r="U38" s="942"/>
      <c r="V38" s="801">
        <f>SUM(V29:V37)</f>
        <v>17952687</v>
      </c>
      <c r="W38" s="801">
        <f>SUM(W29:W37)</f>
        <v>0</v>
      </c>
    </row>
    <row r="39" spans="1:23">
      <c r="R39" s="823" t="s">
        <v>381</v>
      </c>
      <c r="S39" s="770">
        <v>42401</v>
      </c>
      <c r="T39" s="232">
        <v>2100</v>
      </c>
      <c r="U39" s="232">
        <v>5780.8622078968574</v>
      </c>
      <c r="V39" s="767">
        <f>ROUND(T39*U39,0)</f>
        <v>12139811</v>
      </c>
      <c r="W39" s="772"/>
    </row>
    <row r="40" spans="1:23">
      <c r="R40" s="823"/>
      <c r="S40" s="770"/>
      <c r="T40" s="232"/>
      <c r="U40" s="232"/>
      <c r="V40" s="767">
        <f>ROUND(T40*U40,0)</f>
        <v>0</v>
      </c>
      <c r="W40" s="772"/>
    </row>
    <row r="41" spans="1:23">
      <c r="R41" s="823"/>
      <c r="S41" s="770"/>
      <c r="T41" s="232"/>
      <c r="U41" s="232"/>
      <c r="V41" s="767">
        <f>ROUND(T41*U41,0)</f>
        <v>0</v>
      </c>
      <c r="W41" s="772"/>
    </row>
    <row r="42" spans="1:23" ht="18" customHeight="1">
      <c r="A42" s="742" t="s">
        <v>529</v>
      </c>
      <c r="B42" s="742"/>
      <c r="C42" s="743"/>
      <c r="D42" s="744"/>
      <c r="E42" s="744"/>
      <c r="F42" s="744"/>
      <c r="G42" s="741"/>
      <c r="H42" s="741"/>
      <c r="I42" s="741"/>
      <c r="J42" s="741"/>
      <c r="K42" s="741"/>
      <c r="L42" s="745"/>
      <c r="M42" s="741"/>
      <c r="N42" s="741"/>
      <c r="O42" s="746"/>
      <c r="P42" s="741"/>
      <c r="Q42" s="747"/>
      <c r="R42" s="747"/>
      <c r="S42" s="824"/>
      <c r="T42" s="757"/>
      <c r="U42" s="757"/>
      <c r="V42" s="757"/>
      <c r="W42" s="825"/>
    </row>
    <row r="43" spans="1:23" ht="18.75" customHeight="1">
      <c r="A43" s="749" t="s">
        <v>548</v>
      </c>
      <c r="B43" s="749"/>
      <c r="C43" s="749"/>
      <c r="D43" s="749"/>
      <c r="E43" s="749"/>
      <c r="F43" s="749"/>
      <c r="G43" s="749"/>
      <c r="H43" s="749"/>
      <c r="I43" s="749"/>
      <c r="J43" s="749"/>
      <c r="K43" s="749"/>
      <c r="L43" s="749"/>
      <c r="M43" s="749"/>
      <c r="N43" s="749"/>
      <c r="O43" s="749"/>
      <c r="P43" s="749"/>
      <c r="Q43" s="747"/>
      <c r="R43" s="808"/>
      <c r="S43" s="809"/>
      <c r="T43" s="757"/>
      <c r="U43" s="757"/>
      <c r="V43" s="810"/>
      <c r="W43" s="825"/>
    </row>
    <row r="44" spans="1:23" ht="18.75" customHeight="1">
      <c r="A44" s="750"/>
      <c r="B44" s="750"/>
      <c r="C44" s="751"/>
      <c r="D44" s="750"/>
      <c r="E44" s="750"/>
      <c r="F44" s="750"/>
      <c r="G44" s="750"/>
      <c r="H44" s="750"/>
      <c r="I44" s="750"/>
      <c r="J44" s="750"/>
      <c r="K44" s="750"/>
      <c r="L44" s="749"/>
      <c r="M44" s="750"/>
      <c r="N44" s="750"/>
      <c r="O44" s="752"/>
      <c r="P44" s="750"/>
      <c r="Q44" s="747"/>
      <c r="R44" s="808"/>
      <c r="S44" s="809"/>
      <c r="T44" s="757"/>
      <c r="U44" s="757"/>
      <c r="V44" s="810"/>
      <c r="W44" s="825"/>
    </row>
    <row r="45" spans="1:23" ht="12.75" customHeight="1">
      <c r="A45" s="753"/>
      <c r="B45" s="753"/>
      <c r="C45" s="754"/>
      <c r="D45" s="753"/>
      <c r="E45" s="753"/>
      <c r="F45" s="753"/>
      <c r="G45" s="753"/>
      <c r="H45" s="753"/>
      <c r="I45" s="753"/>
      <c r="J45" s="753"/>
      <c r="K45" s="753"/>
      <c r="L45" s="753"/>
      <c r="M45" s="753"/>
      <c r="N45" s="753"/>
      <c r="O45" s="755"/>
      <c r="P45" s="753"/>
      <c r="Q45" s="747"/>
      <c r="R45" s="808"/>
      <c r="S45" s="809"/>
      <c r="T45" s="757"/>
      <c r="U45" s="757"/>
      <c r="V45" s="810"/>
      <c r="W45" s="756"/>
    </row>
    <row r="46" spans="1:23" s="764" customFormat="1" ht="30.75" customHeight="1">
      <c r="A46" s="758" t="s">
        <v>37</v>
      </c>
      <c r="B46" s="758" t="s">
        <v>531</v>
      </c>
      <c r="C46" s="759" t="s">
        <v>532</v>
      </c>
      <c r="D46" s="760" t="s">
        <v>533</v>
      </c>
      <c r="E46" s="760" t="s">
        <v>534</v>
      </c>
      <c r="F46" s="760" t="s">
        <v>535</v>
      </c>
      <c r="G46" s="760" t="s">
        <v>536</v>
      </c>
      <c r="H46" s="760" t="s">
        <v>537</v>
      </c>
      <c r="I46" s="760" t="s">
        <v>538</v>
      </c>
      <c r="J46" s="760" t="s">
        <v>539</v>
      </c>
      <c r="K46" s="761" t="s">
        <v>540</v>
      </c>
      <c r="L46" s="760" t="s">
        <v>541</v>
      </c>
      <c r="M46" s="761" t="s">
        <v>542</v>
      </c>
      <c r="N46" s="760" t="s">
        <v>543</v>
      </c>
      <c r="O46" s="762" t="s">
        <v>534</v>
      </c>
      <c r="P46" s="760" t="s">
        <v>544</v>
      </c>
      <c r="Q46" s="763"/>
      <c r="R46" s="758" t="s">
        <v>531</v>
      </c>
      <c r="S46" s="760" t="s">
        <v>498</v>
      </c>
      <c r="T46" s="760" t="s">
        <v>337</v>
      </c>
      <c r="U46" s="760" t="s">
        <v>535</v>
      </c>
      <c r="V46" s="760" t="s">
        <v>545</v>
      </c>
      <c r="W46" s="758" t="s">
        <v>545</v>
      </c>
    </row>
    <row r="47" spans="1:23">
      <c r="A47" s="765">
        <f>IF(B47&lt;&gt;"",ROW()-(ROW()-1),"")</f>
        <v>1</v>
      </c>
      <c r="B47" s="777" t="s">
        <v>449</v>
      </c>
      <c r="C47" s="766">
        <v>0</v>
      </c>
      <c r="D47" s="618">
        <f>ROUND(C47*O47,0)</f>
        <v>0</v>
      </c>
      <c r="E47" s="618">
        <v>8000</v>
      </c>
      <c r="F47" s="618">
        <f>P29</f>
        <v>178449.67395933732</v>
      </c>
      <c r="G47" s="767">
        <f>(D47+E47)*F47</f>
        <v>1427597391.6746986</v>
      </c>
      <c r="H47" s="618">
        <f>IF($D$52&lt;&gt;0,H$52/($D$52+$E$52/5)*($D47+$E47/5),0)</f>
        <v>1345278.7415730339</v>
      </c>
      <c r="I47" s="618">
        <f t="shared" ref="I47:K50" si="5">IF($D$52&lt;&gt;0,I$52/$D$52*$D47,0)</f>
        <v>0</v>
      </c>
      <c r="J47" s="618">
        <f t="shared" si="5"/>
        <v>0</v>
      </c>
      <c r="K47" s="618">
        <f t="shared" si="5"/>
        <v>0</v>
      </c>
      <c r="L47" s="618">
        <f>SUM($V$57:$V$58)/SUM($O$47:$O$48)*O47</f>
        <v>9360960</v>
      </c>
      <c r="M47" s="618"/>
      <c r="N47" s="767">
        <f>SUM(G47:L47)</f>
        <v>1438303630.4162717</v>
      </c>
      <c r="O47" s="773">
        <v>8000</v>
      </c>
      <c r="P47" s="618">
        <f>IF(O47&lt;&gt;"",N47/O47,"")</f>
        <v>179787.95380203397</v>
      </c>
      <c r="Q47" s="786"/>
      <c r="R47" s="769" t="s">
        <v>339</v>
      </c>
      <c r="S47" s="770">
        <v>42431</v>
      </c>
      <c r="T47" s="232">
        <v>50</v>
      </c>
      <c r="U47" s="771">
        <v>35444.444444444445</v>
      </c>
      <c r="V47" s="767">
        <f t="shared" ref="V47:V54" si="6">ROUND(T47*U47,0)</f>
        <v>1772222</v>
      </c>
      <c r="W47" s="776"/>
    </row>
    <row r="48" spans="1:23">
      <c r="A48" s="765">
        <f>IF(B48&lt;&gt;"",A47+1,"")</f>
        <v>2</v>
      </c>
      <c r="B48" s="826" t="s">
        <v>929</v>
      </c>
      <c r="C48" s="766">
        <v>11</v>
      </c>
      <c r="D48" s="618">
        <f>ROUND(C48*O48,0)</f>
        <v>49500</v>
      </c>
      <c r="E48" s="618"/>
      <c r="F48" s="618">
        <v>14300</v>
      </c>
      <c r="G48" s="767">
        <f>(D48+E48)*F48</f>
        <v>707850000</v>
      </c>
      <c r="H48" s="618">
        <f>IF($D$52&lt;&gt;0,H$52/($D$52+$E$52/5)*($D48+$E48/5),0)</f>
        <v>41619561.067415729</v>
      </c>
      <c r="I48" s="618">
        <f t="shared" si="5"/>
        <v>14354325.617910447</v>
      </c>
      <c r="J48" s="618">
        <f t="shared" si="5"/>
        <v>18357880.298507463</v>
      </c>
      <c r="K48" s="618">
        <f t="shared" si="5"/>
        <v>16885807.038805973</v>
      </c>
      <c r="L48" s="618">
        <f>SUM($V$57:$V$58)/SUM($O$47:$O$48)*O48</f>
        <v>5265539.9999999991</v>
      </c>
      <c r="M48" s="618"/>
      <c r="N48" s="767">
        <f t="shared" ref="N48:N49" si="7">SUM(G48:L48)</f>
        <v>804333114.02263963</v>
      </c>
      <c r="O48" s="773">
        <v>4500</v>
      </c>
      <c r="P48" s="618">
        <f>IF(O48&lt;&gt;"",N48/O48,"")</f>
        <v>178740.69200503104</v>
      </c>
      <c r="Q48" s="786"/>
      <c r="R48" s="774" t="s">
        <v>345</v>
      </c>
      <c r="S48" s="770">
        <v>42431</v>
      </c>
      <c r="T48" s="232">
        <v>20</v>
      </c>
      <c r="U48" s="232">
        <v>46741.2</v>
      </c>
      <c r="V48" s="767">
        <f t="shared" si="6"/>
        <v>934824</v>
      </c>
      <c r="W48" s="776"/>
    </row>
    <row r="49" spans="1:23">
      <c r="A49" s="765">
        <f t="shared" ref="A49:A50" si="8">IF(B49&lt;&gt;"",A48+1,"")</f>
        <v>3</v>
      </c>
      <c r="B49" s="826" t="s">
        <v>450</v>
      </c>
      <c r="C49" s="766">
        <v>8</v>
      </c>
      <c r="D49" s="618">
        <f>ROUND(C49*O49,0)</f>
        <v>40000</v>
      </c>
      <c r="E49" s="618"/>
      <c r="F49" s="618">
        <v>18500</v>
      </c>
      <c r="G49" s="767">
        <f>(D49+E49)*F49</f>
        <v>740000000</v>
      </c>
      <c r="H49" s="618">
        <f>IF($D$52&lt;&gt;0,H$52/($D$52+$E$52/5)*($D49+$E49/5),0)</f>
        <v>33631968.539325841</v>
      </c>
      <c r="I49" s="618">
        <f t="shared" si="5"/>
        <v>11599455.044776119</v>
      </c>
      <c r="J49" s="618">
        <f t="shared" si="5"/>
        <v>14834650.746268658</v>
      </c>
      <c r="K49" s="618">
        <f t="shared" si="5"/>
        <v>13645096.597014926</v>
      </c>
      <c r="L49" s="618">
        <f>V59</f>
        <v>12059070</v>
      </c>
      <c r="M49" s="618"/>
      <c r="N49" s="767">
        <f t="shared" si="7"/>
        <v>825770240.92738545</v>
      </c>
      <c r="O49" s="773">
        <v>5000</v>
      </c>
      <c r="P49" s="618">
        <f>IF(O49&lt;&gt;"",N49/O49,"")</f>
        <v>165154.04818547709</v>
      </c>
      <c r="Q49" s="786"/>
      <c r="R49" s="774" t="s">
        <v>348</v>
      </c>
      <c r="S49" s="770">
        <v>42431</v>
      </c>
      <c r="T49" s="797">
        <v>150</v>
      </c>
      <c r="U49" s="775">
        <v>13571.429</v>
      </c>
      <c r="V49" s="767">
        <f t="shared" si="6"/>
        <v>2035714</v>
      </c>
      <c r="W49" s="776"/>
    </row>
    <row r="50" spans="1:23">
      <c r="A50" s="765">
        <f t="shared" si="8"/>
        <v>4</v>
      </c>
      <c r="B50" s="777" t="s">
        <v>463</v>
      </c>
      <c r="C50" s="766">
        <v>3</v>
      </c>
      <c r="D50" s="618">
        <f>ROUND(C50*O50,0)</f>
        <v>78000</v>
      </c>
      <c r="E50" s="618"/>
      <c r="F50" s="618">
        <v>17500</v>
      </c>
      <c r="G50" s="767">
        <f>(D50+E50)*F50</f>
        <v>1365000000</v>
      </c>
      <c r="H50" s="618">
        <f>IF($D$52&lt;&gt;0,H$52/($D$52+$E$52/5)*($D50+$E50/5),0)</f>
        <v>65582338.651685394</v>
      </c>
      <c r="I50" s="618">
        <f t="shared" si="5"/>
        <v>22618937.337313432</v>
      </c>
      <c r="J50" s="618">
        <f t="shared" si="5"/>
        <v>28927568.955223881</v>
      </c>
      <c r="K50" s="618">
        <f t="shared" si="5"/>
        <v>26607938.364179105</v>
      </c>
      <c r="L50" s="618">
        <f>V60</f>
        <v>0</v>
      </c>
      <c r="M50" s="618"/>
      <c r="N50" s="767">
        <f t="shared" ref="N50" si="9">SUM(G50:L50)</f>
        <v>1508736783.3084018</v>
      </c>
      <c r="O50" s="773">
        <v>26000</v>
      </c>
      <c r="P50" s="618">
        <f>IF(O50&lt;&gt;"",N50/O50,"")</f>
        <v>58028.337819553919</v>
      </c>
      <c r="Q50" s="786"/>
      <c r="R50" s="774" t="s">
        <v>224</v>
      </c>
      <c r="S50" s="770">
        <v>42431</v>
      </c>
      <c r="T50" s="797">
        <v>200</v>
      </c>
      <c r="U50" s="775">
        <v>21979.791919191921</v>
      </c>
      <c r="V50" s="767">
        <f t="shared" si="6"/>
        <v>4395958</v>
      </c>
      <c r="W50" s="776"/>
    </row>
    <row r="51" spans="1:23" s="787" customFormat="1">
      <c r="A51" s="765" t="str">
        <f>IF(B51&lt;&gt;"",#REF!+1,"")</f>
        <v/>
      </c>
      <c r="B51" s="826"/>
      <c r="C51" s="766"/>
      <c r="D51" s="618"/>
      <c r="E51" s="618"/>
      <c r="F51" s="618"/>
      <c r="G51" s="767"/>
      <c r="H51" s="618"/>
      <c r="I51" s="618"/>
      <c r="J51" s="618"/>
      <c r="K51" s="618"/>
      <c r="L51" s="618"/>
      <c r="M51" s="618"/>
      <c r="N51" s="767"/>
      <c r="O51" s="773"/>
      <c r="P51" s="618"/>
      <c r="Q51" s="786"/>
      <c r="R51" s="774" t="s">
        <v>353</v>
      </c>
      <c r="S51" s="770">
        <v>42431</v>
      </c>
      <c r="T51" s="797">
        <v>50</v>
      </c>
      <c r="U51" s="232">
        <v>3500</v>
      </c>
      <c r="V51" s="767">
        <f t="shared" si="6"/>
        <v>175000</v>
      </c>
      <c r="W51" s="776"/>
    </row>
    <row r="52" spans="1:23" s="742" customFormat="1">
      <c r="A52" s="788"/>
      <c r="B52" s="789" t="s">
        <v>546</v>
      </c>
      <c r="C52" s="790"/>
      <c r="D52" s="791">
        <f>SUM(D47:D51)</f>
        <v>167500</v>
      </c>
      <c r="E52" s="791">
        <f>SUM(E47:E51)</f>
        <v>8000</v>
      </c>
      <c r="F52" s="791"/>
      <c r="G52" s="791">
        <f>SUM(G47:G51)</f>
        <v>4240447391.6746988</v>
      </c>
      <c r="H52" s="792">
        <v>142179147</v>
      </c>
      <c r="I52" s="792">
        <f>V56</f>
        <v>48572718</v>
      </c>
      <c r="J52" s="792">
        <v>62120100</v>
      </c>
      <c r="K52" s="792">
        <v>57138842</v>
      </c>
      <c r="L52" s="791">
        <f>ROUND(SUM(L47:L51),0)</f>
        <v>26685570</v>
      </c>
      <c r="M52" s="791">
        <f>ROUND(SUM(M47:M51),0)</f>
        <v>0</v>
      </c>
      <c r="N52" s="791">
        <f>ROUND(SUM(N47:N51),0)</f>
        <v>4577143769</v>
      </c>
      <c r="O52" s="791">
        <f>ROUND(SUM(O47:O51),0)</f>
        <v>43500</v>
      </c>
      <c r="P52" s="791"/>
      <c r="Q52" s="747"/>
      <c r="R52" s="774" t="s">
        <v>356</v>
      </c>
      <c r="S52" s="770">
        <v>42434</v>
      </c>
      <c r="T52" s="797">
        <v>2160</v>
      </c>
      <c r="U52" s="232">
        <v>14900</v>
      </c>
      <c r="V52" s="767">
        <f t="shared" si="6"/>
        <v>32184000</v>
      </c>
      <c r="W52" s="776"/>
    </row>
    <row r="53" spans="1:23" s="742" customFormat="1">
      <c r="A53" s="793"/>
      <c r="B53" s="794"/>
      <c r="C53" s="751"/>
      <c r="D53" s="795"/>
      <c r="E53" s="795"/>
      <c r="F53" s="795"/>
      <c r="G53" s="795"/>
      <c r="H53" s="749"/>
      <c r="I53" s="749"/>
      <c r="J53" s="749"/>
      <c r="K53" s="749"/>
      <c r="L53" s="749"/>
      <c r="M53" s="795"/>
      <c r="N53" s="795"/>
      <c r="O53" s="795"/>
      <c r="P53" s="795"/>
      <c r="Q53" s="747"/>
      <c r="R53" s="774" t="s">
        <v>359</v>
      </c>
      <c r="S53" s="770">
        <v>42434</v>
      </c>
      <c r="T53" s="797">
        <v>250</v>
      </c>
      <c r="U53" s="232">
        <v>8500</v>
      </c>
      <c r="V53" s="767">
        <f t="shared" si="6"/>
        <v>2125000</v>
      </c>
      <c r="W53" s="776"/>
    </row>
    <row r="54" spans="1:23" s="742" customFormat="1">
      <c r="A54" s="793"/>
      <c r="B54" s="794"/>
      <c r="C54" s="751"/>
      <c r="D54" s="795"/>
      <c r="E54" s="795"/>
      <c r="F54" s="795"/>
      <c r="G54" s="795"/>
      <c r="H54" s="749"/>
      <c r="I54" s="749"/>
      <c r="J54" s="749"/>
      <c r="K54" s="749"/>
      <c r="L54" s="749"/>
      <c r="M54" s="795"/>
      <c r="N54" s="795"/>
      <c r="O54" s="795"/>
      <c r="P54" s="795"/>
      <c r="Q54" s="747"/>
      <c r="R54" s="774" t="s">
        <v>363</v>
      </c>
      <c r="S54" s="770">
        <v>42434</v>
      </c>
      <c r="T54" s="797">
        <v>150</v>
      </c>
      <c r="U54" s="797">
        <v>33000</v>
      </c>
      <c r="V54" s="767">
        <f t="shared" si="6"/>
        <v>4950000</v>
      </c>
      <c r="W54" s="776"/>
    </row>
    <row r="55" spans="1:23" s="742" customFormat="1">
      <c r="A55" s="793"/>
      <c r="B55" s="794"/>
      <c r="C55" s="751"/>
      <c r="D55" s="795"/>
      <c r="E55" s="795"/>
      <c r="F55" s="795"/>
      <c r="G55" s="795"/>
      <c r="H55" s="749"/>
      <c r="I55" s="749"/>
      <c r="J55" s="749"/>
      <c r="K55" s="749"/>
      <c r="L55" s="749"/>
      <c r="M55" s="795"/>
      <c r="N55" s="795"/>
      <c r="O55" s="795"/>
      <c r="P55" s="795"/>
      <c r="Q55" s="747"/>
      <c r="R55" s="828"/>
      <c r="S55" s="770"/>
      <c r="T55" s="829"/>
      <c r="U55" s="829"/>
      <c r="V55" s="829"/>
      <c r="W55" s="830"/>
    </row>
    <row r="56" spans="1:23" s="742" customFormat="1">
      <c r="A56" s="793"/>
      <c r="B56" s="794"/>
      <c r="C56" s="751"/>
      <c r="D56" s="795"/>
      <c r="E56" s="795"/>
      <c r="F56" s="795"/>
      <c r="G56" s="795"/>
      <c r="H56" s="795"/>
      <c r="I56" s="749"/>
      <c r="J56" s="795"/>
      <c r="K56" s="795"/>
      <c r="L56" s="795"/>
      <c r="M56" s="795"/>
      <c r="N56" s="795"/>
      <c r="O56" s="795"/>
      <c r="P56" s="795"/>
      <c r="Q56" s="747"/>
      <c r="R56" s="820"/>
      <c r="S56" s="821"/>
      <c r="T56" s="822"/>
      <c r="U56" s="800"/>
      <c r="V56" s="801">
        <f>SUM(V47:V55)</f>
        <v>48572718</v>
      </c>
      <c r="W56" s="801">
        <f>SUM(W47:W52)</f>
        <v>0</v>
      </c>
    </row>
    <row r="57" spans="1:23" s="742" customFormat="1">
      <c r="A57" s="793"/>
      <c r="B57" s="794"/>
      <c r="C57" s="751"/>
      <c r="D57" s="795"/>
      <c r="E57" s="795"/>
      <c r="F57" s="795"/>
      <c r="G57" s="795"/>
      <c r="H57" s="795"/>
      <c r="I57" s="749"/>
      <c r="J57" s="795"/>
      <c r="K57" s="795"/>
      <c r="L57" s="795"/>
      <c r="M57" s="795"/>
      <c r="N57" s="795"/>
      <c r="O57" s="795"/>
      <c r="P57" s="795"/>
      <c r="Q57" s="747"/>
      <c r="R57" s="823" t="s">
        <v>390</v>
      </c>
      <c r="S57" s="770">
        <v>42439</v>
      </c>
      <c r="T57" s="232">
        <v>922</v>
      </c>
      <c r="U57" s="232">
        <v>12000</v>
      </c>
      <c r="V57" s="767">
        <f t="shared" ref="V57:V62" si="10">ROUND(T57*U57,0)</f>
        <v>11064000</v>
      </c>
      <c r="W57" s="767"/>
    </row>
    <row r="58" spans="1:23" s="742" customFormat="1">
      <c r="A58" s="793"/>
      <c r="B58" s="794"/>
      <c r="C58" s="751"/>
      <c r="D58" s="795"/>
      <c r="E58" s="795"/>
      <c r="F58" s="795"/>
      <c r="G58" s="796"/>
      <c r="H58" s="795"/>
      <c r="I58" s="749"/>
      <c r="J58" s="795"/>
      <c r="K58" s="795"/>
      <c r="L58" s="795"/>
      <c r="M58" s="795"/>
      <c r="N58" s="831"/>
      <c r="O58" s="795"/>
      <c r="P58" s="795"/>
      <c r="Q58" s="747"/>
      <c r="R58" s="823" t="s">
        <v>392</v>
      </c>
      <c r="S58" s="770">
        <v>42439</v>
      </c>
      <c r="T58" s="775">
        <v>375</v>
      </c>
      <c r="U58" s="775">
        <v>9500</v>
      </c>
      <c r="V58" s="767">
        <f t="shared" si="10"/>
        <v>3562500</v>
      </c>
      <c r="W58" s="783"/>
    </row>
    <row r="59" spans="1:23" s="742" customFormat="1">
      <c r="A59" s="793"/>
      <c r="B59" s="794"/>
      <c r="C59" s="751"/>
      <c r="D59" s="795"/>
      <c r="E59" s="795"/>
      <c r="F59" s="795"/>
      <c r="G59" s="796"/>
      <c r="H59" s="795"/>
      <c r="I59" s="749"/>
      <c r="J59" s="795"/>
      <c r="K59" s="795"/>
      <c r="L59" s="795"/>
      <c r="M59" s="795"/>
      <c r="N59" s="831"/>
      <c r="O59" s="795"/>
      <c r="P59" s="795"/>
      <c r="Q59" s="747"/>
      <c r="R59" s="823" t="s">
        <v>384</v>
      </c>
      <c r="S59" s="770">
        <v>42459</v>
      </c>
      <c r="T59" s="232">
        <v>2700</v>
      </c>
      <c r="U59" s="232">
        <v>4466.322284402353</v>
      </c>
      <c r="V59" s="767">
        <f t="shared" si="10"/>
        <v>12059070</v>
      </c>
      <c r="W59" s="783"/>
    </row>
    <row r="60" spans="1:23" s="742" customFormat="1">
      <c r="A60" s="793"/>
      <c r="B60" s="794"/>
      <c r="C60" s="751"/>
      <c r="D60" s="795"/>
      <c r="E60" s="795"/>
      <c r="F60" s="795"/>
      <c r="G60" s="795"/>
      <c r="H60" s="795"/>
      <c r="I60" s="749"/>
      <c r="J60" s="795"/>
      <c r="K60" s="795"/>
      <c r="L60" s="795"/>
      <c r="M60" s="795"/>
      <c r="N60" s="795"/>
      <c r="O60" s="795"/>
      <c r="P60" s="795"/>
      <c r="Q60" s="747"/>
      <c r="R60" s="823"/>
      <c r="S60" s="770"/>
      <c r="T60" s="775"/>
      <c r="U60" s="775"/>
      <c r="V60" s="767">
        <f t="shared" si="10"/>
        <v>0</v>
      </c>
      <c r="W60" s="783"/>
    </row>
    <row r="61" spans="1:23">
      <c r="R61" s="823"/>
      <c r="S61" s="770"/>
      <c r="T61" s="775"/>
      <c r="U61" s="775"/>
      <c r="V61" s="767">
        <f t="shared" si="10"/>
        <v>0</v>
      </c>
      <c r="W61" s="783"/>
    </row>
    <row r="62" spans="1:23">
      <c r="R62" s="823"/>
      <c r="S62" s="770"/>
      <c r="T62" s="232"/>
      <c r="U62" s="232"/>
      <c r="V62" s="767">
        <f t="shared" si="10"/>
        <v>0</v>
      </c>
      <c r="W62" s="783"/>
    </row>
    <row r="63" spans="1:23" ht="18" customHeight="1">
      <c r="A63" s="742" t="s">
        <v>529</v>
      </c>
      <c r="B63" s="742"/>
      <c r="C63" s="743"/>
      <c r="D63" s="744"/>
      <c r="E63" s="744"/>
      <c r="F63" s="744"/>
      <c r="G63" s="741"/>
      <c r="H63" s="741"/>
      <c r="I63" s="741"/>
      <c r="J63" s="741"/>
      <c r="K63" s="741"/>
      <c r="L63" s="745"/>
      <c r="M63" s="741"/>
      <c r="N63" s="741"/>
      <c r="O63" s="746"/>
      <c r="P63" s="741"/>
      <c r="Q63" s="747"/>
      <c r="R63" s="741"/>
      <c r="S63" s="748"/>
    </row>
    <row r="64" spans="1:23" ht="18.75" customHeight="1">
      <c r="A64" s="749" t="s">
        <v>549</v>
      </c>
      <c r="B64" s="749"/>
      <c r="C64" s="749"/>
      <c r="D64" s="749"/>
      <c r="E64" s="749"/>
      <c r="F64" s="749"/>
      <c r="G64" s="749"/>
      <c r="H64" s="749"/>
      <c r="I64" s="749"/>
      <c r="J64" s="749"/>
      <c r="K64" s="749"/>
      <c r="L64" s="749"/>
      <c r="M64" s="749"/>
      <c r="N64" s="749"/>
      <c r="O64" s="749"/>
      <c r="P64" s="749"/>
      <c r="Q64" s="747"/>
      <c r="R64" s="741"/>
      <c r="S64" s="748"/>
    </row>
    <row r="65" spans="1:23" ht="18.75" customHeight="1">
      <c r="A65" s="750"/>
      <c r="B65" s="750"/>
      <c r="C65" s="751"/>
      <c r="D65" s="750"/>
      <c r="E65" s="750"/>
      <c r="F65" s="750"/>
      <c r="G65" s="750"/>
      <c r="H65" s="750"/>
      <c r="I65" s="750"/>
      <c r="J65" s="750"/>
      <c r="K65" s="750"/>
      <c r="L65" s="749"/>
      <c r="M65" s="750"/>
      <c r="N65" s="750"/>
      <c r="O65" s="752"/>
      <c r="P65" s="750"/>
      <c r="Q65" s="747"/>
      <c r="R65" s="741"/>
      <c r="S65" s="748"/>
    </row>
    <row r="66" spans="1:23" ht="12.75" customHeight="1">
      <c r="A66" s="753"/>
      <c r="B66" s="753"/>
      <c r="C66" s="754"/>
      <c r="D66" s="753"/>
      <c r="E66" s="753"/>
      <c r="F66" s="753"/>
      <c r="G66" s="753"/>
      <c r="H66" s="753"/>
      <c r="I66" s="753"/>
      <c r="J66" s="753"/>
      <c r="K66" s="753"/>
      <c r="L66" s="753"/>
      <c r="M66" s="753"/>
      <c r="N66" s="753"/>
      <c r="O66" s="755"/>
      <c r="P66" s="753"/>
      <c r="Q66" s="747"/>
      <c r="R66" s="741"/>
      <c r="S66" s="748"/>
    </row>
    <row r="67" spans="1:23" s="764" customFormat="1" ht="30.75" customHeight="1">
      <c r="A67" s="758" t="s">
        <v>37</v>
      </c>
      <c r="B67" s="758" t="s">
        <v>531</v>
      </c>
      <c r="C67" s="759" t="s">
        <v>532</v>
      </c>
      <c r="D67" s="760" t="s">
        <v>533</v>
      </c>
      <c r="E67" s="760" t="s">
        <v>534</v>
      </c>
      <c r="F67" s="760" t="s">
        <v>535</v>
      </c>
      <c r="G67" s="760" t="s">
        <v>536</v>
      </c>
      <c r="H67" s="760" t="s">
        <v>537</v>
      </c>
      <c r="I67" s="760" t="s">
        <v>538</v>
      </c>
      <c r="J67" s="760" t="s">
        <v>539</v>
      </c>
      <c r="K67" s="761" t="s">
        <v>540</v>
      </c>
      <c r="L67" s="760" t="s">
        <v>541</v>
      </c>
      <c r="M67" s="761" t="s">
        <v>542</v>
      </c>
      <c r="N67" s="760" t="s">
        <v>543</v>
      </c>
      <c r="O67" s="762" t="s">
        <v>534</v>
      </c>
      <c r="P67" s="760" t="s">
        <v>544</v>
      </c>
      <c r="Q67" s="763"/>
      <c r="R67" s="758" t="s">
        <v>531</v>
      </c>
      <c r="S67" s="760" t="s">
        <v>498</v>
      </c>
      <c r="T67" s="760" t="s">
        <v>337</v>
      </c>
      <c r="U67" s="760" t="s">
        <v>535</v>
      </c>
      <c r="V67" s="760" t="s">
        <v>545</v>
      </c>
      <c r="W67" s="758" t="s">
        <v>545</v>
      </c>
    </row>
    <row r="68" spans="1:23">
      <c r="A68" s="832">
        <f>IF(B68&lt;&gt;"",ROW()-(ROW()-1),"")</f>
        <v>1</v>
      </c>
      <c r="B68" s="826" t="s">
        <v>450</v>
      </c>
      <c r="C68" s="766"/>
      <c r="D68" s="618">
        <f>ROUND(C68*O68,0)</f>
        <v>0</v>
      </c>
      <c r="E68" s="618">
        <f>O49</f>
        <v>5000</v>
      </c>
      <c r="F68" s="618">
        <f>P49</f>
        <v>165154.04818547709</v>
      </c>
      <c r="G68" s="767">
        <f>(D68+E68)*F68</f>
        <v>825770240.92738545</v>
      </c>
      <c r="H68" s="618">
        <f>IF($D$72&lt;&gt;0,H$72/($D$72+$E$72/5)*($D68+$E68/5),0)</f>
        <v>4282730.7961783437</v>
      </c>
      <c r="I68" s="618">
        <f t="shared" ref="I68:K69" si="11">IF($D$72&lt;&gt;0,I$72/$D$72*$D68,0)</f>
        <v>0</v>
      </c>
      <c r="J68" s="618">
        <f t="shared" si="11"/>
        <v>0</v>
      </c>
      <c r="K68" s="618">
        <f t="shared" si="11"/>
        <v>0</v>
      </c>
      <c r="L68" s="618">
        <f>($V$77+$V$78)/$O$72*O68</f>
        <v>47784090.909090906</v>
      </c>
      <c r="M68" s="618"/>
      <c r="N68" s="767">
        <f>ROUND(SUM(G68:L68),0)</f>
        <v>877837063</v>
      </c>
      <c r="O68" s="773">
        <v>5000</v>
      </c>
      <c r="P68" s="618">
        <f>IF(O68&lt;&gt;"",N68/O68,"")</f>
        <v>175567.41260000001</v>
      </c>
      <c r="Q68" s="786"/>
      <c r="R68" s="769" t="s">
        <v>339</v>
      </c>
      <c r="S68" s="833">
        <v>42461</v>
      </c>
      <c r="T68" s="232">
        <v>20</v>
      </c>
      <c r="U68" s="771">
        <v>35444.444444444445</v>
      </c>
      <c r="V68" s="767">
        <f t="shared" ref="V68:V74" si="12">ROUND(T68*U68,0)</f>
        <v>708889</v>
      </c>
      <c r="W68" s="767"/>
    </row>
    <row r="69" spans="1:23">
      <c r="A69" s="834">
        <f>IF(B69&lt;&gt;"",A68+1,"")</f>
        <v>2</v>
      </c>
      <c r="B69" s="826" t="s">
        <v>1351</v>
      </c>
      <c r="C69" s="766">
        <v>8</v>
      </c>
      <c r="D69" s="618">
        <f>ROUND(C69*O69,0)</f>
        <v>30400</v>
      </c>
      <c r="E69" s="618"/>
      <c r="F69" s="618">
        <v>18000</v>
      </c>
      <c r="G69" s="767">
        <f>(D69+E69)*F69</f>
        <v>547200000</v>
      </c>
      <c r="H69" s="618">
        <f>IF($D$72&lt;&gt;0,H$72/($D$72+$E$72/5)*($D69+$E69/5),0)</f>
        <v>130195016.20382164</v>
      </c>
      <c r="I69" s="618">
        <f t="shared" si="11"/>
        <v>15435775</v>
      </c>
      <c r="J69" s="618">
        <f t="shared" si="11"/>
        <v>76559800</v>
      </c>
      <c r="K69" s="618">
        <f t="shared" si="11"/>
        <v>57138842</v>
      </c>
      <c r="L69" s="618">
        <f>($V$77+$V$78)/$O$72*O69</f>
        <v>36315909.090909094</v>
      </c>
      <c r="M69" s="618"/>
      <c r="N69" s="767">
        <f>ROUND(SUM(G69:L69),0)</f>
        <v>862845342</v>
      </c>
      <c r="O69" s="773">
        <v>3800</v>
      </c>
      <c r="P69" s="618">
        <f>IF(O69&lt;&gt;"",N69/O69,"")</f>
        <v>227064.56368421053</v>
      </c>
      <c r="Q69" s="786"/>
      <c r="R69" s="774" t="s">
        <v>345</v>
      </c>
      <c r="S69" s="833">
        <v>42461</v>
      </c>
      <c r="T69" s="232">
        <v>50</v>
      </c>
      <c r="U69" s="775">
        <v>46741.2</v>
      </c>
      <c r="V69" s="767">
        <f t="shared" si="12"/>
        <v>2337060</v>
      </c>
      <c r="W69" s="783"/>
    </row>
    <row r="70" spans="1:23">
      <c r="A70" s="834" t="str">
        <f>IF(B70&lt;&gt;"",A69+1,"")</f>
        <v/>
      </c>
      <c r="B70" s="777"/>
      <c r="C70" s="766"/>
      <c r="D70" s="618">
        <f>ROUND(C70*O70,0)</f>
        <v>0</v>
      </c>
      <c r="E70" s="618"/>
      <c r="F70" s="618"/>
      <c r="G70" s="767">
        <f>(D70+E70)*F70</f>
        <v>0</v>
      </c>
      <c r="H70" s="618">
        <f>IF($D$72&lt;&gt;0,H$72/($D$72+$E$72/5)*($D70+$E70/5),0)</f>
        <v>0</v>
      </c>
      <c r="I70" s="618">
        <f t="shared" ref="I70:K71" si="13">IF($D$72&lt;&gt;0,I$72/$D$72*$D70,0)</f>
        <v>0</v>
      </c>
      <c r="J70" s="618">
        <f t="shared" si="13"/>
        <v>0</v>
      </c>
      <c r="K70" s="618">
        <f t="shared" si="13"/>
        <v>0</v>
      </c>
      <c r="L70" s="618">
        <f>($V$77+$V$78)/$O$72*O70</f>
        <v>0</v>
      </c>
      <c r="M70" s="618"/>
      <c r="N70" s="767">
        <f>ROUND(SUM(G70:L70),0)</f>
        <v>0</v>
      </c>
      <c r="O70" s="773"/>
      <c r="P70" s="618" t="str">
        <f>IF(O70&lt;&gt;"",N70/O70,"")</f>
        <v/>
      </c>
      <c r="Q70" s="786"/>
      <c r="R70" s="774" t="s">
        <v>348</v>
      </c>
      <c r="S70" s="833">
        <v>42461</v>
      </c>
      <c r="T70" s="232">
        <v>250</v>
      </c>
      <c r="U70" s="775">
        <v>13571.429</v>
      </c>
      <c r="V70" s="767">
        <f t="shared" si="12"/>
        <v>3392857</v>
      </c>
      <c r="W70" s="783"/>
    </row>
    <row r="71" spans="1:23">
      <c r="A71" s="834" t="str">
        <f>IF(B71&lt;&gt;"",A70+1,"")</f>
        <v/>
      </c>
      <c r="B71" s="826"/>
      <c r="C71" s="766"/>
      <c r="D71" s="618">
        <f>ROUND(C71*O71,0)</f>
        <v>0</v>
      </c>
      <c r="E71" s="618"/>
      <c r="F71" s="618"/>
      <c r="G71" s="767">
        <f>(D71+E71)*F71</f>
        <v>0</v>
      </c>
      <c r="H71" s="618">
        <f>IF($D$72&lt;&gt;0,H$72/($D$72+$E$72/5)*($D71+$E71/5),0)</f>
        <v>0</v>
      </c>
      <c r="I71" s="618">
        <f t="shared" si="13"/>
        <v>0</v>
      </c>
      <c r="J71" s="618">
        <f t="shared" si="13"/>
        <v>0</v>
      </c>
      <c r="K71" s="618">
        <f t="shared" si="13"/>
        <v>0</v>
      </c>
      <c r="L71" s="618">
        <f>($V$77+$V$78)/$O$72*O71</f>
        <v>0</v>
      </c>
      <c r="M71" s="618"/>
      <c r="N71" s="767">
        <f>ROUND(SUM(G71:L71),0)</f>
        <v>0</v>
      </c>
      <c r="O71" s="773"/>
      <c r="P71" s="618" t="str">
        <f>IF(O71&lt;&gt;"",N71/O71,"")</f>
        <v/>
      </c>
      <c r="Q71" s="786"/>
      <c r="R71" s="774" t="s">
        <v>224</v>
      </c>
      <c r="S71" s="833">
        <v>42461</v>
      </c>
      <c r="T71" s="232">
        <v>150</v>
      </c>
      <c r="U71" s="775">
        <v>21979.791919191921</v>
      </c>
      <c r="V71" s="767">
        <f t="shared" si="12"/>
        <v>3296969</v>
      </c>
      <c r="W71" s="783"/>
    </row>
    <row r="72" spans="1:23" s="787" customFormat="1">
      <c r="A72" s="788"/>
      <c r="B72" s="789" t="s">
        <v>546</v>
      </c>
      <c r="C72" s="790"/>
      <c r="D72" s="791">
        <f>SUM(D68:D69)</f>
        <v>30400</v>
      </c>
      <c r="E72" s="791">
        <f>SUM(E68:E69)</f>
        <v>5000</v>
      </c>
      <c r="F72" s="791"/>
      <c r="G72" s="791">
        <f>SUM(G68:G69)</f>
        <v>1372970240.9273853</v>
      </c>
      <c r="H72" s="792">
        <v>134477747</v>
      </c>
      <c r="I72" s="792">
        <f>V76</f>
        <v>15435775</v>
      </c>
      <c r="J72" s="792">
        <v>76559800</v>
      </c>
      <c r="K72" s="792">
        <v>57138842</v>
      </c>
      <c r="L72" s="791">
        <f>ROUND(SUM(L68:L71),0)</f>
        <v>84100000</v>
      </c>
      <c r="M72" s="791">
        <f>ROUND(SUM(M68:M71),0)</f>
        <v>0</v>
      </c>
      <c r="N72" s="791">
        <f>ROUND(SUM(N68:N71),0)</f>
        <v>1740682405</v>
      </c>
      <c r="O72" s="791">
        <f>ROUND(SUM(O68:O71),0)</f>
        <v>8800</v>
      </c>
      <c r="P72" s="791"/>
      <c r="Q72" s="786"/>
      <c r="R72" s="774" t="s">
        <v>353</v>
      </c>
      <c r="S72" s="833">
        <v>42461</v>
      </c>
      <c r="T72" s="797">
        <v>1000</v>
      </c>
      <c r="U72" s="775">
        <v>3200</v>
      </c>
      <c r="V72" s="767">
        <f t="shared" si="12"/>
        <v>3200000</v>
      </c>
      <c r="W72" s="783"/>
    </row>
    <row r="73" spans="1:23">
      <c r="Q73" s="786"/>
      <c r="R73" s="774" t="s">
        <v>359</v>
      </c>
      <c r="S73" s="833">
        <v>42470</v>
      </c>
      <c r="T73" s="232">
        <v>100</v>
      </c>
      <c r="U73" s="775">
        <v>8500</v>
      </c>
      <c r="V73" s="767">
        <f t="shared" si="12"/>
        <v>850000</v>
      </c>
      <c r="W73" s="783"/>
    </row>
    <row r="74" spans="1:23">
      <c r="N74" s="1228"/>
      <c r="Q74" s="786"/>
      <c r="R74" s="774" t="s">
        <v>363</v>
      </c>
      <c r="S74" s="833">
        <v>42470</v>
      </c>
      <c r="T74" s="232">
        <v>50</v>
      </c>
      <c r="U74" s="775">
        <v>33000</v>
      </c>
      <c r="V74" s="767">
        <f t="shared" si="12"/>
        <v>1650000</v>
      </c>
      <c r="W74" s="783"/>
    </row>
    <row r="75" spans="1:23">
      <c r="N75" s="741"/>
      <c r="Q75" s="786"/>
      <c r="R75" s="837"/>
      <c r="S75" s="770"/>
      <c r="T75" s="232"/>
      <c r="U75" s="232"/>
      <c r="V75" s="783"/>
      <c r="W75" s="783"/>
    </row>
    <row r="76" spans="1:23">
      <c r="N76" s="741"/>
      <c r="R76" s="820"/>
      <c r="S76" s="821"/>
      <c r="T76" s="822"/>
      <c r="U76" s="838"/>
      <c r="V76" s="801">
        <f>SUM(V68:V75)</f>
        <v>15435775</v>
      </c>
      <c r="W76" s="801">
        <f>SUM(W68:W75)</f>
        <v>0</v>
      </c>
    </row>
    <row r="77" spans="1:23">
      <c r="N77" s="741"/>
      <c r="R77" s="797" t="s">
        <v>401</v>
      </c>
      <c r="S77" s="833">
        <v>42470</v>
      </c>
      <c r="T77" s="232">
        <v>1250</v>
      </c>
      <c r="U77" s="232">
        <v>18000</v>
      </c>
      <c r="V77" s="767">
        <f>ROUND(T77*U77,0)</f>
        <v>22500000</v>
      </c>
      <c r="W77" s="767"/>
    </row>
    <row r="78" spans="1:23">
      <c r="N78" s="741"/>
      <c r="R78" s="797" t="s">
        <v>650</v>
      </c>
      <c r="S78" s="833">
        <v>42470</v>
      </c>
      <c r="T78" s="232">
        <v>4400</v>
      </c>
      <c r="U78" s="232">
        <v>14000</v>
      </c>
      <c r="V78" s="767">
        <f>ROUND(T78*U78,0)</f>
        <v>61600000</v>
      </c>
      <c r="W78" s="783"/>
    </row>
    <row r="79" spans="1:23">
      <c r="R79" s="797"/>
      <c r="S79" s="770"/>
      <c r="T79" s="775"/>
      <c r="U79" s="775"/>
      <c r="V79" s="767">
        <f>ROUND(T79*U79,0)</f>
        <v>0</v>
      </c>
      <c r="W79" s="783"/>
    </row>
    <row r="80" spans="1:23">
      <c r="R80" s="797"/>
      <c r="S80" s="770"/>
      <c r="T80" s="775"/>
      <c r="U80" s="775"/>
      <c r="V80" s="767">
        <f>ROUND(T80*U80,0)</f>
        <v>0</v>
      </c>
      <c r="W80" s="783"/>
    </row>
    <row r="81" spans="1:23" ht="18" customHeight="1">
      <c r="A81" s="742" t="s">
        <v>529</v>
      </c>
      <c r="B81" s="742"/>
      <c r="C81" s="743"/>
      <c r="D81" s="744"/>
      <c r="E81" s="744"/>
      <c r="F81" s="744"/>
      <c r="G81" s="741"/>
      <c r="H81" s="741"/>
      <c r="I81" s="741"/>
      <c r="J81" s="741"/>
      <c r="K81" s="741"/>
      <c r="L81" s="745"/>
      <c r="M81" s="741"/>
      <c r="N81" s="741"/>
      <c r="O81" s="746"/>
      <c r="P81" s="741"/>
      <c r="Q81" s="747"/>
      <c r="R81" s="741"/>
      <c r="S81" s="748"/>
    </row>
    <row r="82" spans="1:23" ht="18.75" customHeight="1">
      <c r="A82" s="749" t="s">
        <v>550</v>
      </c>
      <c r="B82" s="749"/>
      <c r="C82" s="749"/>
      <c r="D82" s="749"/>
      <c r="E82" s="749"/>
      <c r="F82" s="749"/>
      <c r="G82" s="749"/>
      <c r="H82" s="749"/>
      <c r="I82" s="749"/>
      <c r="J82" s="749"/>
      <c r="K82" s="749"/>
      <c r="L82" s="749"/>
      <c r="M82" s="749"/>
      <c r="N82" s="749"/>
      <c r="O82" s="749"/>
      <c r="P82" s="749"/>
      <c r="Q82" s="747"/>
      <c r="R82" s="741"/>
      <c r="S82" s="748"/>
    </row>
    <row r="83" spans="1:23" ht="18.75" customHeight="1">
      <c r="A83" s="750"/>
      <c r="B83" s="750"/>
      <c r="C83" s="751"/>
      <c r="D83" s="750"/>
      <c r="E83" s="750"/>
      <c r="F83" s="750"/>
      <c r="G83" s="750"/>
      <c r="H83" s="750"/>
      <c r="I83" s="750"/>
      <c r="J83" s="750"/>
      <c r="K83" s="750"/>
      <c r="L83" s="749"/>
      <c r="M83" s="750"/>
      <c r="N83" s="750"/>
      <c r="O83" s="752"/>
      <c r="P83" s="750"/>
      <c r="Q83" s="747"/>
      <c r="R83" s="741"/>
      <c r="S83" s="748"/>
    </row>
    <row r="84" spans="1:23" ht="12.75" customHeight="1">
      <c r="A84" s="753"/>
      <c r="B84" s="753"/>
      <c r="C84" s="754"/>
      <c r="D84" s="753"/>
      <c r="E84" s="753"/>
      <c r="F84" s="753"/>
      <c r="G84" s="753"/>
      <c r="H84" s="753"/>
      <c r="I84" s="753"/>
      <c r="J84" s="753"/>
      <c r="K84" s="753"/>
      <c r="L84" s="753"/>
      <c r="M84" s="753"/>
      <c r="N84" s="753"/>
      <c r="O84" s="755"/>
      <c r="P84" s="753"/>
      <c r="Q84" s="747"/>
      <c r="R84" s="741"/>
      <c r="S84" s="748"/>
    </row>
    <row r="85" spans="1:23" s="764" customFormat="1" ht="30.75" customHeight="1">
      <c r="A85" s="758" t="s">
        <v>37</v>
      </c>
      <c r="B85" s="758" t="s">
        <v>531</v>
      </c>
      <c r="C85" s="759" t="s">
        <v>532</v>
      </c>
      <c r="D85" s="760" t="s">
        <v>533</v>
      </c>
      <c r="E85" s="760" t="s">
        <v>534</v>
      </c>
      <c r="F85" s="760" t="s">
        <v>535</v>
      </c>
      <c r="G85" s="760" t="s">
        <v>536</v>
      </c>
      <c r="H85" s="760" t="s">
        <v>537</v>
      </c>
      <c r="I85" s="760" t="s">
        <v>538</v>
      </c>
      <c r="J85" s="760" t="s">
        <v>539</v>
      </c>
      <c r="K85" s="761" t="s">
        <v>540</v>
      </c>
      <c r="L85" s="760" t="s">
        <v>541</v>
      </c>
      <c r="M85" s="761" t="s">
        <v>542</v>
      </c>
      <c r="N85" s="760" t="s">
        <v>543</v>
      </c>
      <c r="O85" s="762" t="s">
        <v>534</v>
      </c>
      <c r="P85" s="760" t="s">
        <v>544</v>
      </c>
      <c r="Q85" s="763"/>
      <c r="R85" s="758" t="s">
        <v>531</v>
      </c>
      <c r="S85" s="760" t="s">
        <v>498</v>
      </c>
      <c r="T85" s="760" t="s">
        <v>337</v>
      </c>
      <c r="U85" s="760" t="s">
        <v>535</v>
      </c>
      <c r="V85" s="760" t="s">
        <v>545</v>
      </c>
      <c r="W85" s="758" t="s">
        <v>545</v>
      </c>
    </row>
    <row r="86" spans="1:23">
      <c r="A86" s="765">
        <f>IF(B86&lt;&gt;"",ROW()-(ROW()-1),"")</f>
        <v>1</v>
      </c>
      <c r="B86" s="509" t="s">
        <v>448</v>
      </c>
      <c r="C86" s="766">
        <v>13</v>
      </c>
      <c r="D86" s="618">
        <f t="shared" ref="D86:D91" si="14">ROUND(C86*O86,0)</f>
        <v>53820</v>
      </c>
      <c r="E86" s="618"/>
      <c r="F86" s="618">
        <v>15500</v>
      </c>
      <c r="G86" s="767">
        <f t="shared" ref="G86:G91" si="15">(D86+E86)*F86</f>
        <v>834210000</v>
      </c>
      <c r="H86" s="618">
        <f t="shared" ref="H86:H91" si="16">IF($D$93&lt;&gt;0,H$93/($D$93+$E$93/5)*($D86+$E86/5),0)</f>
        <v>69076661.833518311</v>
      </c>
      <c r="I86" s="618">
        <f t="shared" ref="I86:K91" si="17">IF($D$93&lt;&gt;0,I$93/$D$93*$D86,0)</f>
        <v>23766135.462819088</v>
      </c>
      <c r="J86" s="618">
        <f t="shared" si="17"/>
        <v>51817803.412874579</v>
      </c>
      <c r="K86" s="618">
        <f t="shared" si="17"/>
        <v>28442586.722530525</v>
      </c>
      <c r="L86" s="767">
        <f>V101+V102</f>
        <v>5449500</v>
      </c>
      <c r="M86" s="618"/>
      <c r="N86" s="767">
        <f t="shared" ref="N86:N91" si="18">ROUND(SUM(G86:L86),0)</f>
        <v>1012762687</v>
      </c>
      <c r="O86" s="618">
        <v>4140</v>
      </c>
      <c r="P86" s="618">
        <f t="shared" ref="P86:P91" si="19">IF(N86&lt;&gt;0,N86/O86,0)</f>
        <v>244628.66835748791</v>
      </c>
      <c r="Q86" s="786"/>
      <c r="R86" s="504" t="s">
        <v>339</v>
      </c>
      <c r="S86" s="833">
        <v>42492</v>
      </c>
      <c r="T86" s="232">
        <v>25</v>
      </c>
      <c r="U86" s="771">
        <v>35444.444444444445</v>
      </c>
      <c r="V86" s="767">
        <f t="shared" ref="V86:V93" si="20">ROUND(T86*U86,0)</f>
        <v>886111</v>
      </c>
      <c r="W86" s="783"/>
    </row>
    <row r="87" spans="1:23">
      <c r="A87" s="765">
        <f>IF(B87&lt;&gt;"",A86+1,"")</f>
        <v>2</v>
      </c>
      <c r="B87" s="504" t="s">
        <v>1515</v>
      </c>
      <c r="C87" s="766">
        <v>5</v>
      </c>
      <c r="D87" s="618">
        <f t="shared" si="14"/>
        <v>4400</v>
      </c>
      <c r="E87" s="618"/>
      <c r="F87" s="618">
        <v>29500</v>
      </c>
      <c r="G87" s="767">
        <f t="shared" si="15"/>
        <v>129800000</v>
      </c>
      <c r="H87" s="618">
        <f t="shared" si="16"/>
        <v>5647293.0521642612</v>
      </c>
      <c r="I87" s="618">
        <f t="shared" si="17"/>
        <v>1942976.5149833518</v>
      </c>
      <c r="J87" s="618">
        <f t="shared" si="17"/>
        <v>4236312.4306326304</v>
      </c>
      <c r="K87" s="618">
        <f t="shared" si="17"/>
        <v>2325295.0869404366</v>
      </c>
      <c r="L87" s="618">
        <f>V100</f>
        <v>1300000</v>
      </c>
      <c r="M87" s="618"/>
      <c r="N87" s="767">
        <f t="shared" si="18"/>
        <v>145251877</v>
      </c>
      <c r="O87" s="773">
        <v>880</v>
      </c>
      <c r="P87" s="618">
        <f t="shared" si="19"/>
        <v>165058.95113636364</v>
      </c>
      <c r="Q87" s="786"/>
      <c r="R87" s="509" t="s">
        <v>345</v>
      </c>
      <c r="S87" s="833">
        <v>42492</v>
      </c>
      <c r="T87" s="232">
        <v>60</v>
      </c>
      <c r="U87" s="775">
        <v>46741.2</v>
      </c>
      <c r="V87" s="767">
        <f t="shared" si="20"/>
        <v>2804472</v>
      </c>
      <c r="W87" s="783"/>
    </row>
    <row r="88" spans="1:23">
      <c r="A88" s="765">
        <f>IF(B88&lt;&gt;"",A87+1,"")</f>
        <v>3</v>
      </c>
      <c r="B88" s="504" t="s">
        <v>1516</v>
      </c>
      <c r="C88" s="766">
        <v>5</v>
      </c>
      <c r="D88" s="618">
        <f t="shared" si="14"/>
        <v>3000</v>
      </c>
      <c r="E88" s="618"/>
      <c r="F88" s="618">
        <v>28700</v>
      </c>
      <c r="G88" s="767">
        <f t="shared" si="15"/>
        <v>86100000</v>
      </c>
      <c r="H88" s="618">
        <f t="shared" si="16"/>
        <v>3850427.0810210872</v>
      </c>
      <c r="I88" s="618">
        <f t="shared" si="17"/>
        <v>1324756.7147613761</v>
      </c>
      <c r="J88" s="618">
        <f t="shared" si="17"/>
        <v>2888394.8390677026</v>
      </c>
      <c r="K88" s="618">
        <f t="shared" si="17"/>
        <v>1585428.4683684795</v>
      </c>
      <c r="L88" s="618">
        <f>V99</f>
        <v>806000</v>
      </c>
      <c r="M88" s="618"/>
      <c r="N88" s="767">
        <f t="shared" si="18"/>
        <v>96555007</v>
      </c>
      <c r="O88" s="773">
        <v>600</v>
      </c>
      <c r="P88" s="618">
        <f t="shared" si="19"/>
        <v>160925.01166666666</v>
      </c>
      <c r="Q88" s="786"/>
      <c r="R88" s="509" t="s">
        <v>348</v>
      </c>
      <c r="S88" s="833">
        <v>42492</v>
      </c>
      <c r="T88" s="232">
        <v>270</v>
      </c>
      <c r="U88" s="775">
        <v>13571.429</v>
      </c>
      <c r="V88" s="767">
        <f t="shared" si="20"/>
        <v>3664286</v>
      </c>
      <c r="W88" s="783"/>
    </row>
    <row r="89" spans="1:23">
      <c r="A89" s="765">
        <f>IF(B89&lt;&gt;"",A88+1,"")</f>
        <v>4</v>
      </c>
      <c r="B89" s="504" t="s">
        <v>1517</v>
      </c>
      <c r="C89" s="766">
        <v>8.5</v>
      </c>
      <c r="D89" s="618">
        <f t="shared" si="14"/>
        <v>8500</v>
      </c>
      <c r="E89" s="618"/>
      <c r="F89" s="618">
        <v>18500</v>
      </c>
      <c r="G89" s="767">
        <f t="shared" si="15"/>
        <v>157250000</v>
      </c>
      <c r="H89" s="618">
        <f t="shared" si="16"/>
        <v>10909543.396226414</v>
      </c>
      <c r="I89" s="618">
        <f t="shared" si="17"/>
        <v>3753477.3584905658</v>
      </c>
      <c r="J89" s="618">
        <f t="shared" si="17"/>
        <v>8183785.3773584906</v>
      </c>
      <c r="K89" s="618">
        <f t="shared" si="17"/>
        <v>4492047.3270440251</v>
      </c>
      <c r="L89" s="618">
        <f>V98</f>
        <v>1680000</v>
      </c>
      <c r="M89" s="618"/>
      <c r="N89" s="767">
        <f t="shared" si="18"/>
        <v>186268853</v>
      </c>
      <c r="O89" s="773">
        <v>1000</v>
      </c>
      <c r="P89" s="618">
        <f t="shared" si="19"/>
        <v>186268.853</v>
      </c>
      <c r="Q89" s="786"/>
      <c r="R89" s="509" t="s">
        <v>224</v>
      </c>
      <c r="S89" s="833">
        <v>42492</v>
      </c>
      <c r="T89" s="232">
        <v>450</v>
      </c>
      <c r="U89" s="775">
        <v>18414.14</v>
      </c>
      <c r="V89" s="767">
        <f t="shared" si="20"/>
        <v>8286363</v>
      </c>
      <c r="W89" s="783"/>
    </row>
    <row r="90" spans="1:23">
      <c r="A90" s="765">
        <f>IF(B90&lt;&gt;"",A89+1,"")</f>
        <v>5</v>
      </c>
      <c r="B90" s="504" t="s">
        <v>450</v>
      </c>
      <c r="C90" s="766">
        <v>8</v>
      </c>
      <c r="D90" s="618">
        <f t="shared" si="14"/>
        <v>38400</v>
      </c>
      <c r="E90" s="618"/>
      <c r="F90" s="618">
        <v>18500</v>
      </c>
      <c r="G90" s="767">
        <f t="shared" si="15"/>
        <v>710400000</v>
      </c>
      <c r="H90" s="618">
        <f t="shared" si="16"/>
        <v>49285466.637069918</v>
      </c>
      <c r="I90" s="618">
        <f t="shared" si="17"/>
        <v>16956885.948945615</v>
      </c>
      <c r="J90" s="618">
        <f t="shared" si="17"/>
        <v>36971453.940066591</v>
      </c>
      <c r="K90" s="618">
        <f t="shared" si="17"/>
        <v>20293484.395116538</v>
      </c>
      <c r="L90" s="618">
        <f>V96+V97</f>
        <v>41204000</v>
      </c>
      <c r="M90" s="618"/>
      <c r="N90" s="767">
        <f t="shared" si="18"/>
        <v>875111291</v>
      </c>
      <c r="O90" s="773">
        <v>4800</v>
      </c>
      <c r="P90" s="618">
        <f t="shared" si="19"/>
        <v>182314.85229166667</v>
      </c>
      <c r="Q90" s="786"/>
      <c r="R90" s="509" t="s">
        <v>353</v>
      </c>
      <c r="S90" s="833">
        <v>42492</v>
      </c>
      <c r="T90" s="232">
        <v>1000</v>
      </c>
      <c r="U90" s="775">
        <v>3200</v>
      </c>
      <c r="V90" s="767">
        <f t="shared" si="20"/>
        <v>3200000</v>
      </c>
      <c r="W90" s="783"/>
    </row>
    <row r="91" spans="1:23">
      <c r="A91" s="765" t="str">
        <f>IF(B91&lt;&gt;"",A90+1,"")</f>
        <v/>
      </c>
      <c r="B91" s="504"/>
      <c r="C91" s="766">
        <f>IF(ISNA(VLOOKUP(B91,NXT!$Q$72:$S$92,2,0)),0,VLOOKUP(B91,NXT!$Q$72:$S$92,2,0))</f>
        <v>0</v>
      </c>
      <c r="D91" s="618">
        <f t="shared" si="14"/>
        <v>0</v>
      </c>
      <c r="E91" s="618"/>
      <c r="F91" s="618"/>
      <c r="G91" s="767">
        <f t="shared" si="15"/>
        <v>0</v>
      </c>
      <c r="H91" s="618">
        <f t="shared" si="16"/>
        <v>0</v>
      </c>
      <c r="I91" s="618">
        <f t="shared" si="17"/>
        <v>0</v>
      </c>
      <c r="J91" s="618">
        <f t="shared" si="17"/>
        <v>0</v>
      </c>
      <c r="K91" s="618">
        <f t="shared" si="17"/>
        <v>0</v>
      </c>
      <c r="L91" s="618"/>
      <c r="M91" s="618"/>
      <c r="N91" s="767">
        <f t="shared" si="18"/>
        <v>0</v>
      </c>
      <c r="O91" s="773"/>
      <c r="P91" s="618">
        <f t="shared" si="19"/>
        <v>0</v>
      </c>
      <c r="Q91" s="786"/>
      <c r="R91" s="512" t="s">
        <v>356</v>
      </c>
      <c r="S91" s="833">
        <v>42492</v>
      </c>
      <c r="T91" s="232">
        <v>1620</v>
      </c>
      <c r="U91" s="775">
        <v>14900</v>
      </c>
      <c r="V91" s="767">
        <f t="shared" si="20"/>
        <v>24138000</v>
      </c>
      <c r="W91" s="783"/>
    </row>
    <row r="92" spans="1:23" s="787" customFormat="1">
      <c r="A92" s="765" t="str">
        <f>IF(B92&lt;&gt;"",#REF!+1,"")</f>
        <v/>
      </c>
      <c r="B92" s="778"/>
      <c r="C92" s="779"/>
      <c r="D92" s="781"/>
      <c r="E92" s="781"/>
      <c r="F92" s="781"/>
      <c r="G92" s="782"/>
      <c r="H92" s="827"/>
      <c r="I92" s="781"/>
      <c r="J92" s="783"/>
      <c r="K92" s="781"/>
      <c r="L92" s="784"/>
      <c r="M92" s="781"/>
      <c r="N92" s="815"/>
      <c r="O92" s="785"/>
      <c r="P92" s="781"/>
      <c r="Q92" s="786"/>
      <c r="R92" s="512" t="s">
        <v>359</v>
      </c>
      <c r="S92" s="833">
        <v>42493</v>
      </c>
      <c r="T92" s="797">
        <v>250</v>
      </c>
      <c r="U92" s="775">
        <v>8500</v>
      </c>
      <c r="V92" s="767">
        <f t="shared" si="20"/>
        <v>2125000</v>
      </c>
      <c r="W92" s="783"/>
    </row>
    <row r="93" spans="1:23" s="742" customFormat="1">
      <c r="A93" s="788"/>
      <c r="B93" s="789" t="s">
        <v>546</v>
      </c>
      <c r="C93" s="790"/>
      <c r="D93" s="791">
        <f>SUM(D86:D92)</f>
        <v>108120</v>
      </c>
      <c r="E93" s="791">
        <f>SUM(E86:E92)</f>
        <v>0</v>
      </c>
      <c r="F93" s="791"/>
      <c r="G93" s="791">
        <f>SUM(G86:G92)</f>
        <v>1917760000</v>
      </c>
      <c r="H93" s="792">
        <v>138769392</v>
      </c>
      <c r="I93" s="792">
        <f>V95</f>
        <v>47744232</v>
      </c>
      <c r="J93" s="792">
        <v>104097750</v>
      </c>
      <c r="K93" s="792">
        <v>57138842</v>
      </c>
      <c r="L93" s="791">
        <f>ROUND(SUM(L86:L92),0)</f>
        <v>50439500</v>
      </c>
      <c r="M93" s="791"/>
      <c r="N93" s="791">
        <f>ROUND(SUM(N86:N92),0)</f>
        <v>2315949715</v>
      </c>
      <c r="O93" s="791">
        <f>ROUND(SUM(O86:O92),0)</f>
        <v>11420</v>
      </c>
      <c r="P93" s="791"/>
      <c r="Q93" s="786"/>
      <c r="R93" s="512" t="s">
        <v>363</v>
      </c>
      <c r="S93" s="833">
        <v>42493</v>
      </c>
      <c r="T93" s="797">
        <v>80</v>
      </c>
      <c r="U93" s="775">
        <v>33000</v>
      </c>
      <c r="V93" s="767">
        <f t="shared" si="20"/>
        <v>2640000</v>
      </c>
      <c r="W93" s="783"/>
    </row>
    <row r="94" spans="1:23">
      <c r="Q94" s="786"/>
      <c r="R94" s="837"/>
      <c r="S94" s="770"/>
      <c r="T94" s="232"/>
      <c r="U94" s="232"/>
      <c r="V94" s="783"/>
      <c r="W94" s="783"/>
    </row>
    <row r="95" spans="1:23">
      <c r="M95" s="1179"/>
      <c r="N95" s="1228"/>
      <c r="Q95" s="786"/>
      <c r="R95" s="820"/>
      <c r="S95" s="821"/>
      <c r="T95" s="822"/>
      <c r="U95" s="838"/>
      <c r="V95" s="791">
        <f>SUM(V86:V94)</f>
        <v>47744232</v>
      </c>
      <c r="W95" s="801">
        <f>SUM(W86:W94)</f>
        <v>0</v>
      </c>
    </row>
    <row r="96" spans="1:23">
      <c r="M96" s="1179"/>
      <c r="N96" s="741"/>
      <c r="R96" s="797" t="s">
        <v>401</v>
      </c>
      <c r="S96" s="833">
        <v>42500</v>
      </c>
      <c r="T96" s="232">
        <v>578</v>
      </c>
      <c r="U96" s="232">
        <v>18000</v>
      </c>
      <c r="V96" s="767">
        <f t="shared" ref="V96:V105" si="21">ROUND(T96*U96,0)</f>
        <v>10404000</v>
      </c>
      <c r="W96" s="767"/>
    </row>
    <row r="97" spans="1:23">
      <c r="M97" s="1179"/>
      <c r="N97" s="741"/>
      <c r="R97" s="797" t="s">
        <v>650</v>
      </c>
      <c r="S97" s="833">
        <v>42500</v>
      </c>
      <c r="T97" s="232">
        <v>2200</v>
      </c>
      <c r="U97" s="232">
        <v>14000</v>
      </c>
      <c r="V97" s="767">
        <f t="shared" si="21"/>
        <v>30800000</v>
      </c>
      <c r="W97" s="783"/>
    </row>
    <row r="98" spans="1:23">
      <c r="M98" s="1179"/>
      <c r="N98" s="741"/>
      <c r="R98" s="774" t="s">
        <v>387</v>
      </c>
      <c r="S98" s="833">
        <v>42495</v>
      </c>
      <c r="T98" s="775">
        <v>100</v>
      </c>
      <c r="U98" s="775">
        <v>16800</v>
      </c>
      <c r="V98" s="767">
        <f t="shared" si="21"/>
        <v>1680000</v>
      </c>
      <c r="W98" s="783"/>
    </row>
    <row r="99" spans="1:23">
      <c r="M99" s="1179"/>
      <c r="N99" s="741"/>
      <c r="R99" s="318" t="s">
        <v>1507</v>
      </c>
      <c r="S99" s="833">
        <v>42495</v>
      </c>
      <c r="T99" s="775">
        <v>62</v>
      </c>
      <c r="U99" s="775">
        <v>13000</v>
      </c>
      <c r="V99" s="767">
        <f t="shared" si="21"/>
        <v>806000</v>
      </c>
      <c r="W99" s="783"/>
    </row>
    <row r="100" spans="1:23">
      <c r="R100" s="318" t="s">
        <v>1506</v>
      </c>
      <c r="S100" s="833">
        <v>42495</v>
      </c>
      <c r="T100" s="775">
        <v>100</v>
      </c>
      <c r="U100" s="775">
        <v>13000</v>
      </c>
      <c r="V100" s="767">
        <f t="shared" si="21"/>
        <v>1300000</v>
      </c>
      <c r="W100" s="783"/>
    </row>
    <row r="101" spans="1:23">
      <c r="R101" s="516" t="s">
        <v>390</v>
      </c>
      <c r="S101" s="833">
        <v>42495</v>
      </c>
      <c r="T101" s="775">
        <v>321</v>
      </c>
      <c r="U101" s="775">
        <v>13500</v>
      </c>
      <c r="V101" s="767">
        <f t="shared" si="21"/>
        <v>4333500</v>
      </c>
      <c r="W101" s="783"/>
    </row>
    <row r="102" spans="1:23">
      <c r="R102" s="823" t="s">
        <v>390</v>
      </c>
      <c r="S102" s="833">
        <v>42495</v>
      </c>
      <c r="T102" s="775">
        <v>93</v>
      </c>
      <c r="U102" s="775">
        <v>12000</v>
      </c>
      <c r="V102" s="767">
        <f t="shared" si="21"/>
        <v>1116000</v>
      </c>
      <c r="W102" s="783"/>
    </row>
    <row r="103" spans="1:23">
      <c r="R103" s="823"/>
      <c r="S103" s="833"/>
      <c r="T103" s="775"/>
      <c r="U103" s="775"/>
      <c r="V103" s="767">
        <f t="shared" si="21"/>
        <v>0</v>
      </c>
      <c r="W103" s="783"/>
    </row>
    <row r="104" spans="1:23">
      <c r="R104" s="823"/>
      <c r="S104" s="833"/>
      <c r="T104" s="775"/>
      <c r="U104" s="775"/>
      <c r="V104" s="767">
        <f t="shared" si="21"/>
        <v>0</v>
      </c>
      <c r="W104" s="783"/>
    </row>
    <row r="105" spans="1:23">
      <c r="R105" s="823"/>
      <c r="S105" s="833"/>
      <c r="T105" s="775"/>
      <c r="U105" s="775"/>
      <c r="V105" s="767">
        <f t="shared" si="21"/>
        <v>0</v>
      </c>
      <c r="W105" s="783"/>
    </row>
    <row r="106" spans="1:23" ht="18" customHeight="1">
      <c r="A106" s="742" t="s">
        <v>529</v>
      </c>
      <c r="B106" s="742"/>
      <c r="C106" s="743"/>
      <c r="D106" s="744"/>
      <c r="E106" s="744"/>
      <c r="F106" s="744"/>
      <c r="G106" s="741"/>
      <c r="H106" s="741"/>
      <c r="I106" s="741"/>
      <c r="J106" s="741"/>
      <c r="K106" s="741"/>
      <c r="L106" s="745"/>
      <c r="M106" s="741"/>
      <c r="N106" s="741"/>
      <c r="O106" s="746"/>
      <c r="P106" s="741"/>
      <c r="Q106" s="747"/>
      <c r="R106" s="741"/>
      <c r="S106" s="748"/>
    </row>
    <row r="107" spans="1:23" ht="18.75" customHeight="1">
      <c r="A107" s="749" t="s">
        <v>551</v>
      </c>
      <c r="B107" s="749"/>
      <c r="C107" s="749"/>
      <c r="D107" s="749"/>
      <c r="E107" s="749"/>
      <c r="F107" s="749"/>
      <c r="G107" s="749"/>
      <c r="H107" s="749"/>
      <c r="I107" s="749"/>
      <c r="J107" s="749"/>
      <c r="K107" s="749"/>
      <c r="L107" s="749"/>
      <c r="M107" s="749"/>
      <c r="N107" s="749"/>
      <c r="O107" s="749"/>
      <c r="P107" s="749"/>
      <c r="Q107" s="747"/>
      <c r="R107" s="741"/>
      <c r="S107" s="748"/>
    </row>
    <row r="108" spans="1:23" ht="18.75" customHeight="1">
      <c r="A108" s="750"/>
      <c r="B108" s="750"/>
      <c r="C108" s="751"/>
      <c r="D108" s="750"/>
      <c r="E108" s="750"/>
      <c r="F108" s="750"/>
      <c r="G108" s="750"/>
      <c r="H108" s="750"/>
      <c r="I108" s="750"/>
      <c r="J108" s="750"/>
      <c r="K108" s="750"/>
      <c r="L108" s="749"/>
      <c r="M108" s="750"/>
      <c r="N108" s="750"/>
      <c r="O108" s="752"/>
      <c r="P108" s="750"/>
      <c r="Q108" s="747"/>
      <c r="R108" s="741"/>
      <c r="S108" s="748"/>
    </row>
    <row r="109" spans="1:23" ht="12.75" customHeight="1">
      <c r="A109" s="753"/>
      <c r="B109" s="753"/>
      <c r="C109" s="754"/>
      <c r="D109" s="753"/>
      <c r="E109" s="753"/>
      <c r="F109" s="753"/>
      <c r="G109" s="753"/>
      <c r="H109" s="753"/>
      <c r="I109" s="753"/>
      <c r="J109" s="753"/>
      <c r="K109" s="753"/>
      <c r="L109" s="753"/>
      <c r="M109" s="753"/>
      <c r="N109" s="753"/>
      <c r="O109" s="755"/>
      <c r="P109" s="753"/>
      <c r="Q109" s="747"/>
      <c r="R109" s="741"/>
      <c r="S109" s="748"/>
    </row>
    <row r="110" spans="1:23" s="764" customFormat="1" ht="30.75" customHeight="1">
      <c r="A110" s="758" t="s">
        <v>37</v>
      </c>
      <c r="B110" s="758" t="s">
        <v>531</v>
      </c>
      <c r="C110" s="759" t="s">
        <v>532</v>
      </c>
      <c r="D110" s="760" t="s">
        <v>533</v>
      </c>
      <c r="E110" s="760" t="s">
        <v>534</v>
      </c>
      <c r="F110" s="760" t="s">
        <v>535</v>
      </c>
      <c r="G110" s="760" t="s">
        <v>536</v>
      </c>
      <c r="H110" s="760" t="s">
        <v>537</v>
      </c>
      <c r="I110" s="760" t="s">
        <v>538</v>
      </c>
      <c r="J110" s="760" t="s">
        <v>539</v>
      </c>
      <c r="K110" s="761" t="s">
        <v>540</v>
      </c>
      <c r="L110" s="760" t="s">
        <v>541</v>
      </c>
      <c r="M110" s="761" t="s">
        <v>542</v>
      </c>
      <c r="N110" s="760" t="s">
        <v>543</v>
      </c>
      <c r="O110" s="762" t="s">
        <v>534</v>
      </c>
      <c r="P110" s="760" t="s">
        <v>544</v>
      </c>
      <c r="Q110" s="763"/>
      <c r="R110" s="758" t="s">
        <v>531</v>
      </c>
      <c r="S110" s="760" t="s">
        <v>498</v>
      </c>
      <c r="T110" s="760" t="s">
        <v>337</v>
      </c>
      <c r="U110" s="760" t="s">
        <v>535</v>
      </c>
      <c r="V110" s="760" t="s">
        <v>545</v>
      </c>
      <c r="W110" s="758" t="s">
        <v>545</v>
      </c>
    </row>
    <row r="111" spans="1:23">
      <c r="A111" s="765">
        <f>IF(B111&lt;&gt;"",ROW()-(ROW()-1),"")</f>
        <v>1</v>
      </c>
      <c r="B111" s="839" t="s">
        <v>449</v>
      </c>
      <c r="C111" s="766">
        <v>11</v>
      </c>
      <c r="D111" s="618">
        <f>ROUND(C111*O111,0)</f>
        <v>110000</v>
      </c>
      <c r="E111" s="618"/>
      <c r="F111" s="618">
        <v>14300</v>
      </c>
      <c r="G111" s="767">
        <f>D111*F111</f>
        <v>1573000000</v>
      </c>
      <c r="H111" s="618">
        <f>IF($D$127&lt;&gt;0,H$127/($D$127+$E$127/5)*($D111+$E111/5),0)</f>
        <v>72503932.622145697</v>
      </c>
      <c r="I111" s="618">
        <f t="shared" ref="I111:K112" si="22">IF($D$127&lt;&gt;0,I$127/$D$127*$D111,0)</f>
        <v>47160062.803711176</v>
      </c>
      <c r="J111" s="618">
        <f t="shared" si="22"/>
        <v>48587103.198269919</v>
      </c>
      <c r="K111" s="618">
        <f t="shared" si="22"/>
        <v>32596073.186290018</v>
      </c>
      <c r="L111" s="767">
        <f>SUM(V127:V129)</f>
        <v>23652476</v>
      </c>
      <c r="M111" s="618"/>
      <c r="N111" s="767">
        <f>ROUND(SUM(G111:M111),0)</f>
        <v>1797499648</v>
      </c>
      <c r="O111" s="618">
        <v>10000</v>
      </c>
      <c r="P111" s="618">
        <f>IF(N111&lt;&gt;0,N111/O111,0)</f>
        <v>179749.96479999999</v>
      </c>
      <c r="Q111" s="786"/>
      <c r="R111" s="504" t="s">
        <v>339</v>
      </c>
      <c r="S111" s="833">
        <v>42523</v>
      </c>
      <c r="T111" s="232">
        <v>30</v>
      </c>
      <c r="U111" s="771">
        <v>35444.444444444445</v>
      </c>
      <c r="V111" s="767">
        <f t="shared" ref="V111:V120" si="23">ROUND(T111*U111,0)</f>
        <v>1063333</v>
      </c>
      <c r="W111" s="767"/>
    </row>
    <row r="112" spans="1:23">
      <c r="A112" s="765">
        <f>IF(B112&lt;&gt;"",A111+1,"")</f>
        <v>2</v>
      </c>
      <c r="B112" s="777" t="s">
        <v>448</v>
      </c>
      <c r="C112" s="766">
        <v>13</v>
      </c>
      <c r="D112" s="618">
        <f>ROUND(C112*O112,0)</f>
        <v>13000</v>
      </c>
      <c r="E112" s="618"/>
      <c r="F112" s="618">
        <v>15500</v>
      </c>
      <c r="G112" s="767">
        <f>D112*F112</f>
        <v>201500000</v>
      </c>
      <c r="H112" s="618">
        <f>IF($D$127&lt;&gt;0,H$127/($D$127+$E$127/5)*($D112+$E112/5),0)</f>
        <v>8568646.5826172195</v>
      </c>
      <c r="I112" s="618">
        <f t="shared" si="22"/>
        <v>5573461.9677113211</v>
      </c>
      <c r="J112" s="618">
        <f t="shared" si="22"/>
        <v>5742112.1961591719</v>
      </c>
      <c r="K112" s="618">
        <f t="shared" si="22"/>
        <v>3852263.194743366</v>
      </c>
      <c r="L112" s="767">
        <f>V130</f>
        <v>1620000</v>
      </c>
      <c r="M112" s="618"/>
      <c r="N112" s="767">
        <f t="shared" ref="N112:N125" si="24">ROUND(SUM(G112:M112),0)</f>
        <v>226856484</v>
      </c>
      <c r="O112" s="773">
        <v>1000</v>
      </c>
      <c r="P112" s="618">
        <f>IF(N112&lt;&gt;0,N112/O112,0)</f>
        <v>226856.484</v>
      </c>
      <c r="Q112" s="786"/>
      <c r="R112" s="509" t="s">
        <v>345</v>
      </c>
      <c r="S112" s="833">
        <v>42523</v>
      </c>
      <c r="T112" s="232">
        <v>70</v>
      </c>
      <c r="U112" s="775">
        <v>46741.2</v>
      </c>
      <c r="V112" s="767">
        <f t="shared" si="23"/>
        <v>3271884</v>
      </c>
      <c r="W112" s="783"/>
    </row>
    <row r="113" spans="1:23">
      <c r="A113" s="765">
        <f t="shared" ref="A113:A125" si="25">IF(B113&lt;&gt;"",A112+1,"")</f>
        <v>3</v>
      </c>
      <c r="B113" s="504" t="s">
        <v>1517</v>
      </c>
      <c r="C113" s="766">
        <v>8.5</v>
      </c>
      <c r="D113" s="618">
        <f t="shared" ref="D113:D125" si="26">ROUND(C113*O113,0)</f>
        <v>22440</v>
      </c>
      <c r="E113" s="618"/>
      <c r="F113" s="618">
        <v>18500</v>
      </c>
      <c r="G113" s="767">
        <f t="shared" ref="G113:G125" si="27">D113*F113</f>
        <v>415140000</v>
      </c>
      <c r="H113" s="618">
        <f t="shared" ref="H113:H125" si="28">IF($D$127&lt;&gt;0,H$127/($D$127+$E$127/5)*($D113+$E113/5),0)</f>
        <v>14790802.254917722</v>
      </c>
      <c r="I113" s="618">
        <f t="shared" ref="I113:K125" si="29">IF($D$127&lt;&gt;0,I$127/$D$127*$D113,0)</f>
        <v>9620652.8119570799</v>
      </c>
      <c r="J113" s="618">
        <f t="shared" si="29"/>
        <v>9911769.0524470638</v>
      </c>
      <c r="K113" s="618">
        <f t="shared" si="29"/>
        <v>6649598.9300031643</v>
      </c>
      <c r="L113" s="618">
        <f>V123+V124</f>
        <v>7344000</v>
      </c>
      <c r="M113" s="618"/>
      <c r="N113" s="767">
        <f t="shared" si="24"/>
        <v>463456823</v>
      </c>
      <c r="O113" s="773">
        <v>2640</v>
      </c>
      <c r="P113" s="618">
        <f t="shared" ref="P113:P125" si="30">IF(N113&lt;&gt;0,N113/O113,0)</f>
        <v>175551.8268939394</v>
      </c>
      <c r="Q113" s="786"/>
      <c r="R113" s="509" t="s">
        <v>348</v>
      </c>
      <c r="S113" s="833">
        <v>42523</v>
      </c>
      <c r="T113" s="232">
        <v>330</v>
      </c>
      <c r="U113" s="775">
        <v>13571.429</v>
      </c>
      <c r="V113" s="767">
        <f t="shared" si="23"/>
        <v>4478572</v>
      </c>
      <c r="W113" s="783"/>
    </row>
    <row r="114" spans="1:23">
      <c r="A114" s="765">
        <f t="shared" si="25"/>
        <v>4</v>
      </c>
      <c r="B114" s="777" t="s">
        <v>1673</v>
      </c>
      <c r="C114" s="766">
        <v>1</v>
      </c>
      <c r="D114" s="618">
        <f t="shared" si="26"/>
        <v>1750</v>
      </c>
      <c r="E114" s="618"/>
      <c r="F114" s="618">
        <v>11165</v>
      </c>
      <c r="G114" s="767">
        <f t="shared" si="27"/>
        <v>19538750</v>
      </c>
      <c r="H114" s="618">
        <f t="shared" si="28"/>
        <v>1153471.655352318</v>
      </c>
      <c r="I114" s="618">
        <f t="shared" si="29"/>
        <v>750273.72642267786</v>
      </c>
      <c r="J114" s="618">
        <f t="shared" si="29"/>
        <v>772976.64179065777</v>
      </c>
      <c r="K114" s="618">
        <f t="shared" si="29"/>
        <v>518573.89160006848</v>
      </c>
      <c r="L114" s="618">
        <f>V125</f>
        <v>700000</v>
      </c>
      <c r="M114" s="618"/>
      <c r="N114" s="767">
        <f t="shared" si="24"/>
        <v>23434046</v>
      </c>
      <c r="O114" s="773">
        <v>1750</v>
      </c>
      <c r="P114" s="618">
        <f t="shared" si="30"/>
        <v>13390.883428571429</v>
      </c>
      <c r="Q114" s="786"/>
      <c r="R114" s="509" t="s">
        <v>353</v>
      </c>
      <c r="S114" s="833">
        <v>42523</v>
      </c>
      <c r="T114" s="232">
        <v>1500</v>
      </c>
      <c r="U114" s="775">
        <v>3200</v>
      </c>
      <c r="V114" s="767">
        <f t="shared" si="23"/>
        <v>4800000</v>
      </c>
      <c r="W114" s="783"/>
    </row>
    <row r="115" spans="1:23">
      <c r="A115" s="765">
        <f t="shared" si="25"/>
        <v>5</v>
      </c>
      <c r="B115" s="777" t="s">
        <v>1674</v>
      </c>
      <c r="C115" s="766">
        <v>1</v>
      </c>
      <c r="D115" s="618">
        <f t="shared" si="26"/>
        <v>5390</v>
      </c>
      <c r="E115" s="618"/>
      <c r="F115" s="618">
        <v>11165</v>
      </c>
      <c r="G115" s="767">
        <f t="shared" si="27"/>
        <v>60179350</v>
      </c>
      <c r="H115" s="618">
        <f t="shared" si="28"/>
        <v>3552692.6984851393</v>
      </c>
      <c r="I115" s="618">
        <f t="shared" si="29"/>
        <v>2310843.0773818474</v>
      </c>
      <c r="J115" s="618">
        <f t="shared" si="29"/>
        <v>2380768.0567152258</v>
      </c>
      <c r="K115" s="618">
        <f t="shared" si="29"/>
        <v>1597207.5861282109</v>
      </c>
      <c r="L115" s="618">
        <f>V126</f>
        <v>2150000</v>
      </c>
      <c r="M115" s="618"/>
      <c r="N115" s="767">
        <f t="shared" si="24"/>
        <v>72170861</v>
      </c>
      <c r="O115" s="773">
        <v>5390</v>
      </c>
      <c r="P115" s="618">
        <f t="shared" si="30"/>
        <v>13389.77012987013</v>
      </c>
      <c r="Q115" s="786"/>
      <c r="R115" s="512" t="s">
        <v>356</v>
      </c>
      <c r="S115" s="833">
        <v>42523</v>
      </c>
      <c r="T115" s="232">
        <v>3780</v>
      </c>
      <c r="U115" s="775">
        <v>14900</v>
      </c>
      <c r="V115" s="767">
        <f t="shared" si="23"/>
        <v>56322000</v>
      </c>
      <c r="W115" s="783"/>
    </row>
    <row r="116" spans="1:23">
      <c r="A116" s="765">
        <f t="shared" si="25"/>
        <v>6</v>
      </c>
      <c r="B116" s="777" t="s">
        <v>1676</v>
      </c>
      <c r="C116" s="766">
        <v>5.3</v>
      </c>
      <c r="D116" s="618">
        <f t="shared" si="26"/>
        <v>3657</v>
      </c>
      <c r="E116" s="618"/>
      <c r="F116" s="618">
        <v>105000</v>
      </c>
      <c r="G116" s="767">
        <f t="shared" si="27"/>
        <v>383985000</v>
      </c>
      <c r="H116" s="618">
        <f t="shared" si="28"/>
        <v>2410426.1963562439</v>
      </c>
      <c r="I116" s="618">
        <f t="shared" si="29"/>
        <v>1567857.7243015615</v>
      </c>
      <c r="J116" s="618">
        <f t="shared" si="29"/>
        <v>1615300.3308733918</v>
      </c>
      <c r="K116" s="618">
        <f t="shared" si="29"/>
        <v>1083671.2694751145</v>
      </c>
      <c r="L116" s="618">
        <f>ROUND(SUM($V$131:$V$134)/SUM($O$116:$O$125)*O116,0)</f>
        <v>16216618</v>
      </c>
      <c r="M116" s="618"/>
      <c r="N116" s="767">
        <f t="shared" si="24"/>
        <v>406878874</v>
      </c>
      <c r="O116" s="773">
        <v>690</v>
      </c>
      <c r="P116" s="618">
        <f t="shared" si="30"/>
        <v>589679.52753623191</v>
      </c>
      <c r="Q116" s="786"/>
      <c r="R116" s="512" t="s">
        <v>1402</v>
      </c>
      <c r="S116" s="833">
        <v>42523</v>
      </c>
      <c r="T116" s="232">
        <v>100</v>
      </c>
      <c r="U116" s="775">
        <v>12728</v>
      </c>
      <c r="V116" s="767">
        <f t="shared" si="23"/>
        <v>1272800</v>
      </c>
      <c r="W116" s="783"/>
    </row>
    <row r="117" spans="1:23">
      <c r="A117" s="765">
        <f t="shared" si="25"/>
        <v>7</v>
      </c>
      <c r="B117" s="777" t="s">
        <v>1677</v>
      </c>
      <c r="C117" s="766">
        <v>5.3</v>
      </c>
      <c r="D117" s="618">
        <f t="shared" si="26"/>
        <v>2650</v>
      </c>
      <c r="E117" s="618"/>
      <c r="F117" s="618">
        <v>105000</v>
      </c>
      <c r="G117" s="767">
        <f t="shared" si="27"/>
        <v>278250000</v>
      </c>
      <c r="H117" s="618">
        <f t="shared" si="28"/>
        <v>1746685.64953351</v>
      </c>
      <c r="I117" s="618">
        <f t="shared" si="29"/>
        <v>1136128.7857257694</v>
      </c>
      <c r="J117" s="618">
        <f t="shared" si="29"/>
        <v>1170507.4861401389</v>
      </c>
      <c r="K117" s="618">
        <f t="shared" si="29"/>
        <v>785269.03585153224</v>
      </c>
      <c r="L117" s="618">
        <f t="shared" ref="L117:L125" si="31">ROUND(SUM($V$131:$V$134)/SUM($O$116:$O$125)*O117,0)</f>
        <v>11751172</v>
      </c>
      <c r="M117" s="618"/>
      <c r="N117" s="767">
        <f t="shared" si="24"/>
        <v>294839763</v>
      </c>
      <c r="O117" s="773">
        <v>500</v>
      </c>
      <c r="P117" s="618">
        <f t="shared" si="30"/>
        <v>589679.52599999995</v>
      </c>
      <c r="Q117" s="786"/>
      <c r="R117" s="512" t="s">
        <v>359</v>
      </c>
      <c r="S117" s="833">
        <v>42526</v>
      </c>
      <c r="T117" s="232">
        <v>300</v>
      </c>
      <c r="U117" s="775">
        <v>8500</v>
      </c>
      <c r="V117" s="767">
        <f t="shared" si="23"/>
        <v>2550000</v>
      </c>
      <c r="W117" s="783"/>
    </row>
    <row r="118" spans="1:23">
      <c r="A118" s="765">
        <f t="shared" si="25"/>
        <v>8</v>
      </c>
      <c r="B118" s="777" t="s">
        <v>1678</v>
      </c>
      <c r="C118" s="766">
        <v>5.3</v>
      </c>
      <c r="D118" s="618">
        <f t="shared" si="26"/>
        <v>2968</v>
      </c>
      <c r="E118" s="618"/>
      <c r="F118" s="618">
        <v>105000</v>
      </c>
      <c r="G118" s="767">
        <f t="shared" si="27"/>
        <v>311640000</v>
      </c>
      <c r="H118" s="618">
        <f t="shared" si="28"/>
        <v>1956287.9274775311</v>
      </c>
      <c r="I118" s="618">
        <f t="shared" si="29"/>
        <v>1272464.2400128616</v>
      </c>
      <c r="J118" s="618">
        <f t="shared" si="29"/>
        <v>1310968.3844769555</v>
      </c>
      <c r="K118" s="618">
        <f t="shared" si="29"/>
        <v>879501.32015371614</v>
      </c>
      <c r="L118" s="618">
        <f t="shared" si="31"/>
        <v>13161313</v>
      </c>
      <c r="M118" s="618"/>
      <c r="N118" s="767">
        <f t="shared" si="24"/>
        <v>330220535</v>
      </c>
      <c r="O118" s="773">
        <v>560</v>
      </c>
      <c r="P118" s="618">
        <f t="shared" si="30"/>
        <v>589679.52678571432</v>
      </c>
      <c r="Q118" s="786"/>
      <c r="R118" s="512" t="s">
        <v>363</v>
      </c>
      <c r="S118" s="833">
        <v>42526</v>
      </c>
      <c r="T118" s="232">
        <v>270</v>
      </c>
      <c r="U118" s="775">
        <v>33000</v>
      </c>
      <c r="V118" s="767">
        <f t="shared" si="23"/>
        <v>8910000</v>
      </c>
      <c r="W118" s="783"/>
    </row>
    <row r="119" spans="1:23">
      <c r="A119" s="765">
        <f t="shared" si="25"/>
        <v>9</v>
      </c>
      <c r="B119" s="777" t="s">
        <v>1679</v>
      </c>
      <c r="C119" s="766">
        <v>5.3</v>
      </c>
      <c r="D119" s="618">
        <f>ROUND(C119*O119,0)</f>
        <v>3074</v>
      </c>
      <c r="E119" s="618"/>
      <c r="F119" s="618">
        <v>105000</v>
      </c>
      <c r="G119" s="767">
        <f t="shared" si="27"/>
        <v>322770000</v>
      </c>
      <c r="H119" s="618">
        <f t="shared" si="28"/>
        <v>2026155.3534588716</v>
      </c>
      <c r="I119" s="618">
        <f t="shared" si="29"/>
        <v>1317909.3914418924</v>
      </c>
      <c r="J119" s="618">
        <f t="shared" si="29"/>
        <v>1357788.6839225611</v>
      </c>
      <c r="K119" s="618">
        <f t="shared" si="29"/>
        <v>910912.08158777747</v>
      </c>
      <c r="L119" s="618">
        <f t="shared" si="31"/>
        <v>13631360</v>
      </c>
      <c r="M119" s="618"/>
      <c r="N119" s="767">
        <f t="shared" si="24"/>
        <v>342014126</v>
      </c>
      <c r="O119" s="773">
        <v>580</v>
      </c>
      <c r="P119" s="618">
        <f t="shared" si="30"/>
        <v>589679.52758620691</v>
      </c>
      <c r="Q119" s="786"/>
      <c r="R119" s="774"/>
      <c r="S119" s="833"/>
      <c r="T119" s="232"/>
      <c r="U119" s="775"/>
      <c r="V119" s="767">
        <f t="shared" si="23"/>
        <v>0</v>
      </c>
      <c r="W119" s="783"/>
    </row>
    <row r="120" spans="1:23">
      <c r="A120" s="765">
        <f t="shared" si="25"/>
        <v>10</v>
      </c>
      <c r="B120" s="777" t="s">
        <v>1680</v>
      </c>
      <c r="C120" s="766">
        <v>5.3</v>
      </c>
      <c r="D120" s="618">
        <f t="shared" si="26"/>
        <v>4611</v>
      </c>
      <c r="E120" s="618"/>
      <c r="F120" s="618">
        <v>105000</v>
      </c>
      <c r="G120" s="767">
        <f t="shared" si="27"/>
        <v>484155000</v>
      </c>
      <c r="H120" s="618">
        <f t="shared" si="28"/>
        <v>3039233.0301883072</v>
      </c>
      <c r="I120" s="618">
        <f t="shared" si="29"/>
        <v>1976864.0871628386</v>
      </c>
      <c r="J120" s="618">
        <f t="shared" si="29"/>
        <v>2036683.0258838418</v>
      </c>
      <c r="K120" s="618">
        <f t="shared" si="29"/>
        <v>1366368.1223816662</v>
      </c>
      <c r="L120" s="618">
        <f t="shared" si="31"/>
        <v>20447040</v>
      </c>
      <c r="M120" s="618"/>
      <c r="N120" s="767">
        <f t="shared" si="24"/>
        <v>513021188</v>
      </c>
      <c r="O120" s="773">
        <v>870</v>
      </c>
      <c r="P120" s="618">
        <f t="shared" si="30"/>
        <v>589679.52643678163</v>
      </c>
      <c r="Q120" s="786"/>
      <c r="R120" s="509"/>
      <c r="S120" s="833"/>
      <c r="T120" s="232"/>
      <c r="U120" s="775"/>
      <c r="V120" s="767">
        <f t="shared" si="23"/>
        <v>0</v>
      </c>
      <c r="W120" s="783"/>
    </row>
    <row r="121" spans="1:23">
      <c r="A121" s="765">
        <f t="shared" si="25"/>
        <v>11</v>
      </c>
      <c r="B121" s="777" t="s">
        <v>1681</v>
      </c>
      <c r="C121" s="766">
        <v>5.3</v>
      </c>
      <c r="D121" s="618">
        <f t="shared" si="26"/>
        <v>689</v>
      </c>
      <c r="E121" s="618"/>
      <c r="F121" s="618">
        <v>105000</v>
      </c>
      <c r="G121" s="767">
        <f t="shared" si="27"/>
        <v>72345000</v>
      </c>
      <c r="H121" s="618">
        <f t="shared" si="28"/>
        <v>454138.26887871261</v>
      </c>
      <c r="I121" s="618">
        <f t="shared" si="29"/>
        <v>295393.48428869998</v>
      </c>
      <c r="J121" s="618">
        <f t="shared" si="29"/>
        <v>304331.94639643613</v>
      </c>
      <c r="K121" s="618">
        <f t="shared" si="29"/>
        <v>204169.9493213984</v>
      </c>
      <c r="L121" s="618">
        <f t="shared" si="31"/>
        <v>3055305</v>
      </c>
      <c r="M121" s="618"/>
      <c r="N121" s="767">
        <f t="shared" si="24"/>
        <v>76658339</v>
      </c>
      <c r="O121" s="773">
        <v>130</v>
      </c>
      <c r="P121" s="618">
        <f t="shared" si="30"/>
        <v>589679.5307692308</v>
      </c>
      <c r="Q121" s="786"/>
      <c r="R121" s="509"/>
      <c r="S121" s="770"/>
      <c r="T121" s="232"/>
      <c r="U121" s="232"/>
      <c r="V121" s="767"/>
      <c r="W121" s="783"/>
    </row>
    <row r="122" spans="1:23">
      <c r="A122" s="765">
        <f t="shared" si="25"/>
        <v>12</v>
      </c>
      <c r="B122" s="777" t="s">
        <v>1682</v>
      </c>
      <c r="C122" s="766">
        <v>5.3</v>
      </c>
      <c r="D122" s="618">
        <f t="shared" si="26"/>
        <v>1325</v>
      </c>
      <c r="E122" s="618"/>
      <c r="F122" s="618">
        <v>105000</v>
      </c>
      <c r="G122" s="767">
        <f t="shared" si="27"/>
        <v>139125000</v>
      </c>
      <c r="H122" s="618">
        <f t="shared" si="28"/>
        <v>873342.82476675499</v>
      </c>
      <c r="I122" s="618">
        <f t="shared" si="29"/>
        <v>568064.39286288468</v>
      </c>
      <c r="J122" s="618">
        <f t="shared" si="29"/>
        <v>585253.74307006947</v>
      </c>
      <c r="K122" s="618">
        <f t="shared" si="29"/>
        <v>392634.51792576612</v>
      </c>
      <c r="L122" s="618">
        <f t="shared" si="31"/>
        <v>5875586</v>
      </c>
      <c r="M122" s="618"/>
      <c r="N122" s="767">
        <f t="shared" si="24"/>
        <v>147419881</v>
      </c>
      <c r="O122" s="773">
        <v>250</v>
      </c>
      <c r="P122" s="618">
        <f t="shared" si="30"/>
        <v>589679.52399999998</v>
      </c>
      <c r="Q122" s="786"/>
      <c r="R122" s="820"/>
      <c r="S122" s="821"/>
      <c r="T122" s="822"/>
      <c r="U122" s="838"/>
      <c r="V122" s="791">
        <f>SUM(V111:V121)</f>
        <v>82668589</v>
      </c>
      <c r="W122" s="801">
        <f>SUM(W111:W121)</f>
        <v>0</v>
      </c>
    </row>
    <row r="123" spans="1:23">
      <c r="A123" s="765">
        <f t="shared" si="25"/>
        <v>13</v>
      </c>
      <c r="B123" s="777" t="s">
        <v>1683</v>
      </c>
      <c r="C123" s="766">
        <v>5.3</v>
      </c>
      <c r="D123" s="618">
        <f t="shared" si="26"/>
        <v>3498</v>
      </c>
      <c r="E123" s="618"/>
      <c r="F123" s="618">
        <v>105000</v>
      </c>
      <c r="G123" s="767">
        <f t="shared" si="27"/>
        <v>367290000</v>
      </c>
      <c r="H123" s="618">
        <f t="shared" si="28"/>
        <v>2305625.057384233</v>
      </c>
      <c r="I123" s="618">
        <f t="shared" si="29"/>
        <v>1499689.9971580154</v>
      </c>
      <c r="J123" s="618">
        <f t="shared" si="29"/>
        <v>1545069.8817049833</v>
      </c>
      <c r="K123" s="618">
        <f t="shared" si="29"/>
        <v>1036555.1273240226</v>
      </c>
      <c r="L123" s="618">
        <f t="shared" si="31"/>
        <v>15511547</v>
      </c>
      <c r="M123" s="618"/>
      <c r="N123" s="767">
        <f t="shared" si="24"/>
        <v>389188487</v>
      </c>
      <c r="O123" s="773">
        <v>660</v>
      </c>
      <c r="P123" s="618">
        <f t="shared" si="30"/>
        <v>589679.52575757576</v>
      </c>
      <c r="Q123" s="786"/>
      <c r="R123" s="823" t="s">
        <v>1626</v>
      </c>
      <c r="S123" s="770">
        <v>42531</v>
      </c>
      <c r="T123" s="232">
        <v>360</v>
      </c>
      <c r="U123" s="232">
        <v>2400</v>
      </c>
      <c r="V123" s="767">
        <f t="shared" ref="V123:V134" si="32">ROUND(T123*U123,0)</f>
        <v>864000</v>
      </c>
      <c r="W123" s="767"/>
    </row>
    <row r="124" spans="1:23">
      <c r="A124" s="765">
        <f t="shared" si="25"/>
        <v>14</v>
      </c>
      <c r="B124" s="777" t="s">
        <v>1684</v>
      </c>
      <c r="C124" s="766">
        <v>5.3</v>
      </c>
      <c r="D124" s="618">
        <f t="shared" si="26"/>
        <v>1696</v>
      </c>
      <c r="E124" s="618"/>
      <c r="F124" s="618">
        <v>105000</v>
      </c>
      <c r="G124" s="767">
        <f t="shared" si="27"/>
        <v>178080000</v>
      </c>
      <c r="H124" s="618">
        <f t="shared" si="28"/>
        <v>1117878.8157014463</v>
      </c>
      <c r="I124" s="618">
        <f t="shared" si="29"/>
        <v>727122.42286449228</v>
      </c>
      <c r="J124" s="618">
        <f t="shared" si="29"/>
        <v>749124.79112968897</v>
      </c>
      <c r="K124" s="618">
        <f t="shared" si="29"/>
        <v>502572.18294498068</v>
      </c>
      <c r="L124" s="618">
        <f t="shared" si="31"/>
        <v>7520750</v>
      </c>
      <c r="M124" s="618"/>
      <c r="N124" s="767">
        <f t="shared" si="24"/>
        <v>188697448</v>
      </c>
      <c r="O124" s="773">
        <v>320</v>
      </c>
      <c r="P124" s="618">
        <f t="shared" si="30"/>
        <v>589679.52500000002</v>
      </c>
      <c r="Q124" s="786"/>
      <c r="R124" s="774" t="s">
        <v>394</v>
      </c>
      <c r="S124" s="770">
        <v>42531</v>
      </c>
      <c r="T124" s="775">
        <v>360</v>
      </c>
      <c r="U124" s="775">
        <v>18000</v>
      </c>
      <c r="V124" s="767">
        <f t="shared" si="32"/>
        <v>6480000</v>
      </c>
      <c r="W124" s="783"/>
    </row>
    <row r="125" spans="1:23">
      <c r="A125" s="765">
        <f t="shared" si="25"/>
        <v>15</v>
      </c>
      <c r="B125" s="777" t="s">
        <v>1685</v>
      </c>
      <c r="C125" s="766">
        <v>8.0374999999999996</v>
      </c>
      <c r="D125" s="618">
        <f t="shared" si="26"/>
        <v>16075</v>
      </c>
      <c r="E125" s="618"/>
      <c r="F125" s="618">
        <v>68876.211819595599</v>
      </c>
      <c r="G125" s="767">
        <f t="shared" si="27"/>
        <v>1107185104.9999993</v>
      </c>
      <c r="H125" s="618">
        <f t="shared" si="28"/>
        <v>10595461.062736291</v>
      </c>
      <c r="I125" s="618">
        <f t="shared" si="29"/>
        <v>6891800.0869968832</v>
      </c>
      <c r="J125" s="618">
        <f t="shared" si="29"/>
        <v>7100342.5810198998</v>
      </c>
      <c r="K125" s="618">
        <f t="shared" si="29"/>
        <v>4763471.6042692009</v>
      </c>
      <c r="L125" s="618">
        <f t="shared" si="31"/>
        <v>47004689</v>
      </c>
      <c r="M125" s="618"/>
      <c r="N125" s="767">
        <f t="shared" si="24"/>
        <v>1183540869</v>
      </c>
      <c r="O125" s="773">
        <v>2000</v>
      </c>
      <c r="P125" s="618">
        <f t="shared" si="30"/>
        <v>591770.43449999997</v>
      </c>
      <c r="Q125" s="786"/>
      <c r="R125" s="774" t="s">
        <v>387</v>
      </c>
      <c r="S125" s="833">
        <v>42534</v>
      </c>
      <c r="T125" s="775">
        <v>140</v>
      </c>
      <c r="U125" s="775">
        <v>5000</v>
      </c>
      <c r="V125" s="767">
        <f t="shared" si="32"/>
        <v>700000</v>
      </c>
      <c r="W125" s="783"/>
    </row>
    <row r="126" spans="1:23">
      <c r="A126" s="765" t="str">
        <f>IF(B126&lt;&gt;"",#REF!+1,"")</f>
        <v/>
      </c>
      <c r="B126" s="778"/>
      <c r="C126" s="779"/>
      <c r="D126" s="781"/>
      <c r="E126" s="781"/>
      <c r="F126" s="781"/>
      <c r="G126" s="782"/>
      <c r="H126" s="827"/>
      <c r="I126" s="781"/>
      <c r="J126" s="783"/>
      <c r="K126" s="781"/>
      <c r="L126" s="784"/>
      <c r="M126" s="781"/>
      <c r="N126" s="767"/>
      <c r="O126" s="785"/>
      <c r="P126" s="781"/>
      <c r="Q126" s="786"/>
      <c r="R126" s="774" t="s">
        <v>387</v>
      </c>
      <c r="S126" s="833">
        <v>42534</v>
      </c>
      <c r="T126" s="775">
        <v>430</v>
      </c>
      <c r="U126" s="775">
        <v>5000</v>
      </c>
      <c r="V126" s="767">
        <f t="shared" si="32"/>
        <v>2150000</v>
      </c>
      <c r="W126" s="783"/>
    </row>
    <row r="127" spans="1:23">
      <c r="A127" s="788"/>
      <c r="B127" s="789" t="s">
        <v>546</v>
      </c>
      <c r="C127" s="790"/>
      <c r="D127" s="791">
        <f>SUM(D111:D126)</f>
        <v>192823</v>
      </c>
      <c r="E127" s="791">
        <f>SUM(E111:E126)</f>
        <v>0</v>
      </c>
      <c r="F127" s="791"/>
      <c r="G127" s="791">
        <f>SUM(G111:G125)</f>
        <v>5914183204.999999</v>
      </c>
      <c r="H127" s="792">
        <v>127094780</v>
      </c>
      <c r="I127" s="792">
        <f>V122</f>
        <v>82668589</v>
      </c>
      <c r="J127" s="792">
        <v>85170100</v>
      </c>
      <c r="K127" s="792">
        <v>57138842</v>
      </c>
      <c r="L127" s="791">
        <f>ROUND(SUM(L111:L126),0)</f>
        <v>189641856</v>
      </c>
      <c r="M127" s="791"/>
      <c r="N127" s="791">
        <f>ROUND(SUM(N111:N126),0)</f>
        <v>6455897372</v>
      </c>
      <c r="O127" s="791">
        <f>ROUND(SUM(O111:O126),0)</f>
        <v>27340</v>
      </c>
      <c r="P127" s="791"/>
      <c r="Q127" s="786"/>
      <c r="R127" s="516" t="s">
        <v>390</v>
      </c>
      <c r="S127" s="833">
        <v>42526</v>
      </c>
      <c r="T127" s="232">
        <v>904</v>
      </c>
      <c r="U127" s="232">
        <v>21347</v>
      </c>
      <c r="V127" s="767">
        <f t="shared" si="32"/>
        <v>19297688</v>
      </c>
      <c r="W127" s="783"/>
    </row>
    <row r="128" spans="1:23">
      <c r="A128" s="793"/>
      <c r="B128" s="794"/>
      <c r="C128" s="751"/>
      <c r="D128" s="795"/>
      <c r="E128" s="795"/>
      <c r="F128" s="795"/>
      <c r="G128" s="795"/>
      <c r="H128" s="749"/>
      <c r="I128" s="749"/>
      <c r="J128" s="749"/>
      <c r="K128" s="749"/>
      <c r="L128" s="795"/>
      <c r="M128" s="795"/>
      <c r="N128" s="795"/>
      <c r="O128" s="795"/>
      <c r="P128" s="795"/>
      <c r="Q128" s="786"/>
      <c r="R128" s="80" t="s">
        <v>1508</v>
      </c>
      <c r="S128" s="833">
        <v>42526</v>
      </c>
      <c r="T128" s="232">
        <v>72</v>
      </c>
      <c r="U128" s="232">
        <v>21347</v>
      </c>
      <c r="V128" s="767">
        <f>ROUND(T128*U128,0)</f>
        <v>1536984</v>
      </c>
      <c r="W128" s="783"/>
    </row>
    <row r="129" spans="1:23">
      <c r="A129" s="793"/>
      <c r="B129" s="794"/>
      <c r="C129" s="751"/>
      <c r="D129" s="795"/>
      <c r="E129" s="795"/>
      <c r="F129" s="795"/>
      <c r="G129" s="795"/>
      <c r="H129" s="749"/>
      <c r="I129" s="749"/>
      <c r="J129" s="749"/>
      <c r="K129" s="749"/>
      <c r="L129" s="795"/>
      <c r="M129" s="795"/>
      <c r="N129" s="795"/>
      <c r="O129" s="795"/>
      <c r="P129" s="795"/>
      <c r="Q129" s="786"/>
      <c r="R129" s="80" t="s">
        <v>1509</v>
      </c>
      <c r="S129" s="833">
        <v>42526</v>
      </c>
      <c r="T129" s="232">
        <v>132</v>
      </c>
      <c r="U129" s="232">
        <v>21347</v>
      </c>
      <c r="V129" s="767">
        <f>ROUND(T129*U129,0)</f>
        <v>2817804</v>
      </c>
      <c r="W129" s="783"/>
    </row>
    <row r="130" spans="1:23">
      <c r="G130" s="803"/>
      <c r="Q130" s="786"/>
      <c r="R130" s="516" t="s">
        <v>390</v>
      </c>
      <c r="S130" s="770">
        <v>42531</v>
      </c>
      <c r="T130" s="775">
        <v>120</v>
      </c>
      <c r="U130" s="775">
        <v>13500</v>
      </c>
      <c r="V130" s="767">
        <f t="shared" si="32"/>
        <v>1620000</v>
      </c>
      <c r="W130" s="783"/>
    </row>
    <row r="131" spans="1:23">
      <c r="R131" s="797" t="s">
        <v>381</v>
      </c>
      <c r="S131" s="770">
        <v>42531</v>
      </c>
      <c r="T131" s="775">
        <v>7828</v>
      </c>
      <c r="U131" s="775">
        <v>5780.8622078968574</v>
      </c>
      <c r="V131" s="767">
        <f t="shared" si="32"/>
        <v>45252589</v>
      </c>
      <c r="W131" s="783"/>
    </row>
    <row r="132" spans="1:23">
      <c r="R132" s="955" t="s">
        <v>374</v>
      </c>
      <c r="S132" s="770">
        <v>42536</v>
      </c>
      <c r="T132" s="775">
        <v>295214</v>
      </c>
      <c r="U132" s="775">
        <v>346.98655890303303</v>
      </c>
      <c r="V132" s="767">
        <f t="shared" si="32"/>
        <v>102435290</v>
      </c>
      <c r="W132" s="783"/>
    </row>
    <row r="133" spans="1:23">
      <c r="R133" s="955" t="s">
        <v>377</v>
      </c>
      <c r="S133" s="770">
        <v>42536</v>
      </c>
      <c r="T133" s="775">
        <v>6600</v>
      </c>
      <c r="U133" s="775">
        <v>545</v>
      </c>
      <c r="V133" s="767">
        <f t="shared" si="32"/>
        <v>3597000</v>
      </c>
      <c r="W133" s="783"/>
    </row>
    <row r="134" spans="1:23" ht="12.75" customHeight="1">
      <c r="A134" s="1171"/>
      <c r="B134" s="1171"/>
      <c r="C134" s="840"/>
      <c r="D134" s="1171"/>
      <c r="E134" s="1171"/>
      <c r="F134" s="1171"/>
      <c r="G134" s="1195"/>
      <c r="H134" s="1171"/>
      <c r="I134" s="1171"/>
      <c r="J134" s="1171"/>
      <c r="K134" s="1171"/>
      <c r="L134" s="1171"/>
      <c r="M134" s="1171"/>
      <c r="N134" s="1171"/>
      <c r="O134" s="809"/>
      <c r="P134" s="1171"/>
      <c r="Q134" s="747"/>
      <c r="R134" s="955" t="s">
        <v>372</v>
      </c>
      <c r="S134" s="770">
        <v>42536</v>
      </c>
      <c r="T134" s="775">
        <v>12300</v>
      </c>
      <c r="U134" s="775">
        <v>235</v>
      </c>
      <c r="V134" s="767">
        <f t="shared" si="32"/>
        <v>2890500</v>
      </c>
      <c r="W134" s="783"/>
    </row>
    <row r="135" spans="1:23" ht="12.75" customHeight="1">
      <c r="A135" s="1171"/>
      <c r="B135" s="1171"/>
      <c r="C135" s="840"/>
      <c r="D135" s="1171"/>
      <c r="E135" s="1171"/>
      <c r="F135" s="1171"/>
      <c r="G135" s="1171"/>
      <c r="H135" s="1171"/>
      <c r="I135" s="1171"/>
      <c r="J135" s="1171"/>
      <c r="K135" s="1171"/>
      <c r="L135" s="1171"/>
      <c r="M135" s="1171"/>
      <c r="N135" s="1171"/>
      <c r="O135" s="809"/>
      <c r="P135" s="1171"/>
      <c r="Q135" s="747"/>
      <c r="R135" s="741"/>
      <c r="S135" s="748"/>
    </row>
    <row r="136" spans="1:23" ht="18" customHeight="1">
      <c r="A136" s="742" t="s">
        <v>529</v>
      </c>
      <c r="B136" s="742"/>
      <c r="C136" s="841"/>
      <c r="D136" s="744"/>
      <c r="E136" s="744"/>
      <c r="F136" s="744"/>
      <c r="G136" s="741"/>
      <c r="H136" s="741"/>
      <c r="I136" s="741"/>
      <c r="J136" s="741"/>
      <c r="K136" s="741"/>
      <c r="L136" s="745"/>
      <c r="M136" s="741"/>
      <c r="N136" s="741"/>
      <c r="O136" s="746"/>
      <c r="P136" s="741"/>
      <c r="Q136" s="747"/>
      <c r="R136" s="741"/>
      <c r="S136" s="748"/>
    </row>
    <row r="137" spans="1:23" ht="18.75" customHeight="1">
      <c r="A137" s="749" t="s">
        <v>552</v>
      </c>
      <c r="B137" s="749"/>
      <c r="C137" s="749"/>
      <c r="D137" s="749"/>
      <c r="E137" s="749"/>
      <c r="F137" s="749"/>
      <c r="G137" s="749"/>
      <c r="H137" s="749"/>
      <c r="I137" s="749"/>
      <c r="J137" s="749"/>
      <c r="K137" s="749"/>
      <c r="L137" s="749"/>
      <c r="M137" s="749"/>
      <c r="N137" s="749"/>
      <c r="O137" s="749"/>
      <c r="P137" s="749"/>
      <c r="Q137" s="747"/>
      <c r="R137" s="741"/>
      <c r="S137" s="748"/>
    </row>
    <row r="138" spans="1:23" ht="18.75" customHeight="1">
      <c r="A138" s="750"/>
      <c r="B138" s="750"/>
      <c r="C138" s="751"/>
      <c r="D138" s="750"/>
      <c r="E138" s="750"/>
      <c r="F138" s="750"/>
      <c r="G138" s="750"/>
      <c r="H138" s="750"/>
      <c r="I138" s="750"/>
      <c r="J138" s="750"/>
      <c r="K138" s="750"/>
      <c r="L138" s="749"/>
      <c r="M138" s="750"/>
      <c r="N138" s="750"/>
      <c r="O138" s="752"/>
      <c r="P138" s="750"/>
      <c r="Q138" s="747"/>
      <c r="R138" s="741"/>
      <c r="S138" s="748"/>
    </row>
    <row r="139" spans="1:23" ht="12.75" customHeight="1">
      <c r="A139" s="753"/>
      <c r="B139" s="753"/>
      <c r="C139" s="754"/>
      <c r="D139" s="753"/>
      <c r="E139" s="753"/>
      <c r="F139" s="753"/>
      <c r="G139" s="753"/>
      <c r="H139" s="753"/>
      <c r="I139" s="753"/>
      <c r="J139" s="753"/>
      <c r="K139" s="753"/>
      <c r="L139" s="753"/>
      <c r="M139" s="753"/>
      <c r="N139" s="753"/>
      <c r="O139" s="755"/>
      <c r="P139" s="753"/>
      <c r="Q139" s="747"/>
      <c r="R139" s="741"/>
      <c r="S139" s="748"/>
    </row>
    <row r="140" spans="1:23" s="764" customFormat="1" ht="30.75" customHeight="1">
      <c r="A140" s="758" t="s">
        <v>37</v>
      </c>
      <c r="B140" s="758" t="s">
        <v>531</v>
      </c>
      <c r="C140" s="759" t="s">
        <v>532</v>
      </c>
      <c r="D140" s="760" t="s">
        <v>533</v>
      </c>
      <c r="E140" s="760" t="s">
        <v>534</v>
      </c>
      <c r="F140" s="760" t="s">
        <v>535</v>
      </c>
      <c r="G140" s="760" t="s">
        <v>536</v>
      </c>
      <c r="H140" s="760" t="s">
        <v>537</v>
      </c>
      <c r="I140" s="760" t="s">
        <v>538</v>
      </c>
      <c r="J140" s="760" t="s">
        <v>539</v>
      </c>
      <c r="K140" s="761" t="s">
        <v>540</v>
      </c>
      <c r="L140" s="760" t="s">
        <v>541</v>
      </c>
      <c r="M140" s="761" t="s">
        <v>542</v>
      </c>
      <c r="N140" s="760" t="s">
        <v>543</v>
      </c>
      <c r="O140" s="762" t="s">
        <v>534</v>
      </c>
      <c r="P140" s="760" t="s">
        <v>544</v>
      </c>
      <c r="Q140" s="763"/>
      <c r="R140" s="758" t="s">
        <v>531</v>
      </c>
      <c r="S140" s="760" t="s">
        <v>498</v>
      </c>
      <c r="T140" s="760" t="s">
        <v>337</v>
      </c>
      <c r="U140" s="760" t="s">
        <v>535</v>
      </c>
      <c r="V140" s="760" t="s">
        <v>545</v>
      </c>
      <c r="W140" s="758" t="s">
        <v>545</v>
      </c>
    </row>
    <row r="141" spans="1:23">
      <c r="A141" s="765">
        <f>IF(B141&lt;&gt;"",ROW()-(ROW()-1),"")</f>
        <v>1</v>
      </c>
      <c r="B141" s="777" t="s">
        <v>450</v>
      </c>
      <c r="C141" s="766">
        <v>8</v>
      </c>
      <c r="D141" s="618">
        <f t="shared" ref="D141:D149" si="33">ROUND(C141*O141,0)</f>
        <v>38400</v>
      </c>
      <c r="E141" s="618"/>
      <c r="F141" s="618">
        <v>18500</v>
      </c>
      <c r="G141" s="767">
        <f>D141*F141</f>
        <v>710400000</v>
      </c>
      <c r="H141" s="618">
        <f t="shared" ref="H141:H149" si="34">IF($D$150&lt;&gt;0,H$150/($D$150+$E$150/5)*($D141+$E141/5),0)</f>
        <v>29111170.887534991</v>
      </c>
      <c r="I141" s="618">
        <f t="shared" ref="I141:K143" si="35">IF($D$150&lt;&gt;0,I$150/$D$150*$D141,0)</f>
        <v>3355353.8086612877</v>
      </c>
      <c r="J141" s="618">
        <f t="shared" si="35"/>
        <v>13661332.297052529</v>
      </c>
      <c r="K141" s="618">
        <f t="shared" si="35"/>
        <v>12043095.300510455</v>
      </c>
      <c r="L141" s="767">
        <f>V151+V152</f>
        <v>37002000</v>
      </c>
      <c r="M141" s="618"/>
      <c r="N141" s="767">
        <f t="shared" ref="N141:N149" si="36">ROUND(SUM(G141:M141),0)</f>
        <v>805572952</v>
      </c>
      <c r="O141" s="618">
        <v>4800</v>
      </c>
      <c r="P141" s="618">
        <f t="shared" ref="P141:P149" si="37">IF(N141&lt;&gt;0,N141/O141,0)</f>
        <v>167827.69833333333</v>
      </c>
      <c r="Q141" s="786"/>
      <c r="R141" s="504" t="s">
        <v>339</v>
      </c>
      <c r="S141" s="833">
        <v>42552</v>
      </c>
      <c r="T141" s="232">
        <v>10</v>
      </c>
      <c r="U141" s="771">
        <v>35444.444444444445</v>
      </c>
      <c r="V141" s="767">
        <f t="shared" ref="V141:V148" si="38">ROUND(T141*U141,0)</f>
        <v>354444</v>
      </c>
      <c r="W141" s="767"/>
    </row>
    <row r="142" spans="1:23">
      <c r="A142" s="765">
        <f t="shared" ref="A142:A148" si="39">IF(B142&lt;&gt;"",A141+1,"")</f>
        <v>2</v>
      </c>
      <c r="B142" s="509" t="s">
        <v>1786</v>
      </c>
      <c r="C142" s="766">
        <v>9</v>
      </c>
      <c r="D142" s="618">
        <f t="shared" si="33"/>
        <v>20430</v>
      </c>
      <c r="E142" s="618"/>
      <c r="F142" s="618">
        <v>24500</v>
      </c>
      <c r="G142" s="767">
        <f>D142*F142</f>
        <v>500535000</v>
      </c>
      <c r="H142" s="618">
        <f t="shared" si="34"/>
        <v>15488052.636258852</v>
      </c>
      <c r="I142" s="618">
        <f t="shared" si="35"/>
        <v>1785153.0810143256</v>
      </c>
      <c r="J142" s="618">
        <f t="shared" si="35"/>
        <v>7268255.698666228</v>
      </c>
      <c r="K142" s="618">
        <f t="shared" si="35"/>
        <v>6407303.0465997029</v>
      </c>
      <c r="L142" s="618">
        <f>V153</f>
        <v>3813600</v>
      </c>
      <c r="M142" s="618"/>
      <c r="N142" s="767">
        <f t="shared" si="36"/>
        <v>535297364</v>
      </c>
      <c r="O142" s="773">
        <v>2270</v>
      </c>
      <c r="P142" s="618">
        <f t="shared" si="37"/>
        <v>235813.81674008811</v>
      </c>
      <c r="Q142" s="786"/>
      <c r="R142" s="509" t="s">
        <v>345</v>
      </c>
      <c r="S142" s="833">
        <v>42552</v>
      </c>
      <c r="T142" s="232">
        <v>20</v>
      </c>
      <c r="U142" s="775">
        <v>46741.2</v>
      </c>
      <c r="V142" s="767">
        <f t="shared" si="38"/>
        <v>934824</v>
      </c>
      <c r="W142" s="783"/>
    </row>
    <row r="143" spans="1:23">
      <c r="A143" s="765">
        <f t="shared" si="39"/>
        <v>3</v>
      </c>
      <c r="B143" s="777" t="s">
        <v>1673</v>
      </c>
      <c r="C143" s="766">
        <v>1</v>
      </c>
      <c r="D143" s="618">
        <f t="shared" si="33"/>
        <v>900</v>
      </c>
      <c r="E143" s="618"/>
      <c r="F143" s="618">
        <v>11165</v>
      </c>
      <c r="G143" s="767">
        <f>D143*F143</f>
        <v>10048500</v>
      </c>
      <c r="H143" s="618">
        <f t="shared" si="34"/>
        <v>682293.06767660135</v>
      </c>
      <c r="I143" s="618">
        <f t="shared" si="35"/>
        <v>78641.104890498929</v>
      </c>
      <c r="J143" s="618">
        <f t="shared" si="35"/>
        <v>320187.47571216861</v>
      </c>
      <c r="K143" s="618">
        <f t="shared" si="35"/>
        <v>282260.04610571382</v>
      </c>
      <c r="L143" s="618">
        <f>V154</f>
        <v>300000</v>
      </c>
      <c r="M143" s="618"/>
      <c r="N143" s="767">
        <f t="shared" si="36"/>
        <v>11711882</v>
      </c>
      <c r="O143" s="773">
        <v>900</v>
      </c>
      <c r="P143" s="618">
        <f t="shared" si="37"/>
        <v>13013.202222222222</v>
      </c>
      <c r="Q143" s="786"/>
      <c r="R143" s="509" t="s">
        <v>348</v>
      </c>
      <c r="S143" s="833">
        <v>42552</v>
      </c>
      <c r="T143" s="232">
        <v>250</v>
      </c>
      <c r="U143" s="775">
        <v>14523.81</v>
      </c>
      <c r="V143" s="767">
        <f t="shared" si="38"/>
        <v>3630953</v>
      </c>
      <c r="W143" s="783"/>
    </row>
    <row r="144" spans="1:23">
      <c r="A144" s="765">
        <f t="shared" si="39"/>
        <v>4</v>
      </c>
      <c r="B144" s="504" t="s">
        <v>1517</v>
      </c>
      <c r="C144" s="766">
        <v>8.5</v>
      </c>
      <c r="D144" s="618">
        <f t="shared" si="33"/>
        <v>14960</v>
      </c>
      <c r="E144" s="618"/>
      <c r="F144" s="618">
        <v>18500</v>
      </c>
      <c r="G144" s="767">
        <f>(D144+E144)*F144</f>
        <v>276760000</v>
      </c>
      <c r="H144" s="618">
        <f t="shared" si="34"/>
        <v>11341226.991602175</v>
      </c>
      <c r="I144" s="618">
        <f t="shared" ref="I144:K148" si="40">IF($D$150&lt;&gt;0,I$150/$D$150*$D144,0)</f>
        <v>1307189.9212909599</v>
      </c>
      <c r="J144" s="618">
        <f t="shared" si="40"/>
        <v>5322227.3740600478</v>
      </c>
      <c r="K144" s="618">
        <f t="shared" si="40"/>
        <v>4691789.2108238647</v>
      </c>
      <c r="L144" s="767">
        <f>V155+V156</f>
        <v>4896000</v>
      </c>
      <c r="M144" s="618"/>
      <c r="N144" s="767">
        <f t="shared" si="36"/>
        <v>304318433</v>
      </c>
      <c r="O144" s="618">
        <v>1760</v>
      </c>
      <c r="P144" s="618">
        <f t="shared" si="37"/>
        <v>172908.20056818181</v>
      </c>
      <c r="Q144" s="786"/>
      <c r="R144" s="509" t="s">
        <v>353</v>
      </c>
      <c r="S144" s="833">
        <v>42552</v>
      </c>
      <c r="T144" s="797">
        <v>500</v>
      </c>
      <c r="U144" s="775">
        <v>3200</v>
      </c>
      <c r="V144" s="767">
        <f t="shared" si="38"/>
        <v>1600000</v>
      </c>
      <c r="W144" s="783"/>
    </row>
    <row r="145" spans="1:23">
      <c r="A145" s="765">
        <f t="shared" si="39"/>
        <v>5</v>
      </c>
      <c r="B145" s="839" t="s">
        <v>448</v>
      </c>
      <c r="C145" s="766">
        <v>13</v>
      </c>
      <c r="D145" s="618">
        <f t="shared" si="33"/>
        <v>22100</v>
      </c>
      <c r="E145" s="618"/>
      <c r="F145" s="618">
        <v>15500</v>
      </c>
      <c r="G145" s="767">
        <f>(D145+E145)*F145</f>
        <v>342550000</v>
      </c>
      <c r="H145" s="618">
        <f t="shared" si="34"/>
        <v>16754085.328503212</v>
      </c>
      <c r="I145" s="618">
        <f t="shared" si="40"/>
        <v>1931076.020088918</v>
      </c>
      <c r="J145" s="618">
        <f t="shared" si="40"/>
        <v>7862381.3480432518</v>
      </c>
      <c r="K145" s="618">
        <f t="shared" si="40"/>
        <v>6931052.2432625275</v>
      </c>
      <c r="L145" s="767">
        <f>V159</f>
        <v>2592000</v>
      </c>
      <c r="M145" s="618"/>
      <c r="N145" s="767">
        <f t="shared" si="36"/>
        <v>378620595</v>
      </c>
      <c r="O145" s="618">
        <v>1700</v>
      </c>
      <c r="P145" s="618">
        <f t="shared" si="37"/>
        <v>222717.99705882353</v>
      </c>
      <c r="Q145" s="786"/>
      <c r="R145" s="512" t="s">
        <v>356</v>
      </c>
      <c r="S145" s="833">
        <v>42552</v>
      </c>
      <c r="T145" s="232">
        <v>270</v>
      </c>
      <c r="U145" s="775">
        <v>14728</v>
      </c>
      <c r="V145" s="767">
        <f t="shared" si="38"/>
        <v>3976560</v>
      </c>
      <c r="W145" s="783"/>
    </row>
    <row r="146" spans="1:23">
      <c r="A146" s="765">
        <f t="shared" si="39"/>
        <v>6</v>
      </c>
      <c r="B146" s="67" t="s">
        <v>1515</v>
      </c>
      <c r="C146" s="766">
        <v>5</v>
      </c>
      <c r="D146" s="618">
        <f t="shared" si="33"/>
        <v>5450</v>
      </c>
      <c r="E146" s="618"/>
      <c r="F146" s="618">
        <v>29500</v>
      </c>
      <c r="G146" s="767">
        <f>(D146+E146)*F146</f>
        <v>160775000</v>
      </c>
      <c r="H146" s="618">
        <f t="shared" si="34"/>
        <v>4131663.576486086</v>
      </c>
      <c r="I146" s="618">
        <f t="shared" si="40"/>
        <v>476215.57961468794</v>
      </c>
      <c r="J146" s="618">
        <f t="shared" si="40"/>
        <v>1938913.0473681323</v>
      </c>
      <c r="K146" s="618">
        <f t="shared" si="40"/>
        <v>1709241.3903068225</v>
      </c>
      <c r="L146" s="767">
        <f>V157</f>
        <v>3029000</v>
      </c>
      <c r="M146" s="618"/>
      <c r="N146" s="767">
        <f t="shared" si="36"/>
        <v>172060034</v>
      </c>
      <c r="O146" s="618">
        <v>1090</v>
      </c>
      <c r="P146" s="618">
        <f t="shared" si="37"/>
        <v>157853.24220183486</v>
      </c>
      <c r="Q146" s="786"/>
      <c r="R146" s="512" t="s">
        <v>1402</v>
      </c>
      <c r="S146" s="833">
        <v>42552</v>
      </c>
      <c r="T146" s="232">
        <v>100</v>
      </c>
      <c r="U146" s="775">
        <v>12728</v>
      </c>
      <c r="V146" s="767">
        <f t="shared" si="38"/>
        <v>1272800</v>
      </c>
      <c r="W146" s="783"/>
    </row>
    <row r="147" spans="1:23" s="742" customFormat="1">
      <c r="A147" s="765">
        <f t="shared" si="39"/>
        <v>7</v>
      </c>
      <c r="B147" s="777" t="s">
        <v>1945</v>
      </c>
      <c r="C147" s="766">
        <v>5</v>
      </c>
      <c r="D147" s="618">
        <f t="shared" si="33"/>
        <v>1950</v>
      </c>
      <c r="E147" s="618"/>
      <c r="F147" s="618">
        <v>35500</v>
      </c>
      <c r="G147" s="767">
        <f>(D147+E147)*F147</f>
        <v>69225000</v>
      </c>
      <c r="H147" s="618">
        <f t="shared" si="34"/>
        <v>1478301.6466326364</v>
      </c>
      <c r="I147" s="618">
        <f t="shared" si="40"/>
        <v>170389.06059608102</v>
      </c>
      <c r="J147" s="618">
        <f t="shared" si="40"/>
        <v>693739.53070969868</v>
      </c>
      <c r="K147" s="618">
        <f t="shared" si="40"/>
        <v>611563.43322904652</v>
      </c>
      <c r="L147" s="767">
        <f>V158</f>
        <v>650000</v>
      </c>
      <c r="M147" s="618"/>
      <c r="N147" s="767">
        <f t="shared" si="36"/>
        <v>72828994</v>
      </c>
      <c r="O147" s="618">
        <v>390</v>
      </c>
      <c r="P147" s="618">
        <f t="shared" si="37"/>
        <v>186741.01025641026</v>
      </c>
      <c r="Q147" s="786"/>
      <c r="R147" s="512" t="s">
        <v>359</v>
      </c>
      <c r="S147" s="833">
        <v>42556</v>
      </c>
      <c r="T147" s="797">
        <v>100</v>
      </c>
      <c r="U147" s="775">
        <v>8500</v>
      </c>
      <c r="V147" s="767">
        <f t="shared" si="38"/>
        <v>850000</v>
      </c>
      <c r="W147" s="783"/>
    </row>
    <row r="148" spans="1:23">
      <c r="A148" s="765">
        <f t="shared" si="39"/>
        <v>8</v>
      </c>
      <c r="B148" s="777" t="s">
        <v>463</v>
      </c>
      <c r="C148" s="766">
        <v>3</v>
      </c>
      <c r="D148" s="618">
        <f t="shared" si="33"/>
        <v>78000</v>
      </c>
      <c r="E148" s="618"/>
      <c r="F148" s="618">
        <v>17500</v>
      </c>
      <c r="G148" s="767">
        <f>(D148+E148)*F148</f>
        <v>1365000000</v>
      </c>
      <c r="H148" s="618">
        <f t="shared" si="34"/>
        <v>59132065.865305454</v>
      </c>
      <c r="I148" s="618">
        <f t="shared" si="40"/>
        <v>6815562.4238432404</v>
      </c>
      <c r="J148" s="618">
        <f t="shared" si="40"/>
        <v>27749581.228387948</v>
      </c>
      <c r="K148" s="618">
        <f t="shared" si="40"/>
        <v>24462537.329161864</v>
      </c>
      <c r="L148" s="767">
        <f>V160</f>
        <v>25096265</v>
      </c>
      <c r="M148" s="618"/>
      <c r="N148" s="767">
        <f t="shared" si="36"/>
        <v>1508256012</v>
      </c>
      <c r="O148" s="618">
        <v>26000</v>
      </c>
      <c r="P148" s="618">
        <f t="shared" si="37"/>
        <v>58009.846615384617</v>
      </c>
      <c r="Q148" s="786"/>
      <c r="R148" s="512" t="s">
        <v>363</v>
      </c>
      <c r="S148" s="833">
        <v>42556</v>
      </c>
      <c r="T148" s="797">
        <v>100</v>
      </c>
      <c r="U148" s="775">
        <v>33000</v>
      </c>
      <c r="V148" s="767">
        <f t="shared" si="38"/>
        <v>3300000</v>
      </c>
      <c r="W148" s="783"/>
    </row>
    <row r="149" spans="1:23">
      <c r="A149" s="765" t="str">
        <f>IF(B149&lt;&gt;"",#REF!+1,"")</f>
        <v/>
      </c>
      <c r="B149" s="777"/>
      <c r="C149" s="766"/>
      <c r="D149" s="618">
        <f t="shared" si="33"/>
        <v>0</v>
      </c>
      <c r="E149" s="618"/>
      <c r="F149" s="618"/>
      <c r="G149" s="767">
        <f>D149*F149</f>
        <v>0</v>
      </c>
      <c r="H149" s="618">
        <f t="shared" si="34"/>
        <v>0</v>
      </c>
      <c r="I149" s="618">
        <f>IF($D$150&lt;&gt;0,I$150/$D$150*$D149,0)</f>
        <v>0</v>
      </c>
      <c r="J149" s="618">
        <f>IF($D$150&lt;&gt;0,J$150/$D$150*$D149,0)</f>
        <v>0</v>
      </c>
      <c r="K149" s="618">
        <f>IF($D$150&lt;&gt;0,K$150/$D$150*$D149,0)</f>
        <v>0</v>
      </c>
      <c r="L149" s="618"/>
      <c r="M149" s="618"/>
      <c r="N149" s="767">
        <f t="shared" si="36"/>
        <v>0</v>
      </c>
      <c r="O149" s="773"/>
      <c r="P149" s="618">
        <f t="shared" si="37"/>
        <v>0</v>
      </c>
      <c r="Q149" s="786"/>
      <c r="R149" s="509"/>
      <c r="S149" s="770"/>
      <c r="T149" s="232"/>
      <c r="U149" s="232"/>
      <c r="V149" s="783"/>
      <c r="W149" s="783"/>
    </row>
    <row r="150" spans="1:23">
      <c r="A150" s="788"/>
      <c r="B150" s="789" t="s">
        <v>546</v>
      </c>
      <c r="C150" s="790"/>
      <c r="D150" s="791">
        <f>SUM(D141:D149)</f>
        <v>182190</v>
      </c>
      <c r="E150" s="791"/>
      <c r="F150" s="791"/>
      <c r="G150" s="791">
        <f>SUM(G141:G149)</f>
        <v>3435293500</v>
      </c>
      <c r="H150" s="792">
        <v>138118860</v>
      </c>
      <c r="I150" s="792">
        <f>V150</f>
        <v>15919581</v>
      </c>
      <c r="J150" s="792">
        <v>64816618</v>
      </c>
      <c r="K150" s="792">
        <v>57138842</v>
      </c>
      <c r="L150" s="791">
        <f>ROUND(SUM(L141:L149),0)</f>
        <v>77378865</v>
      </c>
      <c r="M150" s="791">
        <f>ROUND(SUM(M141:M149),0)</f>
        <v>0</v>
      </c>
      <c r="N150" s="791">
        <f>ROUND(SUM(N141:N149),0)</f>
        <v>3788666266</v>
      </c>
      <c r="O150" s="791">
        <f>ROUND(SUM(O141:O149),0)</f>
        <v>38910</v>
      </c>
      <c r="P150" s="791"/>
      <c r="R150" s="820"/>
      <c r="S150" s="821"/>
      <c r="T150" s="822"/>
      <c r="U150" s="838"/>
      <c r="V150" s="791">
        <f>SUM(V141:V149)</f>
        <v>15919581</v>
      </c>
      <c r="W150" s="801">
        <f>SUM(W141:W149)</f>
        <v>0</v>
      </c>
    </row>
    <row r="151" spans="1:23">
      <c r="R151" s="797" t="s">
        <v>401</v>
      </c>
      <c r="S151" s="833">
        <v>42556</v>
      </c>
      <c r="T151" s="232">
        <v>600</v>
      </c>
      <c r="U151" s="232">
        <v>18200</v>
      </c>
      <c r="V151" s="767">
        <f t="shared" ref="V151:V163" si="41">ROUND(T151*U151,0)</f>
        <v>10920000</v>
      </c>
      <c r="W151" s="767"/>
    </row>
    <row r="152" spans="1:23">
      <c r="N152" s="1228"/>
      <c r="R152" s="797" t="s">
        <v>650</v>
      </c>
      <c r="S152" s="833">
        <v>42556</v>
      </c>
      <c r="T152" s="775">
        <v>2268</v>
      </c>
      <c r="U152" s="775">
        <v>11500</v>
      </c>
      <c r="V152" s="767">
        <f t="shared" si="41"/>
        <v>26082000</v>
      </c>
      <c r="W152" s="783"/>
    </row>
    <row r="153" spans="1:23">
      <c r="R153" s="774" t="s">
        <v>387</v>
      </c>
      <c r="S153" s="833">
        <v>42562</v>
      </c>
      <c r="T153" s="775">
        <v>227</v>
      </c>
      <c r="U153" s="775">
        <v>16800</v>
      </c>
      <c r="V153" s="767">
        <f t="shared" si="41"/>
        <v>3813600</v>
      </c>
      <c r="W153" s="783"/>
    </row>
    <row r="154" spans="1:23">
      <c r="R154" s="774" t="s">
        <v>387</v>
      </c>
      <c r="S154" s="833">
        <v>42576</v>
      </c>
      <c r="T154" s="775">
        <v>60</v>
      </c>
      <c r="U154" s="775">
        <v>5000</v>
      </c>
      <c r="V154" s="767">
        <f t="shared" si="41"/>
        <v>300000</v>
      </c>
      <c r="W154" s="783"/>
    </row>
    <row r="155" spans="1:23">
      <c r="R155" s="823" t="s">
        <v>1626</v>
      </c>
      <c r="S155" s="833">
        <v>42578</v>
      </c>
      <c r="T155" s="232">
        <v>240</v>
      </c>
      <c r="U155" s="232">
        <v>2400</v>
      </c>
      <c r="V155" s="767">
        <f t="shared" si="41"/>
        <v>576000</v>
      </c>
      <c r="W155" s="783"/>
    </row>
    <row r="156" spans="1:23">
      <c r="R156" s="774" t="s">
        <v>394</v>
      </c>
      <c r="S156" s="833">
        <v>42578</v>
      </c>
      <c r="T156" s="775">
        <v>240</v>
      </c>
      <c r="U156" s="775">
        <v>18000</v>
      </c>
      <c r="V156" s="767">
        <f t="shared" si="41"/>
        <v>4320000</v>
      </c>
      <c r="W156" s="783"/>
    </row>
    <row r="157" spans="1:23">
      <c r="R157" s="318" t="s">
        <v>1506</v>
      </c>
      <c r="S157" s="833">
        <v>42578</v>
      </c>
      <c r="T157" s="775">
        <v>233</v>
      </c>
      <c r="U157" s="775">
        <v>13000</v>
      </c>
      <c r="V157" s="767">
        <f t="shared" si="41"/>
        <v>3029000</v>
      </c>
      <c r="W157" s="783"/>
    </row>
    <row r="158" spans="1:23">
      <c r="R158" s="318" t="s">
        <v>1506</v>
      </c>
      <c r="S158" s="833">
        <v>42578</v>
      </c>
      <c r="T158" s="775">
        <v>50</v>
      </c>
      <c r="U158" s="775">
        <v>13000</v>
      </c>
      <c r="V158" s="767">
        <f t="shared" si="41"/>
        <v>650000</v>
      </c>
      <c r="W158" s="783"/>
    </row>
    <row r="159" spans="1:23">
      <c r="R159" s="516" t="s">
        <v>390</v>
      </c>
      <c r="S159" s="833">
        <v>42578</v>
      </c>
      <c r="T159" s="775">
        <v>192</v>
      </c>
      <c r="U159" s="775">
        <v>13500</v>
      </c>
      <c r="V159" s="767">
        <f t="shared" si="41"/>
        <v>2592000</v>
      </c>
      <c r="W159" s="783"/>
    </row>
    <row r="160" spans="1:23">
      <c r="R160" s="516" t="s">
        <v>384</v>
      </c>
      <c r="S160" s="833">
        <v>42578</v>
      </c>
      <c r="T160" s="775">
        <v>5619</v>
      </c>
      <c r="U160" s="775">
        <v>4466.322284402353</v>
      </c>
      <c r="V160" s="767">
        <f t="shared" si="41"/>
        <v>25096265</v>
      </c>
      <c r="W160" s="783"/>
    </row>
    <row r="161" spans="1:23">
      <c r="R161" s="774"/>
      <c r="S161" s="833"/>
      <c r="T161" s="775"/>
      <c r="U161" s="775"/>
      <c r="V161" s="767">
        <f t="shared" si="41"/>
        <v>0</v>
      </c>
      <c r="W161" s="783"/>
    </row>
    <row r="162" spans="1:23">
      <c r="R162" s="774"/>
      <c r="S162" s="833"/>
      <c r="T162" s="775"/>
      <c r="U162" s="775"/>
      <c r="V162" s="767"/>
      <c r="W162" s="783"/>
    </row>
    <row r="163" spans="1:23">
      <c r="R163" s="797"/>
      <c r="S163" s="770"/>
      <c r="T163" s="775"/>
      <c r="U163" s="775"/>
      <c r="V163" s="767">
        <f t="shared" si="41"/>
        <v>0</v>
      </c>
      <c r="W163" s="783"/>
    </row>
    <row r="164" spans="1:23" ht="16.5" customHeight="1">
      <c r="A164" s="742" t="s">
        <v>529</v>
      </c>
      <c r="B164" s="742"/>
      <c r="C164" s="743"/>
      <c r="D164" s="744"/>
      <c r="E164" s="744"/>
      <c r="F164" s="744"/>
      <c r="G164" s="741"/>
      <c r="H164" s="741"/>
      <c r="I164" s="741"/>
      <c r="J164" s="741"/>
      <c r="K164" s="741"/>
      <c r="L164" s="745"/>
      <c r="M164" s="741"/>
      <c r="N164" s="741"/>
      <c r="O164" s="746"/>
      <c r="P164" s="741"/>
      <c r="R164" s="741"/>
      <c r="S164" s="748"/>
    </row>
    <row r="165" spans="1:23" ht="16.5" customHeight="1">
      <c r="A165" s="749" t="s">
        <v>553</v>
      </c>
      <c r="B165" s="749"/>
      <c r="C165" s="749"/>
      <c r="D165" s="749"/>
      <c r="E165" s="749"/>
      <c r="F165" s="749"/>
      <c r="G165" s="749"/>
      <c r="H165" s="749"/>
      <c r="I165" s="749"/>
      <c r="J165" s="749"/>
      <c r="K165" s="749"/>
      <c r="L165" s="749"/>
      <c r="M165" s="749"/>
      <c r="N165" s="749"/>
      <c r="O165" s="749"/>
      <c r="P165" s="749"/>
      <c r="Q165" s="747"/>
      <c r="R165" s="741"/>
      <c r="S165" s="748"/>
    </row>
    <row r="166" spans="1:23" ht="11.25" customHeight="1">
      <c r="A166" s="750"/>
      <c r="B166" s="750"/>
      <c r="C166" s="751"/>
      <c r="D166" s="750"/>
      <c r="E166" s="750"/>
      <c r="F166" s="750"/>
      <c r="G166" s="750"/>
      <c r="H166" s="750"/>
      <c r="I166" s="750"/>
      <c r="J166" s="750"/>
      <c r="K166" s="750"/>
      <c r="L166" s="749"/>
      <c r="M166" s="750"/>
      <c r="N166" s="750"/>
      <c r="O166" s="752"/>
      <c r="P166" s="750"/>
      <c r="Q166" s="747"/>
      <c r="R166" s="741"/>
      <c r="S166" s="748"/>
    </row>
    <row r="167" spans="1:23" ht="11.25" customHeight="1">
      <c r="A167" s="753"/>
      <c r="B167" s="753"/>
      <c r="C167" s="754"/>
      <c r="D167" s="753"/>
      <c r="E167" s="753"/>
      <c r="F167" s="753"/>
      <c r="G167" s="753"/>
      <c r="H167" s="753"/>
      <c r="I167" s="753"/>
      <c r="J167" s="753"/>
      <c r="K167" s="753"/>
      <c r="L167" s="753"/>
      <c r="M167" s="753"/>
      <c r="N167" s="753"/>
      <c r="O167" s="755"/>
      <c r="P167" s="753"/>
      <c r="Q167" s="747"/>
      <c r="R167" s="741"/>
      <c r="S167" s="748"/>
    </row>
    <row r="168" spans="1:23" ht="28.5" customHeight="1">
      <c r="A168" s="758" t="s">
        <v>37</v>
      </c>
      <c r="B168" s="758" t="s">
        <v>531</v>
      </c>
      <c r="C168" s="759" t="s">
        <v>532</v>
      </c>
      <c r="D168" s="760" t="s">
        <v>533</v>
      </c>
      <c r="E168" s="760" t="s">
        <v>534</v>
      </c>
      <c r="F168" s="760" t="s">
        <v>535</v>
      </c>
      <c r="G168" s="760" t="s">
        <v>536</v>
      </c>
      <c r="H168" s="760" t="s">
        <v>537</v>
      </c>
      <c r="I168" s="760" t="s">
        <v>538</v>
      </c>
      <c r="J168" s="760" t="s">
        <v>539</v>
      </c>
      <c r="K168" s="761" t="s">
        <v>540</v>
      </c>
      <c r="L168" s="760" t="s">
        <v>541</v>
      </c>
      <c r="M168" s="761" t="s">
        <v>542</v>
      </c>
      <c r="N168" s="760" t="s">
        <v>543</v>
      </c>
      <c r="O168" s="762" t="s">
        <v>534</v>
      </c>
      <c r="P168" s="760" t="s">
        <v>544</v>
      </c>
      <c r="Q168" s="747"/>
      <c r="R168" s="758" t="s">
        <v>531</v>
      </c>
      <c r="S168" s="760" t="s">
        <v>498</v>
      </c>
      <c r="T168" s="760" t="s">
        <v>337</v>
      </c>
      <c r="U168" s="760" t="s">
        <v>535</v>
      </c>
      <c r="V168" s="760" t="s">
        <v>545</v>
      </c>
      <c r="W168" s="758" t="s">
        <v>545</v>
      </c>
    </row>
    <row r="169" spans="1:23" s="764" customFormat="1" ht="12" customHeight="1">
      <c r="A169" s="765">
        <f>IF(B169&lt;&gt;"",ROW()-(ROW()-1),"")</f>
        <v>1</v>
      </c>
      <c r="B169" s="777" t="s">
        <v>463</v>
      </c>
      <c r="C169" s="766">
        <v>3</v>
      </c>
      <c r="D169" s="618">
        <f t="shared" ref="D169:D174" si="42">ROUND(C169*O169,0)</f>
        <v>78000</v>
      </c>
      <c r="E169" s="618"/>
      <c r="F169" s="618">
        <v>17500</v>
      </c>
      <c r="G169" s="767">
        <f>(D169+E169)*F169</f>
        <v>1365000000</v>
      </c>
      <c r="H169" s="618">
        <f>IF($D$176&lt;&gt;0,H$176/($D$176+$E$176/5)*($D169+$E169/5),0)</f>
        <v>65267298.806800619</v>
      </c>
      <c r="I169" s="618">
        <f t="shared" ref="I169:K174" si="43">IF($D$176&lt;&gt;0,I$176/($D$176+$E$176/5)*($D169+$E169/5),0)</f>
        <v>33285272.494590417</v>
      </c>
      <c r="J169" s="618">
        <f t="shared" si="43"/>
        <v>43204982.652241111</v>
      </c>
      <c r="K169" s="618">
        <f t="shared" si="43"/>
        <v>27553815.616692428</v>
      </c>
      <c r="L169" s="767">
        <f t="shared" ref="L169" si="44">V179</f>
        <v>25096265</v>
      </c>
      <c r="M169" s="618"/>
      <c r="N169" s="767">
        <f>ROUND(SUM(G169:M169),0)</f>
        <v>1559407635</v>
      </c>
      <c r="O169" s="618">
        <v>26000</v>
      </c>
      <c r="P169" s="618">
        <f t="shared" ref="P169:P174" si="45">IF(N169&lt;&gt;0,N169/O169,0)</f>
        <v>59977.216730769229</v>
      </c>
      <c r="Q169" s="763"/>
      <c r="R169" s="504" t="s">
        <v>339</v>
      </c>
      <c r="S169" s="833">
        <v>42583</v>
      </c>
      <c r="T169" s="232">
        <v>25</v>
      </c>
      <c r="U169" s="771">
        <v>35444.444444444445</v>
      </c>
      <c r="V169" s="767">
        <f t="shared" ref="V169:V176" si="46">ROUND(T169*U169,0)</f>
        <v>886111</v>
      </c>
      <c r="W169" s="767"/>
    </row>
    <row r="170" spans="1:23" s="764" customFormat="1" ht="12" customHeight="1">
      <c r="A170" s="765">
        <f>IF(B170&lt;&gt;"",A169+1,"")</f>
        <v>2</v>
      </c>
      <c r="B170" s="777" t="s">
        <v>1904</v>
      </c>
      <c r="C170" s="766">
        <v>7</v>
      </c>
      <c r="D170" s="618">
        <f t="shared" si="42"/>
        <v>70000</v>
      </c>
      <c r="E170" s="618"/>
      <c r="F170" s="618">
        <v>17500</v>
      </c>
      <c r="G170" s="767">
        <f t="shared" ref="G170:G174" si="47">(D170+E170)*F170</f>
        <v>1225000000</v>
      </c>
      <c r="H170" s="618">
        <f t="shared" ref="H170:H174" si="48">IF($D$176&lt;&gt;0,H$176/($D$176+$E$176/5)*($D170+$E170/5),0)</f>
        <v>58573216.877897993</v>
      </c>
      <c r="I170" s="618">
        <f t="shared" si="43"/>
        <v>29871398.392581142</v>
      </c>
      <c r="J170" s="618">
        <f t="shared" si="43"/>
        <v>38773702.380216382</v>
      </c>
      <c r="K170" s="618">
        <f t="shared" si="43"/>
        <v>24727783.245749615</v>
      </c>
      <c r="L170" s="767">
        <f t="shared" ref="L170:L174" si="49">V180</f>
        <v>15135000</v>
      </c>
      <c r="M170" s="618"/>
      <c r="N170" s="767">
        <f t="shared" ref="N170:N174" si="50">ROUND(SUM(G170:M170),0)</f>
        <v>1392081101</v>
      </c>
      <c r="O170" s="618">
        <v>10000</v>
      </c>
      <c r="P170" s="618">
        <f t="shared" si="45"/>
        <v>139208.11009999999</v>
      </c>
      <c r="Q170" s="763"/>
      <c r="R170" s="509" t="s">
        <v>345</v>
      </c>
      <c r="S170" s="833">
        <v>42583</v>
      </c>
      <c r="T170" s="232">
        <v>60</v>
      </c>
      <c r="U170" s="775">
        <v>46741.2</v>
      </c>
      <c r="V170" s="767">
        <f t="shared" si="46"/>
        <v>2804472</v>
      </c>
      <c r="W170" s="767"/>
    </row>
    <row r="171" spans="1:23" s="764" customFormat="1" ht="12" customHeight="1">
      <c r="A171" s="765">
        <f>IF(B171&lt;&gt;"",A170+1,"")</f>
        <v>3</v>
      </c>
      <c r="B171" s="777" t="s">
        <v>1907</v>
      </c>
      <c r="C171" s="766">
        <v>1</v>
      </c>
      <c r="D171" s="618">
        <f t="shared" si="42"/>
        <v>8100</v>
      </c>
      <c r="E171" s="618"/>
      <c r="F171" s="618">
        <v>11165</v>
      </c>
      <c r="G171" s="767">
        <f t="shared" si="47"/>
        <v>90436500</v>
      </c>
      <c r="H171" s="618">
        <f t="shared" si="48"/>
        <v>6777757.9530139109</v>
      </c>
      <c r="I171" s="618">
        <f t="shared" si="43"/>
        <v>3456547.5282843895</v>
      </c>
      <c r="J171" s="618">
        <f t="shared" si="43"/>
        <v>4486671.2754250383</v>
      </c>
      <c r="K171" s="618">
        <f t="shared" si="43"/>
        <v>2861357.7755795983</v>
      </c>
      <c r="L171" s="767">
        <f t="shared" si="49"/>
        <v>2700000</v>
      </c>
      <c r="M171" s="618"/>
      <c r="N171" s="767">
        <f t="shared" si="50"/>
        <v>110718835</v>
      </c>
      <c r="O171" s="618">
        <v>8100</v>
      </c>
      <c r="P171" s="618">
        <f t="shared" si="45"/>
        <v>13668.991975308641</v>
      </c>
      <c r="Q171" s="763"/>
      <c r="R171" s="509" t="s">
        <v>348</v>
      </c>
      <c r="S171" s="833">
        <v>42583</v>
      </c>
      <c r="T171" s="232">
        <v>400</v>
      </c>
      <c r="U171" s="775">
        <v>14523.81</v>
      </c>
      <c r="V171" s="767">
        <f t="shared" si="46"/>
        <v>5809524</v>
      </c>
      <c r="W171" s="767"/>
    </row>
    <row r="172" spans="1:23" s="764" customFormat="1" ht="12" customHeight="1">
      <c r="A172" s="765">
        <f>IF(B172&lt;&gt;"",A171+1,"")</f>
        <v>4</v>
      </c>
      <c r="B172" s="777" t="s">
        <v>1908</v>
      </c>
      <c r="C172" s="766">
        <v>1</v>
      </c>
      <c r="D172" s="618">
        <f t="shared" si="42"/>
        <v>3150</v>
      </c>
      <c r="E172" s="618"/>
      <c r="F172" s="618">
        <v>11165</v>
      </c>
      <c r="G172" s="767">
        <f t="shared" si="47"/>
        <v>35169750</v>
      </c>
      <c r="H172" s="618">
        <f t="shared" si="48"/>
        <v>2635794.7595054097</v>
      </c>
      <c r="I172" s="618">
        <f t="shared" si="43"/>
        <v>1344212.9276661514</v>
      </c>
      <c r="J172" s="618">
        <f t="shared" si="43"/>
        <v>1744816.6071097371</v>
      </c>
      <c r="K172" s="618">
        <f t="shared" si="43"/>
        <v>1112750.2460587327</v>
      </c>
      <c r="L172" s="767">
        <f t="shared" si="49"/>
        <v>100000</v>
      </c>
      <c r="M172" s="618"/>
      <c r="N172" s="767">
        <f t="shared" si="50"/>
        <v>42107325</v>
      </c>
      <c r="O172" s="618">
        <v>3150</v>
      </c>
      <c r="P172" s="618">
        <f t="shared" si="45"/>
        <v>13367.404761904761</v>
      </c>
      <c r="Q172" s="763"/>
      <c r="R172" s="509" t="s">
        <v>353</v>
      </c>
      <c r="S172" s="833">
        <v>42583</v>
      </c>
      <c r="T172" s="232">
        <v>1000</v>
      </c>
      <c r="U172" s="775">
        <v>3200</v>
      </c>
      <c r="V172" s="767">
        <f t="shared" si="46"/>
        <v>3200000</v>
      </c>
      <c r="W172" s="767"/>
    </row>
    <row r="173" spans="1:23" s="764" customFormat="1" ht="12" customHeight="1">
      <c r="A173" s="765">
        <f>IF(B173&lt;&gt;"",A172+1,"")</f>
        <v>5</v>
      </c>
      <c r="B173" s="777" t="s">
        <v>1911</v>
      </c>
      <c r="C173" s="766">
        <v>5</v>
      </c>
      <c r="D173" s="618">
        <f t="shared" si="42"/>
        <v>2500</v>
      </c>
      <c r="E173" s="618"/>
      <c r="F173" s="618">
        <v>47000</v>
      </c>
      <c r="G173" s="767">
        <f t="shared" si="47"/>
        <v>117500000</v>
      </c>
      <c r="H173" s="618">
        <f t="shared" si="48"/>
        <v>2091900.6027820711</v>
      </c>
      <c r="I173" s="618">
        <f t="shared" si="43"/>
        <v>1066835.6568778979</v>
      </c>
      <c r="J173" s="618">
        <f t="shared" si="43"/>
        <v>1384775.0850077278</v>
      </c>
      <c r="K173" s="618">
        <f t="shared" si="43"/>
        <v>883135.11591962911</v>
      </c>
      <c r="L173" s="767">
        <f t="shared" si="49"/>
        <v>1320000</v>
      </c>
      <c r="M173" s="618"/>
      <c r="N173" s="767">
        <f t="shared" si="50"/>
        <v>124246646</v>
      </c>
      <c r="O173" s="618">
        <v>500</v>
      </c>
      <c r="P173" s="618">
        <f t="shared" si="45"/>
        <v>248493.29199999999</v>
      </c>
      <c r="Q173" s="763"/>
      <c r="R173" s="512" t="s">
        <v>356</v>
      </c>
      <c r="S173" s="833">
        <v>42583</v>
      </c>
      <c r="T173" s="232">
        <v>2970</v>
      </c>
      <c r="U173" s="775">
        <v>14728</v>
      </c>
      <c r="V173" s="767">
        <f t="shared" si="46"/>
        <v>43742160</v>
      </c>
      <c r="W173" s="767"/>
    </row>
    <row r="174" spans="1:23" s="764" customFormat="1" ht="12" customHeight="1">
      <c r="A174" s="765" t="str">
        <f>IF(B174&lt;&gt;"",A173+1,"")</f>
        <v/>
      </c>
      <c r="B174" s="777"/>
      <c r="C174" s="766"/>
      <c r="D174" s="618">
        <f t="shared" si="42"/>
        <v>0</v>
      </c>
      <c r="E174" s="618"/>
      <c r="F174" s="618"/>
      <c r="G174" s="767">
        <f t="shared" si="47"/>
        <v>0</v>
      </c>
      <c r="H174" s="618">
        <f t="shared" si="48"/>
        <v>0</v>
      </c>
      <c r="I174" s="618">
        <f t="shared" si="43"/>
        <v>0</v>
      </c>
      <c r="J174" s="618">
        <f t="shared" si="43"/>
        <v>0</v>
      </c>
      <c r="K174" s="618">
        <f t="shared" si="43"/>
        <v>0</v>
      </c>
      <c r="L174" s="767">
        <f t="shared" si="49"/>
        <v>0</v>
      </c>
      <c r="M174" s="618"/>
      <c r="N174" s="767">
        <f t="shared" si="50"/>
        <v>0</v>
      </c>
      <c r="O174" s="618"/>
      <c r="P174" s="618">
        <f t="shared" si="45"/>
        <v>0</v>
      </c>
      <c r="Q174" s="763"/>
      <c r="R174" s="512" t="s">
        <v>1402</v>
      </c>
      <c r="S174" s="833">
        <v>42583</v>
      </c>
      <c r="T174" s="232">
        <v>250</v>
      </c>
      <c r="U174" s="775">
        <v>12728</v>
      </c>
      <c r="V174" s="767">
        <f t="shared" si="46"/>
        <v>3182000</v>
      </c>
      <c r="W174" s="767"/>
    </row>
    <row r="175" spans="1:23" s="764" customFormat="1" ht="12" customHeight="1">
      <c r="A175" s="765" t="str">
        <f>IF(B175&lt;&gt;"",#REF!+1,"")</f>
        <v/>
      </c>
      <c r="B175" s="778"/>
      <c r="C175" s="766">
        <f>IF(ISNA(VLOOKUP(B175,NXT!$Q$72:$S$92,2,0)),0,VLOOKUP(B175,NXT!$Q$72:$S$92,2,0))</f>
        <v>0</v>
      </c>
      <c r="D175" s="781"/>
      <c r="E175" s="781"/>
      <c r="F175" s="781"/>
      <c r="G175" s="782"/>
      <c r="H175" s="827"/>
      <c r="I175" s="781"/>
      <c r="J175" s="783"/>
      <c r="K175" s="781"/>
      <c r="L175" s="784"/>
      <c r="M175" s="781"/>
      <c r="N175" s="815"/>
      <c r="O175" s="785"/>
      <c r="P175" s="781"/>
      <c r="Q175" s="763"/>
      <c r="R175" s="512" t="s">
        <v>359</v>
      </c>
      <c r="S175" s="833">
        <v>42586</v>
      </c>
      <c r="T175" s="232">
        <v>350</v>
      </c>
      <c r="U175" s="232">
        <v>8000</v>
      </c>
      <c r="V175" s="767">
        <f t="shared" si="46"/>
        <v>2800000</v>
      </c>
      <c r="W175" s="767"/>
    </row>
    <row r="176" spans="1:23" ht="12" customHeight="1">
      <c r="A176" s="788"/>
      <c r="B176" s="789" t="s">
        <v>546</v>
      </c>
      <c r="C176" s="790"/>
      <c r="D176" s="791">
        <f>SUM(D169:D175)</f>
        <v>161750</v>
      </c>
      <c r="E176" s="791">
        <f>SUM(E169:E173)</f>
        <v>0</v>
      </c>
      <c r="F176" s="791"/>
      <c r="G176" s="791">
        <f>SUM(G169:G175)</f>
        <v>2833106250</v>
      </c>
      <c r="H176" s="792">
        <v>135345969</v>
      </c>
      <c r="I176" s="792">
        <f>V178</f>
        <v>69024267</v>
      </c>
      <c r="J176" s="792">
        <v>89594948</v>
      </c>
      <c r="K176" s="792">
        <v>57138842</v>
      </c>
      <c r="L176" s="791">
        <f>SUM(L169:L175)</f>
        <v>44351265</v>
      </c>
      <c r="M176" s="791">
        <f>SUM(M169:M175)</f>
        <v>0</v>
      </c>
      <c r="N176" s="791">
        <f>ROUND(SUM(N169:N175),0)</f>
        <v>3228561542</v>
      </c>
      <c r="O176" s="791">
        <f>ROUND(SUM(O169:O175),0)</f>
        <v>47750</v>
      </c>
      <c r="P176" s="791"/>
      <c r="Q176" s="786"/>
      <c r="R176" s="512" t="s">
        <v>363</v>
      </c>
      <c r="S176" s="833">
        <v>42586</v>
      </c>
      <c r="T176" s="232">
        <v>200</v>
      </c>
      <c r="U176" s="775">
        <v>33000</v>
      </c>
      <c r="V176" s="767">
        <f t="shared" si="46"/>
        <v>6600000</v>
      </c>
      <c r="W176" s="783"/>
    </row>
    <row r="177" spans="1:23" ht="12" customHeight="1">
      <c r="Q177" s="786"/>
      <c r="R177" s="774"/>
      <c r="S177" s="770"/>
      <c r="T177" s="232"/>
      <c r="U177" s="232"/>
      <c r="V177" s="767"/>
      <c r="W177" s="783"/>
    </row>
    <row r="178" spans="1:23" ht="12" customHeight="1">
      <c r="N178" s="1228"/>
      <c r="Q178" s="786"/>
      <c r="R178" s="820"/>
      <c r="S178" s="821"/>
      <c r="T178" s="822"/>
      <c r="U178" s="838"/>
      <c r="V178" s="801">
        <f>SUM(V169:V177)</f>
        <v>69024267</v>
      </c>
      <c r="W178" s="801">
        <f>SUM(W169:W177)</f>
        <v>0</v>
      </c>
    </row>
    <row r="179" spans="1:23" ht="12" customHeight="1">
      <c r="N179" s="1228"/>
      <c r="Q179" s="786"/>
      <c r="R179" s="516" t="s">
        <v>384</v>
      </c>
      <c r="S179" s="833">
        <v>42592</v>
      </c>
      <c r="T179" s="775">
        <v>5619</v>
      </c>
      <c r="U179" s="775">
        <v>4466.322284402353</v>
      </c>
      <c r="V179" s="767">
        <f t="shared" ref="V179:V186" si="51">ROUND(T179*U179,0)</f>
        <v>25096265</v>
      </c>
      <c r="W179" s="783"/>
    </row>
    <row r="180" spans="1:23" ht="12" customHeight="1">
      <c r="Q180" s="786"/>
      <c r="R180" s="320" t="s">
        <v>1830</v>
      </c>
      <c r="S180" s="833">
        <v>42597</v>
      </c>
      <c r="T180" s="435">
        <v>1009</v>
      </c>
      <c r="U180" s="435">
        <v>15000</v>
      </c>
      <c r="V180" s="767">
        <f t="shared" si="51"/>
        <v>15135000</v>
      </c>
      <c r="W180" s="767"/>
    </row>
    <row r="181" spans="1:23" ht="12" customHeight="1">
      <c r="Q181" s="786"/>
      <c r="R181" s="774" t="s">
        <v>387</v>
      </c>
      <c r="S181" s="833">
        <v>42604</v>
      </c>
      <c r="T181" s="775">
        <v>540</v>
      </c>
      <c r="U181" s="775">
        <v>5000</v>
      </c>
      <c r="V181" s="767">
        <f t="shared" si="51"/>
        <v>2700000</v>
      </c>
      <c r="W181" s="783"/>
    </row>
    <row r="182" spans="1:23" ht="12" customHeight="1">
      <c r="I182" s="803"/>
      <c r="Q182" s="786"/>
      <c r="R182" s="774" t="s">
        <v>387</v>
      </c>
      <c r="S182" s="833">
        <v>42604</v>
      </c>
      <c r="T182" s="775">
        <v>20</v>
      </c>
      <c r="U182" s="775">
        <v>5000</v>
      </c>
      <c r="V182" s="767">
        <f t="shared" si="51"/>
        <v>100000</v>
      </c>
      <c r="W182" s="783"/>
    </row>
    <row r="183" spans="1:23" ht="12" customHeight="1">
      <c r="G183" s="803"/>
      <c r="H183" s="803"/>
      <c r="I183" s="803"/>
      <c r="J183" s="803"/>
      <c r="K183" s="803"/>
      <c r="L183" s="803"/>
      <c r="M183" s="803"/>
      <c r="N183" s="803"/>
      <c r="Q183" s="786"/>
      <c r="R183" s="320" t="s">
        <v>1828</v>
      </c>
      <c r="S183" s="770">
        <v>42606</v>
      </c>
      <c r="T183" s="435">
        <v>120</v>
      </c>
      <c r="U183" s="435">
        <v>11000</v>
      </c>
      <c r="V183" s="767">
        <f t="shared" si="51"/>
        <v>1320000</v>
      </c>
      <c r="W183" s="783"/>
    </row>
    <row r="184" spans="1:23" ht="12" customHeight="1">
      <c r="G184" s="741"/>
      <c r="H184" s="741"/>
      <c r="I184" s="741"/>
      <c r="J184" s="741"/>
      <c r="K184" s="741"/>
      <c r="L184" s="741"/>
      <c r="M184" s="741"/>
      <c r="N184" s="741"/>
      <c r="Q184" s="786"/>
      <c r="R184" s="318"/>
      <c r="S184" s="770"/>
      <c r="T184" s="775"/>
      <c r="U184" s="775"/>
      <c r="V184" s="767">
        <f t="shared" si="51"/>
        <v>0</v>
      </c>
      <c r="W184" s="783"/>
    </row>
    <row r="185" spans="1:23" ht="12" customHeight="1">
      <c r="Q185" s="786"/>
      <c r="R185" s="516"/>
      <c r="S185" s="770"/>
      <c r="T185" s="775"/>
      <c r="U185" s="775"/>
      <c r="V185" s="767">
        <f t="shared" si="51"/>
        <v>0</v>
      </c>
      <c r="W185" s="783"/>
    </row>
    <row r="186" spans="1:23" s="787" customFormat="1" ht="12" customHeight="1">
      <c r="A186" s="738"/>
      <c r="B186" s="738"/>
      <c r="C186" s="738"/>
      <c r="D186" s="738"/>
      <c r="E186" s="738"/>
      <c r="F186" s="738"/>
      <c r="G186" s="738"/>
      <c r="H186" s="738"/>
      <c r="I186" s="738"/>
      <c r="J186" s="738"/>
      <c r="K186" s="738"/>
      <c r="L186" s="738"/>
      <c r="M186" s="738"/>
      <c r="N186" s="738"/>
      <c r="O186" s="738"/>
      <c r="P186" s="738"/>
      <c r="Q186" s="786"/>
      <c r="R186" s="797"/>
      <c r="S186" s="770"/>
      <c r="T186" s="775"/>
      <c r="U186" s="775"/>
      <c r="V186" s="767">
        <f t="shared" si="51"/>
        <v>0</v>
      </c>
      <c r="W186" s="783"/>
    </row>
    <row r="187" spans="1:23" s="742" customFormat="1" ht="12" customHeight="1">
      <c r="A187" s="738"/>
      <c r="B187" s="738"/>
      <c r="C187" s="738"/>
      <c r="D187" s="738"/>
      <c r="E187" s="738"/>
      <c r="F187" s="738"/>
      <c r="G187" s="738"/>
      <c r="H187" s="738"/>
      <c r="I187" s="738"/>
      <c r="J187" s="738"/>
      <c r="K187" s="738"/>
      <c r="L187" s="738"/>
      <c r="M187" s="738"/>
      <c r="N187" s="738"/>
      <c r="O187" s="738"/>
      <c r="P187" s="738"/>
      <c r="Q187" s="786"/>
      <c r="R187" s="741"/>
      <c r="S187" s="748"/>
      <c r="T187" s="741"/>
      <c r="U187" s="741"/>
      <c r="V187" s="738"/>
      <c r="W187" s="738"/>
    </row>
    <row r="188" spans="1:23" ht="12" customHeight="1">
      <c r="R188" s="741"/>
      <c r="S188" s="748"/>
    </row>
    <row r="189" spans="1:23" ht="12" customHeight="1">
      <c r="R189" s="741"/>
      <c r="S189" s="748"/>
    </row>
    <row r="190" spans="1:23" ht="12" customHeight="1">
      <c r="R190" s="741"/>
      <c r="S190" s="748"/>
    </row>
    <row r="191" spans="1:23" ht="12" customHeight="1">
      <c r="R191" s="741"/>
      <c r="S191" s="748"/>
    </row>
    <row r="192" spans="1:23" ht="12" customHeight="1">
      <c r="R192" s="741"/>
      <c r="S192" s="748"/>
    </row>
    <row r="193" spans="1:23" ht="12" customHeight="1">
      <c r="R193" s="741"/>
      <c r="S193" s="748"/>
    </row>
    <row r="194" spans="1:23" ht="12" customHeight="1">
      <c r="R194" s="741"/>
      <c r="S194" s="748"/>
    </row>
    <row r="195" spans="1:23" ht="12" customHeight="1">
      <c r="R195" s="741"/>
      <c r="S195" s="748"/>
    </row>
    <row r="196" spans="1:23">
      <c r="R196" s="741"/>
      <c r="S196" s="748"/>
    </row>
    <row r="197" spans="1:23" ht="20.25" customHeight="1">
      <c r="A197" s="742" t="s">
        <v>529</v>
      </c>
      <c r="B197" s="742"/>
      <c r="C197" s="743"/>
      <c r="D197" s="744"/>
      <c r="E197" s="744"/>
      <c r="F197" s="744"/>
      <c r="G197" s="741"/>
      <c r="H197" s="741"/>
      <c r="I197" s="741"/>
      <c r="J197" s="741"/>
      <c r="K197" s="741"/>
      <c r="L197" s="745"/>
      <c r="M197" s="741"/>
      <c r="N197" s="741"/>
      <c r="O197" s="746"/>
      <c r="P197" s="741"/>
      <c r="R197" s="741"/>
      <c r="S197" s="748"/>
    </row>
    <row r="198" spans="1:23" ht="20.25" customHeight="1">
      <c r="A198" s="749" t="s">
        <v>554</v>
      </c>
      <c r="B198" s="749"/>
      <c r="C198" s="749"/>
      <c r="D198" s="749"/>
      <c r="E198" s="749"/>
      <c r="F198" s="749"/>
      <c r="G198" s="749"/>
      <c r="H198" s="749"/>
      <c r="I198" s="749"/>
      <c r="J198" s="749"/>
      <c r="K198" s="749"/>
      <c r="L198" s="749"/>
      <c r="M198" s="749"/>
      <c r="N198" s="749"/>
      <c r="O198" s="749"/>
      <c r="P198" s="749"/>
      <c r="Q198" s="747"/>
      <c r="R198" s="741"/>
      <c r="S198" s="748"/>
    </row>
    <row r="199" spans="1:23" ht="12" customHeight="1">
      <c r="A199" s="750"/>
      <c r="B199" s="750"/>
      <c r="C199" s="751"/>
      <c r="D199" s="750"/>
      <c r="E199" s="750"/>
      <c r="F199" s="750"/>
      <c r="G199" s="750"/>
      <c r="H199" s="750"/>
      <c r="I199" s="750"/>
      <c r="J199" s="750"/>
      <c r="K199" s="750"/>
      <c r="L199" s="749"/>
      <c r="M199" s="750"/>
      <c r="N199" s="750"/>
      <c r="O199" s="752"/>
      <c r="P199" s="750"/>
      <c r="Q199" s="747"/>
      <c r="R199" s="741"/>
      <c r="S199" s="748"/>
    </row>
    <row r="200" spans="1:23" ht="12" customHeight="1">
      <c r="A200" s="753"/>
      <c r="B200" s="753"/>
      <c r="C200" s="754"/>
      <c r="D200" s="753"/>
      <c r="E200" s="753"/>
      <c r="F200" s="753"/>
      <c r="G200" s="753"/>
      <c r="H200" s="753"/>
      <c r="I200" s="753"/>
      <c r="J200" s="753"/>
      <c r="K200" s="753"/>
      <c r="L200" s="753"/>
      <c r="M200" s="753"/>
      <c r="N200" s="753"/>
      <c r="O200" s="755"/>
      <c r="P200" s="753"/>
      <c r="Q200" s="747"/>
      <c r="R200" s="741"/>
      <c r="S200" s="748"/>
    </row>
    <row r="201" spans="1:23" ht="36.75" customHeight="1">
      <c r="A201" s="758" t="s">
        <v>37</v>
      </c>
      <c r="B201" s="758" t="s">
        <v>531</v>
      </c>
      <c r="C201" s="759" t="s">
        <v>532</v>
      </c>
      <c r="D201" s="760" t="s">
        <v>533</v>
      </c>
      <c r="E201" s="760" t="s">
        <v>534</v>
      </c>
      <c r="F201" s="760" t="s">
        <v>535</v>
      </c>
      <c r="G201" s="760" t="s">
        <v>536</v>
      </c>
      <c r="H201" s="760" t="s">
        <v>537</v>
      </c>
      <c r="I201" s="760" t="s">
        <v>538</v>
      </c>
      <c r="J201" s="760" t="s">
        <v>539</v>
      </c>
      <c r="K201" s="761" t="s">
        <v>540</v>
      </c>
      <c r="L201" s="760" t="s">
        <v>541</v>
      </c>
      <c r="M201" s="761" t="s">
        <v>542</v>
      </c>
      <c r="N201" s="760" t="s">
        <v>543</v>
      </c>
      <c r="O201" s="762" t="s">
        <v>534</v>
      </c>
      <c r="P201" s="760" t="s">
        <v>544</v>
      </c>
      <c r="Q201" s="747"/>
      <c r="R201" s="758" t="s">
        <v>531</v>
      </c>
      <c r="S201" s="760" t="s">
        <v>498</v>
      </c>
      <c r="T201" s="760" t="s">
        <v>337</v>
      </c>
      <c r="U201" s="760" t="s">
        <v>535</v>
      </c>
      <c r="V201" s="760" t="s">
        <v>545</v>
      </c>
      <c r="W201" s="758" t="s">
        <v>545</v>
      </c>
    </row>
    <row r="202" spans="1:23" s="764" customFormat="1" ht="13.5" customHeight="1">
      <c r="A202" s="765">
        <f>IF(B202&lt;&gt;"",ROW()-(ROW()-1),"")</f>
        <v>1</v>
      </c>
      <c r="B202" s="777" t="s">
        <v>442</v>
      </c>
      <c r="C202" s="766">
        <v>5</v>
      </c>
      <c r="D202" s="618">
        <f t="shared" ref="D202:D209" si="52">ROUND(C202*O202,0)</f>
        <v>12565</v>
      </c>
      <c r="E202" s="618"/>
      <c r="F202" s="1232">
        <v>25500</v>
      </c>
      <c r="G202" s="767">
        <f t="shared" ref="G202:G209" si="53">(D202+E202)*F202</f>
        <v>320407500</v>
      </c>
      <c r="H202" s="618">
        <f>IF($D$211&lt;&gt;0,H$211/($D$211+$E$211/5)*($D202+$E202/5),0)</f>
        <v>12343652.968905374</v>
      </c>
      <c r="I202" s="618">
        <f t="shared" ref="I202:K209" si="54">IF($D$211&lt;&gt;0,I$211/$D$211*$D202,0)</f>
        <v>2599109.8265625341</v>
      </c>
      <c r="J202" s="618">
        <f t="shared" si="54"/>
        <v>6300048.664614982</v>
      </c>
      <c r="K202" s="618">
        <f t="shared" si="54"/>
        <v>5211104.8589346241</v>
      </c>
      <c r="L202" s="767">
        <f>V219+V220</f>
        <v>43082400</v>
      </c>
      <c r="M202" s="618"/>
      <c r="N202" s="767">
        <f t="shared" ref="N202:N209" si="55">ROUND(SUM(G202:L202),0)</f>
        <v>389943816</v>
      </c>
      <c r="O202" s="618">
        <v>2513</v>
      </c>
      <c r="P202" s="618">
        <f t="shared" ref="P202:P209" si="56">IF(N202&lt;&gt;0,N202/O202,0)</f>
        <v>155170.63907680064</v>
      </c>
      <c r="Q202" s="763"/>
      <c r="R202" s="769" t="s">
        <v>339</v>
      </c>
      <c r="S202" s="1234">
        <v>42616</v>
      </c>
      <c r="T202" s="1235">
        <v>20</v>
      </c>
      <c r="U202" s="1235">
        <v>35444.444439999999</v>
      </c>
      <c r="V202" s="767">
        <f t="shared" ref="V202:V214" si="57">ROUND(T202*U202,0)</f>
        <v>708889</v>
      </c>
      <c r="W202" s="767"/>
    </row>
    <row r="203" spans="1:23" ht="13.5" customHeight="1">
      <c r="A203" s="765">
        <f>IF(B203&lt;&gt;"",A202+1,"")</f>
        <v>2</v>
      </c>
      <c r="B203" s="777" t="s">
        <v>438</v>
      </c>
      <c r="C203" s="766">
        <v>4.5</v>
      </c>
      <c r="D203" s="618">
        <v>84038</v>
      </c>
      <c r="E203" s="618"/>
      <c r="F203" s="1232">
        <v>18000</v>
      </c>
      <c r="G203" s="767">
        <f t="shared" si="53"/>
        <v>1512684000</v>
      </c>
      <c r="H203" s="618">
        <f t="shared" ref="H203:H209" si="58">IF($D$211&lt;&gt;0,H$211/($D$211+$E$211/5)*($D203+$E203/5),0)</f>
        <v>82557573.275039375</v>
      </c>
      <c r="I203" s="618">
        <f t="shared" si="54"/>
        <v>17383524.998381395</v>
      </c>
      <c r="J203" s="618">
        <f t="shared" si="54"/>
        <v>42136370.049893662</v>
      </c>
      <c r="K203" s="618">
        <f t="shared" si="54"/>
        <v>34853229.616804451</v>
      </c>
      <c r="L203" s="767">
        <f>V225+V226</f>
        <v>37105000</v>
      </c>
      <c r="M203" s="618"/>
      <c r="N203" s="767">
        <f t="shared" si="55"/>
        <v>1726719698</v>
      </c>
      <c r="O203" s="618">
        <v>18675</v>
      </c>
      <c r="P203" s="618">
        <f t="shared" si="56"/>
        <v>92461.563480589029</v>
      </c>
      <c r="Q203" s="786"/>
      <c r="R203" s="774" t="s">
        <v>345</v>
      </c>
      <c r="S203" s="1234">
        <v>42616</v>
      </c>
      <c r="T203" s="1235">
        <v>40</v>
      </c>
      <c r="U203" s="1235">
        <v>46741</v>
      </c>
      <c r="V203" s="767">
        <f t="shared" si="57"/>
        <v>1869640</v>
      </c>
      <c r="W203" s="783"/>
    </row>
    <row r="204" spans="1:23" ht="13.5" customHeight="1">
      <c r="A204" s="765">
        <f t="shared" ref="A204:A210" si="59">IF(B204&lt;&gt;"",A203+1,"")</f>
        <v>3</v>
      </c>
      <c r="B204" s="67" t="s">
        <v>1515</v>
      </c>
      <c r="C204" s="766">
        <v>5</v>
      </c>
      <c r="D204" s="618">
        <f t="shared" si="52"/>
        <v>7250</v>
      </c>
      <c r="E204" s="618"/>
      <c r="F204" s="1232">
        <v>29500</v>
      </c>
      <c r="G204" s="767">
        <f t="shared" si="53"/>
        <v>213875000</v>
      </c>
      <c r="H204" s="618">
        <f t="shared" si="58"/>
        <v>7122282.8511391925</v>
      </c>
      <c r="I204" s="618">
        <f t="shared" si="54"/>
        <v>1499685.3356608334</v>
      </c>
      <c r="J204" s="618">
        <f t="shared" si="54"/>
        <v>3635125.5724996915</v>
      </c>
      <c r="K204" s="618">
        <f t="shared" si="54"/>
        <v>3006805.4299463611</v>
      </c>
      <c r="L204" s="767">
        <f>V221+V222</f>
        <v>2211000</v>
      </c>
      <c r="M204" s="618"/>
      <c r="N204" s="767">
        <f t="shared" si="55"/>
        <v>231349899</v>
      </c>
      <c r="O204" s="773">
        <v>1450</v>
      </c>
      <c r="P204" s="618">
        <f t="shared" si="56"/>
        <v>159551.65448275863</v>
      </c>
      <c r="Q204" s="786"/>
      <c r="R204" s="774" t="s">
        <v>348</v>
      </c>
      <c r="S204" s="1234">
        <v>42616</v>
      </c>
      <c r="T204" s="1235">
        <v>350</v>
      </c>
      <c r="U204" s="1235">
        <v>14523</v>
      </c>
      <c r="V204" s="767">
        <f t="shared" ref="V204:V206" si="60">ROUND(T204*U204,0)</f>
        <v>5083050</v>
      </c>
      <c r="W204" s="783"/>
    </row>
    <row r="205" spans="1:23">
      <c r="A205" s="765">
        <f t="shared" si="59"/>
        <v>4</v>
      </c>
      <c r="B205" s="504" t="s">
        <v>1517</v>
      </c>
      <c r="C205" s="766">
        <v>8.5</v>
      </c>
      <c r="D205" s="618">
        <f t="shared" si="52"/>
        <v>17000</v>
      </c>
      <c r="E205" s="618"/>
      <c r="F205" s="1232">
        <v>18500</v>
      </c>
      <c r="G205" s="767">
        <f t="shared" si="53"/>
        <v>314500000</v>
      </c>
      <c r="H205" s="618">
        <f t="shared" si="58"/>
        <v>16700525.306119487</v>
      </c>
      <c r="I205" s="618">
        <f t="shared" si="54"/>
        <v>3516503.5456874715</v>
      </c>
      <c r="J205" s="618">
        <f t="shared" si="54"/>
        <v>8523742.721723415</v>
      </c>
      <c r="K205" s="618">
        <f t="shared" si="54"/>
        <v>7050440.318494916</v>
      </c>
      <c r="L205" s="767">
        <f>V217+V218</f>
        <v>15750000</v>
      </c>
      <c r="M205" s="618"/>
      <c r="N205" s="767">
        <f t="shared" si="55"/>
        <v>366041212</v>
      </c>
      <c r="O205" s="773">
        <v>2000</v>
      </c>
      <c r="P205" s="618">
        <f t="shared" si="56"/>
        <v>183020.606</v>
      </c>
      <c r="Q205" s="786"/>
      <c r="R205" s="774" t="s">
        <v>353</v>
      </c>
      <c r="S205" s="1234">
        <v>42616</v>
      </c>
      <c r="T205" s="1235">
        <v>1000</v>
      </c>
      <c r="U205" s="1235">
        <v>3200</v>
      </c>
      <c r="V205" s="767">
        <f t="shared" si="60"/>
        <v>3200000</v>
      </c>
      <c r="W205" s="783"/>
    </row>
    <row r="206" spans="1:23">
      <c r="A206" s="765">
        <f t="shared" si="59"/>
        <v>5</v>
      </c>
      <c r="B206" s="839" t="s">
        <v>448</v>
      </c>
      <c r="C206" s="766">
        <v>13</v>
      </c>
      <c r="D206" s="618">
        <f t="shared" si="52"/>
        <v>12220</v>
      </c>
      <c r="E206" s="618"/>
      <c r="F206" s="1232">
        <v>16500</v>
      </c>
      <c r="G206" s="767">
        <f t="shared" si="53"/>
        <v>201630000</v>
      </c>
      <c r="H206" s="618">
        <f t="shared" si="58"/>
        <v>12004730.543575302</v>
      </c>
      <c r="I206" s="618">
        <f t="shared" si="54"/>
        <v>2527745.489900053</v>
      </c>
      <c r="J206" s="618">
        <f t="shared" si="54"/>
        <v>6127066.8270270657</v>
      </c>
      <c r="K206" s="618">
        <f t="shared" si="54"/>
        <v>5068022.3936475217</v>
      </c>
      <c r="L206" s="618">
        <f>V227+V228</f>
        <v>1430500</v>
      </c>
      <c r="M206" s="618"/>
      <c r="N206" s="767">
        <f t="shared" si="55"/>
        <v>228788065</v>
      </c>
      <c r="O206" s="773">
        <v>940</v>
      </c>
      <c r="P206" s="618">
        <f t="shared" si="56"/>
        <v>243391.55851063831</v>
      </c>
      <c r="Q206" s="786"/>
      <c r="R206" s="1236" t="s">
        <v>356</v>
      </c>
      <c r="S206" s="1234">
        <v>42616</v>
      </c>
      <c r="T206" s="1235">
        <v>1100</v>
      </c>
      <c r="U206" s="1235">
        <v>14728</v>
      </c>
      <c r="V206" s="767">
        <f t="shared" si="60"/>
        <v>16200800</v>
      </c>
      <c r="W206" s="783"/>
    </row>
    <row r="207" spans="1:23" ht="13.5" customHeight="1">
      <c r="A207" s="765">
        <f t="shared" si="59"/>
        <v>6</v>
      </c>
      <c r="B207" s="777" t="s">
        <v>1945</v>
      </c>
      <c r="C207" s="766">
        <v>5</v>
      </c>
      <c r="D207" s="618">
        <f t="shared" si="52"/>
        <v>4700</v>
      </c>
      <c r="E207" s="618"/>
      <c r="F207" s="1232">
        <v>36000</v>
      </c>
      <c r="G207" s="767">
        <f t="shared" si="53"/>
        <v>169200000</v>
      </c>
      <c r="H207" s="618">
        <f t="shared" si="58"/>
        <v>4617204.0552212698</v>
      </c>
      <c r="I207" s="618">
        <f t="shared" si="54"/>
        <v>972209.80380771274</v>
      </c>
      <c r="J207" s="618">
        <f t="shared" si="54"/>
        <v>2356564.1642411794</v>
      </c>
      <c r="K207" s="618">
        <f t="shared" si="54"/>
        <v>1949239.3821721238</v>
      </c>
      <c r="L207" s="767">
        <f>V223+V224</f>
        <v>1485000</v>
      </c>
      <c r="M207" s="618"/>
      <c r="N207" s="767">
        <f t="shared" si="55"/>
        <v>180580217</v>
      </c>
      <c r="O207" s="773">
        <v>940</v>
      </c>
      <c r="P207" s="618">
        <f t="shared" si="56"/>
        <v>192106.61382978724</v>
      </c>
      <c r="Q207" s="786"/>
      <c r="R207" s="1236" t="s">
        <v>1402</v>
      </c>
      <c r="S207" s="1234">
        <v>42616</v>
      </c>
      <c r="T207" s="1235">
        <v>50</v>
      </c>
      <c r="U207" s="1235">
        <v>12728</v>
      </c>
      <c r="V207" s="767">
        <f t="shared" si="57"/>
        <v>636400</v>
      </c>
      <c r="W207" s="783"/>
    </row>
    <row r="208" spans="1:23">
      <c r="A208" s="765" t="str">
        <f t="shared" si="59"/>
        <v/>
      </c>
      <c r="B208" s="777"/>
      <c r="C208" s="766">
        <f>IF(ISNA(VLOOKUP(B208,NXT!$Q$72:$S$92,2,0)),0,VLOOKUP(B208,NXT!$Q$72:$S$92,2,0))</f>
        <v>0</v>
      </c>
      <c r="D208" s="618">
        <f t="shared" si="52"/>
        <v>0</v>
      </c>
      <c r="E208" s="618"/>
      <c r="F208" s="618"/>
      <c r="G208" s="767">
        <f t="shared" si="53"/>
        <v>0</v>
      </c>
      <c r="H208" s="618">
        <f t="shared" si="58"/>
        <v>0</v>
      </c>
      <c r="I208" s="618">
        <f t="shared" si="54"/>
        <v>0</v>
      </c>
      <c r="J208" s="618">
        <f t="shared" si="54"/>
        <v>0</v>
      </c>
      <c r="K208" s="618">
        <f t="shared" si="54"/>
        <v>0</v>
      </c>
      <c r="L208" s="767"/>
      <c r="M208" s="618"/>
      <c r="N208" s="767">
        <f t="shared" si="55"/>
        <v>0</v>
      </c>
      <c r="O208" s="773"/>
      <c r="P208" s="618">
        <f t="shared" si="56"/>
        <v>0</v>
      </c>
      <c r="Q208" s="786"/>
      <c r="R208" s="1236" t="s">
        <v>359</v>
      </c>
      <c r="S208" s="1234">
        <v>42633</v>
      </c>
      <c r="T208" s="1235">
        <v>100</v>
      </c>
      <c r="U208" s="1235">
        <v>8000</v>
      </c>
      <c r="V208" s="767">
        <f t="shared" si="57"/>
        <v>800000</v>
      </c>
      <c r="W208" s="783"/>
    </row>
    <row r="209" spans="1:23">
      <c r="A209" s="765" t="str">
        <f t="shared" si="59"/>
        <v/>
      </c>
      <c r="B209" s="777"/>
      <c r="C209" s="766">
        <f>IF(ISNA(VLOOKUP(B209,NXT!$Q$72:$S$92,2,0)),0,VLOOKUP(B209,NXT!$Q$72:$S$92,2,0))</f>
        <v>0</v>
      </c>
      <c r="D209" s="618">
        <f t="shared" si="52"/>
        <v>0</v>
      </c>
      <c r="E209" s="618"/>
      <c r="F209" s="618"/>
      <c r="G209" s="767">
        <f t="shared" si="53"/>
        <v>0</v>
      </c>
      <c r="H209" s="618">
        <f t="shared" si="58"/>
        <v>0</v>
      </c>
      <c r="I209" s="618">
        <f t="shared" si="54"/>
        <v>0</v>
      </c>
      <c r="J209" s="618">
        <f t="shared" si="54"/>
        <v>0</v>
      </c>
      <c r="K209" s="618">
        <f t="shared" si="54"/>
        <v>0</v>
      </c>
      <c r="L209" s="618"/>
      <c r="M209" s="618"/>
      <c r="N209" s="767">
        <f t="shared" si="55"/>
        <v>0</v>
      </c>
      <c r="O209" s="773"/>
      <c r="P209" s="618">
        <f t="shared" si="56"/>
        <v>0</v>
      </c>
      <c r="Q209" s="786"/>
      <c r="R209" s="774"/>
      <c r="S209" s="833"/>
      <c r="T209" s="232"/>
      <c r="U209" s="232"/>
      <c r="V209" s="767">
        <f t="shared" si="57"/>
        <v>0</v>
      </c>
      <c r="W209" s="783"/>
    </row>
    <row r="210" spans="1:23">
      <c r="A210" s="765" t="str">
        <f t="shared" si="59"/>
        <v/>
      </c>
      <c r="B210" s="778"/>
      <c r="C210" s="779"/>
      <c r="D210" s="781"/>
      <c r="E210" s="781"/>
      <c r="F210" s="781"/>
      <c r="G210" s="782"/>
      <c r="H210" s="827"/>
      <c r="I210" s="781"/>
      <c r="J210" s="783"/>
      <c r="K210" s="781"/>
      <c r="L210" s="784"/>
      <c r="M210" s="781"/>
      <c r="N210" s="815"/>
      <c r="O210" s="785"/>
      <c r="P210" s="781"/>
      <c r="Q210" s="786"/>
      <c r="R210" s="774"/>
      <c r="S210" s="833"/>
      <c r="T210" s="232"/>
      <c r="U210" s="232"/>
      <c r="V210" s="767">
        <f t="shared" si="57"/>
        <v>0</v>
      </c>
      <c r="W210" s="783"/>
    </row>
    <row r="211" spans="1:23">
      <c r="A211" s="788"/>
      <c r="B211" s="789" t="s">
        <v>546</v>
      </c>
      <c r="C211" s="790"/>
      <c r="D211" s="791">
        <f>SUM(D202:D209)</f>
        <v>137773</v>
      </c>
      <c r="E211" s="791">
        <f>SUM(E202:E209)</f>
        <v>0</v>
      </c>
      <c r="F211" s="791"/>
      <c r="G211" s="791">
        <f>SUM(G202:G209)</f>
        <v>2732296500</v>
      </c>
      <c r="H211" s="792">
        <v>135345969</v>
      </c>
      <c r="I211" s="792">
        <f>V216</f>
        <v>28498779</v>
      </c>
      <c r="J211" s="1233">
        <v>69078918</v>
      </c>
      <c r="K211" s="792">
        <v>57138842</v>
      </c>
      <c r="L211" s="791">
        <f>ROUND(SUM(L202:L210),0)</f>
        <v>101063900</v>
      </c>
      <c r="M211" s="791">
        <f>ROUND(SUM(M202:M210),0)</f>
        <v>0</v>
      </c>
      <c r="N211" s="791">
        <f>ROUND(SUM(N202:N210),0)</f>
        <v>3123422907</v>
      </c>
      <c r="O211" s="791">
        <f>ROUND(SUM(O202:O210),0)</f>
        <v>26518</v>
      </c>
      <c r="P211" s="791"/>
      <c r="Q211" s="786"/>
      <c r="R211" s="774"/>
      <c r="S211" s="833"/>
      <c r="T211" s="232"/>
      <c r="U211" s="232"/>
      <c r="V211" s="767">
        <f t="shared" si="57"/>
        <v>0</v>
      </c>
      <c r="W211" s="783"/>
    </row>
    <row r="212" spans="1:23">
      <c r="Q212" s="786"/>
      <c r="R212" s="774"/>
      <c r="S212" s="833"/>
      <c r="T212" s="797"/>
      <c r="U212" s="775"/>
      <c r="V212" s="767">
        <f t="shared" si="57"/>
        <v>0</v>
      </c>
      <c r="W212" s="783"/>
    </row>
    <row r="213" spans="1:23">
      <c r="Q213" s="786"/>
      <c r="R213" s="836"/>
      <c r="S213" s="833"/>
      <c r="T213" s="797"/>
      <c r="U213" s="775"/>
      <c r="V213" s="767">
        <f t="shared" si="57"/>
        <v>0</v>
      </c>
      <c r="W213" s="783"/>
    </row>
    <row r="214" spans="1:23">
      <c r="Q214" s="786"/>
      <c r="R214" s="509"/>
      <c r="S214" s="833"/>
      <c r="T214" s="232"/>
      <c r="U214" s="232"/>
      <c r="V214" s="767">
        <f t="shared" si="57"/>
        <v>0</v>
      </c>
      <c r="W214" s="783"/>
    </row>
    <row r="215" spans="1:23" s="787" customFormat="1">
      <c r="A215" s="738"/>
      <c r="B215" s="738"/>
      <c r="C215" s="738"/>
      <c r="D215" s="738"/>
      <c r="E215" s="738"/>
      <c r="F215" s="738"/>
      <c r="G215" s="738"/>
      <c r="H215" s="738"/>
      <c r="I215" s="738"/>
      <c r="J215" s="738"/>
      <c r="K215" s="738"/>
      <c r="L215" s="738"/>
      <c r="M215" s="738"/>
      <c r="N215" s="738"/>
      <c r="O215" s="738"/>
      <c r="P215" s="738"/>
      <c r="Q215" s="786"/>
      <c r="R215" s="774"/>
      <c r="S215" s="770"/>
      <c r="T215" s="232"/>
      <c r="U215" s="232"/>
      <c r="V215" s="767"/>
      <c r="W215" s="783"/>
    </row>
    <row r="216" spans="1:23" s="742" customFormat="1">
      <c r="A216" s="738"/>
      <c r="B216" s="738"/>
      <c r="C216" s="738"/>
      <c r="D216" s="738"/>
      <c r="E216" s="738"/>
      <c r="F216" s="738"/>
      <c r="G216" s="738"/>
      <c r="H216" s="738"/>
      <c r="I216" s="738"/>
      <c r="J216" s="738"/>
      <c r="K216" s="738"/>
      <c r="L216" s="738"/>
      <c r="M216" s="738"/>
      <c r="N216" s="738"/>
      <c r="O216" s="738"/>
      <c r="P216" s="738"/>
      <c r="Q216" s="786"/>
      <c r="R216" s="820"/>
      <c r="S216" s="821"/>
      <c r="T216" s="822"/>
      <c r="U216" s="838"/>
      <c r="V216" s="801">
        <f>SUM(V202:V215)</f>
        <v>28498779</v>
      </c>
      <c r="W216" s="801">
        <f>SUM(W202:W215)</f>
        <v>0</v>
      </c>
    </row>
    <row r="217" spans="1:23">
      <c r="R217" s="1237" t="s">
        <v>401</v>
      </c>
      <c r="S217" s="1234">
        <v>42633</v>
      </c>
      <c r="T217" s="1235">
        <v>250</v>
      </c>
      <c r="U217" s="1235">
        <v>18200</v>
      </c>
      <c r="V217" s="767">
        <f t="shared" ref="V217:V228" si="61">ROUND(T217*U217,0)</f>
        <v>4550000</v>
      </c>
      <c r="W217" s="767"/>
    </row>
    <row r="218" spans="1:23">
      <c r="R218" s="1238" t="s">
        <v>650</v>
      </c>
      <c r="S218" s="1234">
        <v>42633</v>
      </c>
      <c r="T218" s="1235">
        <v>800</v>
      </c>
      <c r="U218" s="1235">
        <v>14000</v>
      </c>
      <c r="V218" s="767">
        <f t="shared" si="61"/>
        <v>11200000</v>
      </c>
      <c r="W218" s="783"/>
    </row>
    <row r="219" spans="1:23">
      <c r="R219" s="1238" t="s">
        <v>387</v>
      </c>
      <c r="S219" s="1234">
        <v>42633</v>
      </c>
      <c r="T219" s="1235">
        <v>2353</v>
      </c>
      <c r="U219" s="1235">
        <v>16800</v>
      </c>
      <c r="V219" s="767">
        <f t="shared" si="61"/>
        <v>39530400</v>
      </c>
      <c r="W219" s="783"/>
    </row>
    <row r="220" spans="1:23">
      <c r="R220" s="1238" t="s">
        <v>1838</v>
      </c>
      <c r="S220" s="1234">
        <v>42633</v>
      </c>
      <c r="T220" s="1235">
        <v>96</v>
      </c>
      <c r="U220" s="1235">
        <v>37000</v>
      </c>
      <c r="V220" s="767">
        <f t="shared" si="61"/>
        <v>3552000</v>
      </c>
      <c r="W220" s="783"/>
    </row>
    <row r="221" spans="1:23">
      <c r="R221" s="1238" t="s">
        <v>1506</v>
      </c>
      <c r="S221" s="1234">
        <v>42633</v>
      </c>
      <c r="T221" s="1235">
        <v>153</v>
      </c>
      <c r="U221" s="1235">
        <v>13000</v>
      </c>
      <c r="V221" s="767">
        <f t="shared" si="61"/>
        <v>1989000</v>
      </c>
      <c r="W221" s="783"/>
    </row>
    <row r="222" spans="1:23">
      <c r="R222" s="1238" t="s">
        <v>1838</v>
      </c>
      <c r="S222" s="1234">
        <v>42633</v>
      </c>
      <c r="T222" s="1235">
        <v>6</v>
      </c>
      <c r="U222" s="1235">
        <v>37000</v>
      </c>
      <c r="V222" s="767">
        <f t="shared" si="61"/>
        <v>222000</v>
      </c>
      <c r="W222" s="783"/>
    </row>
    <row r="223" spans="1:23">
      <c r="R223" s="1238" t="s">
        <v>1506</v>
      </c>
      <c r="S223" s="1234">
        <v>42633</v>
      </c>
      <c r="T223" s="1235">
        <v>100</v>
      </c>
      <c r="U223" s="1235">
        <v>13000</v>
      </c>
      <c r="V223" s="767">
        <f t="shared" si="61"/>
        <v>1300000</v>
      </c>
      <c r="W223" s="783"/>
    </row>
    <row r="224" spans="1:23">
      <c r="R224" s="1238" t="s">
        <v>1838</v>
      </c>
      <c r="S224" s="1234">
        <v>42633</v>
      </c>
      <c r="T224" s="1235">
        <v>5</v>
      </c>
      <c r="U224" s="1235">
        <v>37000</v>
      </c>
      <c r="V224" s="767">
        <f t="shared" si="61"/>
        <v>185000</v>
      </c>
      <c r="W224" s="783"/>
    </row>
    <row r="225" spans="1:23">
      <c r="R225" s="1238" t="s">
        <v>1836</v>
      </c>
      <c r="S225" s="1234">
        <v>42633</v>
      </c>
      <c r="T225" s="1235">
        <v>18700</v>
      </c>
      <c r="U225" s="1235">
        <v>1150</v>
      </c>
      <c r="V225" s="767">
        <f t="shared" si="61"/>
        <v>21505000</v>
      </c>
      <c r="W225" s="783"/>
    </row>
    <row r="226" spans="1:23">
      <c r="R226" s="1238" t="s">
        <v>1829</v>
      </c>
      <c r="S226" s="1234">
        <v>42633</v>
      </c>
      <c r="T226" s="1235">
        <v>1560</v>
      </c>
      <c r="U226" s="1235">
        <v>10000</v>
      </c>
      <c r="V226" s="767">
        <f t="shared" si="61"/>
        <v>15600000</v>
      </c>
      <c r="W226" s="783"/>
    </row>
    <row r="227" spans="1:23">
      <c r="R227" s="1238" t="s">
        <v>2022</v>
      </c>
      <c r="S227" s="1234">
        <v>42633</v>
      </c>
      <c r="T227" s="1235">
        <v>95</v>
      </c>
      <c r="U227" s="1235">
        <v>13500</v>
      </c>
      <c r="V227" s="767">
        <f t="shared" si="61"/>
        <v>1282500</v>
      </c>
      <c r="W227" s="783"/>
    </row>
    <row r="228" spans="1:23">
      <c r="R228" s="1238" t="s">
        <v>1838</v>
      </c>
      <c r="S228" s="1234">
        <v>42633</v>
      </c>
      <c r="T228" s="1235">
        <v>4</v>
      </c>
      <c r="U228" s="1235">
        <v>37000</v>
      </c>
      <c r="V228" s="767">
        <f t="shared" si="61"/>
        <v>148000</v>
      </c>
      <c r="W228" s="783"/>
    </row>
    <row r="229" spans="1:23">
      <c r="R229" s="797"/>
      <c r="S229" s="770"/>
      <c r="T229" s="775"/>
      <c r="U229" s="775"/>
      <c r="V229" s="767">
        <f>SUM(V217:V228)</f>
        <v>101063900</v>
      </c>
      <c r="W229" s="783"/>
    </row>
    <row r="230" spans="1:23">
      <c r="A230" s="750"/>
      <c r="B230" s="750"/>
      <c r="C230" s="751"/>
      <c r="D230" s="750"/>
      <c r="E230" s="750"/>
      <c r="F230" s="750"/>
      <c r="G230" s="750"/>
      <c r="H230" s="750"/>
      <c r="I230" s="750"/>
      <c r="J230" s="750"/>
      <c r="K230" s="750"/>
      <c r="L230" s="749"/>
      <c r="M230" s="750"/>
      <c r="N230" s="750"/>
      <c r="O230" s="752"/>
      <c r="P230" s="750"/>
      <c r="R230" s="741"/>
      <c r="S230" s="748"/>
    </row>
    <row r="231" spans="1:23" ht="18.75" customHeight="1">
      <c r="A231" s="757"/>
      <c r="B231" s="757"/>
      <c r="C231" s="840"/>
      <c r="D231" s="757"/>
      <c r="E231" s="757"/>
      <c r="F231" s="757"/>
      <c r="G231" s="757"/>
      <c r="H231" s="757"/>
      <c r="I231" s="757"/>
      <c r="J231" s="757"/>
      <c r="K231" s="757"/>
      <c r="L231" s="757"/>
      <c r="M231" s="757"/>
      <c r="N231" s="757"/>
      <c r="O231" s="809"/>
      <c r="P231" s="757"/>
      <c r="Q231" s="747"/>
      <c r="R231" s="741"/>
      <c r="S231" s="748"/>
    </row>
    <row r="232" spans="1:23" ht="20.25" customHeight="1">
      <c r="A232" s="742" t="s">
        <v>529</v>
      </c>
      <c r="B232" s="742"/>
      <c r="C232" s="743"/>
      <c r="D232" s="744"/>
      <c r="E232" s="744"/>
      <c r="F232" s="744"/>
      <c r="G232" s="741"/>
      <c r="H232" s="741"/>
      <c r="I232" s="741"/>
      <c r="J232" s="741"/>
      <c r="K232" s="741"/>
      <c r="L232" s="745"/>
      <c r="M232" s="741"/>
      <c r="N232" s="741"/>
      <c r="O232" s="746"/>
      <c r="P232" s="741"/>
      <c r="Q232" s="747"/>
      <c r="R232" s="741"/>
      <c r="S232" s="748"/>
    </row>
    <row r="233" spans="1:23" ht="20.25" customHeight="1">
      <c r="A233" s="749" t="s">
        <v>555</v>
      </c>
      <c r="B233" s="749"/>
      <c r="C233" s="749"/>
      <c r="D233" s="749"/>
      <c r="E233" s="749"/>
      <c r="F233" s="749"/>
      <c r="G233" s="749"/>
      <c r="H233" s="749"/>
      <c r="I233" s="749"/>
      <c r="J233" s="749"/>
      <c r="K233" s="749"/>
      <c r="L233" s="749"/>
      <c r="M233" s="749"/>
      <c r="N233" s="749"/>
      <c r="O233" s="749"/>
      <c r="P233" s="749"/>
      <c r="Q233" s="747"/>
      <c r="R233" s="741"/>
      <c r="S233" s="748"/>
    </row>
    <row r="234" spans="1:23" ht="12" customHeight="1">
      <c r="A234" s="750"/>
      <c r="B234" s="750"/>
      <c r="C234" s="751"/>
      <c r="D234" s="750"/>
      <c r="E234" s="750"/>
      <c r="F234" s="750"/>
      <c r="G234" s="750"/>
      <c r="H234" s="750"/>
      <c r="I234" s="750"/>
      <c r="J234" s="750"/>
      <c r="K234" s="750"/>
      <c r="L234" s="749"/>
      <c r="M234" s="750"/>
      <c r="N234" s="750"/>
      <c r="O234" s="752"/>
      <c r="P234" s="750"/>
      <c r="Q234" s="747"/>
      <c r="R234" s="741"/>
      <c r="S234" s="748"/>
    </row>
    <row r="235" spans="1:23" ht="12" customHeight="1">
      <c r="A235" s="753"/>
      <c r="B235" s="753"/>
      <c r="C235" s="754"/>
      <c r="D235" s="753"/>
      <c r="E235" s="753"/>
      <c r="F235" s="753"/>
      <c r="G235" s="753"/>
      <c r="H235" s="753"/>
      <c r="I235" s="753"/>
      <c r="J235" s="753"/>
      <c r="K235" s="753"/>
      <c r="L235" s="753"/>
      <c r="M235" s="753"/>
      <c r="N235" s="753"/>
      <c r="O235" s="755"/>
      <c r="P235" s="753"/>
      <c r="Q235" s="747"/>
      <c r="R235" s="741"/>
      <c r="S235" s="748"/>
    </row>
    <row r="236" spans="1:23" ht="36.75" customHeight="1">
      <c r="A236" s="758" t="s">
        <v>37</v>
      </c>
      <c r="B236" s="758" t="s">
        <v>531</v>
      </c>
      <c r="C236" s="759" t="s">
        <v>532</v>
      </c>
      <c r="D236" s="760" t="s">
        <v>533</v>
      </c>
      <c r="E236" s="760" t="s">
        <v>534</v>
      </c>
      <c r="F236" s="760" t="s">
        <v>535</v>
      </c>
      <c r="G236" s="760" t="s">
        <v>536</v>
      </c>
      <c r="H236" s="760" t="s">
        <v>537</v>
      </c>
      <c r="I236" s="760" t="s">
        <v>538</v>
      </c>
      <c r="J236" s="760" t="s">
        <v>539</v>
      </c>
      <c r="K236" s="761" t="s">
        <v>540</v>
      </c>
      <c r="L236" s="760" t="s">
        <v>541</v>
      </c>
      <c r="M236" s="761" t="s">
        <v>542</v>
      </c>
      <c r="N236" s="760" t="s">
        <v>543</v>
      </c>
      <c r="O236" s="762" t="s">
        <v>534</v>
      </c>
      <c r="P236" s="760" t="s">
        <v>544</v>
      </c>
      <c r="Q236" s="747"/>
      <c r="R236" s="758" t="s">
        <v>531</v>
      </c>
      <c r="S236" s="760" t="s">
        <v>498</v>
      </c>
      <c r="T236" s="760" t="s">
        <v>337</v>
      </c>
      <c r="U236" s="760" t="s">
        <v>535</v>
      </c>
      <c r="V236" s="760" t="s">
        <v>545</v>
      </c>
      <c r="W236" s="758" t="s">
        <v>545</v>
      </c>
    </row>
    <row r="237" spans="1:23" s="764" customFormat="1" ht="13.5" customHeight="1">
      <c r="A237" s="765">
        <f>IF(B237&lt;&gt;"",ROW()-(ROW()-1),"")</f>
        <v>1</v>
      </c>
      <c r="B237" s="777" t="s">
        <v>438</v>
      </c>
      <c r="C237" s="1243">
        <v>4.5</v>
      </c>
      <c r="D237" s="618">
        <f t="shared" ref="D237:D246" si="62">ROUND(C237*O237,0)</f>
        <v>105300</v>
      </c>
      <c r="E237" s="618"/>
      <c r="F237" s="1244">
        <v>16000</v>
      </c>
      <c r="G237" s="767">
        <f t="shared" ref="G237:G246" si="63">(D237+E237)*F237</f>
        <v>1684800000</v>
      </c>
      <c r="H237" s="618">
        <f t="shared" ref="H237:H246" si="64">IF($D$248&lt;&gt;0,H$248/($D$248+$E$248/4)*($D237+$E237/4),0)</f>
        <v>28809239.004851423</v>
      </c>
      <c r="I237" s="618">
        <f t="shared" ref="I237:K246" si="65">IF($D$248&lt;&gt;0,I$248/$D$248*$D237,0)</f>
        <v>8042632.2207398424</v>
      </c>
      <c r="J237" s="618">
        <f t="shared" si="65"/>
        <v>14995896.882352941</v>
      </c>
      <c r="K237" s="618">
        <f t="shared" si="65"/>
        <v>12162361.153426319</v>
      </c>
      <c r="L237" s="1244">
        <f>((V262/101400)*23400)+Y260+V258</f>
        <v>39396923.07692308</v>
      </c>
      <c r="M237" s="618"/>
      <c r="N237" s="767">
        <f t="shared" ref="N237:N246" si="66">ROUND(SUM(G237:L237),0)</f>
        <v>1788207052</v>
      </c>
      <c r="O237" s="1245">
        <v>23400</v>
      </c>
      <c r="P237" s="618">
        <f t="shared" ref="P237:P246" si="67">IF(N237&lt;&gt;0,N237/O237,0)</f>
        <v>76419.10478632478</v>
      </c>
      <c r="Q237" s="763"/>
      <c r="R237" s="769" t="s">
        <v>339</v>
      </c>
      <c r="S237" s="1234"/>
      <c r="T237" s="1235">
        <v>50</v>
      </c>
      <c r="U237" s="1235">
        <v>35444.4444</v>
      </c>
      <c r="V237" s="767">
        <f t="shared" ref="V237:V250" si="68">ROUND(T237*U237,0)</f>
        <v>1772222</v>
      </c>
      <c r="W237" s="767"/>
    </row>
    <row r="238" spans="1:23" ht="13.5" customHeight="1">
      <c r="A238" s="765">
        <f t="shared" ref="A238:A247" si="69">IF(B238&lt;&gt;"",A237+1,"")</f>
        <v>2</v>
      </c>
      <c r="B238" s="777" t="s">
        <v>442</v>
      </c>
      <c r="C238" s="1243">
        <v>5</v>
      </c>
      <c r="D238" s="618">
        <f t="shared" si="62"/>
        <v>117000</v>
      </c>
      <c r="E238" s="618"/>
      <c r="F238" s="1244">
        <v>25500</v>
      </c>
      <c r="G238" s="767">
        <f t="shared" si="63"/>
        <v>2983500000</v>
      </c>
      <c r="H238" s="618">
        <f t="shared" si="64"/>
        <v>32010265.560946029</v>
      </c>
      <c r="I238" s="618">
        <f t="shared" si="65"/>
        <v>8936258.0230442695</v>
      </c>
      <c r="J238" s="618">
        <f t="shared" si="65"/>
        <v>16662107.647058822</v>
      </c>
      <c r="K238" s="618">
        <f t="shared" si="65"/>
        <v>13513734.614918131</v>
      </c>
      <c r="L238" s="1262">
        <f>V257+V256</f>
        <v>42995000</v>
      </c>
      <c r="M238" s="618"/>
      <c r="N238" s="767">
        <f t="shared" si="66"/>
        <v>3097617366</v>
      </c>
      <c r="O238" s="1244">
        <v>23400</v>
      </c>
      <c r="P238" s="618">
        <f t="shared" si="67"/>
        <v>132376.81051282052</v>
      </c>
      <c r="Q238" s="786"/>
      <c r="R238" s="774" t="s">
        <v>345</v>
      </c>
      <c r="S238" s="1234"/>
      <c r="T238" s="1235">
        <v>80</v>
      </c>
      <c r="U238" s="1235">
        <v>46741</v>
      </c>
      <c r="V238" s="767">
        <f t="shared" si="68"/>
        <v>3739280</v>
      </c>
      <c r="W238" s="783"/>
    </row>
    <row r="239" spans="1:23" ht="13.5" customHeight="1">
      <c r="A239" s="765">
        <f t="shared" si="69"/>
        <v>3</v>
      </c>
      <c r="B239" s="1261" t="s">
        <v>450</v>
      </c>
      <c r="C239" s="1243">
        <v>8</v>
      </c>
      <c r="D239" s="618">
        <f t="shared" ref="D239:D242" si="70">ROUND(C239*O239,0)</f>
        <v>38400</v>
      </c>
      <c r="E239" s="618"/>
      <c r="F239" s="1244">
        <v>17000</v>
      </c>
      <c r="G239" s="767">
        <f t="shared" ref="G239:G242" si="71">(D239+E239)*F239</f>
        <v>652800000</v>
      </c>
      <c r="H239" s="618">
        <f t="shared" si="64"/>
        <v>10505933.312310491</v>
      </c>
      <c r="I239" s="618">
        <f t="shared" si="65"/>
        <v>2932925.7101273499</v>
      </c>
      <c r="J239" s="618">
        <f t="shared" si="65"/>
        <v>5468589.176470588</v>
      </c>
      <c r="K239" s="618">
        <f t="shared" si="65"/>
        <v>4435277.0018192846</v>
      </c>
      <c r="L239" s="1244">
        <f>V253+V254+V255</f>
        <v>31186400</v>
      </c>
      <c r="M239" s="618"/>
      <c r="N239" s="767">
        <f t="shared" ref="N239:N242" si="72">ROUND(SUM(G239:L239),0)</f>
        <v>707329125</v>
      </c>
      <c r="O239" s="1245">
        <v>4800</v>
      </c>
      <c r="P239" s="618">
        <f t="shared" ref="P239:P242" si="73">IF(N239&lt;&gt;0,N239/O239,0)</f>
        <v>147360.234375</v>
      </c>
      <c r="Q239" s="786"/>
      <c r="R239" s="774" t="s">
        <v>348</v>
      </c>
      <c r="S239" s="1234"/>
      <c r="T239" s="1235">
        <v>450</v>
      </c>
      <c r="U239" s="1235">
        <v>14095</v>
      </c>
      <c r="V239" s="767">
        <f t="shared" ref="V239:V242" si="74">ROUND(T239*U239,0)</f>
        <v>6342750</v>
      </c>
      <c r="W239" s="783"/>
    </row>
    <row r="240" spans="1:23" ht="13.5" customHeight="1">
      <c r="A240" s="765">
        <f t="shared" si="69"/>
        <v>4</v>
      </c>
      <c r="B240" s="777" t="s">
        <v>463</v>
      </c>
      <c r="C240" s="766">
        <v>3</v>
      </c>
      <c r="D240" s="618">
        <f t="shared" si="70"/>
        <v>234000</v>
      </c>
      <c r="E240" s="618"/>
      <c r="F240" s="1244">
        <v>16000</v>
      </c>
      <c r="G240" s="767">
        <f>(D240+E240)*F240</f>
        <v>3744000000</v>
      </c>
      <c r="H240" s="618">
        <f t="shared" si="64"/>
        <v>64020531.121892057</v>
      </c>
      <c r="I240" s="618">
        <f t="shared" si="65"/>
        <v>17872516.046088539</v>
      </c>
      <c r="J240" s="618">
        <f t="shared" si="65"/>
        <v>33324215.294117644</v>
      </c>
      <c r="K240" s="618">
        <f t="shared" si="65"/>
        <v>27027469.229836263</v>
      </c>
      <c r="L240" s="1244">
        <f>((V262/101400)*78000)+V259+X260+V261</f>
        <v>112132976.92307693</v>
      </c>
      <c r="M240" s="618"/>
      <c r="N240" s="767">
        <f t="shared" si="72"/>
        <v>3998377709</v>
      </c>
      <c r="O240" s="1245">
        <v>78000</v>
      </c>
      <c r="P240" s="618">
        <f t="shared" si="73"/>
        <v>51261.252679487181</v>
      </c>
      <c r="Q240" s="786"/>
      <c r="R240" s="774" t="s">
        <v>353</v>
      </c>
      <c r="S240" s="1234"/>
      <c r="T240" s="1235">
        <v>1500</v>
      </c>
      <c r="U240" s="1235">
        <v>3200</v>
      </c>
      <c r="V240" s="767">
        <f t="shared" si="74"/>
        <v>4800000</v>
      </c>
      <c r="W240" s="783"/>
    </row>
    <row r="241" spans="1:23" ht="13.5" customHeight="1">
      <c r="A241" s="765" t="str">
        <f t="shared" si="69"/>
        <v/>
      </c>
      <c r="B241" s="777"/>
      <c r="C241" s="766">
        <f>IF(ISNA(VLOOKUP(B241,NXT!$Q$72:$S$92,2,0)),0,VLOOKUP(B241,NXT!$Q$72:$S$92,2,0))</f>
        <v>0</v>
      </c>
      <c r="D241" s="618">
        <f t="shared" si="70"/>
        <v>0</v>
      </c>
      <c r="E241" s="618"/>
      <c r="F241" s="618"/>
      <c r="G241" s="767">
        <f t="shared" si="71"/>
        <v>0</v>
      </c>
      <c r="H241" s="618">
        <f t="shared" si="64"/>
        <v>0</v>
      </c>
      <c r="I241" s="618">
        <f t="shared" si="65"/>
        <v>0</v>
      </c>
      <c r="J241" s="618">
        <f t="shared" si="65"/>
        <v>0</v>
      </c>
      <c r="K241" s="618">
        <f t="shared" si="65"/>
        <v>0</v>
      </c>
      <c r="L241" s="618"/>
      <c r="M241" s="618"/>
      <c r="N241" s="767">
        <f t="shared" si="72"/>
        <v>0</v>
      </c>
      <c r="O241" s="773"/>
      <c r="P241" s="618">
        <f t="shared" si="73"/>
        <v>0</v>
      </c>
      <c r="Q241" s="786"/>
      <c r="R241" s="1236" t="s">
        <v>356</v>
      </c>
      <c r="S241" s="1234"/>
      <c r="T241" s="1235">
        <v>1310</v>
      </c>
      <c r="U241" s="1235">
        <v>14728</v>
      </c>
      <c r="V241" s="767">
        <f t="shared" si="74"/>
        <v>19293680</v>
      </c>
      <c r="W241" s="783"/>
    </row>
    <row r="242" spans="1:23">
      <c r="A242" s="765" t="str">
        <f t="shared" si="69"/>
        <v/>
      </c>
      <c r="B242" s="777"/>
      <c r="C242" s="766">
        <f>IF(ISNA(VLOOKUP(B242,NXT!$Q$72:$S$92,2,0)),0,VLOOKUP(B242,NXT!$Q$72:$S$92,2,0))</f>
        <v>0</v>
      </c>
      <c r="D242" s="618">
        <f t="shared" si="70"/>
        <v>0</v>
      </c>
      <c r="E242" s="618"/>
      <c r="F242" s="618"/>
      <c r="G242" s="767">
        <f t="shared" si="71"/>
        <v>0</v>
      </c>
      <c r="H242" s="618">
        <f t="shared" si="64"/>
        <v>0</v>
      </c>
      <c r="I242" s="618">
        <f t="shared" si="65"/>
        <v>0</v>
      </c>
      <c r="J242" s="618">
        <f t="shared" si="65"/>
        <v>0</v>
      </c>
      <c r="K242" s="618">
        <f t="shared" si="65"/>
        <v>0</v>
      </c>
      <c r="L242" s="618"/>
      <c r="M242" s="618"/>
      <c r="N242" s="767">
        <f t="shared" si="72"/>
        <v>0</v>
      </c>
      <c r="O242" s="773"/>
      <c r="P242" s="618">
        <f t="shared" si="73"/>
        <v>0</v>
      </c>
      <c r="Q242" s="786"/>
      <c r="R242" s="1236" t="s">
        <v>1402</v>
      </c>
      <c r="S242" s="1234"/>
      <c r="T242" s="1235">
        <v>50</v>
      </c>
      <c r="U242" s="1239">
        <v>12728</v>
      </c>
      <c r="V242" s="767">
        <f t="shared" si="74"/>
        <v>636400</v>
      </c>
      <c r="W242" s="783"/>
    </row>
    <row r="243" spans="1:23" ht="13.5" customHeight="1">
      <c r="A243" s="765" t="str">
        <f t="shared" si="69"/>
        <v/>
      </c>
      <c r="B243" s="504"/>
      <c r="C243" s="766">
        <f>IF(ISNA(VLOOKUP(B243,NXT!$Q$72:$S$92,2,0)),0,VLOOKUP(B243,NXT!$Q$72:$S$92,2,0))</f>
        <v>0</v>
      </c>
      <c r="D243" s="618">
        <f t="shared" si="62"/>
        <v>0</v>
      </c>
      <c r="E243" s="618"/>
      <c r="F243" s="618"/>
      <c r="G243" s="767">
        <f t="shared" si="63"/>
        <v>0</v>
      </c>
      <c r="H243" s="618">
        <f t="shared" si="64"/>
        <v>0</v>
      </c>
      <c r="I243" s="618">
        <f t="shared" si="65"/>
        <v>0</v>
      </c>
      <c r="J243" s="618">
        <f t="shared" si="65"/>
        <v>0</v>
      </c>
      <c r="K243" s="618">
        <f t="shared" si="65"/>
        <v>0</v>
      </c>
      <c r="L243" s="618"/>
      <c r="M243" s="618"/>
      <c r="N243" s="767">
        <f t="shared" si="66"/>
        <v>0</v>
      </c>
      <c r="O243" s="773"/>
      <c r="P243" s="618">
        <f t="shared" si="67"/>
        <v>0</v>
      </c>
      <c r="Q243" s="786"/>
      <c r="R243" s="1236" t="s">
        <v>359</v>
      </c>
      <c r="S243" s="1234"/>
      <c r="T243" s="1235">
        <v>150</v>
      </c>
      <c r="U243" s="1235">
        <v>8000</v>
      </c>
      <c r="V243" s="767">
        <f t="shared" si="68"/>
        <v>1200000</v>
      </c>
      <c r="W243" s="783"/>
    </row>
    <row r="244" spans="1:23" ht="13.5" customHeight="1">
      <c r="A244" s="765" t="str">
        <f t="shared" si="69"/>
        <v/>
      </c>
      <c r="B244" s="777"/>
      <c r="C244" s="766">
        <f>IF(ISNA(VLOOKUP(B244,NXT!$Q$72:$S$92,2,0)),0,VLOOKUP(B244,NXT!$Q$72:$S$92,2,0))</f>
        <v>0</v>
      </c>
      <c r="D244" s="618">
        <f t="shared" si="62"/>
        <v>0</v>
      </c>
      <c r="E244" s="618"/>
      <c r="F244" s="618"/>
      <c r="G244" s="767">
        <f t="shared" si="63"/>
        <v>0</v>
      </c>
      <c r="H244" s="618">
        <f t="shared" si="64"/>
        <v>0</v>
      </c>
      <c r="I244" s="618">
        <f t="shared" si="65"/>
        <v>0</v>
      </c>
      <c r="J244" s="618">
        <f t="shared" si="65"/>
        <v>0</v>
      </c>
      <c r="K244" s="618">
        <f t="shared" si="65"/>
        <v>0</v>
      </c>
      <c r="L244" s="618"/>
      <c r="M244" s="618"/>
      <c r="N244" s="767">
        <f t="shared" si="66"/>
        <v>0</v>
      </c>
      <c r="O244" s="773"/>
      <c r="P244" s="618">
        <f t="shared" si="67"/>
        <v>0</v>
      </c>
      <c r="Q244" s="786"/>
      <c r="R244" s="774"/>
      <c r="S244" s="833"/>
      <c r="T244" s="232"/>
      <c r="U244" s="232"/>
      <c r="V244" s="767">
        <f t="shared" si="68"/>
        <v>0</v>
      </c>
      <c r="W244" s="783"/>
    </row>
    <row r="245" spans="1:23" ht="13.5" customHeight="1">
      <c r="A245" s="765" t="str">
        <f t="shared" si="69"/>
        <v/>
      </c>
      <c r="B245" s="777"/>
      <c r="C245" s="766">
        <f>IF(ISNA(VLOOKUP(B245,NXT!$Q$72:$S$92,2,0)),0,VLOOKUP(B245,NXT!$Q$72:$S$92,2,0))</f>
        <v>0</v>
      </c>
      <c r="D245" s="618">
        <f t="shared" si="62"/>
        <v>0</v>
      </c>
      <c r="E245" s="618"/>
      <c r="F245" s="618"/>
      <c r="G245" s="767">
        <f t="shared" si="63"/>
        <v>0</v>
      </c>
      <c r="H245" s="618">
        <f t="shared" si="64"/>
        <v>0</v>
      </c>
      <c r="I245" s="618">
        <f t="shared" si="65"/>
        <v>0</v>
      </c>
      <c r="J245" s="618">
        <f t="shared" si="65"/>
        <v>0</v>
      </c>
      <c r="K245" s="618">
        <f t="shared" si="65"/>
        <v>0</v>
      </c>
      <c r="L245" s="618"/>
      <c r="M245" s="618"/>
      <c r="N245" s="767">
        <f t="shared" si="66"/>
        <v>0</v>
      </c>
      <c r="O245" s="773"/>
      <c r="P245" s="618">
        <f t="shared" si="67"/>
        <v>0</v>
      </c>
      <c r="Q245" s="786"/>
      <c r="R245" s="774"/>
      <c r="S245" s="833"/>
      <c r="T245" s="232"/>
      <c r="U245" s="232"/>
      <c r="V245" s="767">
        <f t="shared" si="68"/>
        <v>0</v>
      </c>
      <c r="W245" s="783"/>
    </row>
    <row r="246" spans="1:23">
      <c r="A246" s="765" t="str">
        <f t="shared" si="69"/>
        <v/>
      </c>
      <c r="B246" s="777"/>
      <c r="C246" s="766">
        <f>IF(ISNA(VLOOKUP(B246,NXT!$Q$72:$S$92,2,0)),0,VLOOKUP(B246,NXT!$Q$72:$S$92,2,0))</f>
        <v>0</v>
      </c>
      <c r="D246" s="618">
        <f t="shared" si="62"/>
        <v>0</v>
      </c>
      <c r="E246" s="618"/>
      <c r="F246" s="618"/>
      <c r="G246" s="767">
        <f t="shared" si="63"/>
        <v>0</v>
      </c>
      <c r="H246" s="618">
        <f t="shared" si="64"/>
        <v>0</v>
      </c>
      <c r="I246" s="618">
        <f t="shared" si="65"/>
        <v>0</v>
      </c>
      <c r="J246" s="618">
        <f t="shared" si="65"/>
        <v>0</v>
      </c>
      <c r="K246" s="618">
        <f t="shared" si="65"/>
        <v>0</v>
      </c>
      <c r="L246" s="618"/>
      <c r="M246" s="618"/>
      <c r="N246" s="767">
        <f t="shared" si="66"/>
        <v>0</v>
      </c>
      <c r="O246" s="773"/>
      <c r="P246" s="618">
        <f t="shared" si="67"/>
        <v>0</v>
      </c>
      <c r="Q246" s="786"/>
      <c r="R246" s="774"/>
      <c r="S246" s="833"/>
      <c r="T246" s="232"/>
      <c r="U246" s="775"/>
      <c r="V246" s="767">
        <f t="shared" si="68"/>
        <v>0</v>
      </c>
      <c r="W246" s="783"/>
    </row>
    <row r="247" spans="1:23">
      <c r="A247" s="765" t="str">
        <f t="shared" si="69"/>
        <v/>
      </c>
      <c r="B247" s="778"/>
      <c r="C247" s="779"/>
      <c r="D247" s="781"/>
      <c r="E247" s="781"/>
      <c r="F247" s="781"/>
      <c r="G247" s="782"/>
      <c r="H247" s="827"/>
      <c r="I247" s="781"/>
      <c r="J247" s="783"/>
      <c r="K247" s="781"/>
      <c r="L247" s="784"/>
      <c r="M247" s="781"/>
      <c r="N247" s="815"/>
      <c r="O247" s="785"/>
      <c r="P247" s="781"/>
      <c r="Q247" s="786"/>
      <c r="R247" s="774"/>
      <c r="S247" s="835"/>
      <c r="T247" s="232"/>
      <c r="U247" s="232"/>
      <c r="V247" s="767">
        <f t="shared" si="68"/>
        <v>0</v>
      </c>
      <c r="W247" s="783"/>
    </row>
    <row r="248" spans="1:23" s="787" customFormat="1">
      <c r="A248" s="788"/>
      <c r="B248" s="789" t="s">
        <v>546</v>
      </c>
      <c r="C248" s="790"/>
      <c r="D248" s="791">
        <f>SUM(D237:D246)</f>
        <v>494700</v>
      </c>
      <c r="E248" s="791">
        <f>SUM(E237:E246)</f>
        <v>0</v>
      </c>
      <c r="F248" s="791"/>
      <c r="G248" s="791">
        <f>SUM(G237:G247)</f>
        <v>9065100000</v>
      </c>
      <c r="H248" s="792">
        <v>135345969</v>
      </c>
      <c r="I248" s="792">
        <f>V252</f>
        <v>37784332</v>
      </c>
      <c r="J248" s="1242">
        <v>70450809</v>
      </c>
      <c r="K248" s="792">
        <v>57138842</v>
      </c>
      <c r="L248" s="791">
        <f>ROUND(SUM(L237:L247),0)</f>
        <v>225711300</v>
      </c>
      <c r="M248" s="791">
        <f>ROUND(SUM(M237:M247),0)</f>
        <v>0</v>
      </c>
      <c r="N248" s="791">
        <f>ROUND(SUM(N237:N247),0)</f>
        <v>9591531252</v>
      </c>
      <c r="O248" s="791">
        <f>ROUND(SUM(O237:O247),0)</f>
        <v>129600</v>
      </c>
      <c r="P248" s="791"/>
      <c r="Q248" s="786"/>
      <c r="R248" s="774"/>
      <c r="S248" s="835"/>
      <c r="T248" s="797"/>
      <c r="U248" s="775"/>
      <c r="V248" s="767">
        <f t="shared" si="68"/>
        <v>0</v>
      </c>
      <c r="W248" s="783"/>
    </row>
    <row r="249" spans="1:23" s="742" customFormat="1">
      <c r="A249" s="738"/>
      <c r="B249" s="738"/>
      <c r="C249" s="738"/>
      <c r="D249" s="738"/>
      <c r="E249" s="738"/>
      <c r="F249" s="738"/>
      <c r="G249" s="738"/>
      <c r="H249" s="738"/>
      <c r="I249" s="738"/>
      <c r="J249" s="738"/>
      <c r="K249" s="738"/>
      <c r="L249" s="738"/>
      <c r="M249" s="738"/>
      <c r="N249" s="738"/>
      <c r="O249" s="738"/>
      <c r="P249" s="738"/>
      <c r="Q249" s="786"/>
      <c r="R249" s="836"/>
      <c r="S249" s="835"/>
      <c r="T249" s="797"/>
      <c r="U249" s="775"/>
      <c r="V249" s="767">
        <f t="shared" si="68"/>
        <v>0</v>
      </c>
      <c r="W249" s="783"/>
    </row>
    <row r="250" spans="1:23">
      <c r="Q250" s="786"/>
      <c r="R250" s="509"/>
      <c r="S250" s="835"/>
      <c r="T250" s="232"/>
      <c r="U250" s="232"/>
      <c r="V250" s="767">
        <f t="shared" si="68"/>
        <v>0</v>
      </c>
      <c r="W250" s="783"/>
    </row>
    <row r="251" spans="1:23">
      <c r="Q251" s="786"/>
      <c r="R251" s="837"/>
      <c r="S251" s="770"/>
      <c r="T251" s="232"/>
      <c r="U251" s="232"/>
      <c r="V251" s="783"/>
      <c r="W251" s="783"/>
    </row>
    <row r="252" spans="1:23">
      <c r="Q252" s="786"/>
      <c r="R252" s="820"/>
      <c r="S252" s="821"/>
      <c r="T252" s="822"/>
      <c r="U252" s="838"/>
      <c r="V252" s="801">
        <f>SUM(V237:V251)</f>
        <v>37784332</v>
      </c>
      <c r="W252" s="801">
        <f>SUM(W237:W251)</f>
        <v>0</v>
      </c>
    </row>
    <row r="253" spans="1:23">
      <c r="R253" s="1238" t="s">
        <v>650</v>
      </c>
      <c r="S253" s="1234"/>
      <c r="T253" s="1235">
        <v>1600</v>
      </c>
      <c r="U253" s="1239">
        <v>14000</v>
      </c>
      <c r="V253" s="767">
        <f t="shared" ref="V253:V258" si="75">ROUND(T253*U253,0)</f>
        <v>22400000</v>
      </c>
      <c r="W253" s="767"/>
    </row>
    <row r="254" spans="1:23">
      <c r="R254" s="1237" t="s">
        <v>401</v>
      </c>
      <c r="S254" s="1234"/>
      <c r="T254" s="1239">
        <v>252</v>
      </c>
      <c r="U254" s="1239">
        <v>18200</v>
      </c>
      <c r="V254" s="767">
        <f t="shared" si="75"/>
        <v>4586400</v>
      </c>
      <c r="W254" s="767"/>
    </row>
    <row r="255" spans="1:23">
      <c r="R255" s="1238" t="s">
        <v>387</v>
      </c>
      <c r="S255" s="1234"/>
      <c r="T255" s="1239">
        <v>250</v>
      </c>
      <c r="U255" s="1239">
        <v>16800</v>
      </c>
      <c r="V255" s="767">
        <f t="shared" si="75"/>
        <v>4200000</v>
      </c>
      <c r="W255" s="767"/>
    </row>
    <row r="256" spans="1:23">
      <c r="R256" s="1238" t="s">
        <v>387</v>
      </c>
      <c r="S256" s="1234"/>
      <c r="T256" s="1239">
        <v>2350</v>
      </c>
      <c r="U256" s="1239">
        <v>16800</v>
      </c>
      <c r="V256" s="767">
        <f t="shared" si="75"/>
        <v>39480000</v>
      </c>
      <c r="W256" s="767"/>
    </row>
    <row r="257" spans="1:25">
      <c r="R257" s="1238" t="s">
        <v>1839</v>
      </c>
      <c r="S257" s="1234"/>
      <c r="T257" s="1239">
        <v>95</v>
      </c>
      <c r="U257" s="1239">
        <v>37000</v>
      </c>
      <c r="V257" s="767">
        <f t="shared" si="75"/>
        <v>3515000</v>
      </c>
      <c r="W257" s="767"/>
    </row>
    <row r="258" spans="1:25">
      <c r="R258" s="1238" t="s">
        <v>1829</v>
      </c>
      <c r="S258" s="1240"/>
      <c r="T258" s="1239">
        <v>840</v>
      </c>
      <c r="U258" s="1239">
        <v>10000</v>
      </c>
      <c r="V258" s="767">
        <f t="shared" si="75"/>
        <v>8400000</v>
      </c>
      <c r="W258" s="767"/>
    </row>
    <row r="259" spans="1:25">
      <c r="R259" s="1238" t="s">
        <v>2023</v>
      </c>
      <c r="S259" s="1240"/>
      <c r="T259" s="1239">
        <v>4468</v>
      </c>
      <c r="U259" s="1239">
        <v>10300</v>
      </c>
      <c r="V259" s="767">
        <f t="shared" ref="V259:V265" si="76">ROUND(T259*U259,0)</f>
        <v>46020400</v>
      </c>
      <c r="W259" s="767"/>
    </row>
    <row r="260" spans="1:25">
      <c r="R260" s="1238" t="s">
        <v>1834</v>
      </c>
      <c r="S260" s="1240"/>
      <c r="T260" s="1239">
        <v>2000</v>
      </c>
      <c r="U260" s="1239">
        <v>11500</v>
      </c>
      <c r="V260" s="767">
        <f t="shared" si="76"/>
        <v>23000000</v>
      </c>
      <c r="W260" s="783"/>
      <c r="X260" s="741">
        <v>5750000</v>
      </c>
      <c r="Y260" s="741">
        <v>17250000</v>
      </c>
    </row>
    <row r="261" spans="1:25">
      <c r="R261" s="1238" t="s">
        <v>2024</v>
      </c>
      <c r="S261" s="1240"/>
      <c r="T261" s="1239">
        <v>1077</v>
      </c>
      <c r="U261" s="1239">
        <v>13500</v>
      </c>
      <c r="V261" s="767">
        <f t="shared" si="76"/>
        <v>14539500</v>
      </c>
      <c r="W261" s="783"/>
    </row>
    <row r="262" spans="1:25">
      <c r="R262" s="1241" t="s">
        <v>1836</v>
      </c>
      <c r="S262" s="1240"/>
      <c r="T262" s="1239">
        <v>51800</v>
      </c>
      <c r="U262" s="1239">
        <v>1150</v>
      </c>
      <c r="V262" s="767">
        <f t="shared" si="76"/>
        <v>59570000</v>
      </c>
      <c r="W262" s="783"/>
    </row>
    <row r="263" spans="1:25">
      <c r="R263" s="774"/>
      <c r="S263" s="833"/>
      <c r="T263" s="775"/>
      <c r="U263" s="775"/>
      <c r="V263" s="767">
        <f t="shared" si="76"/>
        <v>0</v>
      </c>
      <c r="W263" s="783"/>
    </row>
    <row r="264" spans="1:25">
      <c r="R264" s="774"/>
      <c r="S264" s="770"/>
      <c r="T264" s="775"/>
      <c r="U264" s="775"/>
      <c r="V264" s="767">
        <f t="shared" si="76"/>
        <v>0</v>
      </c>
      <c r="W264" s="783"/>
    </row>
    <row r="265" spans="1:25">
      <c r="R265" s="797"/>
      <c r="S265" s="770"/>
      <c r="T265" s="775"/>
      <c r="U265" s="775"/>
      <c r="V265" s="767">
        <f t="shared" si="76"/>
        <v>0</v>
      </c>
      <c r="W265" s="783"/>
    </row>
    <row r="266" spans="1:25">
      <c r="R266" s="797"/>
      <c r="S266" s="770"/>
      <c r="T266" s="775"/>
      <c r="U266" s="775"/>
      <c r="V266" s="767">
        <f>SUM(V253:V265)</f>
        <v>225711300</v>
      </c>
      <c r="W266" s="783"/>
    </row>
    <row r="267" spans="1:25">
      <c r="R267" s="747"/>
      <c r="S267" s="824"/>
      <c r="T267" s="757"/>
      <c r="U267" s="757"/>
      <c r="V267" s="795"/>
      <c r="W267" s="825"/>
    </row>
    <row r="268" spans="1:25" ht="20.25" customHeight="1">
      <c r="A268" s="742" t="s">
        <v>529</v>
      </c>
      <c r="B268" s="742"/>
      <c r="C268" s="743"/>
      <c r="D268" s="744"/>
      <c r="E268" s="744"/>
      <c r="F268" s="744"/>
      <c r="G268" s="741"/>
      <c r="H268" s="741"/>
      <c r="I268" s="741"/>
      <c r="J268" s="741"/>
      <c r="K268" s="741"/>
      <c r="L268" s="745"/>
      <c r="M268" s="741"/>
      <c r="N268" s="741"/>
      <c r="O268" s="746"/>
      <c r="P268" s="741"/>
      <c r="R268" s="741"/>
      <c r="S268" s="748"/>
    </row>
    <row r="269" spans="1:25" ht="20.25" customHeight="1">
      <c r="A269" s="749" t="s">
        <v>556</v>
      </c>
      <c r="B269" s="749"/>
      <c r="C269" s="749"/>
      <c r="D269" s="749"/>
      <c r="E269" s="749"/>
      <c r="F269" s="749"/>
      <c r="G269" s="749"/>
      <c r="H269" s="749"/>
      <c r="I269" s="749"/>
      <c r="J269" s="749"/>
      <c r="K269" s="749"/>
      <c r="L269" s="749"/>
      <c r="M269" s="749"/>
      <c r="N269" s="749"/>
      <c r="O269" s="749"/>
      <c r="P269" s="749"/>
      <c r="Q269" s="747"/>
      <c r="R269" s="741"/>
      <c r="S269" s="748"/>
    </row>
    <row r="270" spans="1:25" ht="12" customHeight="1">
      <c r="A270" s="750"/>
      <c r="B270" s="750"/>
      <c r="C270" s="751"/>
      <c r="D270" s="750"/>
      <c r="E270" s="750"/>
      <c r="F270" s="750"/>
      <c r="G270" s="750"/>
      <c r="H270" s="750"/>
      <c r="I270" s="750"/>
      <c r="J270" s="750"/>
      <c r="K270" s="750"/>
      <c r="L270" s="749"/>
      <c r="M270" s="750"/>
      <c r="N270" s="750"/>
      <c r="O270" s="752"/>
      <c r="P270" s="750"/>
      <c r="Q270" s="747"/>
      <c r="R270" s="741"/>
      <c r="S270" s="748"/>
    </row>
    <row r="271" spans="1:25" ht="12" customHeight="1">
      <c r="A271" s="753"/>
      <c r="B271" s="753"/>
      <c r="C271" s="754"/>
      <c r="D271" s="753"/>
      <c r="E271" s="753"/>
      <c r="F271" s="753"/>
      <c r="G271" s="753"/>
      <c r="H271" s="753"/>
      <c r="I271" s="753"/>
      <c r="J271" s="753"/>
      <c r="K271" s="753"/>
      <c r="L271" s="753"/>
      <c r="M271" s="753"/>
      <c r="N271" s="753"/>
      <c r="O271" s="755"/>
      <c r="P271" s="753"/>
      <c r="Q271" s="747"/>
      <c r="R271" s="741"/>
      <c r="S271" s="748"/>
    </row>
    <row r="272" spans="1:25" ht="36.75" customHeight="1">
      <c r="A272" s="758" t="s">
        <v>37</v>
      </c>
      <c r="B272" s="758" t="s">
        <v>531</v>
      </c>
      <c r="C272" s="759" t="s">
        <v>532</v>
      </c>
      <c r="D272" s="760" t="s">
        <v>533</v>
      </c>
      <c r="E272" s="760" t="s">
        <v>534</v>
      </c>
      <c r="F272" s="760" t="s">
        <v>535</v>
      </c>
      <c r="G272" s="760" t="s">
        <v>536</v>
      </c>
      <c r="H272" s="760" t="s">
        <v>537</v>
      </c>
      <c r="I272" s="760" t="s">
        <v>538</v>
      </c>
      <c r="J272" s="760" t="s">
        <v>539</v>
      </c>
      <c r="K272" s="761" t="s">
        <v>540</v>
      </c>
      <c r="L272" s="760" t="s">
        <v>541</v>
      </c>
      <c r="M272" s="761" t="s">
        <v>542</v>
      </c>
      <c r="N272" s="760" t="s">
        <v>543</v>
      </c>
      <c r="O272" s="762" t="s">
        <v>534</v>
      </c>
      <c r="P272" s="760" t="s">
        <v>544</v>
      </c>
      <c r="Q272" s="747"/>
      <c r="R272" s="758" t="s">
        <v>531</v>
      </c>
      <c r="S272" s="760" t="s">
        <v>498</v>
      </c>
      <c r="T272" s="760" t="s">
        <v>337</v>
      </c>
      <c r="U272" s="760" t="s">
        <v>535</v>
      </c>
      <c r="V272" s="760" t="s">
        <v>545</v>
      </c>
      <c r="W272" s="758" t="s">
        <v>545</v>
      </c>
    </row>
    <row r="273" spans="1:23" s="764" customFormat="1" ht="13.5" customHeight="1">
      <c r="A273" s="765">
        <f>IF(B273&lt;&gt;"",ROW()-(ROW()-1),"")</f>
        <v>1</v>
      </c>
      <c r="B273" s="777" t="s">
        <v>1969</v>
      </c>
      <c r="C273" s="766">
        <v>3</v>
      </c>
      <c r="D273" s="618">
        <f>ROUND(C273*O273,0)</f>
        <v>312000</v>
      </c>
      <c r="E273" s="618"/>
      <c r="F273" s="618">
        <v>17000</v>
      </c>
      <c r="G273" s="767">
        <f t="shared" ref="G273:G278" si="77">(D273+E273)*F273</f>
        <v>5304000000</v>
      </c>
      <c r="H273" s="618"/>
      <c r="I273" s="618"/>
      <c r="J273" s="618"/>
      <c r="K273" s="618"/>
      <c r="L273" s="767"/>
      <c r="M273" s="618">
        <f>104000*10000</f>
        <v>1040000000</v>
      </c>
      <c r="N273" s="767">
        <f>M273+G273</f>
        <v>6344000000</v>
      </c>
      <c r="O273" s="773">
        <v>104000</v>
      </c>
      <c r="P273" s="618">
        <f t="shared" ref="P273:P278" si="78">IF(N273&lt;&gt;0,N273/O273,0)</f>
        <v>61000</v>
      </c>
      <c r="Q273" s="763"/>
      <c r="R273" s="769"/>
      <c r="S273" s="833"/>
      <c r="T273" s="232"/>
      <c r="U273" s="232"/>
      <c r="V273" s="767">
        <f t="shared" ref="V273:V282" si="79">ROUND(T273*U273,0)</f>
        <v>0</v>
      </c>
      <c r="W273" s="767"/>
    </row>
    <row r="274" spans="1:23" ht="13.5" customHeight="1">
      <c r="A274" s="765" t="str">
        <f t="shared" ref="A274:A279" si="80">IF(B274&lt;&gt;"",A273+1,"")</f>
        <v/>
      </c>
      <c r="B274" s="777"/>
      <c r="C274" s="766">
        <f>IF(ISNA(VLOOKUP(B274,NXT!$Q$72:$S$92,2,0)),0,VLOOKUP(B274,NXT!$Q$72:$S$92,2,0))</f>
        <v>0</v>
      </c>
      <c r="D274" s="618">
        <f t="shared" ref="D274:D278" si="81">ROUND(C274*O274,0)</f>
        <v>0</v>
      </c>
      <c r="E274" s="618"/>
      <c r="F274" s="618"/>
      <c r="G274" s="767">
        <f t="shared" si="77"/>
        <v>0</v>
      </c>
      <c r="H274" s="618" t="e">
        <f>IF($D$280&lt;&gt;0,H$280/(($D$280-$D$273)+$E$280/4)*($D274+$E274/4),0)</f>
        <v>#DIV/0!</v>
      </c>
      <c r="I274" s="618" t="e">
        <f>IF($D$280&lt;&gt;0,I$280/($D$280-$D$273)*$D274,0)</f>
        <v>#DIV/0!</v>
      </c>
      <c r="J274" s="618" t="e">
        <f>IF($D$280&lt;&gt;0,J$280/($D$280-$D$273)*$D274,0)</f>
        <v>#DIV/0!</v>
      </c>
      <c r="K274" s="618" t="e">
        <f>IF($D$280&lt;&gt;0,K$280/($D$280-$D$273)*$D274,0)</f>
        <v>#DIV/0!</v>
      </c>
      <c r="L274" s="618">
        <f t="shared" ref="L274:L278" si="82">V286</f>
        <v>0</v>
      </c>
      <c r="M274" s="618"/>
      <c r="N274" s="767"/>
      <c r="O274" s="773"/>
      <c r="P274" s="618">
        <f t="shared" si="78"/>
        <v>0</v>
      </c>
      <c r="Q274" s="786"/>
      <c r="R274" s="774"/>
      <c r="S274" s="833"/>
      <c r="T274" s="232"/>
      <c r="U274" s="232"/>
      <c r="V274" s="767">
        <f t="shared" si="79"/>
        <v>0</v>
      </c>
      <c r="W274" s="783"/>
    </row>
    <row r="275" spans="1:23" ht="13.5" customHeight="1">
      <c r="A275" s="765" t="str">
        <f t="shared" si="80"/>
        <v/>
      </c>
      <c r="B275" s="777"/>
      <c r="C275" s="766">
        <f>IF(ISNA(VLOOKUP(B275,NXT!$Q$72:$S$92,2,0)),0,VLOOKUP(B275,NXT!$Q$72:$S$92,2,0))</f>
        <v>0</v>
      </c>
      <c r="D275" s="618">
        <f t="shared" si="81"/>
        <v>0</v>
      </c>
      <c r="E275" s="618"/>
      <c r="F275" s="618"/>
      <c r="G275" s="767">
        <f t="shared" si="77"/>
        <v>0</v>
      </c>
      <c r="H275" s="618" t="e">
        <f t="shared" ref="H275:H278" si="83">IF($D$280&lt;&gt;0,H$280/(($D$280-$D$273)+$E$280/4)*($D275+$E275/4),0)</f>
        <v>#DIV/0!</v>
      </c>
      <c r="I275" s="618" t="e">
        <f t="shared" ref="I275:K278" si="84">IF($D$280&lt;&gt;0,I$280/($D$280-$D$273)*$D275,0)</f>
        <v>#DIV/0!</v>
      </c>
      <c r="J275" s="618" t="e">
        <f t="shared" si="84"/>
        <v>#DIV/0!</v>
      </c>
      <c r="K275" s="618" t="e">
        <f t="shared" si="84"/>
        <v>#DIV/0!</v>
      </c>
      <c r="L275" s="618">
        <f t="shared" si="82"/>
        <v>0</v>
      </c>
      <c r="M275" s="618"/>
      <c r="N275" s="767"/>
      <c r="O275" s="773"/>
      <c r="P275" s="618">
        <f t="shared" si="78"/>
        <v>0</v>
      </c>
      <c r="Q275" s="786"/>
      <c r="R275" s="774"/>
      <c r="S275" s="833"/>
      <c r="T275" s="232"/>
      <c r="U275" s="232"/>
      <c r="V275" s="767">
        <f t="shared" si="79"/>
        <v>0</v>
      </c>
      <c r="W275" s="783"/>
    </row>
    <row r="276" spans="1:23" ht="13.5" customHeight="1">
      <c r="A276" s="765" t="str">
        <f t="shared" si="80"/>
        <v/>
      </c>
      <c r="B276" s="777"/>
      <c r="C276" s="766">
        <f>IF(ISNA(VLOOKUP(B276,NXT!$Q$72:$S$92,2,0)),0,VLOOKUP(B276,NXT!$Q$72:$S$92,2,0))</f>
        <v>0</v>
      </c>
      <c r="D276" s="618">
        <f t="shared" si="81"/>
        <v>0</v>
      </c>
      <c r="E276" s="618"/>
      <c r="F276" s="618"/>
      <c r="G276" s="767">
        <f t="shared" si="77"/>
        <v>0</v>
      </c>
      <c r="H276" s="618" t="e">
        <f t="shared" si="83"/>
        <v>#DIV/0!</v>
      </c>
      <c r="I276" s="618" t="e">
        <f t="shared" si="84"/>
        <v>#DIV/0!</v>
      </c>
      <c r="J276" s="618" t="e">
        <f t="shared" si="84"/>
        <v>#DIV/0!</v>
      </c>
      <c r="K276" s="618" t="e">
        <f t="shared" si="84"/>
        <v>#DIV/0!</v>
      </c>
      <c r="L276" s="618">
        <f t="shared" si="82"/>
        <v>0</v>
      </c>
      <c r="M276" s="618"/>
      <c r="N276" s="767"/>
      <c r="O276" s="773"/>
      <c r="P276" s="618">
        <f t="shared" si="78"/>
        <v>0</v>
      </c>
      <c r="Q276" s="786"/>
      <c r="R276" s="774"/>
      <c r="S276" s="833"/>
      <c r="T276" s="232"/>
      <c r="U276" s="232"/>
      <c r="V276" s="767">
        <f t="shared" si="79"/>
        <v>0</v>
      </c>
      <c r="W276" s="783"/>
    </row>
    <row r="277" spans="1:23" ht="13.5" customHeight="1">
      <c r="A277" s="765" t="str">
        <f t="shared" si="80"/>
        <v/>
      </c>
      <c r="B277" s="777"/>
      <c r="C277" s="766">
        <f>IF(ISNA(VLOOKUP(B277,NXT!$Q$72:$S$92,2,0)),0,VLOOKUP(B277,NXT!$Q$72:$S$92,2,0))</f>
        <v>0</v>
      </c>
      <c r="D277" s="618">
        <f t="shared" si="81"/>
        <v>0</v>
      </c>
      <c r="E277" s="618"/>
      <c r="F277" s="618"/>
      <c r="G277" s="767">
        <f t="shared" si="77"/>
        <v>0</v>
      </c>
      <c r="H277" s="618" t="e">
        <f t="shared" si="83"/>
        <v>#DIV/0!</v>
      </c>
      <c r="I277" s="618" t="e">
        <f t="shared" si="84"/>
        <v>#DIV/0!</v>
      </c>
      <c r="J277" s="618" t="e">
        <f t="shared" si="84"/>
        <v>#DIV/0!</v>
      </c>
      <c r="K277" s="618" t="e">
        <f t="shared" si="84"/>
        <v>#DIV/0!</v>
      </c>
      <c r="L277" s="618">
        <f t="shared" si="82"/>
        <v>0</v>
      </c>
      <c r="M277" s="618"/>
      <c r="N277" s="767"/>
      <c r="O277" s="773"/>
      <c r="P277" s="618">
        <f t="shared" si="78"/>
        <v>0</v>
      </c>
      <c r="Q277" s="786"/>
      <c r="R277" s="774"/>
      <c r="S277" s="833"/>
      <c r="T277" s="232"/>
      <c r="U277" s="232"/>
      <c r="V277" s="767">
        <f t="shared" si="79"/>
        <v>0</v>
      </c>
      <c r="W277" s="783"/>
    </row>
    <row r="278" spans="1:23">
      <c r="A278" s="765" t="str">
        <f t="shared" si="80"/>
        <v/>
      </c>
      <c r="B278" s="777"/>
      <c r="C278" s="766"/>
      <c r="D278" s="618">
        <f t="shared" si="81"/>
        <v>0</v>
      </c>
      <c r="E278" s="618"/>
      <c r="F278" s="618"/>
      <c r="G278" s="767">
        <f t="shared" si="77"/>
        <v>0</v>
      </c>
      <c r="H278" s="618" t="e">
        <f t="shared" si="83"/>
        <v>#DIV/0!</v>
      </c>
      <c r="I278" s="618" t="e">
        <f t="shared" si="84"/>
        <v>#DIV/0!</v>
      </c>
      <c r="J278" s="618" t="e">
        <f t="shared" si="84"/>
        <v>#DIV/0!</v>
      </c>
      <c r="K278" s="618" t="e">
        <f t="shared" si="84"/>
        <v>#DIV/0!</v>
      </c>
      <c r="L278" s="618">
        <f t="shared" si="82"/>
        <v>0</v>
      </c>
      <c r="M278" s="618"/>
      <c r="N278" s="767"/>
      <c r="O278" s="773"/>
      <c r="P278" s="618">
        <f t="shared" si="78"/>
        <v>0</v>
      </c>
      <c r="Q278" s="786"/>
      <c r="R278" s="774"/>
      <c r="S278" s="833"/>
      <c r="T278" s="232"/>
      <c r="U278" s="775"/>
      <c r="V278" s="767">
        <f t="shared" si="79"/>
        <v>0</v>
      </c>
      <c r="W278" s="783"/>
    </row>
    <row r="279" spans="1:23">
      <c r="A279" s="765" t="str">
        <f t="shared" si="80"/>
        <v/>
      </c>
      <c r="B279" s="778"/>
      <c r="C279" s="779"/>
      <c r="D279" s="781"/>
      <c r="E279" s="781"/>
      <c r="F279" s="781"/>
      <c r="G279" s="782"/>
      <c r="H279" s="827"/>
      <c r="I279" s="781"/>
      <c r="J279" s="783"/>
      <c r="K279" s="781"/>
      <c r="L279" s="784"/>
      <c r="M279" s="781"/>
      <c r="N279" s="815"/>
      <c r="O279" s="785"/>
      <c r="P279" s="781"/>
      <c r="Q279" s="786"/>
      <c r="R279" s="774"/>
      <c r="S279" s="835"/>
      <c r="T279" s="232"/>
      <c r="U279" s="232"/>
      <c r="V279" s="767">
        <f t="shared" si="79"/>
        <v>0</v>
      </c>
      <c r="W279" s="783"/>
    </row>
    <row r="280" spans="1:23" s="787" customFormat="1">
      <c r="A280" s="788"/>
      <c r="B280" s="789" t="s">
        <v>546</v>
      </c>
      <c r="C280" s="790"/>
      <c r="D280" s="791">
        <f>SUM(D273:D278)</f>
        <v>312000</v>
      </c>
      <c r="E280" s="791">
        <f>SUM(E273:E278)</f>
        <v>0</v>
      </c>
      <c r="F280" s="791"/>
      <c r="G280" s="791">
        <f>SUM(G273:G278)</f>
        <v>5304000000</v>
      </c>
      <c r="H280" s="792"/>
      <c r="I280" s="792">
        <f>V284</f>
        <v>0</v>
      </c>
      <c r="J280" s="792"/>
      <c r="K280" s="792">
        <v>57138842</v>
      </c>
      <c r="L280" s="791">
        <f>ROUND(SUM(L273:L279),0)</f>
        <v>0</v>
      </c>
      <c r="M280" s="791">
        <f>ROUND(SUM(M273:M279),0)</f>
        <v>1040000000</v>
      </c>
      <c r="N280" s="791">
        <f>ROUND(SUM(N273:N279),0)</f>
        <v>6344000000</v>
      </c>
      <c r="O280" s="791">
        <f>ROUND(SUM(O273:O279),0)</f>
        <v>104000</v>
      </c>
      <c r="P280" s="791"/>
      <c r="Q280" s="786"/>
      <c r="R280" s="774"/>
      <c r="S280" s="835"/>
      <c r="T280" s="797"/>
      <c r="U280" s="775"/>
      <c r="V280" s="767">
        <f t="shared" si="79"/>
        <v>0</v>
      </c>
      <c r="W280" s="783"/>
    </row>
    <row r="281" spans="1:23" s="742" customFormat="1">
      <c r="A281" s="738"/>
      <c r="B281" s="738"/>
      <c r="C281" s="738"/>
      <c r="D281" s="738"/>
      <c r="E281" s="738"/>
      <c r="F281" s="738"/>
      <c r="G281" s="738"/>
      <c r="H281" s="738"/>
      <c r="I281" s="738"/>
      <c r="J281" s="738"/>
      <c r="K281" s="738"/>
      <c r="L281" s="738"/>
      <c r="M281" s="738"/>
      <c r="N281" s="738"/>
      <c r="O281" s="738"/>
      <c r="P281" s="738"/>
      <c r="Q281" s="786"/>
      <c r="R281" s="836"/>
      <c r="S281" s="835"/>
      <c r="T281" s="797"/>
      <c r="U281" s="775"/>
      <c r="V281" s="767">
        <f t="shared" si="79"/>
        <v>0</v>
      </c>
      <c r="W281" s="783"/>
    </row>
    <row r="282" spans="1:23">
      <c r="Q282" s="786"/>
      <c r="R282" s="509"/>
      <c r="S282" s="835"/>
      <c r="T282" s="232"/>
      <c r="U282" s="232"/>
      <c r="V282" s="767">
        <f t="shared" si="79"/>
        <v>0</v>
      </c>
      <c r="W282" s="783"/>
    </row>
    <row r="283" spans="1:23">
      <c r="Q283" s="786"/>
      <c r="R283" s="837"/>
      <c r="S283" s="770"/>
      <c r="T283" s="232"/>
      <c r="U283" s="232"/>
      <c r="V283" s="783"/>
      <c r="W283" s="783"/>
    </row>
    <row r="284" spans="1:23">
      <c r="Q284" s="786"/>
      <c r="R284" s="820"/>
      <c r="S284" s="821"/>
      <c r="T284" s="822"/>
      <c r="U284" s="838"/>
      <c r="V284" s="801">
        <f>SUM(V273:V283)</f>
        <v>0</v>
      </c>
      <c r="W284" s="801">
        <f>SUM(W273:W283)</f>
        <v>0</v>
      </c>
    </row>
    <row r="285" spans="1:23">
      <c r="R285" s="797"/>
      <c r="S285" s="833"/>
      <c r="T285" s="232"/>
      <c r="U285" s="232"/>
      <c r="V285" s="767">
        <f t="shared" ref="V285:V290" si="85">ROUND(T285*U285,0)</f>
        <v>0</v>
      </c>
      <c r="W285" s="767"/>
    </row>
    <row r="286" spans="1:23">
      <c r="R286" s="774"/>
      <c r="S286" s="833"/>
      <c r="T286" s="775"/>
      <c r="U286" s="775"/>
      <c r="V286" s="767">
        <f t="shared" si="85"/>
        <v>0</v>
      </c>
      <c r="W286" s="783"/>
    </row>
    <row r="287" spans="1:23">
      <c r="R287" s="797"/>
      <c r="S287" s="833"/>
      <c r="T287" s="775"/>
      <c r="U287" s="775"/>
      <c r="V287" s="767">
        <f t="shared" si="85"/>
        <v>0</v>
      </c>
      <c r="W287" s="783"/>
    </row>
    <row r="288" spans="1:23">
      <c r="R288" s="774"/>
      <c r="S288" s="770"/>
      <c r="T288" s="775"/>
      <c r="U288" s="775"/>
      <c r="V288" s="767">
        <f t="shared" si="85"/>
        <v>0</v>
      </c>
      <c r="W288" s="783"/>
    </row>
    <row r="289" spans="1:23">
      <c r="R289" s="774"/>
      <c r="S289" s="770"/>
      <c r="T289" s="775"/>
      <c r="U289" s="775"/>
      <c r="V289" s="767">
        <f t="shared" si="85"/>
        <v>0</v>
      </c>
      <c r="W289" s="783"/>
    </row>
    <row r="290" spans="1:23">
      <c r="R290" s="797"/>
      <c r="S290" s="770"/>
      <c r="T290" s="775"/>
      <c r="U290" s="775"/>
      <c r="V290" s="767">
        <f t="shared" si="85"/>
        <v>0</v>
      </c>
      <c r="W290" s="783"/>
    </row>
    <row r="291" spans="1:23">
      <c r="R291" s="797"/>
      <c r="S291" s="770"/>
      <c r="T291" s="775"/>
      <c r="U291" s="775"/>
      <c r="V291" s="842">
        <f>SUM(V285:V290)</f>
        <v>0</v>
      </c>
      <c r="W291" s="783"/>
    </row>
    <row r="292" spans="1:23">
      <c r="A292" s="749"/>
      <c r="B292" s="749"/>
      <c r="C292" s="749"/>
      <c r="D292" s="749"/>
      <c r="E292" s="749"/>
      <c r="F292" s="749"/>
      <c r="G292" s="749"/>
      <c r="H292" s="749"/>
      <c r="I292" s="749"/>
      <c r="J292" s="749"/>
      <c r="K292" s="749"/>
      <c r="L292" s="749"/>
      <c r="M292" s="749"/>
      <c r="N292" s="749"/>
      <c r="O292" s="749"/>
      <c r="P292" s="749"/>
      <c r="R292" s="741"/>
      <c r="S292" s="748"/>
    </row>
    <row r="293" spans="1:23" ht="20.25" customHeight="1">
      <c r="A293" s="742" t="s">
        <v>529</v>
      </c>
      <c r="B293" s="742"/>
      <c r="C293" s="743"/>
      <c r="D293" s="744"/>
      <c r="E293" s="744"/>
      <c r="F293" s="744"/>
      <c r="G293" s="741"/>
      <c r="H293" s="741"/>
      <c r="I293" s="741"/>
      <c r="J293" s="741"/>
      <c r="K293" s="741"/>
      <c r="L293" s="745"/>
      <c r="M293" s="741"/>
      <c r="N293" s="741"/>
      <c r="O293" s="746"/>
      <c r="P293" s="741"/>
      <c r="Q293" s="747"/>
      <c r="R293" s="741"/>
      <c r="S293" s="748"/>
    </row>
    <row r="294" spans="1:23" ht="20.25" customHeight="1">
      <c r="A294" s="749" t="s">
        <v>557</v>
      </c>
      <c r="B294" s="749"/>
      <c r="C294" s="749"/>
      <c r="D294" s="749"/>
      <c r="E294" s="749"/>
      <c r="F294" s="749"/>
      <c r="G294" s="749"/>
      <c r="H294" s="749"/>
      <c r="I294" s="749"/>
      <c r="J294" s="749"/>
      <c r="K294" s="749"/>
      <c r="L294" s="749"/>
      <c r="M294" s="749"/>
      <c r="N294" s="749"/>
      <c r="O294" s="749"/>
      <c r="P294" s="749"/>
      <c r="Q294" s="747"/>
      <c r="R294" s="741"/>
      <c r="S294" s="748"/>
    </row>
    <row r="295" spans="1:23" ht="12" customHeight="1">
      <c r="A295" s="750"/>
      <c r="B295" s="750"/>
      <c r="C295" s="751"/>
      <c r="D295" s="750"/>
      <c r="E295" s="750"/>
      <c r="F295" s="750"/>
      <c r="G295" s="750"/>
      <c r="H295" s="750"/>
      <c r="I295" s="750"/>
      <c r="J295" s="750"/>
      <c r="K295" s="750"/>
      <c r="L295" s="749"/>
      <c r="M295" s="750"/>
      <c r="N295" s="750"/>
      <c r="O295" s="752"/>
      <c r="P295" s="750"/>
      <c r="Q295" s="747"/>
      <c r="R295" s="741"/>
      <c r="S295" s="748"/>
    </row>
    <row r="296" spans="1:23" ht="12" customHeight="1">
      <c r="A296" s="753"/>
      <c r="B296" s="753"/>
      <c r="C296" s="754"/>
      <c r="D296" s="753"/>
      <c r="E296" s="753"/>
      <c r="F296" s="753"/>
      <c r="G296" s="753"/>
      <c r="H296" s="753"/>
      <c r="I296" s="753"/>
      <c r="J296" s="753"/>
      <c r="K296" s="753"/>
      <c r="L296" s="753"/>
      <c r="M296" s="753"/>
      <c r="N296" s="753"/>
      <c r="O296" s="755"/>
      <c r="P296" s="753"/>
      <c r="Q296" s="747"/>
      <c r="R296" s="741"/>
      <c r="S296" s="748"/>
    </row>
    <row r="297" spans="1:23" ht="36.75" customHeight="1">
      <c r="A297" s="758" t="s">
        <v>37</v>
      </c>
      <c r="B297" s="758" t="s">
        <v>531</v>
      </c>
      <c r="C297" s="759" t="s">
        <v>532</v>
      </c>
      <c r="D297" s="760" t="s">
        <v>533</v>
      </c>
      <c r="E297" s="760" t="s">
        <v>534</v>
      </c>
      <c r="F297" s="760" t="s">
        <v>535</v>
      </c>
      <c r="G297" s="760" t="s">
        <v>536</v>
      </c>
      <c r="H297" s="760" t="s">
        <v>537</v>
      </c>
      <c r="I297" s="760" t="s">
        <v>538</v>
      </c>
      <c r="J297" s="760" t="s">
        <v>539</v>
      </c>
      <c r="K297" s="761" t="s">
        <v>540</v>
      </c>
      <c r="L297" s="760" t="s">
        <v>541</v>
      </c>
      <c r="M297" s="761" t="s">
        <v>542</v>
      </c>
      <c r="N297" s="760" t="s">
        <v>543</v>
      </c>
      <c r="O297" s="762" t="s">
        <v>534</v>
      </c>
      <c r="P297" s="760" t="s">
        <v>544</v>
      </c>
      <c r="Q297" s="747"/>
      <c r="R297" s="758" t="s">
        <v>531</v>
      </c>
      <c r="S297" s="760" t="s">
        <v>498</v>
      </c>
      <c r="T297" s="760" t="s">
        <v>337</v>
      </c>
      <c r="U297" s="760" t="s">
        <v>535</v>
      </c>
      <c r="V297" s="760" t="s">
        <v>545</v>
      </c>
      <c r="W297" s="758" t="s">
        <v>545</v>
      </c>
    </row>
    <row r="298" spans="1:23" s="764" customFormat="1" ht="13.5" customHeight="1">
      <c r="A298" s="765" t="str">
        <f>IF(B298&lt;&gt;"",ROW()-(ROW()-1),"")</f>
        <v/>
      </c>
      <c r="B298" s="839"/>
      <c r="C298" s="766">
        <f>IF(ISNA(VLOOKUP(B298,NXT!$Q$72:$S$92,2,0)),0,VLOOKUP(B298,NXT!$Q$72:$S$92,2,0))</f>
        <v>0</v>
      </c>
      <c r="D298" s="618">
        <f t="shared" ref="D298:D303" si="86">ROUND(C298*O298,0)</f>
        <v>0</v>
      </c>
      <c r="E298" s="618"/>
      <c r="F298" s="618"/>
      <c r="G298" s="767">
        <f t="shared" ref="G298:G303" si="87">(D298+E298)*F298</f>
        <v>0</v>
      </c>
      <c r="H298" s="618">
        <f t="shared" ref="H298:H303" si="88">IF($D$305&lt;&gt;0,H$305/($D$305+$E$305/4)*($D298+$E298/4),0)</f>
        <v>0</v>
      </c>
      <c r="I298" s="618">
        <f t="shared" ref="I298:K303" si="89">IF($D$305&lt;&gt;0,I$305/$D$305*$D298,0)</f>
        <v>0</v>
      </c>
      <c r="J298" s="618">
        <f t="shared" si="89"/>
        <v>0</v>
      </c>
      <c r="K298" s="618">
        <f t="shared" si="89"/>
        <v>0</v>
      </c>
      <c r="L298" s="843"/>
      <c r="M298" s="618"/>
      <c r="N298" s="767">
        <f t="shared" ref="N298:N303" si="90">ROUND(SUM(G298:L298),0)</f>
        <v>0</v>
      </c>
      <c r="O298" s="618"/>
      <c r="P298" s="618">
        <f t="shared" ref="P298:P303" si="91">IF(N298&lt;&gt;0,N298/O298,0)</f>
        <v>0</v>
      </c>
      <c r="Q298" s="763"/>
      <c r="R298" s="769"/>
      <c r="S298" s="833"/>
      <c r="T298" s="232"/>
      <c r="U298" s="232"/>
      <c r="V298" s="767">
        <f t="shared" ref="V298:V307" si="92">ROUND(T298*U298,0)</f>
        <v>0</v>
      </c>
      <c r="W298" s="767"/>
    </row>
    <row r="299" spans="1:23" ht="13.5" customHeight="1">
      <c r="A299" s="765" t="str">
        <f t="shared" ref="A299:A304" si="93">IF(B299&lt;&gt;"",A298+1,"")</f>
        <v/>
      </c>
      <c r="B299" s="777"/>
      <c r="C299" s="766">
        <f>IF(ISNA(VLOOKUP(B299,NXT!$Q$72:$S$92,2,0)),0,VLOOKUP(B299,NXT!$Q$72:$S$92,2,0))</f>
        <v>0</v>
      </c>
      <c r="D299" s="618">
        <f t="shared" si="86"/>
        <v>0</v>
      </c>
      <c r="E299" s="618"/>
      <c r="F299" s="618"/>
      <c r="G299" s="767">
        <f t="shared" si="87"/>
        <v>0</v>
      </c>
      <c r="H299" s="618">
        <f t="shared" si="88"/>
        <v>0</v>
      </c>
      <c r="I299" s="618">
        <f t="shared" si="89"/>
        <v>0</v>
      </c>
      <c r="J299" s="618">
        <f t="shared" si="89"/>
        <v>0</v>
      </c>
      <c r="K299" s="618">
        <f t="shared" si="89"/>
        <v>0</v>
      </c>
      <c r="L299" s="843"/>
      <c r="M299" s="618"/>
      <c r="N299" s="767">
        <f t="shared" si="90"/>
        <v>0</v>
      </c>
      <c r="O299" s="773"/>
      <c r="P299" s="618">
        <f t="shared" si="91"/>
        <v>0</v>
      </c>
      <c r="Q299" s="786"/>
      <c r="R299" s="774"/>
      <c r="S299" s="833"/>
      <c r="T299" s="232"/>
      <c r="U299" s="232"/>
      <c r="V299" s="767">
        <f t="shared" si="92"/>
        <v>0</v>
      </c>
      <c r="W299" s="783"/>
    </row>
    <row r="300" spans="1:23" ht="13.5" customHeight="1">
      <c r="A300" s="765" t="str">
        <f t="shared" si="93"/>
        <v/>
      </c>
      <c r="B300" s="777"/>
      <c r="C300" s="766">
        <f>IF(ISNA(VLOOKUP(B300,NXT!$Q$72:$S$92,2,0)),0,VLOOKUP(B300,NXT!$Q$72:$S$92,2,0))</f>
        <v>0</v>
      </c>
      <c r="D300" s="618">
        <f t="shared" si="86"/>
        <v>0</v>
      </c>
      <c r="E300" s="618"/>
      <c r="F300" s="618"/>
      <c r="G300" s="767">
        <f t="shared" si="87"/>
        <v>0</v>
      </c>
      <c r="H300" s="618">
        <f t="shared" si="88"/>
        <v>0</v>
      </c>
      <c r="I300" s="618">
        <f t="shared" si="89"/>
        <v>0</v>
      </c>
      <c r="J300" s="618">
        <f t="shared" si="89"/>
        <v>0</v>
      </c>
      <c r="K300" s="618">
        <f t="shared" si="89"/>
        <v>0</v>
      </c>
      <c r="L300" s="843"/>
      <c r="M300" s="618"/>
      <c r="N300" s="767">
        <f t="shared" si="90"/>
        <v>0</v>
      </c>
      <c r="O300" s="773"/>
      <c r="P300" s="618">
        <f t="shared" si="91"/>
        <v>0</v>
      </c>
      <c r="Q300" s="786"/>
      <c r="R300" s="774"/>
      <c r="S300" s="833"/>
      <c r="T300" s="232"/>
      <c r="U300" s="232"/>
      <c r="V300" s="767">
        <f t="shared" si="92"/>
        <v>0</v>
      </c>
      <c r="W300" s="783"/>
    </row>
    <row r="301" spans="1:23" ht="13.5" customHeight="1">
      <c r="A301" s="765" t="str">
        <f t="shared" si="93"/>
        <v/>
      </c>
      <c r="B301" s="777"/>
      <c r="C301" s="766">
        <f>IF(ISNA(VLOOKUP(B301,NXT!$Q$72:$S$92,2,0)),0,VLOOKUP(B301,NXT!$Q$72:$S$92,2,0))</f>
        <v>0</v>
      </c>
      <c r="D301" s="618">
        <f t="shared" si="86"/>
        <v>0</v>
      </c>
      <c r="E301" s="618"/>
      <c r="F301" s="618"/>
      <c r="G301" s="767">
        <f t="shared" si="87"/>
        <v>0</v>
      </c>
      <c r="H301" s="618">
        <f t="shared" si="88"/>
        <v>0</v>
      </c>
      <c r="I301" s="618">
        <f t="shared" si="89"/>
        <v>0</v>
      </c>
      <c r="J301" s="618">
        <f t="shared" si="89"/>
        <v>0</v>
      </c>
      <c r="K301" s="618">
        <f t="shared" si="89"/>
        <v>0</v>
      </c>
      <c r="L301" s="618"/>
      <c r="M301" s="618"/>
      <c r="N301" s="767">
        <f t="shared" si="90"/>
        <v>0</v>
      </c>
      <c r="O301" s="773"/>
      <c r="P301" s="618">
        <f t="shared" si="91"/>
        <v>0</v>
      </c>
      <c r="Q301" s="786"/>
      <c r="R301" s="774"/>
      <c r="S301" s="833"/>
      <c r="T301" s="232"/>
      <c r="U301" s="232"/>
      <c r="V301" s="767">
        <f t="shared" si="92"/>
        <v>0</v>
      </c>
      <c r="W301" s="783"/>
    </row>
    <row r="302" spans="1:23" ht="13.5" customHeight="1">
      <c r="A302" s="765" t="str">
        <f t="shared" si="93"/>
        <v/>
      </c>
      <c r="B302" s="777"/>
      <c r="C302" s="766">
        <f>IF(ISNA(VLOOKUP(B302,NXT!$Q$72:$S$92,2,0)),0,VLOOKUP(B302,NXT!$Q$72:$S$92,2,0))</f>
        <v>0</v>
      </c>
      <c r="D302" s="618">
        <f t="shared" si="86"/>
        <v>0</v>
      </c>
      <c r="E302" s="618"/>
      <c r="F302" s="618"/>
      <c r="G302" s="767">
        <f t="shared" si="87"/>
        <v>0</v>
      </c>
      <c r="H302" s="618">
        <f t="shared" si="88"/>
        <v>0</v>
      </c>
      <c r="I302" s="618">
        <f t="shared" si="89"/>
        <v>0</v>
      </c>
      <c r="J302" s="618">
        <f t="shared" si="89"/>
        <v>0</v>
      </c>
      <c r="K302" s="618">
        <f t="shared" si="89"/>
        <v>0</v>
      </c>
      <c r="L302" s="618"/>
      <c r="M302" s="618"/>
      <c r="N302" s="767">
        <f t="shared" si="90"/>
        <v>0</v>
      </c>
      <c r="O302" s="773"/>
      <c r="P302" s="618">
        <f t="shared" si="91"/>
        <v>0</v>
      </c>
      <c r="Q302" s="786"/>
      <c r="R302" s="774"/>
      <c r="S302" s="833"/>
      <c r="T302" s="232"/>
      <c r="U302" s="232"/>
      <c r="V302" s="767">
        <f t="shared" si="92"/>
        <v>0</v>
      </c>
      <c r="W302" s="783"/>
    </row>
    <row r="303" spans="1:23">
      <c r="A303" s="765" t="str">
        <f t="shared" si="93"/>
        <v/>
      </c>
      <c r="B303" s="777"/>
      <c r="C303" s="766">
        <f>IF(ISNA(VLOOKUP(B303,NXT!$Q$72:$S$92,2,0)),0,VLOOKUP(B303,NXT!$Q$72:$S$92,2,0))</f>
        <v>0</v>
      </c>
      <c r="D303" s="618">
        <f t="shared" si="86"/>
        <v>0</v>
      </c>
      <c r="E303" s="618"/>
      <c r="F303" s="618"/>
      <c r="G303" s="767">
        <f t="shared" si="87"/>
        <v>0</v>
      </c>
      <c r="H303" s="618">
        <f t="shared" si="88"/>
        <v>0</v>
      </c>
      <c r="I303" s="618">
        <f t="shared" si="89"/>
        <v>0</v>
      </c>
      <c r="J303" s="618">
        <f t="shared" si="89"/>
        <v>0</v>
      </c>
      <c r="K303" s="618">
        <f t="shared" si="89"/>
        <v>0</v>
      </c>
      <c r="L303" s="618"/>
      <c r="M303" s="618"/>
      <c r="N303" s="767">
        <f t="shared" si="90"/>
        <v>0</v>
      </c>
      <c r="O303" s="773"/>
      <c r="P303" s="618">
        <f t="shared" si="91"/>
        <v>0</v>
      </c>
      <c r="Q303" s="786"/>
      <c r="R303" s="774"/>
      <c r="S303" s="833"/>
      <c r="T303" s="232"/>
      <c r="U303" s="775"/>
      <c r="V303" s="767">
        <f t="shared" si="92"/>
        <v>0</v>
      </c>
      <c r="W303" s="783"/>
    </row>
    <row r="304" spans="1:23">
      <c r="A304" s="765" t="str">
        <f t="shared" si="93"/>
        <v/>
      </c>
      <c r="B304" s="778"/>
      <c r="C304" s="779"/>
      <c r="D304" s="781"/>
      <c r="E304" s="781"/>
      <c r="F304" s="781"/>
      <c r="G304" s="782"/>
      <c r="H304" s="827"/>
      <c r="I304" s="781"/>
      <c r="J304" s="783"/>
      <c r="K304" s="781"/>
      <c r="L304" s="784"/>
      <c r="M304" s="781"/>
      <c r="N304" s="815"/>
      <c r="O304" s="785"/>
      <c r="P304" s="781"/>
      <c r="Q304" s="786"/>
      <c r="R304" s="774"/>
      <c r="S304" s="833"/>
      <c r="T304" s="232"/>
      <c r="U304" s="232"/>
      <c r="V304" s="767">
        <f t="shared" si="92"/>
        <v>0</v>
      </c>
      <c r="W304" s="783"/>
    </row>
    <row r="305" spans="1:23" s="787" customFormat="1">
      <c r="A305" s="788"/>
      <c r="B305" s="789" t="s">
        <v>546</v>
      </c>
      <c r="C305" s="790"/>
      <c r="D305" s="791">
        <f>SUM(D298:D303)</f>
        <v>0</v>
      </c>
      <c r="E305" s="791">
        <f>SUM(E298:E303)</f>
        <v>0</v>
      </c>
      <c r="F305" s="791"/>
      <c r="G305" s="791">
        <f>SUM(G298:G303)</f>
        <v>0</v>
      </c>
      <c r="H305" s="792"/>
      <c r="I305" s="792">
        <f>V309</f>
        <v>0</v>
      </c>
      <c r="J305" s="792"/>
      <c r="K305" s="792"/>
      <c r="L305" s="791">
        <f>ROUND(SUM(L298:L304),0)</f>
        <v>0</v>
      </c>
      <c r="M305" s="791">
        <f>ROUND(SUM(M298:M304),0)</f>
        <v>0</v>
      </c>
      <c r="N305" s="791">
        <f>ROUND(SUM(N298:N304),0)</f>
        <v>0</v>
      </c>
      <c r="O305" s="791">
        <f>ROUND(SUM(O298:O304),0)</f>
        <v>0</v>
      </c>
      <c r="P305" s="791"/>
      <c r="Q305" s="786"/>
      <c r="R305" s="774"/>
      <c r="S305" s="770"/>
      <c r="T305" s="797"/>
      <c r="U305" s="775"/>
      <c r="V305" s="767">
        <f t="shared" si="92"/>
        <v>0</v>
      </c>
      <c r="W305" s="783"/>
    </row>
    <row r="306" spans="1:23" s="742" customFormat="1">
      <c r="A306" s="738"/>
      <c r="B306" s="738"/>
      <c r="C306" s="738"/>
      <c r="D306" s="738"/>
      <c r="E306" s="738"/>
      <c r="F306" s="738"/>
      <c r="G306" s="738"/>
      <c r="H306" s="738"/>
      <c r="I306" s="738"/>
      <c r="J306" s="738"/>
      <c r="K306" s="738"/>
      <c r="L306" s="738"/>
      <c r="M306" s="738"/>
      <c r="N306" s="738"/>
      <c r="O306" s="738"/>
      <c r="P306" s="738"/>
      <c r="Q306" s="786"/>
      <c r="R306" s="836"/>
      <c r="S306" s="770"/>
      <c r="T306" s="797"/>
      <c r="U306" s="775"/>
      <c r="V306" s="767">
        <f t="shared" si="92"/>
        <v>0</v>
      </c>
      <c r="W306" s="783"/>
    </row>
    <row r="307" spans="1:23">
      <c r="L307" s="746">
        <f>L305-V317</f>
        <v>0</v>
      </c>
      <c r="Q307" s="786"/>
      <c r="R307" s="509"/>
      <c r="S307" s="770"/>
      <c r="T307" s="232"/>
      <c r="U307" s="232"/>
      <c r="V307" s="767">
        <f t="shared" si="92"/>
        <v>0</v>
      </c>
      <c r="W307" s="783"/>
    </row>
    <row r="308" spans="1:23">
      <c r="Q308" s="786"/>
      <c r="R308" s="837"/>
      <c r="S308" s="770"/>
      <c r="T308" s="232"/>
      <c r="U308" s="232"/>
      <c r="V308" s="783"/>
      <c r="W308" s="783"/>
    </row>
    <row r="309" spans="1:23">
      <c r="Q309" s="786"/>
      <c r="R309" s="820"/>
      <c r="S309" s="821"/>
      <c r="T309" s="822"/>
      <c r="U309" s="838"/>
      <c r="V309" s="801">
        <f>SUM(V298:V308)</f>
        <v>0</v>
      </c>
      <c r="W309" s="801">
        <f>SUM(W298:W308)</f>
        <v>0</v>
      </c>
    </row>
    <row r="310" spans="1:23">
      <c r="R310" s="823"/>
      <c r="S310" s="833"/>
      <c r="T310" s="232"/>
      <c r="U310" s="232"/>
      <c r="V310" s="767">
        <f t="shared" ref="V310:V316" si="94">ROUND(T310*U310,0)</f>
        <v>0</v>
      </c>
      <c r="W310" s="767"/>
    </row>
    <row r="311" spans="1:23">
      <c r="R311" s="774"/>
      <c r="S311" s="833"/>
      <c r="T311" s="775"/>
      <c r="U311" s="232"/>
      <c r="V311" s="767">
        <f t="shared" si="94"/>
        <v>0</v>
      </c>
      <c r="W311" s="783"/>
    </row>
    <row r="312" spans="1:23">
      <c r="R312" s="774"/>
      <c r="S312" s="833"/>
      <c r="T312" s="775"/>
      <c r="U312" s="232"/>
      <c r="V312" s="767">
        <f t="shared" si="94"/>
        <v>0</v>
      </c>
      <c r="W312" s="783"/>
    </row>
    <row r="313" spans="1:23">
      <c r="R313" s="774"/>
      <c r="S313" s="833"/>
      <c r="T313" s="775"/>
      <c r="U313" s="775"/>
      <c r="V313" s="767">
        <f t="shared" si="94"/>
        <v>0</v>
      </c>
      <c r="W313" s="783"/>
    </row>
    <row r="314" spans="1:23">
      <c r="R314" s="774"/>
      <c r="S314" s="770"/>
      <c r="T314" s="775"/>
      <c r="U314" s="775"/>
      <c r="V314" s="767">
        <f t="shared" si="94"/>
        <v>0</v>
      </c>
      <c r="W314" s="783"/>
    </row>
    <row r="315" spans="1:23">
      <c r="R315" s="774"/>
      <c r="S315" s="770"/>
      <c r="T315" s="775"/>
      <c r="U315" s="775"/>
      <c r="V315" s="767">
        <f t="shared" si="94"/>
        <v>0</v>
      </c>
      <c r="W315" s="783"/>
    </row>
    <row r="316" spans="1:23">
      <c r="R316" s="797"/>
      <c r="S316" s="770"/>
      <c r="T316" s="775"/>
      <c r="U316" s="775"/>
      <c r="V316" s="767">
        <f t="shared" si="94"/>
        <v>0</v>
      </c>
      <c r="W316" s="783"/>
    </row>
    <row r="317" spans="1:23">
      <c r="R317" s="797"/>
      <c r="S317" s="770"/>
      <c r="T317" s="775"/>
      <c r="U317" s="775"/>
      <c r="V317" s="842">
        <f>SUM(V310:V316)</f>
        <v>0</v>
      </c>
      <c r="W317" s="783"/>
    </row>
    <row r="319" spans="1:23">
      <c r="G319" s="741"/>
      <c r="N319" s="741"/>
    </row>
    <row r="320" spans="1:23">
      <c r="G320" s="741"/>
      <c r="H320" s="741"/>
      <c r="I320" s="741"/>
      <c r="J320" s="741"/>
      <c r="K320" s="741"/>
      <c r="L320" s="741"/>
      <c r="M320" s="741"/>
      <c r="N320" s="741"/>
    </row>
    <row r="321" spans="7:14">
      <c r="G321" s="803"/>
      <c r="N321" s="803"/>
    </row>
  </sheetData>
  <mergeCells count="3">
    <mergeCell ref="S5:T5"/>
    <mergeCell ref="V5:W5"/>
    <mergeCell ref="R17:T17"/>
  </mergeCells>
  <dataValidations count="2">
    <dataValidation type="list" allowBlank="1" showInputMessage="1" showErrorMessage="1" sqref="B142 B243 B239 B113 B144 B205 B87:B92">
      <formula1>Loai3</formula1>
    </dataValidation>
    <dataValidation type="list" allowBlank="1" showInputMessage="1" showErrorMessage="1" sqref="R297 R168 R85 R67 R272 R46 R6 R140 R110 R236 R201 R28">
      <formula1>DSTP</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105" customWidth="1"/>
    <col min="2" max="2" width="15.7109375" style="1105" customWidth="1"/>
    <col min="3" max="3" width="16.85546875" style="1105" customWidth="1"/>
    <col min="4" max="8" width="15.28515625" style="1105" customWidth="1"/>
    <col min="9" max="9" width="10.140625" style="1105" customWidth="1"/>
    <col min="10" max="10" width="5.85546875" style="1105" customWidth="1"/>
    <col min="11" max="16384" width="10.28515625" style="1105"/>
  </cols>
  <sheetData>
    <row r="1" spans="1:10" s="844" customFormat="1" ht="15" customHeight="1">
      <c r="A1" s="1092" t="s">
        <v>316</v>
      </c>
      <c r="B1" s="1092"/>
      <c r="D1" s="845"/>
      <c r="E1" s="845"/>
      <c r="F1" s="1466" t="s">
        <v>558</v>
      </c>
      <c r="G1" s="1466"/>
      <c r="H1" s="1466"/>
      <c r="I1" s="846"/>
      <c r="J1" s="847"/>
    </row>
    <row r="2" spans="1:10" s="844" customFormat="1" ht="29.25" customHeight="1">
      <c r="A2" s="1092" t="s">
        <v>559</v>
      </c>
      <c r="B2" s="1092"/>
      <c r="D2" s="848"/>
      <c r="E2" s="848"/>
      <c r="F2" s="1467" t="s">
        <v>144</v>
      </c>
      <c r="G2" s="1467"/>
      <c r="H2" s="1467"/>
      <c r="I2" s="846"/>
      <c r="J2" s="708">
        <v>1</v>
      </c>
    </row>
    <row r="3" spans="1:10" s="844" customFormat="1" ht="15">
      <c r="A3" s="1093"/>
      <c r="B3" s="1094"/>
      <c r="C3" s="848"/>
      <c r="D3" s="848"/>
      <c r="E3" s="848"/>
      <c r="F3" s="1467"/>
      <c r="G3" s="1467"/>
      <c r="H3" s="1467"/>
      <c r="I3" s="846"/>
    </row>
    <row r="4" spans="1:10" s="1096" customFormat="1" ht="17.25" customHeight="1">
      <c r="A4" s="1468" t="s">
        <v>560</v>
      </c>
      <c r="B4" s="1468"/>
      <c r="C4" s="1468"/>
      <c r="D4" s="1468"/>
      <c r="E4" s="1468"/>
      <c r="F4" s="1468"/>
      <c r="G4" s="1468"/>
      <c r="H4" s="1468"/>
      <c r="I4" s="1095"/>
    </row>
    <row r="5" spans="1:10" s="1097" customFormat="1" ht="17.25" customHeight="1">
      <c r="B5" s="1098"/>
      <c r="C5" s="1099" t="s">
        <v>464</v>
      </c>
      <c r="D5" s="1098" t="str">
        <f>IF($J$2&lt;10,"0"&amp;$J$2&amp;"  năm 2016",$J$2&amp;"  năm 2016")</f>
        <v>01  năm 2016</v>
      </c>
      <c r="E5" s="1098"/>
      <c r="F5" s="1098"/>
      <c r="G5" s="1098"/>
      <c r="H5" s="1098"/>
      <c r="I5" s="1098"/>
    </row>
    <row r="6" spans="1:10" s="1097" customFormat="1" ht="17.25" customHeight="1">
      <c r="B6" s="1100"/>
      <c r="C6" s="1469" t="s">
        <v>561</v>
      </c>
      <c r="D6" s="1469"/>
      <c r="E6" s="1470" t="s">
        <v>449</v>
      </c>
      <c r="F6" s="1470"/>
      <c r="H6" s="1100"/>
      <c r="I6" s="1098"/>
    </row>
    <row r="7" spans="1:10" s="1102" customFormat="1" ht="9.75" customHeight="1">
      <c r="A7" s="1101"/>
      <c r="B7" s="1101"/>
      <c r="C7" s="1101"/>
      <c r="D7" s="1101"/>
      <c r="E7" s="1101"/>
      <c r="F7" s="1101"/>
      <c r="G7" s="1101"/>
      <c r="H7" s="1101"/>
      <c r="I7" s="1100"/>
    </row>
    <row r="8" spans="1:10" s="850" customFormat="1" ht="17.25" customHeight="1">
      <c r="A8" s="1471" t="s">
        <v>562</v>
      </c>
      <c r="B8" s="1472" t="s">
        <v>563</v>
      </c>
      <c r="C8" s="1472" t="s">
        <v>564</v>
      </c>
      <c r="D8" s="1472"/>
      <c r="E8" s="1472"/>
      <c r="F8" s="1472"/>
      <c r="G8" s="1472"/>
      <c r="H8" s="1472"/>
      <c r="I8" s="849"/>
    </row>
    <row r="9" spans="1:10" s="853" customFormat="1" ht="28.5">
      <c r="A9" s="1471"/>
      <c r="B9" s="1472"/>
      <c r="C9" s="851" t="s">
        <v>565</v>
      </c>
      <c r="D9" s="851" t="s">
        <v>566</v>
      </c>
      <c r="E9" s="851" t="s">
        <v>567</v>
      </c>
      <c r="F9" s="851" t="s">
        <v>568</v>
      </c>
      <c r="G9" s="851" t="s">
        <v>569</v>
      </c>
      <c r="H9" s="851" t="s">
        <v>570</v>
      </c>
      <c r="I9" s="852"/>
    </row>
    <row r="10" spans="1:10" s="856" customFormat="1" ht="15">
      <c r="A10" s="854" t="s">
        <v>2</v>
      </c>
      <c r="B10" s="855">
        <v>1</v>
      </c>
      <c r="C10" s="855">
        <v>2</v>
      </c>
      <c r="D10" s="855">
        <v>3</v>
      </c>
      <c r="E10" s="855">
        <v>4</v>
      </c>
      <c r="F10" s="855">
        <v>5</v>
      </c>
      <c r="G10" s="855">
        <v>6</v>
      </c>
      <c r="H10" s="855">
        <v>7</v>
      </c>
      <c r="I10" s="846"/>
    </row>
    <row r="11" spans="1:10" s="1097" customFormat="1" ht="24.75" customHeight="1">
      <c r="A11" s="1103" t="s">
        <v>571</v>
      </c>
      <c r="B11" s="1104">
        <f>ROUND(SUM(C11:H11),0)</f>
        <v>0</v>
      </c>
      <c r="C11" s="1104">
        <v>0</v>
      </c>
      <c r="D11" s="1104">
        <v>0</v>
      </c>
      <c r="E11" s="1104">
        <v>0</v>
      </c>
      <c r="F11" s="1104">
        <v>0</v>
      </c>
      <c r="G11" s="1104">
        <v>0</v>
      </c>
      <c r="H11" s="1104">
        <v>0</v>
      </c>
      <c r="I11" s="1098"/>
    </row>
    <row r="12" spans="1:10" s="1097" customFormat="1" ht="24.75" customHeight="1">
      <c r="A12" s="1103" t="s">
        <v>572</v>
      </c>
      <c r="B12" s="1104">
        <f ca="1">ROUND(SUM(C12:H12),0)</f>
        <v>2098595430</v>
      </c>
      <c r="C12" s="1104">
        <f ca="1">IF(ISNA(VLOOKUP($E6,INDIRECT("DSSP"&amp;$J$2),6,0)),0,VLOOKUP($E6,INDIRECT("DSSP"&amp;$J$2),6,0))</f>
        <v>1914000000</v>
      </c>
      <c r="D12" s="1104">
        <f ca="1">IF(ISNA(VLOOKUP($E6,INDIRECT("DSSP"&amp;$J$2),7,0)),0,VLOOKUP($E6,INDIRECT("DSSP"&amp;$J$2),7,0))</f>
        <v>72543652.531404644</v>
      </c>
      <c r="E12" s="1104">
        <f ca="1">IF(ISNA(VLOOKUP($E6,INDIRECT("DSSP"&amp;$J$2),8,0)),0,VLOOKUP($E6,INDIRECT("DSSP"&amp;$J$2),8,0))</f>
        <v>26424729.77540921</v>
      </c>
      <c r="F12" s="1104">
        <f ca="1">IF(ISNA(VLOOKUP($E6,INDIRECT("DSSP"&amp;$J$2),9,0)),0,VLOOKUP($E6,INDIRECT("DSSP"&amp;$J$2),9,0))</f>
        <v>41691247.811191477</v>
      </c>
      <c r="G12" s="1104">
        <f ca="1">IF(ISNA(VLOOKUP($E6,INDIRECT("DSSP"&amp;$J$2),10,0)),0,VLOOKUP($E6,INDIRECT("DSSP"&amp;$J$2),10,0))</f>
        <v>28710799.939094022</v>
      </c>
      <c r="H12" s="1104">
        <f ca="1">IF(ISNA(VLOOKUP($E6,INDIRECT("DSSP"&amp;$J$2),11,0)),0,VLOOKUP($E6,INDIRECT("DSSP"&amp;$J$2),11,0))</f>
        <v>15225000</v>
      </c>
      <c r="I12" s="1098"/>
    </row>
    <row r="13" spans="1:10" s="1097" customFormat="1" ht="24.75" customHeight="1">
      <c r="A13" s="1103" t="s">
        <v>573</v>
      </c>
      <c r="B13" s="1104">
        <f ca="1">ROUND(IF(ISNA(VLOOKUP($E6,INDIRECT("DSSP"&amp;$J$2),13,0)),0,VLOOKUP($E6,INDIRECT("DSSP"&amp;$J$2),13,0)),0)</f>
        <v>2098595430</v>
      </c>
      <c r="C13" s="1104">
        <f t="shared" ref="C13:H13" ca="1" si="0">C12</f>
        <v>1914000000</v>
      </c>
      <c r="D13" s="1104">
        <f t="shared" ca="1" si="0"/>
        <v>72543652.531404644</v>
      </c>
      <c r="E13" s="1104">
        <f t="shared" ca="1" si="0"/>
        <v>26424729.77540921</v>
      </c>
      <c r="F13" s="1104">
        <f t="shared" ca="1" si="0"/>
        <v>41691247.811191477</v>
      </c>
      <c r="G13" s="1104">
        <f t="shared" ca="1" si="0"/>
        <v>28710799.939094022</v>
      </c>
      <c r="H13" s="1104">
        <f t="shared" ca="1" si="0"/>
        <v>15225000</v>
      </c>
      <c r="I13" s="1098"/>
    </row>
    <row r="14" spans="1:10" s="1097" customFormat="1" ht="24.75" customHeight="1">
      <c r="A14" s="1103" t="s">
        <v>574</v>
      </c>
      <c r="B14" s="1104">
        <f ca="1">B12-B13</f>
        <v>0</v>
      </c>
      <c r="C14" s="1104">
        <f t="shared" ref="C14:H14" ca="1" si="1">C12-C13</f>
        <v>0</v>
      </c>
      <c r="D14" s="1104">
        <f t="shared" ca="1" si="1"/>
        <v>0</v>
      </c>
      <c r="E14" s="1104">
        <f t="shared" ca="1" si="1"/>
        <v>0</v>
      </c>
      <c r="F14" s="1104">
        <f t="shared" ca="1" si="1"/>
        <v>0</v>
      </c>
      <c r="G14" s="1104">
        <f t="shared" ca="1" si="1"/>
        <v>0</v>
      </c>
      <c r="H14" s="1104">
        <f t="shared" ca="1" si="1"/>
        <v>0</v>
      </c>
      <c r="I14" s="1098"/>
    </row>
    <row r="15" spans="1:10" s="1097" customFormat="1" ht="15">
      <c r="B15" s="1098"/>
      <c r="C15" s="1098"/>
      <c r="D15" s="1098"/>
      <c r="E15" s="1098"/>
      <c r="F15" s="1098"/>
      <c r="G15" s="1098"/>
      <c r="H15" s="1098"/>
      <c r="I15" s="1098"/>
    </row>
    <row r="16" spans="1:10" s="1097" customFormat="1" ht="15">
      <c r="B16" s="1098"/>
      <c r="C16" s="1098"/>
      <c r="D16" s="1098"/>
      <c r="E16" s="1465" t="str">
        <f xml:space="preserve"> IF(OR($J$2=1,$J$2=4,$J$2=6,$J$2=9,$J$2=11),"Ngày  30  tháng  "&amp;$J$2&amp;"  năm 2016",IF(OR($J$2=3,$J$2=5,$J$2=7,$J$2=8,$J$2=10,$J$2=12),"Ngày  31  tháng  "&amp;$J$2&amp;"  năm 2016","Ngày  29  tháng  "&amp;$J$2&amp;"  năm 2016"))</f>
        <v>Ngày  30  tháng  1  năm 2016</v>
      </c>
      <c r="F16" s="1465"/>
      <c r="G16" s="1465"/>
      <c r="H16" s="1465"/>
      <c r="I16" s="1098"/>
    </row>
    <row r="17" spans="2:9" s="1097" customFormat="1" ht="15">
      <c r="B17" s="856" t="s">
        <v>575</v>
      </c>
      <c r="C17" s="1098"/>
      <c r="D17" s="1098"/>
      <c r="E17" s="1465" t="s">
        <v>12</v>
      </c>
      <c r="F17" s="1465"/>
      <c r="G17" s="1465"/>
      <c r="H17" s="1465"/>
      <c r="I17" s="1098"/>
    </row>
    <row r="19" spans="2:9" ht="15">
      <c r="E19" s="1106"/>
    </row>
    <row r="26" spans="2:9">
      <c r="B26" s="1076"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A10" workbookViewId="0">
      <pane ySplit="3" topLeftCell="A13" activePane="bottomLeft" state="frozen"/>
      <selection activeCell="A10" sqref="A10"/>
      <selection pane="bottomLeft" activeCell="D46" sqref="D46"/>
    </sheetView>
  </sheetViews>
  <sheetFormatPr defaultRowHeight="12.75"/>
  <cols>
    <col min="1" max="1" width="4.140625" style="996" customWidth="1"/>
    <col min="2" max="2" width="9.140625" style="996" customWidth="1"/>
    <col min="3" max="3" width="9" style="997" customWidth="1"/>
    <col min="4" max="4" width="28.140625" style="996" customWidth="1"/>
    <col min="5" max="5" width="9.140625" style="996" customWidth="1"/>
    <col min="6" max="6" width="9.28515625" style="997" customWidth="1"/>
    <col min="7" max="7" width="9" style="996" customWidth="1"/>
    <col min="8" max="8" width="14.5703125" style="996" customWidth="1"/>
    <col min="9" max="9" width="6" style="996" customWidth="1"/>
    <col min="10" max="10" width="14.140625" style="996" customWidth="1"/>
    <col min="11" max="11" width="14.85546875" style="998" customWidth="1"/>
    <col min="12" max="12" width="14.42578125" style="996" customWidth="1"/>
    <col min="13" max="13" width="5.85546875" style="996" customWidth="1"/>
    <col min="14" max="14" width="7.42578125" style="996" customWidth="1"/>
    <col min="15" max="15" width="11.7109375" style="996" customWidth="1"/>
    <col min="16" max="16" width="4.5703125" style="1077" customWidth="1"/>
    <col min="17" max="17" width="12.85546875" style="996" bestFit="1" customWidth="1"/>
    <col min="18" max="16384" width="9.140625" style="996"/>
  </cols>
  <sheetData>
    <row r="1" spans="1:17" ht="15" customHeight="1">
      <c r="A1" s="995" t="s">
        <v>1218</v>
      </c>
      <c r="M1" s="999"/>
      <c r="N1" s="1000" t="s">
        <v>1219</v>
      </c>
      <c r="O1" s="999"/>
    </row>
    <row r="2" spans="1:17" ht="15" customHeight="1">
      <c r="A2" s="995" t="s">
        <v>1220</v>
      </c>
      <c r="L2" s="998"/>
      <c r="M2" s="998"/>
      <c r="N2" s="1001" t="s">
        <v>319</v>
      </c>
      <c r="O2" s="998"/>
    </row>
    <row r="3" spans="1:17" ht="15" customHeight="1">
      <c r="L3" s="998"/>
      <c r="M3" s="998"/>
      <c r="N3" s="1001" t="s">
        <v>237</v>
      </c>
      <c r="O3" s="998"/>
    </row>
    <row r="5" spans="1:17" s="1002" customFormat="1" ht="24" customHeight="1">
      <c r="A5" s="1482" t="s">
        <v>1221</v>
      </c>
      <c r="B5" s="1482"/>
      <c r="C5" s="1482"/>
      <c r="D5" s="1482"/>
      <c r="E5" s="1482"/>
      <c r="F5" s="1482"/>
      <c r="G5" s="1482"/>
      <c r="H5" s="1482"/>
      <c r="I5" s="1482"/>
      <c r="J5" s="1482"/>
      <c r="K5" s="1482"/>
      <c r="L5" s="1482"/>
      <c r="M5" s="1482"/>
      <c r="N5" s="1482"/>
      <c r="O5" s="1482"/>
      <c r="P5" s="1078"/>
    </row>
    <row r="6" spans="1:17" s="1002" customFormat="1" ht="21" customHeight="1">
      <c r="A6" s="1483" t="s">
        <v>1278</v>
      </c>
      <c r="B6" s="1483"/>
      <c r="C6" s="1483"/>
      <c r="D6" s="1483"/>
      <c r="E6" s="1483"/>
      <c r="F6" s="1483"/>
      <c r="G6" s="1483"/>
      <c r="H6" s="1483"/>
      <c r="I6" s="1483"/>
      <c r="J6" s="1483"/>
      <c r="K6" s="1483"/>
      <c r="L6" s="1483"/>
      <c r="M6" s="1483"/>
      <c r="N6" s="1483"/>
      <c r="O6" s="1483"/>
      <c r="P6" s="1078"/>
    </row>
    <row r="7" spans="1:17" s="1002" customFormat="1" ht="21" customHeight="1">
      <c r="A7" s="1484" t="s">
        <v>1286</v>
      </c>
      <c r="B7" s="1484"/>
      <c r="C7" s="1484"/>
      <c r="D7" s="1484"/>
      <c r="E7" s="1484"/>
      <c r="F7" s="1484"/>
      <c r="G7" s="1484"/>
      <c r="H7" s="1484"/>
      <c r="I7" s="1484"/>
      <c r="J7" s="1484"/>
      <c r="K7" s="1484"/>
      <c r="L7" s="1484"/>
      <c r="M7" s="1484"/>
      <c r="N7" s="1484"/>
      <c r="O7" s="1484"/>
      <c r="P7" s="1078"/>
    </row>
    <row r="8" spans="1:17">
      <c r="D8" s="997"/>
    </row>
    <row r="9" spans="1:17" s="1003" customFormat="1" ht="24" customHeight="1">
      <c r="A9" s="1473" t="s">
        <v>497</v>
      </c>
      <c r="B9" s="1476" t="s">
        <v>1222</v>
      </c>
      <c r="C9" s="1477"/>
      <c r="D9" s="1477"/>
      <c r="E9" s="1477"/>
      <c r="F9" s="1477"/>
      <c r="G9" s="1477"/>
      <c r="H9" s="1478"/>
      <c r="I9" s="1476" t="s">
        <v>1223</v>
      </c>
      <c r="J9" s="1477"/>
      <c r="K9" s="1477"/>
      <c r="L9" s="1478"/>
      <c r="M9" s="1479" t="s">
        <v>1224</v>
      </c>
      <c r="N9" s="1479"/>
      <c r="O9" s="1479"/>
      <c r="P9" s="1079"/>
    </row>
    <row r="10" spans="1:17" s="1003" customFormat="1" ht="24" customHeight="1">
      <c r="A10" s="1474"/>
      <c r="B10" s="1476" t="s">
        <v>1225</v>
      </c>
      <c r="C10" s="1478"/>
      <c r="D10" s="1473" t="s">
        <v>1226</v>
      </c>
      <c r="E10" s="1473" t="s">
        <v>1227</v>
      </c>
      <c r="F10" s="1473" t="s">
        <v>1228</v>
      </c>
      <c r="G10" s="1473" t="s">
        <v>1229</v>
      </c>
      <c r="H10" s="1473" t="s">
        <v>1230</v>
      </c>
      <c r="I10" s="1476" t="s">
        <v>1231</v>
      </c>
      <c r="J10" s="1478"/>
      <c r="K10" s="1480" t="s">
        <v>1232</v>
      </c>
      <c r="L10" s="1473" t="s">
        <v>1233</v>
      </c>
      <c r="M10" s="1479" t="s">
        <v>1225</v>
      </c>
      <c r="N10" s="1479"/>
      <c r="O10" s="1479" t="s">
        <v>1234</v>
      </c>
      <c r="P10" s="1079"/>
    </row>
    <row r="11" spans="1:17" s="1003" customFormat="1" ht="55.5" customHeight="1">
      <c r="A11" s="1475"/>
      <c r="B11" s="1004" t="s">
        <v>1235</v>
      </c>
      <c r="C11" s="1004" t="s">
        <v>498</v>
      </c>
      <c r="D11" s="1475"/>
      <c r="E11" s="1475"/>
      <c r="F11" s="1475"/>
      <c r="G11" s="1475"/>
      <c r="H11" s="1475"/>
      <c r="I11" s="1004" t="s">
        <v>1236</v>
      </c>
      <c r="J11" s="1004" t="s">
        <v>1237</v>
      </c>
      <c r="K11" s="1481"/>
      <c r="L11" s="1475"/>
      <c r="M11" s="1004" t="s">
        <v>17</v>
      </c>
      <c r="N11" s="1004" t="s">
        <v>498</v>
      </c>
      <c r="O11" s="1479"/>
      <c r="P11" s="1079"/>
    </row>
    <row r="12" spans="1:17" s="1007" customFormat="1" ht="13.5">
      <c r="A12" s="1005" t="s">
        <v>2</v>
      </c>
      <c r="B12" s="1005" t="s">
        <v>3</v>
      </c>
      <c r="C12" s="1005" t="s">
        <v>4</v>
      </c>
      <c r="D12" s="1005" t="s">
        <v>5</v>
      </c>
      <c r="E12" s="1005" t="s">
        <v>6</v>
      </c>
      <c r="F12" s="1005" t="s">
        <v>156</v>
      </c>
      <c r="G12" s="1005" t="s">
        <v>1238</v>
      </c>
      <c r="H12" s="1005">
        <v>1</v>
      </c>
      <c r="I12" s="1005">
        <v>2</v>
      </c>
      <c r="J12" s="1005">
        <v>3</v>
      </c>
      <c r="K12" s="1006"/>
      <c r="L12" s="1005">
        <v>4</v>
      </c>
      <c r="M12" s="1005" t="s">
        <v>1239</v>
      </c>
      <c r="N12" s="1005" t="s">
        <v>1240</v>
      </c>
      <c r="O12" s="1005" t="s">
        <v>1241</v>
      </c>
      <c r="P12" s="1080"/>
    </row>
    <row r="13" spans="1:17" s="1007" customFormat="1" ht="21.75" customHeight="1">
      <c r="A13" s="1035" t="s">
        <v>1239</v>
      </c>
      <c r="B13" s="1036" t="s">
        <v>1281</v>
      </c>
      <c r="C13" s="1035"/>
      <c r="D13" s="1035"/>
      <c r="E13" s="1035"/>
      <c r="F13" s="1035"/>
      <c r="G13" s="1035"/>
      <c r="H13" s="1042"/>
      <c r="I13" s="1042"/>
      <c r="J13" s="1042"/>
      <c r="K13" s="1042"/>
      <c r="L13" s="1042"/>
      <c r="M13" s="1035"/>
      <c r="N13" s="1035"/>
      <c r="O13" s="1035"/>
      <c r="P13" s="1080" t="str">
        <f>IF(D13='THE-TS'!$D$11,"x","")</f>
        <v/>
      </c>
    </row>
    <row r="14" spans="1:17" ht="21.75" customHeight="1">
      <c r="A14" s="1034">
        <v>1</v>
      </c>
      <c r="B14" s="1047" t="s">
        <v>1288</v>
      </c>
      <c r="C14" s="1009">
        <v>40543</v>
      </c>
      <c r="D14" s="342" t="s">
        <v>1242</v>
      </c>
      <c r="E14" s="774" t="s">
        <v>1243</v>
      </c>
      <c r="F14" s="1049" t="s">
        <v>1316</v>
      </c>
      <c r="G14" s="1082" t="str">
        <f>RIGHT(B14,5)</f>
        <v>03/10</v>
      </c>
      <c r="H14" s="439">
        <v>1101349856</v>
      </c>
      <c r="I14" s="439">
        <v>25</v>
      </c>
      <c r="J14" s="8">
        <f>ROUND(H14/I14,0)+10</f>
        <v>44054004</v>
      </c>
      <c r="K14" s="8">
        <v>220269960</v>
      </c>
      <c r="L14" s="8">
        <f>K14+J14</f>
        <v>264323964</v>
      </c>
      <c r="M14" s="774"/>
      <c r="N14" s="774"/>
      <c r="O14" s="230"/>
      <c r="P14" s="1080" t="str">
        <f>IF(D14='THE-TS'!$D$11,"x","")</f>
        <v/>
      </c>
      <c r="Q14" s="1072">
        <f>J14/12</f>
        <v>3671167</v>
      </c>
    </row>
    <row r="15" spans="1:17" ht="21.75" customHeight="1">
      <c r="A15" s="1034">
        <v>2</v>
      </c>
      <c r="B15" s="1047" t="s">
        <v>1289</v>
      </c>
      <c r="C15" s="1009">
        <v>40543</v>
      </c>
      <c r="D15" s="342" t="s">
        <v>1244</v>
      </c>
      <c r="E15" s="774" t="s">
        <v>1243</v>
      </c>
      <c r="F15" s="1049" t="s">
        <v>1316</v>
      </c>
      <c r="G15" s="1082" t="str">
        <f t="shared" ref="G15:G32" si="0">RIGHT(B15,5)</f>
        <v>04/10</v>
      </c>
      <c r="H15" s="439">
        <v>1712810212</v>
      </c>
      <c r="I15" s="439">
        <v>5</v>
      </c>
      <c r="J15" s="8"/>
      <c r="K15" s="8">
        <v>1712810212</v>
      </c>
      <c r="L15" s="8">
        <f t="shared" ref="L15:L32" si="1">K15+J15</f>
        <v>1712810212</v>
      </c>
      <c r="M15" s="1030"/>
      <c r="N15" s="774"/>
      <c r="O15" s="230"/>
      <c r="P15" s="1080" t="str">
        <f>IF(D15='THE-TS'!$D$11,"x","")</f>
        <v/>
      </c>
      <c r="Q15" s="1072">
        <f>SUM(J15:J33)/12</f>
        <v>47128135.75</v>
      </c>
    </row>
    <row r="16" spans="1:17" ht="21.75" customHeight="1">
      <c r="A16" s="1034">
        <v>3</v>
      </c>
      <c r="B16" s="1047" t="s">
        <v>1290</v>
      </c>
      <c r="C16" s="1009">
        <v>40543</v>
      </c>
      <c r="D16" s="342" t="s">
        <v>1245</v>
      </c>
      <c r="E16" s="774" t="s">
        <v>1243</v>
      </c>
      <c r="F16" s="1049" t="s">
        <v>1316</v>
      </c>
      <c r="G16" s="1082" t="str">
        <f t="shared" si="0"/>
        <v>05/10</v>
      </c>
      <c r="H16" s="439">
        <v>4567613580</v>
      </c>
      <c r="I16" s="439">
        <v>25</v>
      </c>
      <c r="J16" s="8">
        <f>ROUND(H16/I16,0)-25</f>
        <v>182704518</v>
      </c>
      <c r="K16" s="8">
        <v>913522740</v>
      </c>
      <c r="L16" s="8">
        <f t="shared" si="1"/>
        <v>1096227258</v>
      </c>
      <c r="M16" s="774"/>
      <c r="N16" s="774"/>
      <c r="O16" s="230"/>
      <c r="P16" s="1080" t="str">
        <f>IF(D16='THE-TS'!$D$11,"x","")</f>
        <v/>
      </c>
      <c r="Q16" s="1072"/>
    </row>
    <row r="17" spans="1:17" ht="21.75" customHeight="1">
      <c r="A17" s="1034">
        <v>4</v>
      </c>
      <c r="B17" s="1048" t="s">
        <v>1291</v>
      </c>
      <c r="C17" s="1009">
        <v>41425</v>
      </c>
      <c r="D17" s="342" t="s">
        <v>1246</v>
      </c>
      <c r="E17" s="774" t="s">
        <v>1243</v>
      </c>
      <c r="F17" s="1049" t="s">
        <v>1306</v>
      </c>
      <c r="G17" s="1082" t="str">
        <f t="shared" si="0"/>
        <v>01/13</v>
      </c>
      <c r="H17" s="439">
        <v>108970000</v>
      </c>
      <c r="I17" s="1043">
        <v>5</v>
      </c>
      <c r="J17" s="8">
        <f>ROUND(H17/I17,0)-10</f>
        <v>21793990</v>
      </c>
      <c r="K17" s="8">
        <v>56301177</v>
      </c>
      <c r="L17" s="8">
        <f t="shared" si="1"/>
        <v>78095167</v>
      </c>
      <c r="M17" s="774"/>
      <c r="N17" s="774"/>
      <c r="O17" s="230"/>
      <c r="P17" s="1080" t="str">
        <f>IF(D17='THE-TS'!$D$11,"x","")</f>
        <v/>
      </c>
      <c r="Q17" s="1072"/>
    </row>
    <row r="18" spans="1:17" s="1007" customFormat="1" ht="21.75" customHeight="1">
      <c r="A18" s="1033" t="s">
        <v>1282</v>
      </c>
      <c r="B18" s="1037" t="s">
        <v>1283</v>
      </c>
      <c r="C18" s="1033"/>
      <c r="D18" s="1033"/>
      <c r="E18" s="1033"/>
      <c r="F18" s="1033"/>
      <c r="G18" s="1082"/>
      <c r="H18" s="1044"/>
      <c r="I18" s="1044"/>
      <c r="J18" s="1044"/>
      <c r="K18" s="1044"/>
      <c r="L18" s="8"/>
      <c r="M18" s="1033"/>
      <c r="N18" s="1033"/>
      <c r="O18" s="230"/>
      <c r="P18" s="1080" t="str">
        <f>IF(D18='THE-TS'!$D$11,"x","")</f>
        <v/>
      </c>
      <c r="Q18" s="1072"/>
    </row>
    <row r="19" spans="1:17" ht="21.75" customHeight="1">
      <c r="A19" s="1034">
        <v>1</v>
      </c>
      <c r="B19" s="1049" t="s">
        <v>1295</v>
      </c>
      <c r="C19" s="1009">
        <v>40543</v>
      </c>
      <c r="D19" s="342" t="s">
        <v>1250</v>
      </c>
      <c r="E19" s="774"/>
      <c r="F19" s="1049" t="s">
        <v>1316</v>
      </c>
      <c r="G19" s="1082" t="str">
        <f t="shared" si="0"/>
        <v>02/10</v>
      </c>
      <c r="H19" s="439">
        <v>210000000</v>
      </c>
      <c r="I19" s="439">
        <v>5</v>
      </c>
      <c r="J19" s="8"/>
      <c r="K19" s="8">
        <v>210000000</v>
      </c>
      <c r="L19" s="8">
        <f t="shared" si="1"/>
        <v>210000000</v>
      </c>
      <c r="M19" s="1030"/>
      <c r="N19" s="774"/>
      <c r="O19" s="230"/>
      <c r="P19" s="1080" t="str">
        <f>IF(D19='THE-TS'!$D$11,"x","")</f>
        <v/>
      </c>
      <c r="Q19" s="1072"/>
    </row>
    <row r="20" spans="1:17" ht="21.75" customHeight="1">
      <c r="A20" s="1034">
        <v>2</v>
      </c>
      <c r="B20" s="1047" t="s">
        <v>1296</v>
      </c>
      <c r="C20" s="1009">
        <v>40543</v>
      </c>
      <c r="D20" s="342" t="s">
        <v>1251</v>
      </c>
      <c r="E20" s="774" t="s">
        <v>1243</v>
      </c>
      <c r="F20" s="1049" t="s">
        <v>1316</v>
      </c>
      <c r="G20" s="1082" t="str">
        <f t="shared" si="0"/>
        <v>06/10</v>
      </c>
      <c r="H20" s="439">
        <v>2787898863</v>
      </c>
      <c r="I20" s="439">
        <v>5</v>
      </c>
      <c r="J20" s="8"/>
      <c r="K20" s="8">
        <v>2787898863</v>
      </c>
      <c r="L20" s="8">
        <f t="shared" si="1"/>
        <v>2787898863</v>
      </c>
      <c r="M20" s="1030"/>
      <c r="N20" s="774"/>
      <c r="O20" s="230"/>
      <c r="P20" s="1080" t="str">
        <f>IF(D20='THE-TS'!$D$11,"x","")</f>
        <v/>
      </c>
      <c r="Q20" s="1072"/>
    </row>
    <row r="21" spans="1:17" ht="21.75" customHeight="1">
      <c r="A21" s="1034">
        <v>3</v>
      </c>
      <c r="B21" s="1047" t="s">
        <v>1297</v>
      </c>
      <c r="C21" s="1009">
        <v>41883</v>
      </c>
      <c r="D21" s="342" t="s">
        <v>1252</v>
      </c>
      <c r="E21" s="774"/>
      <c r="F21" s="1049" t="s">
        <v>1307</v>
      </c>
      <c r="G21" s="1082" t="str">
        <f t="shared" si="0"/>
        <v>12/14</v>
      </c>
      <c r="H21" s="439">
        <v>150000000</v>
      </c>
      <c r="I21" s="1043">
        <v>3</v>
      </c>
      <c r="J21" s="8">
        <f>ROUND(H21/I21,0)-5</f>
        <v>49999995</v>
      </c>
      <c r="K21" s="8">
        <v>62500005</v>
      </c>
      <c r="L21" s="8">
        <f t="shared" si="1"/>
        <v>112500000</v>
      </c>
      <c r="M21" s="1030"/>
      <c r="N21" s="230"/>
      <c r="O21" s="230"/>
      <c r="P21" s="1080" t="str">
        <f>IF(D21='THE-TS'!$D$11,"x","")</f>
        <v/>
      </c>
      <c r="Q21" s="1072"/>
    </row>
    <row r="22" spans="1:17" ht="21.75" customHeight="1">
      <c r="A22" s="1034">
        <v>4</v>
      </c>
      <c r="B22" s="1047" t="s">
        <v>1298</v>
      </c>
      <c r="C22" s="1009">
        <v>41883</v>
      </c>
      <c r="D22" s="342" t="s">
        <v>1253</v>
      </c>
      <c r="E22" s="774"/>
      <c r="F22" s="1049" t="s">
        <v>1307</v>
      </c>
      <c r="G22" s="1082" t="str">
        <f t="shared" si="0"/>
        <v>13/14</v>
      </c>
      <c r="H22" s="439">
        <v>80000000</v>
      </c>
      <c r="I22" s="1043">
        <v>3</v>
      </c>
      <c r="J22" s="8">
        <f>ROUND(H22/I22,0)+4</f>
        <v>26666671</v>
      </c>
      <c r="K22" s="8">
        <v>33333330</v>
      </c>
      <c r="L22" s="8">
        <f t="shared" si="1"/>
        <v>60000001</v>
      </c>
      <c r="M22" s="1030"/>
      <c r="N22" s="774"/>
      <c r="O22" s="230"/>
      <c r="P22" s="1080" t="str">
        <f>IF(D22='THE-TS'!$D$11,"x","")</f>
        <v>x</v>
      </c>
      <c r="Q22" s="1072"/>
    </row>
    <row r="23" spans="1:17" ht="21.75" customHeight="1">
      <c r="A23" s="1034">
        <v>5</v>
      </c>
      <c r="B23" s="1047" t="s">
        <v>1299</v>
      </c>
      <c r="C23" s="1009">
        <v>41890</v>
      </c>
      <c r="D23" s="342" t="s">
        <v>1254</v>
      </c>
      <c r="E23" s="774"/>
      <c r="F23" s="1049" t="s">
        <v>1307</v>
      </c>
      <c r="G23" s="1082" t="str">
        <f t="shared" si="0"/>
        <v>14/14</v>
      </c>
      <c r="H23" s="439">
        <v>50000000</v>
      </c>
      <c r="I23" s="1043">
        <v>3</v>
      </c>
      <c r="J23" s="8">
        <f>ROUND(H23/I23,0)-1</f>
        <v>16666666</v>
      </c>
      <c r="K23" s="8">
        <v>20833335</v>
      </c>
      <c r="L23" s="8">
        <f t="shared" si="1"/>
        <v>37500001</v>
      </c>
      <c r="M23" s="1030"/>
      <c r="N23" s="774"/>
      <c r="O23" s="230"/>
      <c r="P23" s="1080" t="str">
        <f>IF(D23='THE-TS'!$D$11,"x","")</f>
        <v/>
      </c>
      <c r="Q23" s="1072"/>
    </row>
    <row r="24" spans="1:17" ht="21.75" customHeight="1">
      <c r="A24" s="1034">
        <v>6</v>
      </c>
      <c r="B24" s="1047" t="s">
        <v>1300</v>
      </c>
      <c r="C24" s="1009">
        <v>41890</v>
      </c>
      <c r="D24" s="342" t="s">
        <v>1255</v>
      </c>
      <c r="E24" s="774"/>
      <c r="F24" s="1049" t="s">
        <v>1307</v>
      </c>
      <c r="G24" s="1082" t="str">
        <f t="shared" si="0"/>
        <v>15/14</v>
      </c>
      <c r="H24" s="439">
        <v>100000000</v>
      </c>
      <c r="I24" s="1043">
        <v>5</v>
      </c>
      <c r="J24" s="8">
        <f>ROUND(H24/I24,0)-5</f>
        <v>19999995</v>
      </c>
      <c r="K24" s="8">
        <v>25000005</v>
      </c>
      <c r="L24" s="8">
        <f t="shared" si="1"/>
        <v>45000000</v>
      </c>
      <c r="M24" s="1030"/>
      <c r="N24" s="774"/>
      <c r="O24" s="230"/>
      <c r="P24" s="1080" t="str">
        <f>IF(D24='THE-TS'!$D$11,"x","")</f>
        <v/>
      </c>
      <c r="Q24" s="1072"/>
    </row>
    <row r="25" spans="1:17" ht="21.75" customHeight="1">
      <c r="A25" s="1034">
        <v>7</v>
      </c>
      <c r="B25" s="1047" t="s">
        <v>1301</v>
      </c>
      <c r="C25" s="1009">
        <v>41890</v>
      </c>
      <c r="D25" s="342" t="s">
        <v>1256</v>
      </c>
      <c r="E25" s="774"/>
      <c r="F25" s="1049" t="s">
        <v>1307</v>
      </c>
      <c r="G25" s="1082" t="str">
        <f t="shared" si="0"/>
        <v>16/14</v>
      </c>
      <c r="H25" s="439">
        <v>100000000</v>
      </c>
      <c r="I25" s="1043">
        <v>5</v>
      </c>
      <c r="J25" s="8">
        <f>ROUND(H25/I25,0)-5</f>
        <v>19999995</v>
      </c>
      <c r="K25" s="8">
        <v>25000005</v>
      </c>
      <c r="L25" s="8">
        <f t="shared" si="1"/>
        <v>45000000</v>
      </c>
      <c r="M25" s="1030"/>
      <c r="N25" s="774"/>
      <c r="O25" s="230"/>
      <c r="P25" s="1080" t="str">
        <f>IF(D25='THE-TS'!$D$11,"x","")</f>
        <v/>
      </c>
      <c r="Q25" s="1072"/>
    </row>
    <row r="26" spans="1:17" ht="21.75" customHeight="1">
      <c r="A26" s="1034">
        <v>8</v>
      </c>
      <c r="B26" s="1047" t="s">
        <v>1302</v>
      </c>
      <c r="C26" s="1009">
        <v>41890</v>
      </c>
      <c r="D26" s="342" t="s">
        <v>1257</v>
      </c>
      <c r="E26" s="774"/>
      <c r="F26" s="1049" t="s">
        <v>1307</v>
      </c>
      <c r="G26" s="1082" t="str">
        <f t="shared" si="0"/>
        <v>17/14</v>
      </c>
      <c r="H26" s="439">
        <v>110000000</v>
      </c>
      <c r="I26" s="1043">
        <v>5</v>
      </c>
      <c r="J26" s="8">
        <f>ROUND(H26/I26,0)+5</f>
        <v>22000005</v>
      </c>
      <c r="K26" s="8">
        <f>27499995</f>
        <v>27499995</v>
      </c>
      <c r="L26" s="8">
        <f t="shared" si="1"/>
        <v>49500000</v>
      </c>
      <c r="M26" s="1030"/>
      <c r="N26" s="774"/>
      <c r="O26" s="230"/>
      <c r="P26" s="1080" t="str">
        <f>IF(D26='THE-TS'!$D$11,"x","")</f>
        <v/>
      </c>
      <c r="Q26" s="1072"/>
    </row>
    <row r="27" spans="1:17" ht="21.75" customHeight="1">
      <c r="A27" s="1034">
        <v>8</v>
      </c>
      <c r="B27" s="1047" t="s">
        <v>1302</v>
      </c>
      <c r="C27" s="1009">
        <v>41890</v>
      </c>
      <c r="D27" s="342" t="s">
        <v>1257</v>
      </c>
      <c r="E27" s="774"/>
      <c r="F27" s="1049" t="s">
        <v>1307</v>
      </c>
      <c r="G27" s="1082" t="str">
        <f>RIGHT(B27,5)</f>
        <v>17/14</v>
      </c>
      <c r="H27" s="439">
        <v>110000000</v>
      </c>
      <c r="I27" s="1043">
        <v>5</v>
      </c>
      <c r="J27" s="8">
        <f>ROUND(H27/I27,0)+5</f>
        <v>22000005</v>
      </c>
      <c r="K27" s="8">
        <f>27499995</f>
        <v>27499995</v>
      </c>
      <c r="L27" s="8">
        <f>K27+J27</f>
        <v>49500000</v>
      </c>
      <c r="M27" s="1030"/>
      <c r="N27" s="774"/>
      <c r="O27" s="230"/>
      <c r="P27" s="1080" t="str">
        <f>IF(D27='THE-TS'!$D$11,"x","")</f>
        <v/>
      </c>
      <c r="Q27" s="1072"/>
    </row>
    <row r="28" spans="1:17" ht="21.75" customHeight="1">
      <c r="A28" s="1034">
        <v>8</v>
      </c>
      <c r="B28" s="1047" t="s">
        <v>1302</v>
      </c>
      <c r="C28" s="1009">
        <v>41890</v>
      </c>
      <c r="D28" s="342" t="s">
        <v>1257</v>
      </c>
      <c r="E28" s="774"/>
      <c r="F28" s="1049" t="s">
        <v>1307</v>
      </c>
      <c r="G28" s="1082" t="str">
        <f t="shared" si="0"/>
        <v>17/14</v>
      </c>
      <c r="H28" s="439">
        <v>110000000</v>
      </c>
      <c r="I28" s="1043">
        <v>5</v>
      </c>
      <c r="J28" s="8">
        <f>ROUND(H28/I28,0)+5</f>
        <v>22000005</v>
      </c>
      <c r="K28" s="8">
        <f>27499995</f>
        <v>27499995</v>
      </c>
      <c r="L28" s="8">
        <f t="shared" si="1"/>
        <v>49500000</v>
      </c>
      <c r="M28" s="1030"/>
      <c r="N28" s="774"/>
      <c r="O28" s="230"/>
      <c r="P28" s="1080" t="str">
        <f>IF(D28='THE-TS'!$D$11,"x","")</f>
        <v/>
      </c>
      <c r="Q28" s="1072"/>
    </row>
    <row r="29" spans="1:17" s="1007" customFormat="1" ht="21.75" customHeight="1">
      <c r="A29" s="1033" t="s">
        <v>1284</v>
      </c>
      <c r="B29" s="1037" t="s">
        <v>1285</v>
      </c>
      <c r="C29" s="1033"/>
      <c r="D29" s="1033"/>
      <c r="E29" s="1033"/>
      <c r="F29" s="1033"/>
      <c r="G29" s="1082"/>
      <c r="H29" s="1044"/>
      <c r="I29" s="1044"/>
      <c r="J29" s="8"/>
      <c r="K29" s="1044"/>
      <c r="L29" s="8"/>
      <c r="M29" s="1033"/>
      <c r="N29" s="1033"/>
      <c r="O29" s="230"/>
      <c r="P29" s="1080" t="str">
        <f>IF(D29='THE-TS'!$D$11,"x","")</f>
        <v/>
      </c>
      <c r="Q29" s="1072"/>
    </row>
    <row r="30" spans="1:17" ht="21.75" customHeight="1">
      <c r="A30" s="1034">
        <v>1</v>
      </c>
      <c r="B30" s="1049" t="s">
        <v>1292</v>
      </c>
      <c r="C30" s="1009">
        <v>40543</v>
      </c>
      <c r="D30" s="342" t="s">
        <v>1258</v>
      </c>
      <c r="E30" s="774" t="s">
        <v>1243</v>
      </c>
      <c r="F30" s="1049" t="s">
        <v>1316</v>
      </c>
      <c r="G30" s="1082" t="str">
        <f t="shared" si="0"/>
        <v>07/10</v>
      </c>
      <c r="H30" s="439">
        <v>2173860839</v>
      </c>
      <c r="I30" s="439">
        <v>5</v>
      </c>
      <c r="J30" s="8"/>
      <c r="K30" s="8">
        <v>2173860839</v>
      </c>
      <c r="L30" s="8">
        <f t="shared" si="1"/>
        <v>2173860839</v>
      </c>
      <c r="M30" s="774"/>
      <c r="N30" s="774"/>
      <c r="O30" s="230"/>
      <c r="P30" s="1080" t="str">
        <f>IF(D30='THE-TS'!$D$11,"x","")</f>
        <v/>
      </c>
      <c r="Q30" s="1072"/>
    </row>
    <row r="31" spans="1:17" ht="21.75" customHeight="1">
      <c r="A31" s="1034">
        <v>2</v>
      </c>
      <c r="B31" s="1049" t="s">
        <v>1293</v>
      </c>
      <c r="C31" s="1009">
        <v>40543</v>
      </c>
      <c r="D31" s="342" t="s">
        <v>1259</v>
      </c>
      <c r="E31" s="774" t="s">
        <v>1243</v>
      </c>
      <c r="F31" s="1049" t="s">
        <v>1316</v>
      </c>
      <c r="G31" s="1082" t="str">
        <f t="shared" si="0"/>
        <v>08/10</v>
      </c>
      <c r="H31" s="439">
        <v>1303180703</v>
      </c>
      <c r="I31" s="439">
        <v>10</v>
      </c>
      <c r="J31" s="8">
        <f>ROUND(H31/I31,0)+10</f>
        <v>130318080</v>
      </c>
      <c r="K31" s="8">
        <v>651590340</v>
      </c>
      <c r="L31" s="8">
        <f t="shared" si="1"/>
        <v>781908420</v>
      </c>
      <c r="M31" s="774"/>
      <c r="N31" s="774"/>
      <c r="O31" s="230"/>
      <c r="P31" s="1080" t="str">
        <f>IF(D31='THE-TS'!$D$11,"x","")</f>
        <v/>
      </c>
      <c r="Q31" s="1072"/>
    </row>
    <row r="32" spans="1:17" ht="21.75" customHeight="1">
      <c r="A32" s="1034">
        <v>3</v>
      </c>
      <c r="B32" s="1049" t="s">
        <v>1294</v>
      </c>
      <c r="C32" s="1009">
        <v>40543</v>
      </c>
      <c r="D32" s="342" t="s">
        <v>1260</v>
      </c>
      <c r="E32" s="774" t="s">
        <v>1243</v>
      </c>
      <c r="F32" s="1049" t="s">
        <v>1316</v>
      </c>
      <c r="G32" s="1082" t="str">
        <f t="shared" si="0"/>
        <v>09/10</v>
      </c>
      <c r="H32" s="439">
        <v>313876943</v>
      </c>
      <c r="I32" s="439">
        <v>10</v>
      </c>
      <c r="J32" s="8">
        <f>ROUND(H32/I32,0)+10</f>
        <v>31387704</v>
      </c>
      <c r="K32" s="8">
        <v>156938460</v>
      </c>
      <c r="L32" s="8">
        <f t="shared" si="1"/>
        <v>188326164</v>
      </c>
      <c r="M32" s="774"/>
      <c r="N32" s="774"/>
      <c r="O32" s="230"/>
      <c r="P32" s="1080" t="str">
        <f>IF(D32='THE-TS'!$D$11,"x","")</f>
        <v/>
      </c>
      <c r="Q32" s="1072"/>
    </row>
    <row r="33" spans="1:16" ht="21.75" customHeight="1">
      <c r="A33" s="1012"/>
      <c r="B33" s="1038"/>
      <c r="C33" s="1039"/>
      <c r="D33" s="1040"/>
      <c r="E33" s="1013"/>
      <c r="F33" s="1039"/>
      <c r="G33" s="1038"/>
      <c r="H33" s="1045"/>
      <c r="I33" s="1045"/>
      <c r="J33" s="522"/>
      <c r="K33" s="522"/>
      <c r="L33" s="522"/>
      <c r="M33" s="1013"/>
      <c r="N33" s="1013"/>
      <c r="O33" s="1013"/>
      <c r="P33" s="1080" t="str">
        <f>IF(D33='THE-TS'!$D$11,"x","")</f>
        <v/>
      </c>
    </row>
    <row r="34" spans="1:16" s="1019" customFormat="1" ht="21.75" customHeight="1">
      <c r="A34" s="1016"/>
      <c r="B34" s="1017"/>
      <c r="C34" s="1016"/>
      <c r="D34" s="1016" t="s">
        <v>1247</v>
      </c>
      <c r="E34" s="1016" t="s">
        <v>21</v>
      </c>
      <c r="F34" s="1016" t="s">
        <v>21</v>
      </c>
      <c r="G34" s="1016" t="s">
        <v>21</v>
      </c>
      <c r="H34" s="1046">
        <f>SUM(H13:H33)</f>
        <v>15089560996</v>
      </c>
      <c r="I34" s="1046"/>
      <c r="J34" s="1046">
        <f>SUM(J13:J33)</f>
        <v>609591633</v>
      </c>
      <c r="K34" s="1046">
        <f>SUM(K13:K33)</f>
        <v>9132359256</v>
      </c>
      <c r="L34" s="1046">
        <f>SUM(L13:L33)</f>
        <v>9741950889</v>
      </c>
      <c r="M34" s="1016" t="s">
        <v>21</v>
      </c>
      <c r="N34" s="1016" t="s">
        <v>21</v>
      </c>
      <c r="O34" s="1016" t="s">
        <v>21</v>
      </c>
      <c r="P34" s="1080" t="str">
        <f>IF(D34='THE-TS'!$D$11,"x","")</f>
        <v/>
      </c>
    </row>
    <row r="35" spans="1:16" ht="6.75" customHeight="1">
      <c r="A35" s="808"/>
      <c r="B35" s="808"/>
      <c r="C35" s="1020"/>
      <c r="D35" s="808"/>
      <c r="E35" s="1020"/>
      <c r="F35" s="1020"/>
      <c r="G35" s="1020"/>
      <c r="H35" s="808"/>
      <c r="I35" s="808"/>
      <c r="J35" s="808"/>
      <c r="K35" s="1021"/>
      <c r="L35" s="808"/>
      <c r="M35" s="808"/>
      <c r="N35" s="808"/>
      <c r="O35" s="808"/>
      <c r="P35" s="1080" t="str">
        <f>IF(D35='THE-TS'!$D$11,"x","")</f>
        <v/>
      </c>
    </row>
    <row r="36" spans="1:16" ht="13.5" customHeight="1">
      <c r="A36" s="808"/>
      <c r="B36" s="808"/>
      <c r="C36" s="1020"/>
      <c r="D36" s="808" t="s">
        <v>1248</v>
      </c>
      <c r="E36" s="808"/>
      <c r="F36" s="1020"/>
      <c r="G36" s="808"/>
      <c r="H36" s="998"/>
      <c r="I36" s="998"/>
      <c r="J36" s="1089"/>
      <c r="L36" s="998"/>
      <c r="M36" s="808"/>
      <c r="N36" s="808"/>
      <c r="O36" s="808"/>
      <c r="P36" s="1080" t="str">
        <f>IF(D36='THE-TS'!$D$11,"x","")</f>
        <v/>
      </c>
    </row>
    <row r="37" spans="1:16" ht="13.5" customHeight="1">
      <c r="A37" s="808"/>
      <c r="B37" s="808"/>
      <c r="C37" s="1020"/>
      <c r="D37" s="808" t="s">
        <v>1279</v>
      </c>
      <c r="E37" s="808"/>
      <c r="F37" s="1020"/>
      <c r="G37" s="808"/>
      <c r="H37" s="1031"/>
      <c r="I37" s="808"/>
      <c r="J37" s="1041"/>
      <c r="K37" s="1021"/>
      <c r="L37" s="808"/>
      <c r="M37" s="808"/>
      <c r="N37" s="808"/>
      <c r="O37" s="808"/>
      <c r="P37" s="1080" t="str">
        <f>IF(D37='THE-TS'!$D$11,"x","")</f>
        <v/>
      </c>
    </row>
    <row r="38" spans="1:16" ht="13.5" customHeight="1">
      <c r="K38" s="1022"/>
      <c r="L38" s="1001" t="s">
        <v>1280</v>
      </c>
      <c r="P38" s="1080" t="str">
        <f>IF(D38='THE-TS'!$D$11,"x","")</f>
        <v/>
      </c>
    </row>
    <row r="39" spans="1:16" ht="13.5" customHeight="1">
      <c r="B39" s="997"/>
      <c r="D39" s="997" t="s">
        <v>11</v>
      </c>
      <c r="F39" s="997" t="s">
        <v>1249</v>
      </c>
      <c r="I39" s="1023"/>
      <c r="K39" s="1020"/>
      <c r="L39" s="1020" t="s">
        <v>131</v>
      </c>
      <c r="P39" s="1080" t="str">
        <f>IF(D39='THE-TS'!$D$11,"x","")</f>
        <v/>
      </c>
    </row>
    <row r="40" spans="1:16" ht="13.5" customHeight="1">
      <c r="B40" s="997"/>
      <c r="D40" s="997"/>
      <c r="P40" s="1080" t="str">
        <f>IF(D40='THE-TS'!$D$11,"x","")</f>
        <v/>
      </c>
    </row>
    <row r="41" spans="1:16" ht="13.5" customHeight="1">
      <c r="H41" s="1024"/>
      <c r="J41" s="1024"/>
      <c r="L41" s="1024"/>
      <c r="P41" s="1080" t="str">
        <f>IF(D41='THE-TS'!$D$11,"x","")</f>
        <v/>
      </c>
    </row>
    <row r="42" spans="1:16" ht="13.5" customHeight="1">
      <c r="H42" s="1025"/>
      <c r="P42" s="1080" t="str">
        <f>IF(D42='THE-TS'!$D$11,"x","")</f>
        <v/>
      </c>
    </row>
    <row r="43" spans="1:16" ht="13.5" customHeight="1">
      <c r="H43" s="1025"/>
      <c r="J43" s="1024"/>
      <c r="P43" s="1080" t="str">
        <f>IF(D43='THE-TS'!$D$11,"x","")</f>
        <v/>
      </c>
    </row>
    <row r="44" spans="1:16" ht="13.5" customHeight="1">
      <c r="H44" s="1025"/>
      <c r="P44" s="1080" t="str">
        <f>IF(D44='THE-TS'!$D$11,"x","")</f>
        <v/>
      </c>
    </row>
    <row r="45" spans="1:16" ht="13.5" customHeight="1">
      <c r="H45" s="1025"/>
      <c r="P45" s="1080" t="str">
        <f>IF(D45='THE-TS'!$D$11,"x","")</f>
        <v/>
      </c>
    </row>
    <row r="46" spans="1:16" s="1026" customFormat="1" ht="13.5" customHeight="1">
      <c r="C46" s="1027"/>
      <c r="D46" s="1027" t="s">
        <v>229</v>
      </c>
      <c r="F46" s="1027"/>
      <c r="H46" s="1028"/>
      <c r="K46" s="1029"/>
      <c r="L46" s="1026" t="s">
        <v>125</v>
      </c>
      <c r="P46" s="1080" t="str">
        <f>IF(D46='THE-TS'!$D$11,"x","")</f>
        <v/>
      </c>
    </row>
    <row r="47" spans="1:16" ht="13.5">
      <c r="P47" s="1080" t="str">
        <f>IF(D47='THE-TS'!$D$11,"x","")</f>
        <v/>
      </c>
    </row>
    <row r="48" spans="1:16" ht="13.5" customHeight="1">
      <c r="H48" s="1025"/>
      <c r="P48" s="1080" t="str">
        <f>IF(D48='THE-TS'!$D$11,"x","")</f>
        <v/>
      </c>
    </row>
    <row r="49" spans="1:17" ht="13.5">
      <c r="P49" s="1080" t="str">
        <f>IF(D49='THE-TS'!$D$11,"x","")</f>
        <v/>
      </c>
    </row>
    <row r="50" spans="1:17" ht="13.5">
      <c r="P50" s="1080" t="str">
        <f>IF(D50='THE-TS'!$D$11,"x","")</f>
        <v/>
      </c>
    </row>
    <row r="51" spans="1:17" ht="13.5">
      <c r="P51" s="1080" t="str">
        <f>IF(D51='THE-TS'!$D$11,"x","")</f>
        <v/>
      </c>
    </row>
    <row r="52" spans="1:17" ht="13.5">
      <c r="A52" s="995" t="s">
        <v>1218</v>
      </c>
      <c r="L52" s="999"/>
      <c r="M52" s="999"/>
      <c r="N52" s="1000" t="s">
        <v>1219</v>
      </c>
      <c r="O52" s="999"/>
      <c r="P52" s="1080" t="str">
        <f>IF(D52='THE-TS'!$D$11,"x","")</f>
        <v/>
      </c>
    </row>
    <row r="53" spans="1:17" ht="13.5">
      <c r="A53" s="995" t="s">
        <v>1220</v>
      </c>
      <c r="L53" s="998"/>
      <c r="M53" s="998"/>
      <c r="N53" s="1001" t="s">
        <v>319</v>
      </c>
      <c r="O53" s="998"/>
      <c r="P53" s="1080" t="str">
        <f>IF(D53='THE-TS'!$D$11,"x","")</f>
        <v/>
      </c>
    </row>
    <row r="54" spans="1:17" ht="13.5">
      <c r="L54" s="998"/>
      <c r="M54" s="998"/>
      <c r="N54" s="1001" t="s">
        <v>237</v>
      </c>
      <c r="O54" s="998"/>
      <c r="P54" s="1080" t="str">
        <f>IF(D54='THE-TS'!$D$11,"x","")</f>
        <v/>
      </c>
    </row>
    <row r="55" spans="1:17" ht="13.5">
      <c r="P55" s="1080" t="str">
        <f>IF(D55='THE-TS'!$D$11,"x","")</f>
        <v/>
      </c>
    </row>
    <row r="56" spans="1:17" s="1091" customFormat="1" ht="28.5" customHeight="1">
      <c r="A56" s="1482" t="s">
        <v>1221</v>
      </c>
      <c r="B56" s="1482"/>
      <c r="C56" s="1482"/>
      <c r="D56" s="1482"/>
      <c r="E56" s="1482"/>
      <c r="F56" s="1482"/>
      <c r="G56" s="1482"/>
      <c r="H56" s="1482"/>
      <c r="I56" s="1482"/>
      <c r="J56" s="1482"/>
      <c r="K56" s="1482"/>
      <c r="L56" s="1482"/>
      <c r="M56" s="1482"/>
      <c r="N56" s="1482"/>
      <c r="O56" s="1482"/>
      <c r="P56" s="1090" t="str">
        <f>IF(D56='THE-TS'!$D$11,"x","")</f>
        <v/>
      </c>
    </row>
    <row r="57" spans="1:17" s="1002" customFormat="1" ht="19.5" customHeight="1">
      <c r="A57" s="1483" t="s">
        <v>1278</v>
      </c>
      <c r="B57" s="1483"/>
      <c r="C57" s="1483"/>
      <c r="D57" s="1483"/>
      <c r="E57" s="1483"/>
      <c r="F57" s="1483"/>
      <c r="G57" s="1483"/>
      <c r="H57" s="1483"/>
      <c r="I57" s="1483"/>
      <c r="J57" s="1483"/>
      <c r="K57" s="1483"/>
      <c r="L57" s="1483"/>
      <c r="M57" s="1483"/>
      <c r="N57" s="1483"/>
      <c r="O57" s="1483"/>
      <c r="P57" s="1080" t="str">
        <f>IF(D57='THE-TS'!$D$11,"x","")</f>
        <v/>
      </c>
    </row>
    <row r="58" spans="1:17" s="1002" customFormat="1" ht="19.5" customHeight="1">
      <c r="A58" s="1484" t="s">
        <v>1287</v>
      </c>
      <c r="B58" s="1484"/>
      <c r="C58" s="1484"/>
      <c r="D58" s="1484"/>
      <c r="E58" s="1484"/>
      <c r="F58" s="1484"/>
      <c r="G58" s="1484"/>
      <c r="H58" s="1484"/>
      <c r="I58" s="1484"/>
      <c r="J58" s="1484"/>
      <c r="K58" s="1484"/>
      <c r="L58" s="1484"/>
      <c r="M58" s="1484"/>
      <c r="N58" s="1484"/>
      <c r="O58" s="1484"/>
      <c r="P58" s="1080" t="str">
        <f>IF(D58='THE-TS'!$D$11,"x","")</f>
        <v/>
      </c>
    </row>
    <row r="59" spans="1:17" ht="13.5">
      <c r="D59" s="997"/>
      <c r="P59" s="1080" t="str">
        <f>IF(D59='THE-TS'!$D$11,"x","")</f>
        <v/>
      </c>
    </row>
    <row r="60" spans="1:17" s="1003" customFormat="1" ht="17.25" customHeight="1">
      <c r="A60" s="1473" t="s">
        <v>497</v>
      </c>
      <c r="B60" s="1476" t="s">
        <v>1222</v>
      </c>
      <c r="C60" s="1477"/>
      <c r="D60" s="1477"/>
      <c r="E60" s="1477"/>
      <c r="F60" s="1477"/>
      <c r="G60" s="1477"/>
      <c r="H60" s="1478"/>
      <c r="I60" s="1476" t="s">
        <v>1223</v>
      </c>
      <c r="J60" s="1477"/>
      <c r="K60" s="1477"/>
      <c r="L60" s="1478"/>
      <c r="M60" s="1479" t="s">
        <v>1224</v>
      </c>
      <c r="N60" s="1479"/>
      <c r="O60" s="1479"/>
      <c r="P60" s="1080" t="str">
        <f>IF(D60='THE-TS'!$D$11,"x","")</f>
        <v/>
      </c>
    </row>
    <row r="61" spans="1:17" s="1003" customFormat="1" ht="17.25" customHeight="1">
      <c r="A61" s="1474"/>
      <c r="B61" s="1476" t="s">
        <v>1225</v>
      </c>
      <c r="C61" s="1478"/>
      <c r="D61" s="1473" t="s">
        <v>1226</v>
      </c>
      <c r="E61" s="1473" t="s">
        <v>1227</v>
      </c>
      <c r="F61" s="1473" t="s">
        <v>1228</v>
      </c>
      <c r="G61" s="1473" t="s">
        <v>1229</v>
      </c>
      <c r="H61" s="1473" t="s">
        <v>1230</v>
      </c>
      <c r="I61" s="1476" t="s">
        <v>1231</v>
      </c>
      <c r="J61" s="1478"/>
      <c r="K61" s="1480" t="s">
        <v>1232</v>
      </c>
      <c r="L61" s="1473" t="s">
        <v>1233</v>
      </c>
      <c r="M61" s="1479" t="s">
        <v>1225</v>
      </c>
      <c r="N61" s="1479"/>
      <c r="O61" s="1479" t="s">
        <v>1234</v>
      </c>
      <c r="P61" s="1080" t="str">
        <f>IF(D61='THE-TS'!$D$11,"x","")</f>
        <v/>
      </c>
    </row>
    <row r="62" spans="1:17" s="1003" customFormat="1" ht="55.5" customHeight="1">
      <c r="A62" s="1475"/>
      <c r="B62" s="1004" t="s">
        <v>1235</v>
      </c>
      <c r="C62" s="1004" t="s">
        <v>498</v>
      </c>
      <c r="D62" s="1475"/>
      <c r="E62" s="1475"/>
      <c r="F62" s="1475"/>
      <c r="G62" s="1475"/>
      <c r="H62" s="1475"/>
      <c r="I62" s="1004" t="s">
        <v>1236</v>
      </c>
      <c r="J62" s="1004" t="s">
        <v>1237</v>
      </c>
      <c r="K62" s="1481"/>
      <c r="L62" s="1475"/>
      <c r="M62" s="1004" t="s">
        <v>17</v>
      </c>
      <c r="N62" s="1004" t="s">
        <v>498</v>
      </c>
      <c r="O62" s="1479"/>
      <c r="P62" s="1080" t="str">
        <f>IF(D62='THE-TS'!$D$11,"x","")</f>
        <v/>
      </c>
    </row>
    <row r="63" spans="1:17" s="1007" customFormat="1" ht="13.5">
      <c r="A63" s="1005" t="s">
        <v>2</v>
      </c>
      <c r="B63" s="1005" t="s">
        <v>3</v>
      </c>
      <c r="C63" s="1005" t="s">
        <v>4</v>
      </c>
      <c r="D63" s="1005" t="s">
        <v>5</v>
      </c>
      <c r="E63" s="1005" t="s">
        <v>6</v>
      </c>
      <c r="F63" s="1005" t="s">
        <v>156</v>
      </c>
      <c r="G63" s="1005" t="s">
        <v>1238</v>
      </c>
      <c r="H63" s="1005">
        <v>1</v>
      </c>
      <c r="I63" s="1005">
        <v>2</v>
      </c>
      <c r="J63" s="1005">
        <v>3</v>
      </c>
      <c r="K63" s="1006"/>
      <c r="L63" s="1005">
        <v>4</v>
      </c>
      <c r="M63" s="1005" t="s">
        <v>1239</v>
      </c>
      <c r="N63" s="1005" t="s">
        <v>1240</v>
      </c>
      <c r="O63" s="1005" t="s">
        <v>1241</v>
      </c>
      <c r="P63" s="1080" t="str">
        <f>IF(D63='THE-TS'!$D$11,"x","")</f>
        <v/>
      </c>
    </row>
    <row r="64" spans="1:17" ht="15.75" customHeight="1">
      <c r="A64" s="1008">
        <v>1</v>
      </c>
      <c r="B64" s="1047" t="s">
        <v>1310</v>
      </c>
      <c r="C64" s="1009">
        <v>40543</v>
      </c>
      <c r="D64" s="342" t="s">
        <v>1261</v>
      </c>
      <c r="E64" s="769"/>
      <c r="F64" s="1049" t="s">
        <v>1316</v>
      </c>
      <c r="G64" s="1082" t="str">
        <f>RIGHT(B64,5)</f>
        <v>10/10</v>
      </c>
      <c r="H64" s="342">
        <v>5405781300</v>
      </c>
      <c r="I64" s="1011">
        <v>45</v>
      </c>
      <c r="J64" s="8">
        <f>ROUND(H64/I64,0)+5</f>
        <v>120128478</v>
      </c>
      <c r="K64" s="1010">
        <v>600642360</v>
      </c>
      <c r="L64" s="1010">
        <f>K64+J64</f>
        <v>720770838</v>
      </c>
      <c r="M64" s="769"/>
      <c r="N64" s="769"/>
      <c r="O64" s="230"/>
      <c r="P64" s="1080" t="str">
        <f>IF(D64='THE-TS'!$D$11,"x","")</f>
        <v/>
      </c>
      <c r="Q64" s="1072"/>
    </row>
    <row r="65" spans="1:16" ht="15.75" customHeight="1">
      <c r="A65" s="1012"/>
      <c r="B65" s="1013"/>
      <c r="C65" s="1012"/>
      <c r="D65" s="1013"/>
      <c r="E65" s="1013"/>
      <c r="F65" s="1012"/>
      <c r="G65" s="1013"/>
      <c r="H65" s="1013"/>
      <c r="I65" s="1014"/>
      <c r="J65" s="1013"/>
      <c r="K65" s="1015"/>
      <c r="L65" s="1013"/>
      <c r="M65" s="1013"/>
      <c r="N65" s="1013"/>
      <c r="O65" s="1013"/>
      <c r="P65" s="1080" t="str">
        <f>IF(D65='THE-TS'!$D$11,"x","")</f>
        <v/>
      </c>
    </row>
    <row r="66" spans="1:16" s="1019" customFormat="1" ht="15.75" customHeight="1">
      <c r="A66" s="1016"/>
      <c r="B66" s="1017"/>
      <c r="C66" s="1016"/>
      <c r="D66" s="1016" t="s">
        <v>1247</v>
      </c>
      <c r="E66" s="1017"/>
      <c r="F66" s="1016"/>
      <c r="G66" s="1017"/>
      <c r="H66" s="1018">
        <f>SUM(H64:H65)</f>
        <v>5405781300</v>
      </c>
      <c r="I66" s="1018"/>
      <c r="J66" s="1018">
        <f>SUM(J64:J65)</f>
        <v>120128478</v>
      </c>
      <c r="K66" s="1018">
        <f>SUM(K64:K65)</f>
        <v>600642360</v>
      </c>
      <c r="L66" s="1018">
        <f>SUM(L64:L65)</f>
        <v>720770838</v>
      </c>
      <c r="M66" s="1017"/>
      <c r="N66" s="1017"/>
      <c r="O66" s="1017"/>
      <c r="P66" s="1080" t="str">
        <f>IF(D66='THE-TS'!$D$11,"x","")</f>
        <v/>
      </c>
    </row>
    <row r="67" spans="1:16" ht="6.75" customHeight="1">
      <c r="A67" s="808"/>
      <c r="B67" s="808"/>
      <c r="C67" s="1020"/>
      <c r="D67" s="808"/>
      <c r="E67" s="808"/>
      <c r="F67" s="1020"/>
      <c r="G67" s="808"/>
      <c r="H67" s="808"/>
      <c r="I67" s="808"/>
      <c r="J67" s="808"/>
      <c r="K67" s="1021"/>
      <c r="L67" s="808"/>
      <c r="M67" s="808"/>
      <c r="N67" s="808"/>
      <c r="O67" s="808"/>
    </row>
    <row r="68" spans="1:16">
      <c r="A68" s="808"/>
      <c r="B68" s="808"/>
      <c r="C68" s="1020"/>
      <c r="D68" s="808" t="s">
        <v>1248</v>
      </c>
      <c r="E68" s="808"/>
      <c r="F68" s="1020"/>
      <c r="G68" s="808"/>
      <c r="H68" s="808"/>
      <c r="I68" s="808"/>
      <c r="J68" s="808"/>
      <c r="K68" s="1021"/>
      <c r="L68" s="808"/>
      <c r="M68" s="808"/>
      <c r="N68" s="808"/>
      <c r="O68" s="808"/>
    </row>
    <row r="69" spans="1:16">
      <c r="A69" s="808"/>
      <c r="B69" s="808"/>
      <c r="C69" s="1020"/>
      <c r="D69" s="808" t="s">
        <v>1279</v>
      </c>
      <c r="E69" s="808"/>
      <c r="F69" s="1020"/>
      <c r="G69" s="808"/>
      <c r="I69" s="808"/>
      <c r="J69" s="808"/>
      <c r="K69" s="1021"/>
      <c r="L69" s="808"/>
      <c r="M69" s="808"/>
      <c r="N69" s="808"/>
      <c r="O69" s="808"/>
    </row>
    <row r="70" spans="1:16">
      <c r="K70" s="1001"/>
      <c r="L70" s="1001" t="s">
        <v>1280</v>
      </c>
    </row>
    <row r="71" spans="1:16" ht="16.5" customHeight="1">
      <c r="B71" s="997"/>
      <c r="D71" s="997" t="s">
        <v>11</v>
      </c>
      <c r="F71" s="997" t="s">
        <v>1249</v>
      </c>
      <c r="I71" s="1023"/>
      <c r="K71" s="1020"/>
      <c r="L71" s="1020" t="s">
        <v>131</v>
      </c>
    </row>
    <row r="74" spans="1:16">
      <c r="L74" s="1024"/>
    </row>
    <row r="75" spans="1:16">
      <c r="D75" s="1024"/>
    </row>
    <row r="76" spans="1:16">
      <c r="D76" s="998"/>
      <c r="L76" s="1024"/>
    </row>
    <row r="77" spans="1:16">
      <c r="D77" s="1031"/>
      <c r="L77" s="1024"/>
    </row>
    <row r="78" spans="1:16" s="1026" customFormat="1" ht="13.5" customHeight="1">
      <c r="C78" s="1027"/>
      <c r="D78" s="1027" t="s">
        <v>229</v>
      </c>
      <c r="F78" s="1027"/>
      <c r="H78" s="1028"/>
      <c r="K78" s="1029"/>
      <c r="L78" s="1026" t="s">
        <v>125</v>
      </c>
      <c r="P78" s="1081"/>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6:O56"/>
    <mergeCell ref="A57:O57"/>
    <mergeCell ref="A58:O58"/>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51" customWidth="1"/>
    <col min="2" max="2" width="10.140625" style="1051" customWidth="1"/>
    <col min="3" max="3" width="11.5703125" style="1051" customWidth="1"/>
    <col min="4" max="4" width="28.7109375" style="1051" customWidth="1"/>
    <col min="5" max="5" width="13.28515625" style="1051" customWidth="1"/>
    <col min="6" max="6" width="9.140625" style="1051"/>
    <col min="7" max="7" width="14" style="1051" customWidth="1"/>
    <col min="8" max="8" width="14.7109375" style="1051" customWidth="1"/>
    <col min="9" max="10" width="9.140625" style="1051"/>
    <col min="11" max="11" width="13.85546875" style="1051" customWidth="1"/>
    <col min="12" max="16384" width="9.140625" style="1051"/>
  </cols>
  <sheetData>
    <row r="2" spans="1:11">
      <c r="A2" s="1068" t="s">
        <v>1218</v>
      </c>
      <c r="B2" s="1050"/>
      <c r="C2" s="1050"/>
      <c r="D2" s="1050"/>
      <c r="E2" s="1000"/>
      <c r="F2" s="1000"/>
      <c r="G2" s="1000" t="s">
        <v>1262</v>
      </c>
      <c r="H2" s="1000"/>
    </row>
    <row r="3" spans="1:11">
      <c r="A3" s="1068" t="s">
        <v>1220</v>
      </c>
      <c r="B3" s="1050"/>
      <c r="C3" s="1050"/>
      <c r="D3" s="1050"/>
      <c r="E3" s="1001"/>
      <c r="F3" s="1001"/>
      <c r="G3" s="1001" t="s">
        <v>319</v>
      </c>
      <c r="H3" s="1001"/>
    </row>
    <row r="4" spans="1:11">
      <c r="A4" s="997"/>
      <c r="B4" s="997"/>
      <c r="C4" s="1001"/>
      <c r="D4" s="1001"/>
      <c r="E4" s="1001"/>
      <c r="F4" s="1001"/>
      <c r="G4" s="1001" t="s">
        <v>237</v>
      </c>
      <c r="H4" s="1001"/>
    </row>
    <row r="5" spans="1:11">
      <c r="A5" s="997"/>
      <c r="B5" s="997"/>
      <c r="C5" s="1001"/>
      <c r="D5" s="1001"/>
      <c r="E5" s="1001"/>
      <c r="F5" s="1001"/>
      <c r="G5" s="1001"/>
      <c r="H5" s="1001"/>
    </row>
    <row r="6" spans="1:11" ht="23.25" customHeight="1" thickBot="1">
      <c r="A6" s="1499" t="s">
        <v>1263</v>
      </c>
      <c r="B6" s="1499"/>
      <c r="C6" s="1499"/>
      <c r="D6" s="1499"/>
      <c r="E6" s="1499"/>
      <c r="F6" s="1499"/>
      <c r="G6" s="1499"/>
      <c r="H6" s="1499"/>
    </row>
    <row r="7" spans="1:11" ht="17.25" customHeight="1" thickBot="1">
      <c r="A7" s="1485" t="str">
        <f ca="1" xml:space="preserve"> IF(ROWS($1:1)&gt;COUNT(Dong3),"","Số: "&amp;OFFSET('SO-TS'!$B$1,SMALL(Dong3,ROWS($1:1)),))</f>
        <v>Số: SX 13/14</v>
      </c>
      <c r="B7" s="1485"/>
      <c r="C7" s="1485"/>
      <c r="D7" s="1485"/>
      <c r="E7" s="1485"/>
      <c r="F7" s="1485"/>
      <c r="G7" s="1485"/>
      <c r="H7" s="1485"/>
      <c r="J7" s="1069" t="s">
        <v>1303</v>
      </c>
      <c r="K7" s="1070" t="s">
        <v>1346</v>
      </c>
    </row>
    <row r="8" spans="1:11" ht="17.25" customHeight="1">
      <c r="A8" s="1500" t="str">
        <f ca="1" xml:space="preserve"> IF(ROWS($1:1)&gt;COUNT(Dong3),"","Ngày   "&amp;DAY(OFFSET('SO-TS'!$C$1,SMALL(Dong3,ROWS($1:1)),))&amp;"   tháng   "&amp;MONTH(OFFSET('SO-TS'!$C$1,SMALL(Dong3,ROWS($1:1)),))&amp;"  năm   "&amp;YEAR(OFFSET('SO-TS'!$C$1,SMALL(Dong3,ROWS($1:1)),)))</f>
        <v>Ngày   1   tháng   9  năm   2014</v>
      </c>
      <c r="B8" s="1500"/>
      <c r="C8" s="1500"/>
      <c r="D8" s="1500"/>
      <c r="E8" s="1500"/>
      <c r="F8" s="1500"/>
      <c r="G8" s="1500"/>
      <c r="H8" s="1500"/>
    </row>
    <row r="9" spans="1:11" ht="12" customHeight="1">
      <c r="A9" s="997"/>
      <c r="B9" s="997"/>
      <c r="C9" s="997"/>
      <c r="D9" s="997"/>
      <c r="E9" s="997"/>
      <c r="F9" s="997"/>
      <c r="G9" s="1001"/>
      <c r="H9" s="1001"/>
    </row>
    <row r="10" spans="1:11" ht="15" customHeight="1">
      <c r="A10" s="996" t="str">
        <f ca="1">"Căn cứ vào biên bản giao nhận TSCĐ "&amp;"  "&amp;A7&amp;"  "&amp;A8</f>
        <v>Căn cứ vào biên bản giao nhận TSCĐ   Số: SX 13/14  Ngày   1   tháng   9  năm   2014</v>
      </c>
      <c r="B10" s="996"/>
      <c r="C10" s="996"/>
      <c r="D10" s="996"/>
      <c r="E10" s="996"/>
      <c r="F10" s="996"/>
      <c r="G10" s="996"/>
      <c r="H10" s="996"/>
    </row>
    <row r="11" spans="1:11" ht="15" customHeight="1">
      <c r="A11" s="996" t="s">
        <v>1304</v>
      </c>
      <c r="B11" s="996"/>
      <c r="C11" s="996"/>
      <c r="D11" s="996" t="s">
        <v>1253</v>
      </c>
      <c r="E11" s="996" t="str">
        <f ca="1" xml:space="preserve"> IF(ROWS($1:1)&gt;COUNT(Dong3),"","Số hiệu TSCĐ:   "&amp;OFFSET('SO-TS'!$G$1,SMALL(Dong3,ROWS($1:1)),))</f>
        <v>Số hiệu TSCĐ:   13/14</v>
      </c>
      <c r="F11" s="996"/>
      <c r="H11" s="996"/>
    </row>
    <row r="12" spans="1:11" ht="15" customHeight="1">
      <c r="A12" s="996" t="str">
        <f ca="1" xml:space="preserve"> IF(ROWS($1:1)&gt;COUNT(Dong3),"","Nước sản xuất:   "&amp;OFFSET('SO-TS'!$E$1,SMALL(Dong3,ROWS($1:1)),))</f>
        <v xml:space="preserve">Nước sản xuất:   </v>
      </c>
      <c r="B12" s="996"/>
      <c r="C12" s="996"/>
      <c r="D12" s="996"/>
      <c r="E12" s="996" t="s">
        <v>1305</v>
      </c>
      <c r="F12" s="996"/>
      <c r="G12" s="996"/>
      <c r="H12" s="996"/>
    </row>
    <row r="13" spans="1:11" ht="15" customHeight="1">
      <c r="A13" s="996" t="str">
        <f ca="1" xml:space="preserve"> IF(ROWS($1:1)&gt;COUNT(Dong3),"","Bộ phận quản lý sử dụng:  "&amp;IF(LEFT(OFFSET('SO-TS'!$B$1,SMALL(Dong3,ROWS($1:1)),),2)="VP","Văn Phòng","Sản Xuất"))</f>
        <v>Bộ phận quản lý sử dụng:  Sản Xuất</v>
      </c>
      <c r="B13" s="996"/>
      <c r="C13" s="996"/>
      <c r="D13" s="996"/>
      <c r="E13" s="996" t="str">
        <f ca="1" xml:space="preserve"> IF(ROWS($1:1)&gt;COUNT(Dong3),"","Tháng, năm đưa vào sử dụng:    "&amp;OFFSET('SO-TS'!$F$1,SMALL(Dong3,ROWS($1:1)),))</f>
        <v>Tháng, năm đưa vào sử dụng:    10/2014</v>
      </c>
      <c r="F13" s="996"/>
      <c r="G13" s="996"/>
      <c r="H13" s="996"/>
    </row>
    <row r="14" spans="1:11" ht="15" customHeight="1">
      <c r="A14" s="996" t="s">
        <v>1264</v>
      </c>
      <c r="B14" s="996"/>
      <c r="C14" s="996"/>
      <c r="D14" s="996"/>
      <c r="E14" s="996"/>
      <c r="F14" s="996"/>
      <c r="G14" s="996"/>
      <c r="H14" s="996"/>
    </row>
    <row r="15" spans="1:11" ht="15" customHeight="1">
      <c r="A15" s="996" t="s">
        <v>1318</v>
      </c>
      <c r="B15" s="996"/>
      <c r="C15" s="996"/>
      <c r="D15" s="996"/>
      <c r="E15" s="996"/>
      <c r="F15" s="996"/>
      <c r="G15" s="996"/>
      <c r="H15" s="996"/>
    </row>
    <row r="16" spans="1:11" ht="15" customHeight="1">
      <c r="A16" s="1071" t="s">
        <v>1317</v>
      </c>
      <c r="B16" s="1071"/>
      <c r="C16" s="1071"/>
      <c r="D16" s="1071"/>
      <c r="E16" s="1071"/>
      <c r="F16" s="1071"/>
      <c r="G16" s="1071"/>
      <c r="H16" s="1071"/>
    </row>
    <row r="17" spans="1:8" s="1065" customFormat="1" ht="18" customHeight="1">
      <c r="A17" s="1489" t="s">
        <v>150</v>
      </c>
      <c r="B17" s="1490"/>
      <c r="C17" s="1493" t="s">
        <v>1265</v>
      </c>
      <c r="D17" s="1494"/>
      <c r="E17" s="1495"/>
      <c r="F17" s="1496" t="s">
        <v>1266</v>
      </c>
      <c r="G17" s="1497"/>
      <c r="H17" s="1498"/>
    </row>
    <row r="18" spans="1:8" s="1065" customFormat="1" ht="28.5" customHeight="1">
      <c r="A18" s="1491"/>
      <c r="B18" s="1492"/>
      <c r="C18" s="1032" t="s">
        <v>1267</v>
      </c>
      <c r="D18" s="1032" t="s">
        <v>0</v>
      </c>
      <c r="E18" s="1032" t="s">
        <v>1268</v>
      </c>
      <c r="F18" s="1032" t="s">
        <v>1269</v>
      </c>
      <c r="G18" s="1032" t="s">
        <v>1270</v>
      </c>
      <c r="H18" s="1032" t="s">
        <v>1271</v>
      </c>
    </row>
    <row r="19" spans="1:8" s="1067" customFormat="1">
      <c r="A19" s="1501" t="s">
        <v>2</v>
      </c>
      <c r="B19" s="1502"/>
      <c r="C19" s="1066" t="s">
        <v>3</v>
      </c>
      <c r="D19" s="1066" t="s">
        <v>4</v>
      </c>
      <c r="E19" s="1066">
        <v>1</v>
      </c>
      <c r="F19" s="1066">
        <v>2</v>
      </c>
      <c r="G19" s="1066">
        <v>3</v>
      </c>
      <c r="H19" s="1066">
        <v>4</v>
      </c>
    </row>
    <row r="20" spans="1:8" ht="17.25" customHeight="1">
      <c r="A20" s="884">
        <f ca="1">IF(B20&lt;&gt;"",ROW()-19,"")</f>
        <v>1</v>
      </c>
      <c r="B20" s="1052" t="str">
        <f ca="1" xml:space="preserve"> IF(ROWS($1:1)&gt;COUNT(Dong3),"",OFFSET('SO-TS'!B$1,SMALL(Dong3,ROWS($1:1)),))</f>
        <v>SX 13/14</v>
      </c>
      <c r="C20" s="1052" t="str">
        <f ca="1" xml:space="preserve"> IF(ROWS($1:1)&gt;COUNT(Dong3),"",OFFSET('SO-TS'!F$1,SMALL(Dong3,ROWS($1:1)),))</f>
        <v>10/2014</v>
      </c>
      <c r="D20" s="1083" t="str">
        <f ca="1" xml:space="preserve"> IF(ROWS($1:1)&gt;COUNT(Dong3),"",OFFSET('SO-TS'!D$1,SMALL(Dong3,ROWS($1:1)),))</f>
        <v>Máy đóng gói bao bì chân không</v>
      </c>
      <c r="E20" s="1084">
        <f ca="1" xml:space="preserve"> IF(ROWS($1:1)&gt;COUNT(Dong3),"",OFFSET('SO-TS'!H$1,SMALL(Dong3,ROWS($1:1)),))</f>
        <v>80000000</v>
      </c>
      <c r="F20" s="1085" t="str">
        <f ca="1" xml:space="preserve"> IF(ROWS($1:1)&gt;COUNT(Dong3),"",RIGHT(OFFSET('SO-TS'!F$1,SMALL(Dong3,ROWS($1:1)),),4))</f>
        <v>2014</v>
      </c>
      <c r="G20" s="88">
        <f ca="1">IF(F20="",0,ROUND(IF(OR(ROWS($1:$1)&gt;COUNT(Dong3),(ROW()-19)&gt;OFFSET('SO-TS'!I$1,SMALL(Dong3,ROWS($1:$1)),)),0,IF(VALUE(LEFT(C20,2))&gt;0,$E$30/(OFFSET('SO-TS'!I$1,SMALL(Dong3,ROWS($1:$1)),))/12*(13-VALUE(LEFT(C20,2))),$E$30/(OFFSET('SO-TS'!I$1,SMALL(Dong3,ROWS($1:$1)),)))),0))</f>
        <v>6666667</v>
      </c>
      <c r="H20" s="88">
        <f ca="1">G20</f>
        <v>6666667</v>
      </c>
    </row>
    <row r="21" spans="1:8" ht="17.25" customHeight="1">
      <c r="A21" s="884" t="str">
        <f t="shared" ref="A21:A29" ca="1" si="0">IF(B21&lt;&gt;"",ROW()-19,"")</f>
        <v/>
      </c>
      <c r="B21" s="1052" t="str">
        <f ca="1" xml:space="preserve"> IF(ROWS($1:2)&gt;COUNT(Dong3),"",OFFSET('SO-TS'!B$1,SMALL(Dong3,ROWS($1:2)),))</f>
        <v/>
      </c>
      <c r="C21" s="1052" t="str">
        <f ca="1" xml:space="preserve"> IF(ROWS($1:2)&gt;COUNT(Dong3),"",OFFSET('SO-TS'!F$1,SMALL(Dong3,ROWS($1:2)),))</f>
        <v/>
      </c>
      <c r="D21" s="1083" t="str">
        <f ca="1" xml:space="preserve"> IF(ROWS($1:2)&gt;COUNT(Dong3),"",OFFSET('SO-TS'!D$1,SMALL(Dong3,ROWS($1:2)),))</f>
        <v/>
      </c>
      <c r="E21" s="1084" t="str">
        <f ca="1" xml:space="preserve"> IF(ROWS($1:2)&gt;COUNT(Dong3),"",OFFSET('SO-TS'!H$1,SMALL(Dong3,ROWS($1:2)),))</f>
        <v/>
      </c>
      <c r="F21" s="1085">
        <f ca="1">IF(OR(F20="",(ROW()-19)&gt;OFFSET('SO-TS'!I$1,SMALL(Dong3,ROWS($1:$1)),)),"",IF(VALUE(F20)&gt;=VALUE(YEAR(NOW())),"",F20+1))</f>
        <v>2015</v>
      </c>
      <c r="G21" s="88">
        <f ca="1">IF(F21="",0,ROUND(IF(OR(ROWS($1:$1)&gt;COUNT(Dong3),(ROW()-19)&gt;OFFSET('SO-TS'!I$1,SMALL(Dong3,ROWS($1:$1)),)),0,IF($E$30-H20&lt;($E$30/(OFFSET('SO-TS'!I$1,SMALL(Dong3,ROWS($1:$1)),))+12),$E$30-H20,$E$30/(OFFSET('SO-TS'!I$1,SMALL(Dong3,ROWS($1:$1)),)))),0))</f>
        <v>26666667</v>
      </c>
      <c r="H21" s="1087">
        <f ca="1">IF(G21&lt;&gt;0,H20+G21,0)</f>
        <v>33333334</v>
      </c>
    </row>
    <row r="22" spans="1:8" ht="17.25" customHeight="1">
      <c r="A22" s="884" t="str">
        <f t="shared" ca="1" si="0"/>
        <v/>
      </c>
      <c r="B22" s="1052" t="str">
        <f ca="1" xml:space="preserve"> IF(ROWS($1:3)&gt;COUNT(Dong3),"",OFFSET('SO-TS'!B$1,SMALL(Dong3,ROWS($1:3)),))</f>
        <v/>
      </c>
      <c r="C22" s="1052" t="str">
        <f ca="1" xml:space="preserve"> IF(ROWS($1:3)&gt;COUNT(Dong3),"",OFFSET('SO-TS'!F$1,SMALL(Dong3,ROWS($1:3)),))</f>
        <v/>
      </c>
      <c r="D22" s="1083" t="str">
        <f ca="1" xml:space="preserve"> IF(ROWS($1:3)&gt;COUNT(Dong3),"",OFFSET('SO-TS'!D$1,SMALL(Dong3,ROWS($1:3)),))</f>
        <v/>
      </c>
      <c r="E22" s="1084" t="str">
        <f ca="1" xml:space="preserve"> IF(ROWS($1:3)&gt;COUNT(Dong3),"",OFFSET('SO-TS'!H$1,SMALL(Dong3,ROWS($1:3)),))</f>
        <v/>
      </c>
      <c r="F22" s="1085">
        <f ca="1">IF(OR(F21="",(ROW()-19)&gt;OFFSET('SO-TS'!I$1,SMALL(Dong3,ROWS($1:$1)),)),"",IF(VALUE(F21)&gt;=VALUE(YEAR(NOW())),"",F21+1))</f>
        <v>2016</v>
      </c>
      <c r="G22" s="88">
        <f ca="1">IF(F22="",0,ROUND(IF(OR(ROWS($1:$1)&gt;COUNT(Dong3),(ROW()-19)&gt;OFFSET('SO-TS'!I$1,SMALL(Dong3,ROWS($1:$1)),)),0,IF($E$30-H21&lt;($E$30/(OFFSET('SO-TS'!I$1,SMALL(Dong3,ROWS($1:$1)),))+12),$E$30-H21,$E$30/(OFFSET('SO-TS'!I$1,SMALL(Dong3,ROWS($1:$1)),)))),0))</f>
        <v>26666667</v>
      </c>
      <c r="H22" s="1087">
        <f t="shared" ref="H22:H28" ca="1" si="1">IF(G22&lt;&gt;0,H21+G22,0)</f>
        <v>60000001</v>
      </c>
    </row>
    <row r="23" spans="1:8" ht="17.25" customHeight="1">
      <c r="A23" s="884" t="str">
        <f t="shared" ca="1" si="0"/>
        <v/>
      </c>
      <c r="B23" s="1052" t="str">
        <f ca="1" xml:space="preserve"> IF(ROWS($1:4)&gt;COUNT(Dong3),"",OFFSET('SO-TS'!B$1,SMALL(Dong3,ROWS($1:4)),))</f>
        <v/>
      </c>
      <c r="C23" s="1052" t="str">
        <f ca="1" xml:space="preserve"> IF(ROWS($1:4)&gt;COUNT(Dong3),"",OFFSET('SO-TS'!F$1,SMALL(Dong3,ROWS($1:4)),))</f>
        <v/>
      </c>
      <c r="D23" s="1083" t="str">
        <f ca="1" xml:space="preserve"> IF(ROWS($1:4)&gt;COUNT(Dong3),"",OFFSET('SO-TS'!D$1,SMALL(Dong3,ROWS($1:4)),))</f>
        <v/>
      </c>
      <c r="E23" s="1084" t="str">
        <f ca="1" xml:space="preserve"> IF(ROWS($1:4)&gt;COUNT(Dong3),"",OFFSET('SO-TS'!H$1,SMALL(Dong3,ROWS($1:4)),))</f>
        <v/>
      </c>
      <c r="F23" s="1085" t="str">
        <f ca="1">IF(OR(F22="",(ROW()-19)&gt;OFFSET('SO-TS'!I$1,SMALL(Dong3,ROWS($1:$1)),)),"",IF(VALUE(F22)&gt;=VALUE(YEAR(NOW())),"",F22+1))</f>
        <v/>
      </c>
      <c r="G23" s="88">
        <f ca="1">IF(F23="",0,ROUND(IF(OR(ROWS($1:$1)&gt;COUNT(Dong3),(ROW()-19)&gt;OFFSET('SO-TS'!I$1,SMALL(Dong3,ROWS($1:$1)),)),0,IF($E$30-H22&lt;($E$30/(OFFSET('SO-TS'!I$1,SMALL(Dong3,ROWS($1:$1)),))+12),$E$30-H22,$E$30/(OFFSET('SO-TS'!I$1,SMALL(Dong3,ROWS($1:$1)),)))),0))</f>
        <v>0</v>
      </c>
      <c r="H23" s="1087">
        <f t="shared" ca="1" si="1"/>
        <v>0</v>
      </c>
    </row>
    <row r="24" spans="1:8" ht="17.25" customHeight="1">
      <c r="A24" s="884" t="str">
        <f t="shared" ca="1" si="0"/>
        <v/>
      </c>
      <c r="B24" s="1052" t="str">
        <f ca="1" xml:space="preserve"> IF(ROWS($1:5)&gt;COUNT(Dong3),"",OFFSET('SO-TS'!B$1,SMALL(Dong3,ROWS($1:5)),))</f>
        <v/>
      </c>
      <c r="C24" s="1052" t="str">
        <f ca="1" xml:space="preserve"> IF(ROWS($1:5)&gt;COUNT(Dong3),"",OFFSET('SO-TS'!F$1,SMALL(Dong3,ROWS($1:5)),))</f>
        <v/>
      </c>
      <c r="D24" s="1083" t="str">
        <f ca="1" xml:space="preserve"> IF(ROWS($1:5)&gt;COUNT(Dong3),"",OFFSET('SO-TS'!D$1,SMALL(Dong3,ROWS($1:5)),))</f>
        <v/>
      </c>
      <c r="E24" s="1084" t="str">
        <f ca="1" xml:space="preserve"> IF(ROWS($1:5)&gt;COUNT(Dong3),"",OFFSET('SO-TS'!H$1,SMALL(Dong3,ROWS($1:5)),))</f>
        <v/>
      </c>
      <c r="F24" s="1085" t="str">
        <f ca="1">IF(OR(F23="",(ROW()-19)&gt;OFFSET('SO-TS'!I$1,SMALL(Dong3,ROWS($1:$1)),)),"",IF(VALUE(F23)&gt;=VALUE(YEAR(NOW())),"",F23+1))</f>
        <v/>
      </c>
      <c r="G24" s="88">
        <f ca="1">IF(F24="",0,ROUND(IF(OR(ROWS($1:$1)&gt;COUNT(Dong3),(ROW()-19)&gt;OFFSET('SO-TS'!I$1,SMALL(Dong3,ROWS($1:$1)),)),0,IF($E$30-H23&lt;($E$30/(OFFSET('SO-TS'!I$1,SMALL(Dong3,ROWS($1:$1)),))+12),$E$30-H23,$E$30/(OFFSET('SO-TS'!I$1,SMALL(Dong3,ROWS($1:$1)),)))),0))</f>
        <v>0</v>
      </c>
      <c r="H24" s="1087">
        <f t="shared" ca="1" si="1"/>
        <v>0</v>
      </c>
    </row>
    <row r="25" spans="1:8" ht="17.25" customHeight="1">
      <c r="A25" s="884" t="str">
        <f t="shared" ca="1" si="0"/>
        <v/>
      </c>
      <c r="B25" s="1052" t="str">
        <f ca="1" xml:space="preserve"> IF(ROWS($1:6)&gt;COUNT(Dong3),"",OFFSET('SO-TS'!B$1,SMALL(Dong3,ROWS($1:6)),))</f>
        <v/>
      </c>
      <c r="C25" s="1052" t="str">
        <f ca="1" xml:space="preserve"> IF(ROWS($1:6)&gt;COUNT(Dong3),"",OFFSET('SO-TS'!F$1,SMALL(Dong3,ROWS($1:6)),))</f>
        <v/>
      </c>
      <c r="D25" s="1083" t="str">
        <f ca="1" xml:space="preserve"> IF(ROWS($1:6)&gt;COUNT(Dong3),"",OFFSET('SO-TS'!D$1,SMALL(Dong3,ROWS($1:6)),))</f>
        <v/>
      </c>
      <c r="E25" s="1084" t="str">
        <f ca="1" xml:space="preserve"> IF(ROWS($1:6)&gt;COUNT(Dong3),"",OFFSET('SO-TS'!H$1,SMALL(Dong3,ROWS($1:6)),))</f>
        <v/>
      </c>
      <c r="F25" s="1085" t="str">
        <f ca="1">IF(OR(F24="",(ROW()-19)&gt;OFFSET('SO-TS'!I$1,SMALL(Dong3,ROWS($1:$1)),)),"",IF(VALUE(F24)&gt;=VALUE(YEAR(NOW())),"",F24+1))</f>
        <v/>
      </c>
      <c r="G25" s="88">
        <f ca="1">IF(F25="",0,ROUND(IF(OR(ROWS($1:$1)&gt;COUNT(Dong3),(ROW()-19)&gt;OFFSET('SO-TS'!I$1,SMALL(Dong3,ROWS($1:$1)),)),0,IF($E$30-H24&lt;($E$30/(OFFSET('SO-TS'!I$1,SMALL(Dong3,ROWS($1:$1)),))+12),$E$30-H24,$E$30/(OFFSET('SO-TS'!I$1,SMALL(Dong3,ROWS($1:$1)),)))),0))</f>
        <v>0</v>
      </c>
      <c r="H25" s="1087">
        <f t="shared" ca="1" si="1"/>
        <v>0</v>
      </c>
    </row>
    <row r="26" spans="1:8" ht="17.25" customHeight="1">
      <c r="A26" s="884" t="str">
        <f t="shared" ca="1" si="0"/>
        <v/>
      </c>
      <c r="B26" s="1052" t="str">
        <f ca="1" xml:space="preserve"> IF(ROWS($1:7)&gt;COUNT(Dong3),"",OFFSET('SO-TS'!B$1,SMALL(Dong3,ROWS($1:7)),))</f>
        <v/>
      </c>
      <c r="C26" s="1052" t="str">
        <f ca="1" xml:space="preserve"> IF(ROWS($1:7)&gt;COUNT(Dong3),"",OFFSET('SO-TS'!F$1,SMALL(Dong3,ROWS($1:7)),))</f>
        <v/>
      </c>
      <c r="D26" s="1083" t="str">
        <f ca="1" xml:space="preserve"> IF(ROWS($1:7)&gt;COUNT(Dong3),"",OFFSET('SO-TS'!D$1,SMALL(Dong3,ROWS($1:7)),))</f>
        <v/>
      </c>
      <c r="E26" s="1084" t="str">
        <f ca="1" xml:space="preserve"> IF(ROWS($1:7)&gt;COUNT(Dong3),"",OFFSET('SO-TS'!H$1,SMALL(Dong3,ROWS($1:7)),))</f>
        <v/>
      </c>
      <c r="F26" s="1085" t="str">
        <f ca="1">IF(OR(F25="",(ROW()-19)&gt;OFFSET('SO-TS'!I$1,SMALL(Dong3,ROWS($1:$1)),)),"",IF(VALUE(F25)&gt;=VALUE(YEAR(NOW())),"",F25+1))</f>
        <v/>
      </c>
      <c r="G26" s="88">
        <f ca="1">IF(F26="",0,ROUND(IF(OR(ROWS($1:$1)&gt;COUNT(Dong3),(ROW()-19)&gt;OFFSET('SO-TS'!I$1,SMALL(Dong3,ROWS($1:$1)),)),0,IF($E$30-H25&lt;($E$30/(OFFSET('SO-TS'!I$1,SMALL(Dong3,ROWS($1:$1)),))+12),$E$30-H25,$E$30/(OFFSET('SO-TS'!I$1,SMALL(Dong3,ROWS($1:$1)),)))),0))</f>
        <v>0</v>
      </c>
      <c r="H26" s="1087">
        <f t="shared" ca="1" si="1"/>
        <v>0</v>
      </c>
    </row>
    <row r="27" spans="1:8" ht="17.25" customHeight="1">
      <c r="A27" s="884" t="str">
        <f t="shared" ca="1" si="0"/>
        <v/>
      </c>
      <c r="B27" s="1052" t="str">
        <f ca="1" xml:space="preserve"> IF(ROWS($1:8)&gt;COUNT(Dong3),"",OFFSET('SO-TS'!B$1,SMALL(Dong3,ROWS($1:8)),))</f>
        <v/>
      </c>
      <c r="C27" s="1052" t="str">
        <f ca="1" xml:space="preserve"> IF(ROWS($1:8)&gt;COUNT(Dong3),"",OFFSET('SO-TS'!F$1,SMALL(Dong3,ROWS($1:8)),))</f>
        <v/>
      </c>
      <c r="D27" s="1083" t="str">
        <f ca="1" xml:space="preserve"> IF(ROWS($1:8)&gt;COUNT(Dong3),"",OFFSET('SO-TS'!D$1,SMALL(Dong3,ROWS($1:8)),))</f>
        <v/>
      </c>
      <c r="E27" s="1084" t="str">
        <f ca="1" xml:space="preserve"> IF(ROWS($1:8)&gt;COUNT(Dong3),"",OFFSET('SO-TS'!H$1,SMALL(Dong3,ROWS($1:8)),))</f>
        <v/>
      </c>
      <c r="F27" s="1085" t="str">
        <f ca="1">IF(OR(F26="",(ROW()-19)&gt;OFFSET('SO-TS'!I$1,SMALL(Dong3,ROWS($1:$1)),)),"",IF(VALUE(F26)&gt;=VALUE(YEAR(NOW())),"",F26+1))</f>
        <v/>
      </c>
      <c r="G27" s="88">
        <f ca="1">IF(F27="",0,ROUND(IF(OR(ROWS($1:$1)&gt;COUNT(Dong3),(ROW()-19)&gt;OFFSET('SO-TS'!I$1,SMALL(Dong3,ROWS($1:$1)),)),0,IF($E$30-H26&lt;($E$30/(OFFSET('SO-TS'!I$1,SMALL(Dong3,ROWS($1:$1)),))+12),$E$30-H26,$E$30/(OFFSET('SO-TS'!I$1,SMALL(Dong3,ROWS($1:$1)),)))),0))</f>
        <v>0</v>
      </c>
      <c r="H27" s="1087">
        <f t="shared" ca="1" si="1"/>
        <v>0</v>
      </c>
    </row>
    <row r="28" spans="1:8" ht="17.25" customHeight="1">
      <c r="A28" s="884" t="str">
        <f t="shared" ca="1" si="0"/>
        <v/>
      </c>
      <c r="B28" s="1052" t="str">
        <f ca="1" xml:space="preserve"> IF(ROWS($1:9)&gt;COUNT(Dong3),"",OFFSET('SO-TS'!B$1,SMALL(Dong3,ROWS($1:9)),))</f>
        <v/>
      </c>
      <c r="C28" s="1052" t="str">
        <f ca="1" xml:space="preserve"> IF(ROWS($1:9)&gt;COUNT(Dong3),"",OFFSET('SO-TS'!F$1,SMALL(Dong3,ROWS($1:9)),))</f>
        <v/>
      </c>
      <c r="D28" s="1083" t="str">
        <f ca="1" xml:space="preserve"> IF(ROWS($1:9)&gt;COUNT(Dong3),"",OFFSET('SO-TS'!D$1,SMALL(Dong3,ROWS($1:9)),))</f>
        <v/>
      </c>
      <c r="E28" s="1084" t="str">
        <f ca="1" xml:space="preserve"> IF(ROWS($1:9)&gt;COUNT(Dong3),"",OFFSET('SO-TS'!H$1,SMALL(Dong3,ROWS($1:9)),))</f>
        <v/>
      </c>
      <c r="F28" s="1085" t="str">
        <f ca="1">IF(OR(F27="",(ROW()-19)&gt;OFFSET('SO-TS'!I$1,SMALL(Dong3,ROWS($1:$1)),)),"",IF(VALUE(F27)&gt;=VALUE(YEAR(NOW())),"",F27+1))</f>
        <v/>
      </c>
      <c r="G28" s="88">
        <f ca="1">IF(F28="",0,ROUND(IF(OR(ROWS($1:$1)&gt;COUNT(Dong3),(ROW()-19)&gt;OFFSET('SO-TS'!I$1,SMALL(Dong3,ROWS($1:$1)),)),0,IF($E$30-H27&lt;($E$30/(OFFSET('SO-TS'!I$1,SMALL(Dong3,ROWS($1:$1)),))+12),$E$30-H27,$E$30/(OFFSET('SO-TS'!I$1,SMALL(Dong3,ROWS($1:$1)),)))),0))</f>
        <v>0</v>
      </c>
      <c r="H28" s="1087">
        <f t="shared" ca="1" si="1"/>
        <v>0</v>
      </c>
    </row>
    <row r="29" spans="1:8" ht="17.25" customHeight="1">
      <c r="A29" s="884" t="str">
        <f t="shared" si="0"/>
        <v/>
      </c>
      <c r="B29" s="1012"/>
      <c r="C29" s="1053"/>
      <c r="D29" s="1053"/>
      <c r="E29" s="1086"/>
      <c r="F29" s="1054"/>
      <c r="G29" s="1086"/>
      <c r="H29" s="1086"/>
    </row>
    <row r="30" spans="1:8" ht="17.25" customHeight="1">
      <c r="A30" s="1016"/>
      <c r="B30" s="1016" t="s">
        <v>1272</v>
      </c>
      <c r="C30" s="1055"/>
      <c r="D30" s="1055"/>
      <c r="E30" s="1088">
        <f ca="1">SUM(E20:E29)</f>
        <v>80000000</v>
      </c>
      <c r="F30" s="1055"/>
      <c r="G30" s="1088">
        <f ca="1">SUM(G20:G29)</f>
        <v>60000001</v>
      </c>
      <c r="H30" s="1088"/>
    </row>
    <row r="31" spans="1:8" ht="17.25" customHeight="1">
      <c r="A31" s="1056"/>
      <c r="B31" s="1056"/>
      <c r="C31" s="1057"/>
      <c r="D31" s="1057"/>
      <c r="E31" s="1057"/>
      <c r="F31" s="1057"/>
      <c r="G31" s="1058"/>
      <c r="H31" s="1058"/>
    </row>
    <row r="32" spans="1:8" ht="17.25" customHeight="1">
      <c r="A32" s="1056"/>
      <c r="B32" s="1056"/>
      <c r="C32" s="1057"/>
      <c r="D32" s="1057"/>
      <c r="E32" s="1057"/>
      <c r="F32" s="1057"/>
      <c r="G32" s="1058"/>
      <c r="H32" s="1058"/>
    </row>
    <row r="33" spans="1:8" ht="17.25" customHeight="1">
      <c r="A33" s="1503" t="s">
        <v>1273</v>
      </c>
      <c r="B33" s="1503"/>
      <c r="C33" s="1503"/>
      <c r="D33" s="1503"/>
      <c r="E33" s="1503"/>
      <c r="F33" s="1503"/>
      <c r="G33" s="1503"/>
      <c r="H33" s="1503"/>
    </row>
    <row r="34" spans="1:8" ht="27" customHeight="1">
      <c r="A34" s="1016" t="s">
        <v>37</v>
      </c>
      <c r="B34" s="1476" t="s">
        <v>1274</v>
      </c>
      <c r="C34" s="1478"/>
      <c r="D34" s="1055" t="s">
        <v>326</v>
      </c>
      <c r="E34" s="1055" t="s">
        <v>1275</v>
      </c>
      <c r="F34" s="1055" t="s">
        <v>1276</v>
      </c>
      <c r="G34" s="1058"/>
      <c r="H34" s="1058"/>
    </row>
    <row r="35" spans="1:8" ht="17.25" customHeight="1">
      <c r="A35" s="1016" t="s">
        <v>2</v>
      </c>
      <c r="B35" s="1016" t="s">
        <v>3</v>
      </c>
      <c r="C35" s="1055"/>
      <c r="D35" s="1055" t="s">
        <v>4</v>
      </c>
      <c r="E35" s="1055">
        <v>1</v>
      </c>
      <c r="F35" s="1055">
        <v>2</v>
      </c>
      <c r="G35" s="1058"/>
      <c r="H35" s="1058"/>
    </row>
    <row r="36" spans="1:8" ht="17.25" customHeight="1">
      <c r="A36" s="1059"/>
      <c r="B36" s="1059"/>
      <c r="C36" s="1060"/>
      <c r="D36" s="1060"/>
      <c r="E36" s="1060"/>
      <c r="F36" s="1060"/>
      <c r="G36" s="1058"/>
      <c r="H36" s="1058"/>
    </row>
    <row r="37" spans="1:8" ht="17.25" customHeight="1">
      <c r="A37" s="1061"/>
      <c r="B37" s="1061"/>
      <c r="C37" s="1062"/>
      <c r="D37" s="1062"/>
      <c r="E37" s="1062"/>
      <c r="F37" s="1062"/>
      <c r="G37" s="1058"/>
      <c r="H37" s="1058"/>
    </row>
    <row r="38" spans="1:8" ht="17.25" customHeight="1">
      <c r="A38" s="1061"/>
      <c r="B38" s="1061"/>
      <c r="C38" s="1062"/>
      <c r="D38" s="1062"/>
      <c r="E38" s="1062"/>
      <c r="F38" s="1062"/>
      <c r="G38" s="1058"/>
      <c r="H38" s="1058"/>
    </row>
    <row r="39" spans="1:8" ht="17.25" customHeight="1">
      <c r="A39" s="1061"/>
      <c r="B39" s="1061"/>
      <c r="C39" s="1062"/>
      <c r="D39" s="1062"/>
      <c r="E39" s="1062"/>
      <c r="F39" s="1062"/>
      <c r="G39" s="1058"/>
      <c r="H39" s="1058"/>
    </row>
    <row r="40" spans="1:8" ht="17.25" customHeight="1">
      <c r="A40" s="1063"/>
      <c r="B40" s="1063"/>
      <c r="C40" s="1064"/>
      <c r="D40" s="1064"/>
      <c r="E40" s="1064"/>
      <c r="F40" s="1064"/>
      <c r="G40" s="1058"/>
      <c r="H40" s="1058"/>
    </row>
    <row r="41" spans="1:8">
      <c r="A41" s="1056"/>
      <c r="B41" s="1056"/>
      <c r="C41" s="1057"/>
      <c r="D41" s="1057"/>
      <c r="E41" s="1057"/>
      <c r="F41" s="1057"/>
      <c r="G41" s="1058"/>
      <c r="H41" s="1058"/>
    </row>
    <row r="42" spans="1:8">
      <c r="A42" s="1504" t="str">
        <f ca="1" xml:space="preserve"> IF(ROWS($1:1)&gt;COUNT(Dong3),"","Ghi giảm TSCĐ chứng từ số:  "&amp;OFFSET('SO-TS'!$M$1,SMALL(Dong3,ROWS($1:1)),))</f>
        <v xml:space="preserve">Ghi giảm TSCĐ chứng từ số:  </v>
      </c>
      <c r="B42" s="1504"/>
      <c r="C42" s="1504"/>
      <c r="D42" s="1504"/>
      <c r="E42" s="1504"/>
      <c r="F42" s="1504"/>
      <c r="G42" s="1504"/>
      <c r="H42" s="1504"/>
    </row>
    <row r="43" spans="1:8">
      <c r="A43" s="1504" t="str">
        <f ca="1" xml:space="preserve"> IF(ROWS($1:1)&gt;COUNT(Dong3),"","Lý do giảm:   "&amp;OFFSET('SO-TS'!$O$1,SMALL(Dong3,ROWS($1:1)),))</f>
        <v xml:space="preserve">Lý do giảm:   </v>
      </c>
      <c r="B43" s="1504"/>
      <c r="C43" s="1504"/>
      <c r="D43" s="1504"/>
      <c r="E43" s="1504"/>
      <c r="F43" s="1504"/>
      <c r="G43" s="1504"/>
      <c r="H43" s="1504"/>
    </row>
    <row r="44" spans="1:8">
      <c r="A44" s="1027"/>
      <c r="B44" s="1027"/>
      <c r="C44" s="1022"/>
      <c r="D44" s="1022"/>
      <c r="E44" s="1488" t="s">
        <v>1319</v>
      </c>
      <c r="F44" s="1488"/>
      <c r="G44" s="1488"/>
      <c r="H44" s="1488"/>
    </row>
    <row r="45" spans="1:8">
      <c r="A45" s="1485" t="s">
        <v>1277</v>
      </c>
      <c r="B45" s="1485"/>
      <c r="C45" s="1485" t="s">
        <v>12</v>
      </c>
      <c r="D45" s="1485"/>
      <c r="E45" s="1486" t="s">
        <v>131</v>
      </c>
      <c r="F45" s="1486"/>
      <c r="G45" s="1486"/>
      <c r="H45" s="1486"/>
    </row>
    <row r="46" spans="1:8">
      <c r="A46" s="997"/>
      <c r="B46" s="997"/>
      <c r="C46" s="1001"/>
      <c r="D46" s="1001"/>
      <c r="E46" s="1001"/>
      <c r="F46" s="1001"/>
      <c r="G46" s="1001"/>
      <c r="H46" s="1001"/>
    </row>
    <row r="47" spans="1:8">
      <c r="A47" s="997"/>
      <c r="B47" s="997"/>
      <c r="C47" s="1001"/>
      <c r="D47" s="1001"/>
      <c r="E47" s="1001"/>
      <c r="F47" s="1001"/>
      <c r="G47" s="1001"/>
      <c r="H47" s="1001"/>
    </row>
    <row r="48" spans="1:8">
      <c r="A48" s="997"/>
      <c r="B48" s="997"/>
      <c r="C48" s="1001"/>
      <c r="D48" s="1001"/>
      <c r="E48" s="1001"/>
      <c r="F48" s="1001"/>
      <c r="G48" s="1001"/>
      <c r="H48" s="1001"/>
    </row>
    <row r="49" spans="1:8">
      <c r="A49" s="997"/>
      <c r="B49" s="997"/>
      <c r="C49" s="1001"/>
      <c r="D49" s="1001"/>
      <c r="E49" s="1001"/>
      <c r="F49" s="1001"/>
      <c r="G49" s="1001"/>
      <c r="H49" s="1001"/>
    </row>
    <row r="50" spans="1:8">
      <c r="A50" s="997"/>
      <c r="B50" s="997"/>
      <c r="C50" s="1001"/>
      <c r="D50" s="1001"/>
      <c r="E50" s="1001"/>
      <c r="F50" s="1001"/>
      <c r="G50" s="1001"/>
      <c r="H50" s="1001"/>
    </row>
    <row r="51" spans="1:8">
      <c r="A51" s="997"/>
      <c r="B51" s="997"/>
      <c r="C51" s="1001"/>
      <c r="D51" s="1001"/>
      <c r="E51" s="1001"/>
      <c r="F51" s="1001"/>
      <c r="G51" s="1001"/>
      <c r="H51" s="1001"/>
    </row>
    <row r="52" spans="1:8">
      <c r="A52" s="997"/>
      <c r="B52" s="997"/>
      <c r="C52" s="1001"/>
      <c r="D52" s="1001"/>
      <c r="E52" s="1001"/>
      <c r="F52" s="1001"/>
      <c r="G52" s="1001"/>
      <c r="H52" s="1001"/>
    </row>
    <row r="53" spans="1:8">
      <c r="A53" s="1487" t="s">
        <v>229</v>
      </c>
      <c r="B53" s="1487"/>
      <c r="C53" s="1022"/>
      <c r="D53" s="1022"/>
      <c r="E53" s="1488" t="s">
        <v>125</v>
      </c>
      <c r="F53" s="1488"/>
      <c r="G53" s="1488"/>
      <c r="H53" s="1488"/>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9" customWidth="1"/>
    <col min="2" max="2" width="11" style="419" customWidth="1"/>
    <col min="3" max="3" width="22.140625" style="419" customWidth="1"/>
    <col min="4" max="4" width="6.7109375" style="419" customWidth="1"/>
    <col min="5" max="5" width="6.42578125" style="419" customWidth="1"/>
    <col min="6" max="6" width="8.85546875" style="419" customWidth="1"/>
    <col min="7" max="7" width="20.7109375" style="419" customWidth="1"/>
    <col min="8" max="11" width="9.140625" style="419"/>
    <col min="12" max="12" width="10.85546875" style="419" customWidth="1"/>
    <col min="13" max="16384" width="9.140625" style="419"/>
  </cols>
  <sheetData>
    <row r="1" spans="1:12">
      <c r="A1" s="129" t="s">
        <v>138</v>
      </c>
      <c r="D1" s="1507"/>
      <c r="E1" s="1507"/>
      <c r="F1" s="1507"/>
      <c r="G1" s="1507"/>
      <c r="I1" s="1507" t="s">
        <v>254</v>
      </c>
      <c r="J1" s="1507"/>
      <c r="K1" s="1507"/>
      <c r="L1" s="1507"/>
    </row>
    <row r="2" spans="1:12">
      <c r="A2" s="379" t="s">
        <v>139</v>
      </c>
      <c r="D2" s="1507"/>
      <c r="E2" s="1507"/>
      <c r="F2" s="1507"/>
      <c r="G2" s="1507"/>
      <c r="I2" s="1507" t="s">
        <v>236</v>
      </c>
      <c r="J2" s="1507"/>
      <c r="K2" s="1507"/>
      <c r="L2" s="1507"/>
    </row>
    <row r="3" spans="1:12">
      <c r="D3" s="1507"/>
      <c r="E3" s="1507"/>
      <c r="F3" s="1507"/>
      <c r="G3" s="1507"/>
      <c r="I3" s="1507" t="s">
        <v>255</v>
      </c>
      <c r="J3" s="1507"/>
      <c r="K3" s="1507"/>
      <c r="L3" s="1507"/>
    </row>
    <row r="8" spans="1:12" ht="40.5" customHeight="1">
      <c r="H8" s="420"/>
      <c r="I8" s="420"/>
      <c r="J8" s="420"/>
    </row>
    <row r="10" spans="1:12" ht="29.25" customHeight="1">
      <c r="A10" s="1505" t="s">
        <v>112</v>
      </c>
      <c r="B10" s="1505"/>
      <c r="C10" s="1505"/>
      <c r="D10" s="1505"/>
      <c r="E10" s="1505"/>
      <c r="F10" s="1505"/>
      <c r="G10" s="1505"/>
    </row>
    <row r="11" spans="1:12" ht="6" customHeight="1">
      <c r="H11" s="421"/>
      <c r="I11" s="421"/>
    </row>
    <row r="12" spans="1:12" ht="20.25">
      <c r="A12" s="1506" t="s">
        <v>256</v>
      </c>
      <c r="B12" s="1506"/>
      <c r="C12" s="1506"/>
      <c r="D12" s="1506"/>
      <c r="E12" s="1506"/>
      <c r="F12" s="1506"/>
      <c r="G12" s="1506"/>
    </row>
    <row r="13" spans="1:12" ht="64.5" customHeight="1"/>
    <row r="16" spans="1:12" ht="22.5" customHeight="1">
      <c r="B16" s="422" t="s">
        <v>257</v>
      </c>
    </row>
    <row r="17" spans="2:2" ht="22.5" customHeight="1">
      <c r="B17" s="422" t="s">
        <v>258</v>
      </c>
    </row>
    <row r="18" spans="2:2" ht="22.5" customHeight="1">
      <c r="B18" s="422"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341-CT</vt:lpstr>
      <vt:lpstr>CDPS</vt:lpstr>
      <vt:lpstr>TH</vt:lpstr>
      <vt:lpstr>SC-I</vt:lpstr>
      <vt:lpstr>SC-II</vt:lpstr>
      <vt:lpstr>SC-III</vt:lpstr>
      <vt:lpstr>SC-IV</vt:lpstr>
      <vt:lpstr>CTTK</vt:lpstr>
      <vt:lpstr>IN-TC</vt:lpstr>
      <vt:lpstr>111</vt:lpstr>
      <vt:lpstr>112</vt:lpstr>
      <vt:lpstr>131</vt:lpstr>
      <vt:lpstr>131-CT</vt:lpstr>
      <vt:lpstr>NXT</vt:lpstr>
      <vt:lpstr>152-CT</vt:lpstr>
      <vt:lpstr>331</vt:lpstr>
      <vt:lpstr>331-CT</vt:lpstr>
      <vt:lpstr>341</vt:lpstr>
      <vt:lpstr>411</vt:lpstr>
      <vt:lpstr>IN-NX</vt:lpstr>
      <vt:lpstr>TK</vt:lpstr>
      <vt:lpstr>BK-NL</vt:lpstr>
      <vt:lpstr>BTGT</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2016-11-25T08:51:23Z</cp:lastPrinted>
  <dcterms:created xsi:type="dcterms:W3CDTF">1996-10-14T23:33:28Z</dcterms:created>
  <dcterms:modified xsi:type="dcterms:W3CDTF">2016-11-30T05:41:12Z</dcterms:modified>
</cp:coreProperties>
</file>