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80" windowHeight="8955" tabRatio="734" activeTab="7"/>
  </bookViews>
  <sheets>
    <sheet name="GHẸ NƯỚNG" sheetId="3" r:id="rId1"/>
    <sheet name="SASH-2013 " sheetId="4" r:id="rId2"/>
    <sheet name="SASH 10-13" sheetId="13" r:id="rId3"/>
    <sheet name="ĐL-2013" sheetId="6" r:id="rId4"/>
    <sheet name="MẮT KIẾNG" sheetId="10" r:id="rId5"/>
    <sheet name="MAI MÈ 10-14" sheetId="11" r:id="rId6"/>
    <sheet name="MAI MÈ 412" sheetId="12" r:id="rId7"/>
    <sheet name="CP - Ghe Jintatsu" sheetId="14" r:id="rId8"/>
  </sheets>
  <definedNames>
    <definedName name="_xlnm.Print_Area" localSheetId="6">'MAI MÈ 412'!$A$1:$G$62</definedName>
    <definedName name="_xlnm.Print_Titles" localSheetId="4">'MẮT KIẾNG'!$22:$23</definedName>
  </definedNames>
  <calcPr calcId="124519"/>
</workbook>
</file>

<file path=xl/calcChain.xml><?xml version="1.0" encoding="utf-8"?>
<calcChain xmlns="http://schemas.openxmlformats.org/spreadsheetml/2006/main">
  <c r="D10" i="14"/>
  <c r="A5" l="1"/>
  <c r="A6"/>
  <c r="A7"/>
  <c r="A8"/>
  <c r="A9"/>
  <c r="A10"/>
  <c r="A4" l="1"/>
  <c r="E8"/>
  <c r="E5"/>
  <c r="E6"/>
  <c r="E7"/>
  <c r="E9"/>
  <c r="E10"/>
  <c r="E13"/>
  <c r="E12"/>
  <c r="E11"/>
  <c r="E4"/>
  <c r="M26" i="12"/>
  <c r="M29" s="1"/>
  <c r="C5"/>
  <c r="E5" s="1"/>
  <c r="C6"/>
  <c r="E6" s="1"/>
  <c r="G6" s="1"/>
  <c r="C7"/>
  <c r="E7" s="1"/>
  <c r="G7" s="1"/>
  <c r="C8"/>
  <c r="E8"/>
  <c r="G8" s="1"/>
  <c r="C9"/>
  <c r="E9" s="1"/>
  <c r="G9" s="1"/>
  <c r="E22"/>
  <c r="E44" s="1"/>
  <c r="E54" s="1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51"/>
  <c r="E55" s="1"/>
  <c r="F16"/>
  <c r="K19" i="10"/>
  <c r="J19"/>
  <c r="G14" i="12"/>
  <c r="E10" i="11"/>
  <c r="G10" s="1"/>
  <c r="E11"/>
  <c r="E13" s="1"/>
  <c r="E5"/>
  <c r="E6"/>
  <c r="G11"/>
  <c r="E24"/>
  <c r="E25"/>
  <c r="E26"/>
  <c r="E27"/>
  <c r="E28"/>
  <c r="E29"/>
  <c r="E30"/>
  <c r="E31"/>
  <c r="E32"/>
  <c r="E33"/>
  <c r="E34"/>
  <c r="E35"/>
  <c r="E36"/>
  <c r="E37"/>
  <c r="E38"/>
  <c r="E39"/>
  <c r="C40"/>
  <c r="E40"/>
  <c r="E41"/>
  <c r="E42"/>
  <c r="C43"/>
  <c r="E43"/>
  <c r="E44"/>
  <c r="E55"/>
  <c r="E57"/>
  <c r="E59"/>
  <c r="E64"/>
  <c r="E65"/>
  <c r="E66"/>
  <c r="E67"/>
  <c r="C68"/>
  <c r="E68"/>
  <c r="E81"/>
  <c r="E85"/>
  <c r="G13" i="12"/>
  <c r="G16" i="10"/>
  <c r="E4"/>
  <c r="E5"/>
  <c r="E7" s="1"/>
  <c r="F17" s="1"/>
  <c r="E24"/>
  <c r="E26"/>
  <c r="E27"/>
  <c r="E28"/>
  <c r="E29"/>
  <c r="E30"/>
  <c r="E31"/>
  <c r="E32"/>
  <c r="E33"/>
  <c r="E34"/>
  <c r="E35"/>
  <c r="E36"/>
  <c r="E37"/>
  <c r="E38"/>
  <c r="E39"/>
  <c r="E40"/>
  <c r="E41"/>
  <c r="D42"/>
  <c r="E42" s="1"/>
  <c r="C43"/>
  <c r="E43" s="1"/>
  <c r="C44"/>
  <c r="E44" s="1"/>
  <c r="C45"/>
  <c r="E45" s="1"/>
  <c r="H24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K24"/>
  <c r="K25"/>
  <c r="I26"/>
  <c r="K26"/>
  <c r="I27"/>
  <c r="K27"/>
  <c r="K28"/>
  <c r="I29"/>
  <c r="K29" s="1"/>
  <c r="K30"/>
  <c r="K31"/>
  <c r="K32"/>
  <c r="K33"/>
  <c r="K34"/>
  <c r="K35"/>
  <c r="K36"/>
  <c r="K37"/>
  <c r="K38"/>
  <c r="K39"/>
  <c r="K40"/>
  <c r="K41"/>
  <c r="J42"/>
  <c r="K42" s="1"/>
  <c r="I43"/>
  <c r="K43" s="1"/>
  <c r="K44"/>
  <c r="K45"/>
  <c r="E9" i="6"/>
  <c r="E11" s="1"/>
  <c r="E5"/>
  <c r="E6"/>
  <c r="G13"/>
  <c r="E22"/>
  <c r="E23"/>
  <c r="E24"/>
  <c r="E25"/>
  <c r="E26"/>
  <c r="E27"/>
  <c r="E28"/>
  <c r="E29"/>
  <c r="E30"/>
  <c r="E31"/>
  <c r="E32"/>
  <c r="E33"/>
  <c r="E34"/>
  <c r="E35"/>
  <c r="D36"/>
  <c r="E36" s="1"/>
  <c r="C37"/>
  <c r="E37" s="1"/>
  <c r="E38"/>
  <c r="E39"/>
  <c r="E49"/>
  <c r="D16" i="12"/>
  <c r="E16"/>
  <c r="G16"/>
  <c r="C16"/>
  <c r="F11"/>
  <c r="C11"/>
  <c r="F12" i="10"/>
  <c r="G12"/>
  <c r="C12"/>
  <c r="E9"/>
  <c r="E10"/>
  <c r="E12"/>
  <c r="D19"/>
  <c r="E19"/>
  <c r="C19"/>
  <c r="E9" i="13"/>
  <c r="G9" s="1"/>
  <c r="G11" s="1"/>
  <c r="E30" s="1"/>
  <c r="C18" i="11"/>
  <c r="D18"/>
  <c r="E18"/>
  <c r="G15"/>
  <c r="F13"/>
  <c r="C13"/>
  <c r="D16" i="6"/>
  <c r="E16"/>
  <c r="C16"/>
  <c r="F11"/>
  <c r="C11"/>
  <c r="G13" i="13"/>
  <c r="E5"/>
  <c r="E6"/>
  <c r="E7"/>
  <c r="F14" s="1"/>
  <c r="C16"/>
  <c r="D16"/>
  <c r="E16"/>
  <c r="F11"/>
  <c r="C11"/>
  <c r="C7"/>
  <c r="F7"/>
  <c r="G7"/>
  <c r="E28"/>
  <c r="E31" s="1"/>
  <c r="G7" i="10"/>
  <c r="C7"/>
  <c r="F7"/>
  <c r="C8" i="11"/>
  <c r="F8"/>
  <c r="G8"/>
  <c r="D55" i="10"/>
  <c r="D56"/>
  <c r="D57"/>
  <c r="D59"/>
  <c r="E59" i="4"/>
  <c r="G7" i="6"/>
  <c r="F7"/>
  <c r="C7"/>
  <c r="E31" i="4"/>
  <c r="E32"/>
  <c r="E20"/>
  <c r="E23"/>
  <c r="E24"/>
  <c r="E25"/>
  <c r="E26"/>
  <c r="E21"/>
  <c r="E22"/>
  <c r="E16"/>
  <c r="E17"/>
  <c r="E18"/>
  <c r="E19"/>
  <c r="E27"/>
  <c r="E28"/>
  <c r="E29"/>
  <c r="E30"/>
  <c r="E33"/>
  <c r="E34"/>
  <c r="C4"/>
  <c r="C5"/>
  <c r="E5" s="1"/>
  <c r="C6"/>
  <c r="E6" s="1"/>
  <c r="F12"/>
  <c r="C12"/>
  <c r="E23" i="3"/>
  <c r="E24"/>
  <c r="E19"/>
  <c r="E18"/>
  <c r="E6"/>
  <c r="E8" s="1"/>
  <c r="E28" s="1"/>
  <c r="E13"/>
  <c r="E26" s="1"/>
  <c r="E29" s="1"/>
  <c r="E14"/>
  <c r="E15"/>
  <c r="E16"/>
  <c r="E17"/>
  <c r="E20"/>
  <c r="E21"/>
  <c r="E22"/>
  <c r="E25"/>
  <c r="E14" i="14" l="1"/>
  <c r="E15" s="1"/>
  <c r="C9" i="4"/>
  <c r="G9" i="6"/>
  <c r="G11" s="1"/>
  <c r="E53" s="1"/>
  <c r="E11" i="13"/>
  <c r="E7" i="6"/>
  <c r="F14" s="1"/>
  <c r="H50" i="10"/>
  <c r="I56" s="1"/>
  <c r="E70" i="11"/>
  <c r="E84" s="1"/>
  <c r="E8"/>
  <c r="F16" s="1"/>
  <c r="G13"/>
  <c r="E83" s="1"/>
  <c r="G14" i="6"/>
  <c r="G16" s="1"/>
  <c r="F16"/>
  <c r="F18" s="1"/>
  <c r="G18" s="1"/>
  <c r="G17" i="10"/>
  <c r="F19"/>
  <c r="E30" i="3"/>
  <c r="E32" i="13"/>
  <c r="K50" i="10"/>
  <c r="I57" s="1"/>
  <c r="E50"/>
  <c r="I55" s="1"/>
  <c r="G14" i="13"/>
  <c r="G16" s="1"/>
  <c r="F16"/>
  <c r="G16" i="11"/>
  <c r="G18" s="1"/>
  <c r="F18"/>
  <c r="F20" s="1"/>
  <c r="G20" s="1"/>
  <c r="E88" s="1"/>
  <c r="G5" i="12"/>
  <c r="G11" s="1"/>
  <c r="E53" s="1"/>
  <c r="E57" s="1"/>
  <c r="K25" s="1"/>
  <c r="E11"/>
  <c r="F18" s="1"/>
  <c r="G18" s="1"/>
  <c r="E58" s="1"/>
  <c r="E51" i="6"/>
  <c r="E54" s="1"/>
  <c r="E56" s="1"/>
  <c r="K22" i="12" s="1"/>
  <c r="E87" i="11"/>
  <c r="K24" i="12" s="1"/>
  <c r="E4" i="4"/>
  <c r="E12" s="1"/>
  <c r="C39" l="1"/>
  <c r="E39" s="1"/>
  <c r="E40" s="1"/>
  <c r="E43" s="1"/>
  <c r="C13"/>
  <c r="E42" s="1"/>
  <c r="K29" i="12"/>
  <c r="J57" i="10"/>
  <c r="J59" s="1"/>
  <c r="I61" s="1"/>
  <c r="G19"/>
  <c r="J25" i="12"/>
  <c r="E60"/>
  <c r="J24"/>
  <c r="E90" i="11"/>
  <c r="J22" i="12"/>
  <c r="J29" s="1"/>
  <c r="E57" i="6"/>
  <c r="E59" s="1"/>
  <c r="I59" i="10"/>
  <c r="I62" s="1"/>
  <c r="I64" l="1"/>
  <c r="L23" i="12" s="1"/>
  <c r="L29" s="1"/>
  <c r="N22"/>
  <c r="E45" i="4"/>
  <c r="N23" i="12" l="1"/>
  <c r="N24" s="1"/>
  <c r="N25" s="1"/>
  <c r="N26" s="1"/>
  <c r="N27" s="1"/>
  <c r="N28" s="1"/>
  <c r="N29" s="1"/>
</calcChain>
</file>

<file path=xl/sharedStrings.xml><?xml version="1.0" encoding="utf-8"?>
<sst xmlns="http://schemas.openxmlformats.org/spreadsheetml/2006/main" count="503" uniqueCount="202">
  <si>
    <t>Cá mai</t>
  </si>
  <si>
    <t>Đường</t>
  </si>
  <si>
    <t>Mè</t>
  </si>
  <si>
    <t>Bột ngọt</t>
  </si>
  <si>
    <t>Gia vị</t>
  </si>
  <si>
    <t>Gas</t>
  </si>
  <si>
    <t>Thùng</t>
  </si>
  <si>
    <t>Công</t>
  </si>
  <si>
    <t>Điện, nước, mặt bằng</t>
  </si>
  <si>
    <t>BÁN:</t>
  </si>
  <si>
    <t>SẢN XUẤT:</t>
  </si>
  <si>
    <t>Tiền hàng bán:</t>
  </si>
  <si>
    <t>Tiền nguyên vật liệu, công sản xuất:</t>
  </si>
  <si>
    <t>Tiền hàng còn lại:</t>
  </si>
  <si>
    <t>STT</t>
  </si>
  <si>
    <t>SỐ LƯỢNG</t>
  </si>
  <si>
    <t>ĐƠN GIÁ</t>
  </si>
  <si>
    <t>THÀNH TIỀN</t>
  </si>
  <si>
    <t>NỘI DUNG</t>
  </si>
  <si>
    <t>Tương đương VND - Tỷ giá: 20.830 đồng /USD</t>
  </si>
  <si>
    <t>đồng</t>
  </si>
  <si>
    <t>CÔ DƯƠNG - CHÚ NGUYÊN</t>
  </si>
  <si>
    <t>TỔNG CỘNG CHI PHÍ</t>
  </si>
  <si>
    <t>Bột</t>
  </si>
  <si>
    <t>CHI TIẾT HÀNG GHẸ NƯỚNG</t>
  </si>
  <si>
    <t>Ghẹ</t>
  </si>
  <si>
    <t>Ớt xay</t>
  </si>
  <si>
    <t>Muối</t>
  </si>
  <si>
    <t>Bao OPP</t>
  </si>
  <si>
    <t>CHI PHÍ XUAÁT HAØNG - CHUÙ NGUYEÂN</t>
  </si>
  <si>
    <t>Gum (40)</t>
  </si>
  <si>
    <t>Bao PE (86x75)</t>
  </si>
  <si>
    <t>Bao PE (32x68)</t>
  </si>
  <si>
    <t>Kiểm mẫu thành phần dinh dưỡng:</t>
  </si>
  <si>
    <t>Mai lạt</t>
  </si>
  <si>
    <t>Băng keo</t>
  </si>
  <si>
    <t>Hút ẩm</t>
  </si>
  <si>
    <t>Dây thun</t>
  </si>
  <si>
    <t>Chi phí nhân công</t>
  </si>
  <si>
    <t>Điện gas ( tẩm, sấy)</t>
  </si>
  <si>
    <t>Chú Nguyên ứng mua gia vị</t>
  </si>
  <si>
    <t>Thùng mai (ko cán màng-vàng)</t>
  </si>
  <si>
    <t>Thùng ghẹ ( vàng)</t>
  </si>
  <si>
    <t>TỔNG</t>
  </si>
  <si>
    <t>Nước, mặt bằng</t>
  </si>
  <si>
    <t>Điện gas (Nướng) máy An Lạc</t>
  </si>
  <si>
    <t>Điện gas (Nướng) máy c.Nguyên</t>
  </si>
  <si>
    <t>THANH TOÁN</t>
  </si>
  <si>
    <t>Cá mai (Sash)</t>
  </si>
  <si>
    <t>Tiền mặt - 05/10/13</t>
  </si>
  <si>
    <t>THANH TOÁN :</t>
  </si>
  <si>
    <t>Tiền mặt - 29/08/13</t>
  </si>
  <si>
    <t>Phí NH</t>
  </si>
  <si>
    <t>Tiền hàng VND ( tỷ giá 21.100) :</t>
  </si>
  <si>
    <t>Phí chiếu xạ, nafi, bốc xếp, kiểm hàng cont Sash</t>
  </si>
  <si>
    <t>Chú Nguyên ứng 1/10/13 &amp; mua ớt</t>
  </si>
  <si>
    <t>Chi phí xuất hàng cont Aplomb 25/01/13 :</t>
  </si>
  <si>
    <t>Chú Nguyên ứng mua gia vị 27/7/13</t>
  </si>
  <si>
    <t>Chú Nguyên ứng mua gia vị 9/8/13</t>
  </si>
  <si>
    <t>Chú Nguyên ứng mua gia vị 12/8/13</t>
  </si>
  <si>
    <t>Chú Nguyên ứng mua gia vị 17/8/13</t>
  </si>
  <si>
    <t>Chú Nguyên ứng mua gia vị 19/8/13</t>
  </si>
  <si>
    <t>THC</t>
  </si>
  <si>
    <t>CFS</t>
  </si>
  <si>
    <t>AMS</t>
  </si>
  <si>
    <t>IFS</t>
  </si>
  <si>
    <t>Phí vận chuyển nội địa, Phí giao nhận, hạ bãi</t>
  </si>
  <si>
    <t>TỜ KHAI:</t>
  </si>
  <si>
    <t>THỰC TẾ:</t>
  </si>
  <si>
    <t>Cá mai (Đài Loan) (12/10/13)</t>
  </si>
  <si>
    <t>Cá mai (Sash) (21/10/13)</t>
  </si>
  <si>
    <t>THÀNH TIỀN USD</t>
  </si>
  <si>
    <t>THÀNH TIỀN VND</t>
  </si>
  <si>
    <t>CHI PHÍ XUẤT CONT SNACK:</t>
  </si>
  <si>
    <t>Bill</t>
  </si>
  <si>
    <t>thc</t>
  </si>
  <si>
    <t>seal</t>
  </si>
  <si>
    <t>Phụ phí xăng dầu</t>
  </si>
  <si>
    <t>Cước vận chuyển nội địa</t>
  </si>
  <si>
    <t>Phí nâng cont rỗng lạnh</t>
  </si>
  <si>
    <t>Phí hạ bãi</t>
  </si>
  <si>
    <t>Cước vận chuyển QT (YIH YII)</t>
  </si>
  <si>
    <t>Phí bốc xếp bồi dưỡng xe cont</t>
  </si>
  <si>
    <t>Cước vận chuyển QT (Snack)</t>
  </si>
  <si>
    <t>CHI PHÍ XUAÁT HAØNG - CHUÙ NGUYEÂN - Mắt Kiếng</t>
  </si>
  <si>
    <t>Cá mai mè</t>
  </si>
  <si>
    <t>Bao PE (32x70)</t>
  </si>
  <si>
    <t>Bột gừng</t>
  </si>
  <si>
    <t>Ngũ vị hương</t>
  </si>
  <si>
    <t>Thùng thiếc</t>
  </si>
  <si>
    <t>Ghẹ mè</t>
  </si>
  <si>
    <t>Ghẹ lạt</t>
  </si>
  <si>
    <t>Phí chiếu xạ, làm heath nafi</t>
  </si>
  <si>
    <t>Chi phí SX:</t>
  </si>
  <si>
    <t>Kho An Lạc</t>
  </si>
  <si>
    <t>Số thùng</t>
  </si>
  <si>
    <t>số kg</t>
  </si>
  <si>
    <t>Tổng cộng:</t>
  </si>
  <si>
    <t>54 x 8k</t>
  </si>
  <si>
    <t>63 x 8k</t>
  </si>
  <si>
    <t>Tái SX hàng đóng gói</t>
  </si>
  <si>
    <t>Hàng sử dụng</t>
  </si>
  <si>
    <t>Tái SX 208T hàng Baseafood</t>
  </si>
  <si>
    <t>208 x 8k</t>
  </si>
  <si>
    <t>TỜ KHAI: 5440 (15/01/14)</t>
  </si>
  <si>
    <t>Bột màu</t>
  </si>
  <si>
    <t>Ớt bột</t>
  </si>
  <si>
    <t>Chuyển khoản Q11 - 04/10/13</t>
  </si>
  <si>
    <t>CHI PHÍ TẠM ỨNG - CHUÙ NGUYEÂN</t>
  </si>
  <si>
    <t>Gas (Nướng) máy c.Nguyên</t>
  </si>
  <si>
    <t>Gas (Nướng) máy An Lạc</t>
  </si>
  <si>
    <t>Gas ( tẩm, sấy)</t>
  </si>
  <si>
    <t>Tiền điện, nước, nước thải</t>
  </si>
  <si>
    <t>Hàng C.Nguyên bán</t>
  </si>
  <si>
    <t>45 x 8k</t>
  </si>
  <si>
    <t>hàng đóng gói</t>
  </si>
  <si>
    <t>hàng Baseafood</t>
  </si>
  <si>
    <t>Chi phí 2960kg</t>
  </si>
  <si>
    <t>hàng Mắt Kiếng</t>
  </si>
  <si>
    <t>Chi phí SX</t>
  </si>
  <si>
    <t>Tiền bán hàng</t>
  </si>
  <si>
    <t>Cơm lạt</t>
  </si>
  <si>
    <t>Gừng tươi</t>
  </si>
  <si>
    <t>Bao PE (32x72)</t>
  </si>
  <si>
    <t>Bao PE lớn</t>
  </si>
  <si>
    <t>Điện, ( tẩm, sấy)</t>
  </si>
  <si>
    <t>Điện, gas ( tẩm, sấy)</t>
  </si>
  <si>
    <t>Tiền nước, nước thải, điện sinh hoạt</t>
  </si>
  <si>
    <t>SẢN XUẤT: MAI MÈ</t>
  </si>
  <si>
    <t>SẢN XUẤT: MAI NƯỚNG</t>
  </si>
  <si>
    <t>Mai tẩm</t>
  </si>
  <si>
    <t>Mai tẩm nướng</t>
  </si>
  <si>
    <t>Bao PA</t>
  </si>
  <si>
    <t>Phí chiếu xạ</t>
  </si>
  <si>
    <t>Bồi dưỡng kiểm hàng Nafi</t>
  </si>
  <si>
    <t>Giấy decan dán nhãn</t>
  </si>
  <si>
    <t>Phí kiểm Nafi</t>
  </si>
  <si>
    <t>CHI PHÍ XUAÁT HAØNG - YIH YII (8/11/2014)</t>
  </si>
  <si>
    <t>Chú Nguyên ứng 20/10/14</t>
  </si>
  <si>
    <t>Chú Nguyên ứng mua gia vị 27/10/14</t>
  </si>
  <si>
    <t>Chú Nguyên ứng 08/11/14</t>
  </si>
  <si>
    <t>Cá mai nướng (8kg/thùng)</t>
  </si>
  <si>
    <t>Cá mai nướng (9kg/thùng)</t>
  </si>
  <si>
    <t>Cước VCQT &amp; phí chứng từ (DongXing)</t>
  </si>
  <si>
    <t>Sửa tủ sấy 1/11/14</t>
  </si>
  <si>
    <t>Sửa tủ sấy 11/11/14</t>
  </si>
  <si>
    <t>Sửa tủ sấy 19/11/14</t>
  </si>
  <si>
    <t>Tiền mặt 11/11/2014</t>
  </si>
  <si>
    <t>CHI PHÍ TẠM ỨNG &amp; SỬA CHỮA - CHÚ NGUYÊN</t>
  </si>
  <si>
    <t>Mai mè</t>
  </si>
  <si>
    <t>Mai mè (Hành lá)</t>
  </si>
  <si>
    <t>Mai mè (Hành phi)</t>
  </si>
  <si>
    <t>Mai mè (Ớt)</t>
  </si>
  <si>
    <t>Màu thực phẩm</t>
  </si>
  <si>
    <t>Thùng giấy</t>
  </si>
  <si>
    <t>CHI PHÍ HAØNG  (4/12/2014)</t>
  </si>
  <si>
    <t>CHI PHÍ TẠM ỨNG  - CHÚ NGUYÊN</t>
  </si>
  <si>
    <t>CHI PHÍ XUAÁT HAØNG - SASH ( 21/10/13)</t>
  </si>
  <si>
    <t>Chuyển khoản Q11: (17/12/14)</t>
  </si>
  <si>
    <t>Phí NH Q11 : (17/12/14)</t>
  </si>
  <si>
    <t>CHI PHÍ XUAÁT HAØNG - ÑAØI LOAN (12/10/2013)</t>
  </si>
  <si>
    <t>Tiền mặt:</t>
  </si>
  <si>
    <t>Chú Nguyên ứng mua gia vị 15/12/14</t>
  </si>
  <si>
    <t>CHI PHÍ SẢN XUẤT:</t>
  </si>
  <si>
    <t>Tiền hàng bán giá thực tế :</t>
  </si>
  <si>
    <t xml:space="preserve">TIỀN HÀNG CHƯA CHUYỂN : </t>
  </si>
  <si>
    <t xml:space="preserve">Tiền chưa chuyển : </t>
  </si>
  <si>
    <t xml:space="preserve">C. Dương còn thiếu :  </t>
  </si>
  <si>
    <t xml:space="preserve">Chi phí tạm ứng &amp; sữa chữa : </t>
  </si>
  <si>
    <t>Tiền mặt 18/12/2014</t>
  </si>
  <si>
    <t xml:space="preserve">An Lạc còn thiếu :  </t>
  </si>
  <si>
    <t>USD</t>
  </si>
  <si>
    <t>VND</t>
  </si>
  <si>
    <t>An Lạc còn giữ của C. Dương :</t>
  </si>
  <si>
    <t>Yanbian</t>
  </si>
  <si>
    <t>Tổng</t>
  </si>
  <si>
    <t>Chú Nguyên ứng 20/12/14</t>
  </si>
  <si>
    <t>Ngày</t>
  </si>
  <si>
    <t>Cont</t>
  </si>
  <si>
    <t>Tiền hàng chưa chuyển</t>
  </si>
  <si>
    <t>Tiền lãi SX</t>
  </si>
  <si>
    <t>Tiền lỗ SX</t>
  </si>
  <si>
    <t>Đài Loan</t>
  </si>
  <si>
    <t>Còn lại</t>
  </si>
  <si>
    <t>Mắt kiếng</t>
  </si>
  <si>
    <t>Yih Yii</t>
  </si>
  <si>
    <t>Mai, ghẹ mè</t>
  </si>
  <si>
    <t>Tiền C.Dương</t>
  </si>
  <si>
    <t>Ghi chú</t>
  </si>
  <si>
    <t>Tiền mặt</t>
  </si>
  <si>
    <t>1165.92 USD</t>
  </si>
  <si>
    <t>TỔNG KẾT CHI PHÍ:</t>
  </si>
  <si>
    <t xml:space="preserve">TỔNG </t>
  </si>
  <si>
    <t xml:space="preserve">Chi phí tạm ứng : </t>
  </si>
  <si>
    <t>Tiền tàu</t>
  </si>
  <si>
    <t>Phí Chứng từ (Bill,THC,Seal)</t>
  </si>
  <si>
    <t>Thùng 54.5x37.5x32.5</t>
  </si>
  <si>
    <t>Tấm lót 54x41</t>
  </si>
  <si>
    <t>Phí kéo cont nội địa (nâng hạ)</t>
  </si>
  <si>
    <t>CHI PHÍ XUAÁT HAØNG - GHẸ LẠT - JINTATSU (Cont 3 - 26/5/15)</t>
  </si>
  <si>
    <t>SẢN XUẤT: 7.168 kg</t>
  </si>
  <si>
    <t>Tiền công luộc phơi sấy lựa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</si>
</sst>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-* #,##0.00_-;\-* #,##0.00_-;_-* &quot;-&quot;??_-;_-@_-"/>
    <numFmt numFmtId="167" formatCode="_(* #,##0.000_);_(* \(#,##0.000\);_(* &quot;-&quot;??_);_(@_)"/>
    <numFmt numFmtId="168" formatCode="_(* #,##0.0_);_(* \(#,##0.0\);_(* &quot;-&quot;?_);_(@_)"/>
  </numFmts>
  <fonts count="15">
    <font>
      <sz val="12"/>
      <name val="VNI-Times"/>
    </font>
    <font>
      <sz val="12"/>
      <name val="VNI-Times"/>
    </font>
    <font>
      <sz val="8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b/>
      <sz val="14"/>
      <name val="VNI-Times"/>
    </font>
    <font>
      <b/>
      <sz val="12"/>
      <name val="VNI-Times"/>
    </font>
    <font>
      <b/>
      <i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3"/>
      <name val="VNI-Times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45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4" fillId="0" borderId="0" xfId="0" applyFont="1"/>
    <xf numFmtId="165" fontId="4" fillId="0" borderId="0" xfId="1" applyNumberFormat="1" applyFont="1"/>
    <xf numFmtId="165" fontId="3" fillId="0" borderId="1" xfId="1" applyNumberFormat="1" applyFont="1" applyBorder="1"/>
    <xf numFmtId="0" fontId="4" fillId="0" borderId="2" xfId="0" applyFont="1" applyBorder="1"/>
    <xf numFmtId="0" fontId="3" fillId="0" borderId="2" xfId="0" applyFont="1" applyBorder="1"/>
    <xf numFmtId="165" fontId="3" fillId="0" borderId="2" xfId="1" applyNumberFormat="1" applyFont="1" applyBorder="1"/>
    <xf numFmtId="165" fontId="4" fillId="0" borderId="2" xfId="1" applyNumberFormat="1" applyFont="1" applyBorder="1"/>
    <xf numFmtId="43" fontId="3" fillId="0" borderId="2" xfId="1" applyFont="1" applyBorder="1"/>
    <xf numFmtId="0" fontId="3" fillId="0" borderId="2" xfId="0" applyFont="1" applyBorder="1" applyAlignment="1">
      <alignment horizontal="center"/>
    </xf>
    <xf numFmtId="164" fontId="3" fillId="0" borderId="2" xfId="1" applyNumberFormat="1" applyFont="1" applyBorder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43" fontId="3" fillId="0" borderId="3" xfId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3" fillId="0" borderId="5" xfId="1" applyNumberFormat="1" applyFont="1" applyBorder="1" applyAlignment="1">
      <alignment vertical="center"/>
    </xf>
    <xf numFmtId="43" fontId="3" fillId="0" borderId="5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4" fontId="3" fillId="0" borderId="4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164" fontId="4" fillId="0" borderId="2" xfId="1" applyNumberFormat="1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2" xfId="1" applyNumberFormat="1" applyFont="1" applyBorder="1" applyAlignment="1">
      <alignment horizontal="center" vertical="center" wrapText="1"/>
    </xf>
    <xf numFmtId="165" fontId="8" fillId="0" borderId="0" xfId="1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43" fontId="4" fillId="0" borderId="2" xfId="1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43" fontId="3" fillId="0" borderId="3" xfId="1" applyNumberFormat="1" applyFont="1" applyBorder="1" applyAlignment="1">
      <alignment vertical="center"/>
    </xf>
    <xf numFmtId="43" fontId="3" fillId="0" borderId="4" xfId="1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3" fontId="3" fillId="0" borderId="5" xfId="1" applyNumberFormat="1" applyFont="1" applyBorder="1" applyAlignment="1">
      <alignment vertical="center"/>
    </xf>
    <xf numFmtId="164" fontId="3" fillId="0" borderId="6" xfId="1" applyNumberFormat="1" applyFont="1" applyBorder="1" applyAlignment="1">
      <alignment vertical="center"/>
    </xf>
    <xf numFmtId="165" fontId="3" fillId="0" borderId="6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4" fillId="0" borderId="3" xfId="0" applyFont="1" applyBorder="1" applyAlignment="1">
      <alignment vertical="center"/>
    </xf>
    <xf numFmtId="164" fontId="4" fillId="0" borderId="3" xfId="1" applyNumberFormat="1" applyFont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43" fontId="4" fillId="0" borderId="3" xfId="1" applyNumberFormat="1" applyFont="1" applyBorder="1" applyAlignment="1">
      <alignment vertical="center"/>
    </xf>
    <xf numFmtId="165" fontId="4" fillId="0" borderId="2" xfId="1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8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9" fillId="0" borderId="0" xfId="1" applyNumberFormat="1" applyFont="1" applyAlignment="1">
      <alignment vertical="center"/>
    </xf>
    <xf numFmtId="165" fontId="9" fillId="0" borderId="0" xfId="1" applyNumberFormat="1" applyFont="1" applyAlignment="1">
      <alignment vertical="center"/>
    </xf>
    <xf numFmtId="0" fontId="11" fillId="0" borderId="0" xfId="0" applyFont="1" applyAlignment="1">
      <alignment vertical="center"/>
    </xf>
    <xf numFmtId="165" fontId="11" fillId="0" borderId="0" xfId="1" applyNumberFormat="1" applyFont="1" applyBorder="1" applyAlignment="1">
      <alignment vertical="center"/>
    </xf>
    <xf numFmtId="43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1" fontId="3" fillId="0" borderId="4" xfId="2" applyNumberFormat="1" applyFont="1" applyBorder="1" applyAlignment="1">
      <alignment horizontal="left"/>
    </xf>
    <xf numFmtId="167" fontId="3" fillId="0" borderId="4" xfId="2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2" xfId="1" applyNumberFormat="1" applyFont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vertical="center"/>
    </xf>
    <xf numFmtId="0" fontId="10" fillId="0" borderId="3" xfId="0" applyFont="1" applyBorder="1" applyAlignment="1">
      <alignment vertical="center"/>
    </xf>
    <xf numFmtId="164" fontId="9" fillId="0" borderId="3" xfId="1" applyNumberFormat="1" applyFont="1" applyBorder="1" applyAlignment="1">
      <alignment vertical="center"/>
    </xf>
    <xf numFmtId="43" fontId="9" fillId="0" borderId="3" xfId="1" applyFont="1" applyBorder="1" applyAlignment="1">
      <alignment vertical="center"/>
    </xf>
    <xf numFmtId="43" fontId="9" fillId="0" borderId="3" xfId="1" applyNumberFormat="1" applyFont="1" applyBorder="1" applyAlignment="1">
      <alignment vertical="center"/>
    </xf>
    <xf numFmtId="165" fontId="9" fillId="0" borderId="3" xfId="1" applyNumberFormat="1" applyFont="1" applyBorder="1" applyAlignment="1">
      <alignment vertical="center"/>
    </xf>
    <xf numFmtId="164" fontId="9" fillId="0" borderId="4" xfId="1" applyNumberFormat="1" applyFont="1" applyBorder="1" applyAlignment="1">
      <alignment vertical="center"/>
    </xf>
    <xf numFmtId="43" fontId="9" fillId="0" borderId="4" xfId="1" applyFont="1" applyBorder="1" applyAlignment="1">
      <alignment vertical="center"/>
    </xf>
    <xf numFmtId="43" fontId="9" fillId="0" borderId="4" xfId="1" applyNumberFormat="1" applyFont="1" applyBorder="1" applyAlignment="1">
      <alignment vertical="center"/>
    </xf>
    <xf numFmtId="165" fontId="9" fillId="0" borderId="4" xfId="1" applyNumberFormat="1" applyFont="1" applyBorder="1" applyAlignment="1">
      <alignment vertical="center"/>
    </xf>
    <xf numFmtId="164" fontId="10" fillId="0" borderId="2" xfId="1" applyNumberFormat="1" applyFont="1" applyBorder="1" applyAlignment="1">
      <alignment vertical="center"/>
    </xf>
    <xf numFmtId="165" fontId="10" fillId="0" borderId="2" xfId="1" applyNumberFormat="1" applyFont="1" applyBorder="1" applyAlignment="1">
      <alignment vertical="center"/>
    </xf>
    <xf numFmtId="164" fontId="10" fillId="0" borderId="3" xfId="1" applyNumberFormat="1" applyFont="1" applyBorder="1" applyAlignment="1">
      <alignment vertical="center"/>
    </xf>
    <xf numFmtId="165" fontId="10" fillId="0" borderId="3" xfId="1" applyNumberFormat="1" applyFont="1" applyBorder="1" applyAlignment="1">
      <alignment vertical="center"/>
    </xf>
    <xf numFmtId="43" fontId="10" fillId="0" borderId="3" xfId="1" applyNumberFormat="1" applyFont="1" applyBorder="1" applyAlignment="1">
      <alignment vertical="center"/>
    </xf>
    <xf numFmtId="165" fontId="9" fillId="0" borderId="4" xfId="0" applyNumberFormat="1" applyFont="1" applyBorder="1" applyAlignment="1">
      <alignment vertical="center"/>
    </xf>
    <xf numFmtId="164" fontId="9" fillId="0" borderId="5" xfId="1" applyNumberFormat="1" applyFont="1" applyBorder="1" applyAlignment="1">
      <alignment vertical="center"/>
    </xf>
    <xf numFmtId="43" fontId="9" fillId="0" borderId="5" xfId="1" applyFont="1" applyBorder="1" applyAlignment="1">
      <alignment vertical="center"/>
    </xf>
    <xf numFmtId="43" fontId="9" fillId="0" borderId="5" xfId="1" applyNumberFormat="1" applyFont="1" applyBorder="1" applyAlignment="1">
      <alignment vertical="center"/>
    </xf>
    <xf numFmtId="165" fontId="9" fillId="0" borderId="5" xfId="1" applyNumberFormat="1" applyFont="1" applyBorder="1" applyAlignment="1">
      <alignment vertical="center"/>
    </xf>
    <xf numFmtId="0" fontId="10" fillId="0" borderId="0" xfId="0" applyFont="1" applyAlignment="1">
      <alignment vertical="center" wrapText="1"/>
    </xf>
    <xf numFmtId="168" fontId="9" fillId="0" borderId="0" xfId="0" applyNumberFormat="1" applyFont="1" applyAlignment="1">
      <alignment vertical="center"/>
    </xf>
    <xf numFmtId="14" fontId="9" fillId="0" borderId="4" xfId="1" applyNumberFormat="1" applyFont="1" applyBorder="1" applyAlignment="1">
      <alignment vertical="center"/>
    </xf>
    <xf numFmtId="14" fontId="9" fillId="0" borderId="5" xfId="1" applyNumberFormat="1" applyFont="1" applyBorder="1" applyAlignment="1">
      <alignment vertical="center"/>
    </xf>
    <xf numFmtId="165" fontId="9" fillId="0" borderId="4" xfId="1" applyNumberFormat="1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165" fontId="9" fillId="0" borderId="2" xfId="1" applyNumberFormat="1" applyFont="1" applyBorder="1" applyAlignment="1">
      <alignment horizontal="center" vertical="center"/>
    </xf>
    <xf numFmtId="14" fontId="9" fillId="0" borderId="7" xfId="1" applyNumberFormat="1" applyFont="1" applyBorder="1" applyAlignment="1">
      <alignment vertical="center"/>
    </xf>
    <xf numFmtId="165" fontId="9" fillId="0" borderId="7" xfId="1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164" fontId="9" fillId="0" borderId="7" xfId="1" applyNumberFormat="1" applyFont="1" applyBorder="1" applyAlignment="1">
      <alignment vertical="center"/>
    </xf>
    <xf numFmtId="14" fontId="9" fillId="0" borderId="2" xfId="1" applyNumberFormat="1" applyFont="1" applyBorder="1" applyAlignment="1">
      <alignment vertical="center"/>
    </xf>
    <xf numFmtId="165" fontId="9" fillId="0" borderId="0" xfId="1" applyNumberFormat="1" applyFont="1" applyBorder="1" applyAlignment="1">
      <alignment vertical="center"/>
    </xf>
    <xf numFmtId="43" fontId="9" fillId="0" borderId="7" xfId="1" applyFont="1" applyBorder="1" applyAlignment="1">
      <alignment vertical="center"/>
    </xf>
    <xf numFmtId="43" fontId="9" fillId="0" borderId="7" xfId="1" applyNumberFormat="1" applyFont="1" applyBorder="1" applyAlignment="1">
      <alignment vertical="center"/>
    </xf>
    <xf numFmtId="165" fontId="10" fillId="0" borderId="2" xfId="0" applyNumberFormat="1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4" fontId="9" fillId="0" borderId="8" xfId="1" applyNumberFormat="1" applyFont="1" applyBorder="1" applyAlignment="1">
      <alignment vertical="center"/>
    </xf>
    <xf numFmtId="165" fontId="9" fillId="0" borderId="8" xfId="1" applyNumberFormat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14" fontId="9" fillId="0" borderId="9" xfId="1" applyNumberFormat="1" applyFont="1" applyBorder="1" applyAlignment="1">
      <alignment vertical="center"/>
    </xf>
    <xf numFmtId="165" fontId="9" fillId="0" borderId="0" xfId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164" fontId="9" fillId="0" borderId="3" xfId="1" applyNumberFormat="1" applyFont="1" applyBorder="1" applyAlignment="1">
      <alignment horizontal="center" vertical="center"/>
    </xf>
    <xf numFmtId="165" fontId="9" fillId="0" borderId="3" xfId="1" applyNumberFormat="1" applyFont="1" applyBorder="1" applyAlignment="1">
      <alignment horizontal="left" vertical="center"/>
    </xf>
    <xf numFmtId="165" fontId="9" fillId="0" borderId="3" xfId="0" applyNumberFormat="1" applyFont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4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4" fontId="9" fillId="0" borderId="6" xfId="1" applyNumberFormat="1" applyFont="1" applyBorder="1" applyAlignment="1">
      <alignment vertical="center"/>
    </xf>
    <xf numFmtId="43" fontId="9" fillId="0" borderId="6" xfId="1" applyFont="1" applyBorder="1" applyAlignment="1">
      <alignment vertical="center"/>
    </xf>
    <xf numFmtId="43" fontId="9" fillId="0" borderId="6" xfId="1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43" fontId="3" fillId="0" borderId="6" xfId="1" applyFont="1" applyBorder="1" applyAlignment="1">
      <alignment vertical="center"/>
    </xf>
    <xf numFmtId="43" fontId="3" fillId="0" borderId="6" xfId="1" applyNumberFormat="1" applyFont="1" applyBorder="1" applyAlignment="1">
      <alignment vertical="center"/>
    </xf>
    <xf numFmtId="43" fontId="13" fillId="0" borderId="6" xfId="1" applyNumberFormat="1" applyFont="1" applyBorder="1" applyAlignment="1">
      <alignment vertical="center"/>
    </xf>
    <xf numFmtId="165" fontId="13" fillId="0" borderId="4" xfId="0" applyNumberFormat="1" applyFont="1" applyBorder="1" applyAlignment="1">
      <alignment vertical="center"/>
    </xf>
    <xf numFmtId="164" fontId="14" fillId="0" borderId="2" xfId="1" applyNumberFormat="1" applyFont="1" applyBorder="1" applyAlignment="1">
      <alignment vertical="center"/>
    </xf>
    <xf numFmtId="165" fontId="14" fillId="0" borderId="2" xfId="1" applyNumberFormat="1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14" fillId="0" borderId="2" xfId="1" applyNumberFormat="1" applyFont="1" applyBorder="1" applyAlignment="1">
      <alignment horizontal="center" vertical="center" wrapText="1"/>
    </xf>
    <xf numFmtId="165" fontId="14" fillId="0" borderId="2" xfId="1" applyNumberFormat="1" applyFont="1" applyBorder="1" applyAlignment="1">
      <alignment horizontal="center" vertical="center" wrapText="1"/>
    </xf>
    <xf numFmtId="165" fontId="14" fillId="0" borderId="0" xfId="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vertical="center"/>
    </xf>
    <xf numFmtId="0" fontId="14" fillId="0" borderId="3" xfId="0" applyFont="1" applyBorder="1" applyAlignment="1">
      <alignment vertical="center"/>
    </xf>
    <xf numFmtId="164" fontId="13" fillId="0" borderId="3" xfId="1" applyNumberFormat="1" applyFont="1" applyBorder="1" applyAlignment="1">
      <alignment vertical="center"/>
    </xf>
    <xf numFmtId="43" fontId="13" fillId="0" borderId="3" xfId="1" applyFont="1" applyBorder="1" applyAlignment="1">
      <alignment vertical="center"/>
    </xf>
    <xf numFmtId="43" fontId="13" fillId="0" borderId="3" xfId="1" applyNumberFormat="1" applyFont="1" applyBorder="1" applyAlignment="1">
      <alignment vertical="center"/>
    </xf>
    <xf numFmtId="165" fontId="13" fillId="0" borderId="3" xfId="1" applyNumberFormat="1" applyFont="1" applyBorder="1" applyAlignment="1">
      <alignment vertical="center"/>
    </xf>
    <xf numFmtId="165" fontId="13" fillId="0" borderId="0" xfId="1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164" fontId="13" fillId="0" borderId="4" xfId="1" applyNumberFormat="1" applyFont="1" applyBorder="1" applyAlignment="1">
      <alignment vertical="center"/>
    </xf>
    <xf numFmtId="43" fontId="13" fillId="0" borderId="7" xfId="1" applyFont="1" applyBorder="1" applyAlignment="1">
      <alignment vertical="center"/>
    </xf>
    <xf numFmtId="43" fontId="13" fillId="0" borderId="7" xfId="1" applyNumberFormat="1" applyFont="1" applyBorder="1" applyAlignment="1">
      <alignment vertical="center"/>
    </xf>
    <xf numFmtId="43" fontId="13" fillId="0" borderId="4" xfId="1" applyFont="1" applyBorder="1" applyAlignment="1">
      <alignment vertical="center"/>
    </xf>
    <xf numFmtId="165" fontId="13" fillId="0" borderId="4" xfId="1" applyNumberFormat="1" applyFont="1" applyBorder="1" applyAlignment="1">
      <alignment vertical="center"/>
    </xf>
    <xf numFmtId="43" fontId="13" fillId="0" borderId="4" xfId="1" applyNumberFormat="1" applyFont="1" applyBorder="1" applyAlignment="1">
      <alignment vertical="center"/>
    </xf>
    <xf numFmtId="43" fontId="13" fillId="0" borderId="5" xfId="1" applyFont="1" applyBorder="1" applyAlignment="1">
      <alignment vertical="center"/>
    </xf>
    <xf numFmtId="165" fontId="13" fillId="0" borderId="5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2" xfId="0" applyFont="1" applyBorder="1" applyAlignment="1">
      <alignment vertical="center"/>
    </xf>
    <xf numFmtId="165" fontId="14" fillId="0" borderId="0" xfId="1" applyNumberFormat="1" applyFont="1" applyBorder="1" applyAlignment="1">
      <alignment vertical="center"/>
    </xf>
    <xf numFmtId="165" fontId="14" fillId="0" borderId="3" xfId="1" applyNumberFormat="1" applyFont="1" applyBorder="1" applyAlignment="1">
      <alignment vertical="center"/>
    </xf>
    <xf numFmtId="43" fontId="14" fillId="0" borderId="3" xfId="1" applyNumberFormat="1" applyFont="1" applyBorder="1" applyAlignment="1">
      <alignment vertical="center"/>
    </xf>
    <xf numFmtId="165" fontId="13" fillId="0" borderId="0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164" fontId="13" fillId="0" borderId="9" xfId="1" applyNumberFormat="1" applyFont="1" applyBorder="1" applyAlignment="1">
      <alignment vertical="center"/>
    </xf>
    <xf numFmtId="43" fontId="13" fillId="0" borderId="9" xfId="1" applyFont="1" applyBorder="1" applyAlignment="1">
      <alignment vertical="center"/>
    </xf>
    <xf numFmtId="43" fontId="13" fillId="0" borderId="9" xfId="1" applyNumberFormat="1" applyFont="1" applyBorder="1" applyAlignment="1">
      <alignment vertical="center"/>
    </xf>
    <xf numFmtId="165" fontId="13" fillId="0" borderId="9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164" fontId="13" fillId="0" borderId="6" xfId="1" applyNumberFormat="1" applyFont="1" applyBorder="1" applyAlignment="1">
      <alignment vertical="center"/>
    </xf>
    <xf numFmtId="43" fontId="13" fillId="0" borderId="6" xfId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164" fontId="13" fillId="0" borderId="5" xfId="1" applyNumberFormat="1" applyFont="1" applyBorder="1" applyAlignment="1">
      <alignment vertical="center"/>
    </xf>
    <xf numFmtId="43" fontId="13" fillId="0" borderId="5" xfId="1" applyNumberFormat="1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0" borderId="10" xfId="1" applyNumberFormat="1" applyFont="1" applyBorder="1" applyAlignment="1">
      <alignment vertical="center"/>
    </xf>
    <xf numFmtId="165" fontId="4" fillId="0" borderId="10" xfId="1" applyNumberFormat="1" applyFont="1" applyBorder="1" applyAlignment="1">
      <alignment vertical="center"/>
    </xf>
    <xf numFmtId="165" fontId="9" fillId="0" borderId="6" xfId="1" applyNumberFormat="1" applyFont="1" applyBorder="1" applyAlignment="1">
      <alignment vertical="center"/>
    </xf>
    <xf numFmtId="165" fontId="10" fillId="0" borderId="5" xfId="0" applyNumberFormat="1" applyFont="1" applyBorder="1" applyAlignment="1">
      <alignment vertical="center"/>
    </xf>
    <xf numFmtId="165" fontId="11" fillId="0" borderId="0" xfId="1" applyNumberFormat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/>
    </xf>
    <xf numFmtId="165" fontId="14" fillId="0" borderId="2" xfId="0" applyNumberFormat="1" applyFont="1" applyBorder="1" applyAlignment="1">
      <alignment vertical="center"/>
    </xf>
    <xf numFmtId="43" fontId="14" fillId="0" borderId="2" xfId="1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43" fontId="9" fillId="0" borderId="4" xfId="1" applyFont="1" applyBorder="1" applyAlignment="1">
      <alignment horizontal="center" vertical="center"/>
    </xf>
    <xf numFmtId="165" fontId="9" fillId="0" borderId="3" xfId="1" applyNumberFormat="1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center" vertical="center"/>
    </xf>
    <xf numFmtId="165" fontId="9" fillId="0" borderId="5" xfId="1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165" fontId="10" fillId="0" borderId="0" xfId="1" applyNumberFormat="1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2" xfId="0" applyFont="1" applyBorder="1"/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11" fillId="0" borderId="11" xfId="1" applyNumberFormat="1" applyFont="1" applyBorder="1" applyAlignment="1">
      <alignment horizontal="center" vertical="center"/>
    </xf>
    <xf numFmtId="165" fontId="10" fillId="0" borderId="21" xfId="1" applyNumberFormat="1" applyFont="1" applyBorder="1" applyAlignment="1">
      <alignment horizontal="center" vertical="center"/>
    </xf>
    <xf numFmtId="165" fontId="10" fillId="0" borderId="22" xfId="1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Comma" xfId="1" builtinId="3"/>
    <cellStyle name="Comma_cong no VL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54</xdr:row>
      <xdr:rowOff>76200</xdr:rowOff>
    </xdr:from>
    <xdr:to>
      <xdr:col>5</xdr:col>
      <xdr:colOff>85725</xdr:colOff>
      <xdr:row>54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257675" y="1176337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57</xdr:row>
      <xdr:rowOff>47625</xdr:rowOff>
    </xdr:from>
    <xdr:to>
      <xdr:col>5</xdr:col>
      <xdr:colOff>85725</xdr:colOff>
      <xdr:row>57</xdr:row>
      <xdr:rowOff>47625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257675" y="1225867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62</xdr:row>
      <xdr:rowOff>47625</xdr:rowOff>
    </xdr:from>
    <xdr:to>
      <xdr:col>9</xdr:col>
      <xdr:colOff>85725</xdr:colOff>
      <xdr:row>62</xdr:row>
      <xdr:rowOff>47625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8124825" y="1304925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85</xdr:row>
      <xdr:rowOff>76200</xdr:rowOff>
    </xdr:from>
    <xdr:to>
      <xdr:col>5</xdr:col>
      <xdr:colOff>85725</xdr:colOff>
      <xdr:row>85</xdr:row>
      <xdr:rowOff>76200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4333875" y="1814512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88</xdr:row>
      <xdr:rowOff>47625</xdr:rowOff>
    </xdr:from>
    <xdr:to>
      <xdr:col>5</xdr:col>
      <xdr:colOff>85725</xdr:colOff>
      <xdr:row>88</xdr:row>
      <xdr:rowOff>47625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4333875" y="1864042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55</xdr:row>
      <xdr:rowOff>76200</xdr:rowOff>
    </xdr:from>
    <xdr:to>
      <xdr:col>5</xdr:col>
      <xdr:colOff>85725</xdr:colOff>
      <xdr:row>55</xdr:row>
      <xdr:rowOff>76200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4333875" y="11772900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58</xdr:row>
      <xdr:rowOff>47625</xdr:rowOff>
    </xdr:from>
    <xdr:to>
      <xdr:col>5</xdr:col>
      <xdr:colOff>85725</xdr:colOff>
      <xdr:row>58</xdr:row>
      <xdr:rowOff>47625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4333875" y="12268200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F32"/>
  <sheetViews>
    <sheetView workbookViewId="0">
      <selection activeCell="B17" sqref="B17"/>
    </sheetView>
  </sheetViews>
  <sheetFormatPr defaultRowHeight="17.25"/>
  <cols>
    <col min="2" max="2" width="18.875" customWidth="1"/>
    <col min="3" max="3" width="14" bestFit="1" customWidth="1"/>
    <col min="4" max="4" width="11.625" bestFit="1" customWidth="1"/>
    <col min="5" max="5" width="15.5" bestFit="1" customWidth="1"/>
  </cols>
  <sheetData>
    <row r="1" spans="1:5" s="1" customFormat="1" ht="17.25" customHeight="1">
      <c r="A1" s="215" t="s">
        <v>24</v>
      </c>
      <c r="B1" s="215"/>
      <c r="C1" s="215"/>
      <c r="D1" s="215"/>
      <c r="E1" s="215"/>
    </row>
    <row r="2" spans="1:5" s="1" customFormat="1" ht="16.5">
      <c r="A2" s="216" t="s">
        <v>21</v>
      </c>
      <c r="B2" s="216"/>
      <c r="C2" s="216"/>
      <c r="D2" s="216"/>
      <c r="E2" s="216"/>
    </row>
    <row r="3" spans="1:5" s="1" customFormat="1" ht="16.5">
      <c r="C3" s="2"/>
      <c r="D3" s="2"/>
      <c r="E3" s="2"/>
    </row>
    <row r="4" spans="1:5" s="1" customFormat="1" ht="16.5">
      <c r="A4" s="3" t="s">
        <v>9</v>
      </c>
      <c r="C4" s="2"/>
      <c r="D4" s="2"/>
      <c r="E4" s="2"/>
    </row>
    <row r="5" spans="1:5" s="1" customFormat="1" ht="16.5">
      <c r="A5" s="3"/>
      <c r="B5" s="6" t="s">
        <v>18</v>
      </c>
      <c r="C5" s="9" t="s">
        <v>15</v>
      </c>
      <c r="D5" s="9" t="s">
        <v>16</v>
      </c>
      <c r="E5" s="9" t="s">
        <v>17</v>
      </c>
    </row>
    <row r="6" spans="1:5" s="1" customFormat="1" ht="16.5">
      <c r="B6" s="7" t="s">
        <v>0</v>
      </c>
      <c r="C6" s="8">
        <v>5000</v>
      </c>
      <c r="D6" s="10">
        <v>6</v>
      </c>
      <c r="E6" s="8">
        <f>D6*C6</f>
        <v>30000</v>
      </c>
    </row>
    <row r="7" spans="1:5" s="1" customFormat="1" ht="16.5">
      <c r="B7" s="7"/>
      <c r="C7" s="8"/>
      <c r="D7" s="8"/>
      <c r="E7" s="8"/>
    </row>
    <row r="8" spans="1:5" s="1" customFormat="1" ht="16.5">
      <c r="B8" s="6" t="s">
        <v>19</v>
      </c>
      <c r="C8" s="9"/>
      <c r="D8" s="9"/>
      <c r="E8" s="9">
        <f>E6*20830</f>
        <v>624900000</v>
      </c>
    </row>
    <row r="9" spans="1:5" s="1" customFormat="1" ht="16.5">
      <c r="C9" s="2"/>
      <c r="D9" s="2"/>
      <c r="E9" s="2"/>
    </row>
    <row r="10" spans="1:5" s="1" customFormat="1" ht="16.5">
      <c r="C10" s="2"/>
      <c r="D10" s="2"/>
      <c r="E10" s="2"/>
    </row>
    <row r="11" spans="1:5" s="1" customFormat="1" ht="16.5">
      <c r="A11" s="3" t="s">
        <v>10</v>
      </c>
      <c r="C11" s="2"/>
      <c r="D11" s="2"/>
      <c r="E11" s="2"/>
    </row>
    <row r="12" spans="1:5" s="3" customFormat="1" ht="16.5">
      <c r="A12" s="6" t="s">
        <v>14</v>
      </c>
      <c r="B12" s="6" t="s">
        <v>18</v>
      </c>
      <c r="C12" s="9" t="s">
        <v>15</v>
      </c>
      <c r="D12" s="9" t="s">
        <v>16</v>
      </c>
      <c r="E12" s="9" t="s">
        <v>17</v>
      </c>
    </row>
    <row r="13" spans="1:5" s="1" customFormat="1" ht="16.5">
      <c r="A13" s="11">
        <v>1</v>
      </c>
      <c r="B13" s="7" t="s">
        <v>25</v>
      </c>
      <c r="C13" s="8">
        <v>9230</v>
      </c>
      <c r="D13" s="8">
        <v>11000</v>
      </c>
      <c r="E13" s="8">
        <f>C13*D13</f>
        <v>101530000</v>
      </c>
    </row>
    <row r="14" spans="1:5" s="1" customFormat="1" ht="16.5">
      <c r="A14" s="11">
        <v>2</v>
      </c>
      <c r="B14" s="7" t="s">
        <v>1</v>
      </c>
      <c r="C14" s="8">
        <v>1400</v>
      </c>
      <c r="D14" s="8">
        <v>16000</v>
      </c>
      <c r="E14" s="8">
        <f t="shared" ref="E14:E25" si="0">C14*D14</f>
        <v>22400000</v>
      </c>
    </row>
    <row r="15" spans="1:5" s="1" customFormat="1" ht="16.5">
      <c r="A15" s="11">
        <v>3</v>
      </c>
      <c r="B15" s="7" t="s">
        <v>2</v>
      </c>
      <c r="C15" s="8">
        <v>1104</v>
      </c>
      <c r="D15" s="8">
        <v>68000</v>
      </c>
      <c r="E15" s="8">
        <f t="shared" si="0"/>
        <v>75072000</v>
      </c>
    </row>
    <row r="16" spans="1:5" s="1" customFormat="1" ht="16.5">
      <c r="A16" s="11">
        <v>4</v>
      </c>
      <c r="B16" s="7" t="s">
        <v>3</v>
      </c>
      <c r="C16" s="12">
        <v>287.5</v>
      </c>
      <c r="D16" s="8">
        <v>39000</v>
      </c>
      <c r="E16" s="8">
        <f t="shared" si="0"/>
        <v>11212500</v>
      </c>
    </row>
    <row r="17" spans="1:6" s="1" customFormat="1" ht="16.5">
      <c r="A17" s="11">
        <v>5</v>
      </c>
      <c r="B17" s="7" t="s">
        <v>23</v>
      </c>
      <c r="C17" s="8">
        <v>460</v>
      </c>
      <c r="D17" s="8">
        <v>40000</v>
      </c>
      <c r="E17" s="8">
        <f t="shared" si="0"/>
        <v>18400000</v>
      </c>
    </row>
    <row r="18" spans="1:6" s="1" customFormat="1" ht="16.5">
      <c r="A18" s="11">
        <v>6</v>
      </c>
      <c r="B18" s="7" t="s">
        <v>26</v>
      </c>
      <c r="C18" s="8">
        <v>40</v>
      </c>
      <c r="D18" s="8">
        <v>60000</v>
      </c>
      <c r="E18" s="8">
        <f t="shared" si="0"/>
        <v>2400000</v>
      </c>
    </row>
    <row r="19" spans="1:6" s="1" customFormat="1" ht="16.5">
      <c r="A19" s="11">
        <v>7</v>
      </c>
      <c r="B19" s="7" t="s">
        <v>27</v>
      </c>
      <c r="C19" s="8">
        <v>6</v>
      </c>
      <c r="D19" s="8">
        <v>5000</v>
      </c>
      <c r="E19" s="8">
        <f t="shared" si="0"/>
        <v>30000</v>
      </c>
    </row>
    <row r="20" spans="1:6" s="1" customFormat="1" ht="16.5">
      <c r="A20" s="11">
        <v>8</v>
      </c>
      <c r="B20" s="7" t="s">
        <v>4</v>
      </c>
      <c r="C20" s="8">
        <v>6</v>
      </c>
      <c r="D20" s="8">
        <v>35000</v>
      </c>
      <c r="E20" s="8">
        <f t="shared" si="0"/>
        <v>210000</v>
      </c>
    </row>
    <row r="21" spans="1:6" s="1" customFormat="1" ht="16.5">
      <c r="A21" s="11">
        <v>9</v>
      </c>
      <c r="B21" s="7" t="s">
        <v>5</v>
      </c>
      <c r="C21" s="8">
        <v>300</v>
      </c>
      <c r="D21" s="8">
        <v>33000</v>
      </c>
      <c r="E21" s="8">
        <f t="shared" si="0"/>
        <v>9900000</v>
      </c>
    </row>
    <row r="22" spans="1:6" s="1" customFormat="1" ht="16.5">
      <c r="A22" s="11">
        <v>10</v>
      </c>
      <c r="B22" s="7" t="s">
        <v>6</v>
      </c>
      <c r="C22" s="8">
        <v>1250</v>
      </c>
      <c r="D22" s="8">
        <v>19000</v>
      </c>
      <c r="E22" s="8">
        <f t="shared" si="0"/>
        <v>23750000</v>
      </c>
    </row>
    <row r="23" spans="1:6" s="1" customFormat="1" ht="16.5">
      <c r="A23" s="11">
        <v>11</v>
      </c>
      <c r="B23" s="7" t="s">
        <v>28</v>
      </c>
      <c r="C23" s="8"/>
      <c r="D23" s="8"/>
      <c r="E23" s="8">
        <f t="shared" si="0"/>
        <v>0</v>
      </c>
    </row>
    <row r="24" spans="1:6" s="1" customFormat="1" ht="16.5">
      <c r="A24" s="11">
        <v>12</v>
      </c>
      <c r="B24" s="7" t="s">
        <v>7</v>
      </c>
      <c r="C24" s="8">
        <v>5000</v>
      </c>
      <c r="D24" s="8">
        <v>15000</v>
      </c>
      <c r="E24" s="8">
        <f t="shared" si="0"/>
        <v>75000000</v>
      </c>
    </row>
    <row r="25" spans="1:6" s="1" customFormat="1" ht="16.5">
      <c r="A25" s="11">
        <v>13</v>
      </c>
      <c r="B25" s="7" t="s">
        <v>8</v>
      </c>
      <c r="C25" s="8">
        <v>5000</v>
      </c>
      <c r="D25" s="8">
        <v>5000</v>
      </c>
      <c r="E25" s="8">
        <f t="shared" si="0"/>
        <v>25000000</v>
      </c>
    </row>
    <row r="26" spans="1:6" s="3" customFormat="1" ht="16.5">
      <c r="A26" s="6"/>
      <c r="B26" s="6" t="s">
        <v>22</v>
      </c>
      <c r="C26" s="9"/>
      <c r="D26" s="9"/>
      <c r="E26" s="9">
        <f>SUM(E13:E25)</f>
        <v>364904500</v>
      </c>
    </row>
    <row r="27" spans="1:6" s="1" customFormat="1" ht="16.5">
      <c r="C27" s="2"/>
      <c r="D27" s="2"/>
      <c r="E27" s="2"/>
    </row>
    <row r="28" spans="1:6" s="1" customFormat="1" ht="16.5">
      <c r="B28" s="1" t="s">
        <v>11</v>
      </c>
      <c r="C28" s="2"/>
      <c r="D28" s="2"/>
      <c r="E28" s="2">
        <f>E8</f>
        <v>624900000</v>
      </c>
      <c r="F28" s="1" t="s">
        <v>20</v>
      </c>
    </row>
    <row r="29" spans="1:6" s="1" customFormat="1" ht="16.5">
      <c r="B29" s="1" t="s">
        <v>12</v>
      </c>
      <c r="C29" s="2"/>
      <c r="D29" s="2"/>
      <c r="E29" s="5">
        <f>-E26</f>
        <v>-364904500</v>
      </c>
      <c r="F29" s="1" t="s">
        <v>20</v>
      </c>
    </row>
    <row r="30" spans="1:6" s="3" customFormat="1" ht="16.5">
      <c r="B30" s="3" t="s">
        <v>13</v>
      </c>
      <c r="C30" s="4"/>
      <c r="D30" s="4"/>
      <c r="E30" s="4">
        <f>SUM(E28:E29)</f>
        <v>259995500</v>
      </c>
      <c r="F30" s="3" t="s">
        <v>20</v>
      </c>
    </row>
    <row r="31" spans="1:6" s="1" customFormat="1" ht="16.5">
      <c r="C31" s="2"/>
      <c r="D31" s="2"/>
      <c r="E31" s="2"/>
    </row>
    <row r="32" spans="1:6" s="1" customFormat="1" ht="16.5">
      <c r="C32" s="2"/>
      <c r="D32" s="2"/>
      <c r="E32" s="2"/>
    </row>
  </sheetData>
  <mergeCells count="2">
    <mergeCell ref="A1:E1"/>
    <mergeCell ref="A2:E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G61"/>
  <sheetViews>
    <sheetView workbookViewId="0">
      <selection activeCell="B37" sqref="B37"/>
    </sheetView>
  </sheetViews>
  <sheetFormatPr defaultRowHeight="16.5"/>
  <cols>
    <col min="1" max="1" width="4.25" style="14" customWidth="1"/>
    <col min="2" max="2" width="29.5" style="14" customWidth="1"/>
    <col min="3" max="3" width="11" style="35" customWidth="1"/>
    <col min="4" max="4" width="11.625" style="16" bestFit="1" customWidth="1"/>
    <col min="5" max="5" width="15.25" style="16" customWidth="1"/>
    <col min="6" max="6" width="11.5" style="14" customWidth="1"/>
    <col min="7" max="7" width="9.875" style="14" bestFit="1" customWidth="1"/>
    <col min="8" max="16384" width="9" style="14"/>
  </cols>
  <sheetData>
    <row r="1" spans="1:7" ht="27.75" customHeight="1">
      <c r="A1" s="217" t="s">
        <v>29</v>
      </c>
      <c r="B1" s="217"/>
      <c r="C1" s="217"/>
      <c r="D1" s="217"/>
      <c r="E1" s="217"/>
      <c r="F1" s="13"/>
      <c r="G1" s="13"/>
    </row>
    <row r="2" spans="1:7" ht="15" customHeight="1">
      <c r="A2" s="15" t="s">
        <v>9</v>
      </c>
    </row>
    <row r="3" spans="1:7" ht="39.75" customHeight="1">
      <c r="A3" s="15"/>
      <c r="B3" s="44" t="s">
        <v>18</v>
      </c>
      <c r="C3" s="39" t="s">
        <v>15</v>
      </c>
      <c r="D3" s="18" t="s">
        <v>16</v>
      </c>
      <c r="E3" s="18" t="s">
        <v>17</v>
      </c>
      <c r="F3" s="41" t="s">
        <v>47</v>
      </c>
    </row>
    <row r="4" spans="1:7" ht="18.75" customHeight="1">
      <c r="B4" s="19" t="s">
        <v>0</v>
      </c>
      <c r="C4" s="34">
        <f>320*8</f>
        <v>2560</v>
      </c>
      <c r="D4" s="21">
        <v>9.3000000000000007</v>
      </c>
      <c r="E4" s="45">
        <f>D4*C4</f>
        <v>23808</v>
      </c>
      <c r="F4" s="19"/>
    </row>
    <row r="5" spans="1:7" ht="18.75" customHeight="1">
      <c r="B5" s="22" t="s">
        <v>25</v>
      </c>
      <c r="C5" s="33">
        <f>320*8</f>
        <v>2560</v>
      </c>
      <c r="D5" s="24">
        <v>7.2</v>
      </c>
      <c r="E5" s="46">
        <f>D5*C5</f>
        <v>18432</v>
      </c>
      <c r="F5" s="22"/>
    </row>
    <row r="6" spans="1:7" ht="18.75" customHeight="1">
      <c r="B6" s="22" t="s">
        <v>48</v>
      </c>
      <c r="C6" s="33">
        <f>60*8</f>
        <v>480</v>
      </c>
      <c r="D6" s="24">
        <v>9.3000000000000007</v>
      </c>
      <c r="E6" s="46">
        <f>D6*C6</f>
        <v>4464</v>
      </c>
      <c r="F6" s="22"/>
    </row>
    <row r="7" spans="1:7" ht="18.75" customHeight="1">
      <c r="B7" s="47" t="s">
        <v>50</v>
      </c>
      <c r="C7" s="33"/>
      <c r="D7" s="24"/>
      <c r="E7" s="46"/>
      <c r="F7" s="22"/>
    </row>
    <row r="8" spans="1:7" ht="18.75" customHeight="1">
      <c r="B8" s="22" t="s">
        <v>51</v>
      </c>
      <c r="C8" s="33"/>
      <c r="D8" s="24"/>
      <c r="E8" s="46"/>
      <c r="F8" s="24">
        <v>13000</v>
      </c>
    </row>
    <row r="9" spans="1:7" ht="18.75" customHeight="1">
      <c r="A9" s="42"/>
      <c r="B9" s="22" t="s">
        <v>107</v>
      </c>
      <c r="C9" s="33">
        <f>C4+C6</f>
        <v>3040</v>
      </c>
      <c r="D9" s="24"/>
      <c r="E9" s="46"/>
      <c r="F9" s="24">
        <v>14588</v>
      </c>
    </row>
    <row r="10" spans="1:7" ht="18.75" customHeight="1">
      <c r="B10" s="22" t="s">
        <v>49</v>
      </c>
      <c r="C10" s="33"/>
      <c r="D10" s="24"/>
      <c r="E10" s="46"/>
      <c r="F10" s="24">
        <v>18964</v>
      </c>
    </row>
    <row r="11" spans="1:7" ht="18.75" customHeight="1">
      <c r="B11" s="25"/>
      <c r="C11" s="37">
        <v>2400</v>
      </c>
      <c r="D11" s="27"/>
      <c r="E11" s="48"/>
      <c r="F11" s="27"/>
    </row>
    <row r="12" spans="1:7" s="15" customFormat="1" ht="18.75" customHeight="1">
      <c r="B12" s="17" t="s">
        <v>43</v>
      </c>
      <c r="C12" s="36">
        <f>SUM(C3:C6)</f>
        <v>5600</v>
      </c>
      <c r="D12" s="18"/>
      <c r="E12" s="43">
        <f>SUM(E4:E11)</f>
        <v>46704</v>
      </c>
      <c r="F12" s="43">
        <f>SUM(F4:F11)</f>
        <v>46552</v>
      </c>
    </row>
    <row r="13" spans="1:7" ht="18.75" customHeight="1">
      <c r="B13" s="28" t="s">
        <v>53</v>
      </c>
      <c r="C13" s="218">
        <f>E12*21100</f>
        <v>985454400</v>
      </c>
      <c r="D13" s="218"/>
      <c r="E13" s="40"/>
      <c r="G13" s="52"/>
    </row>
    <row r="14" spans="1:7" ht="18.75" customHeight="1">
      <c r="A14" s="15" t="s">
        <v>10</v>
      </c>
    </row>
    <row r="15" spans="1:7" s="15" customFormat="1" ht="36.75" customHeight="1">
      <c r="A15" s="17" t="s">
        <v>14</v>
      </c>
      <c r="B15" s="17" t="s">
        <v>18</v>
      </c>
      <c r="C15" s="39" t="s">
        <v>15</v>
      </c>
      <c r="D15" s="18" t="s">
        <v>16</v>
      </c>
      <c r="E15" s="18" t="s">
        <v>17</v>
      </c>
    </row>
    <row r="16" spans="1:7" ht="17.25" customHeight="1">
      <c r="A16" s="29">
        <v>1</v>
      </c>
      <c r="B16" s="19" t="s">
        <v>34</v>
      </c>
      <c r="C16" s="34">
        <v>1562.5</v>
      </c>
      <c r="D16" s="20">
        <v>188000</v>
      </c>
      <c r="E16" s="20">
        <f t="shared" ref="E16:E39" si="0">C16*D16</f>
        <v>293750000</v>
      </c>
    </row>
    <row r="17" spans="1:7" ht="17.25" customHeight="1">
      <c r="A17" s="30">
        <v>2</v>
      </c>
      <c r="B17" s="22" t="s">
        <v>25</v>
      </c>
      <c r="C17" s="33">
        <v>1563</v>
      </c>
      <c r="D17" s="23">
        <v>93000</v>
      </c>
      <c r="E17" s="23">
        <f t="shared" si="0"/>
        <v>145359000</v>
      </c>
    </row>
    <row r="18" spans="1:7" ht="17.25" customHeight="1">
      <c r="A18" s="30">
        <v>3</v>
      </c>
      <c r="B18" s="22" t="s">
        <v>1</v>
      </c>
      <c r="C18" s="33">
        <v>950</v>
      </c>
      <c r="D18" s="23">
        <v>16400</v>
      </c>
      <c r="E18" s="23">
        <f t="shared" si="0"/>
        <v>15580000</v>
      </c>
      <c r="G18" s="52"/>
    </row>
    <row r="19" spans="1:7" ht="17.25" customHeight="1">
      <c r="A19" s="30">
        <v>4</v>
      </c>
      <c r="B19" s="22" t="s">
        <v>3</v>
      </c>
      <c r="C19" s="33">
        <v>100</v>
      </c>
      <c r="D19" s="23">
        <v>38000</v>
      </c>
      <c r="E19" s="23">
        <f t="shared" si="0"/>
        <v>3800000</v>
      </c>
      <c r="G19" s="52"/>
    </row>
    <row r="20" spans="1:7" ht="17.25" customHeight="1">
      <c r="A20" s="30">
        <v>5</v>
      </c>
      <c r="B20" s="22" t="s">
        <v>2</v>
      </c>
      <c r="C20" s="33">
        <v>1724</v>
      </c>
      <c r="D20" s="23">
        <v>73000</v>
      </c>
      <c r="E20" s="23">
        <f t="shared" si="0"/>
        <v>125852000</v>
      </c>
      <c r="G20" s="52"/>
    </row>
    <row r="21" spans="1:7" ht="17.25" customHeight="1">
      <c r="A21" s="30">
        <v>6</v>
      </c>
      <c r="B21" s="22" t="s">
        <v>30</v>
      </c>
      <c r="C21" s="33">
        <v>285</v>
      </c>
      <c r="D21" s="23">
        <v>66000</v>
      </c>
      <c r="E21" s="23">
        <f t="shared" si="0"/>
        <v>18810000</v>
      </c>
      <c r="G21" s="52"/>
    </row>
    <row r="22" spans="1:7" ht="17.25" customHeight="1">
      <c r="A22" s="30">
        <v>7</v>
      </c>
      <c r="B22" s="22" t="s">
        <v>27</v>
      </c>
      <c r="C22" s="33">
        <v>60</v>
      </c>
      <c r="D22" s="23">
        <v>6600</v>
      </c>
      <c r="E22" s="23">
        <f t="shared" si="0"/>
        <v>396000</v>
      </c>
      <c r="G22" s="52"/>
    </row>
    <row r="23" spans="1:7" ht="17.25" customHeight="1">
      <c r="A23" s="30">
        <v>8</v>
      </c>
      <c r="B23" s="22" t="s">
        <v>41</v>
      </c>
      <c r="C23" s="33">
        <v>680</v>
      </c>
      <c r="D23" s="23">
        <v>15064</v>
      </c>
      <c r="E23" s="23">
        <f t="shared" si="0"/>
        <v>10243520</v>
      </c>
      <c r="G23" s="52"/>
    </row>
    <row r="24" spans="1:7" ht="17.25" customHeight="1">
      <c r="A24" s="30">
        <v>9</v>
      </c>
      <c r="B24" s="22" t="s">
        <v>42</v>
      </c>
      <c r="C24" s="33">
        <v>330</v>
      </c>
      <c r="D24" s="23">
        <v>16516</v>
      </c>
      <c r="E24" s="23">
        <f t="shared" si="0"/>
        <v>5450280</v>
      </c>
      <c r="G24" s="52"/>
    </row>
    <row r="25" spans="1:7" ht="17.25" customHeight="1">
      <c r="A25" s="30">
        <v>10</v>
      </c>
      <c r="B25" s="22" t="s">
        <v>31</v>
      </c>
      <c r="C25" s="33">
        <v>59</v>
      </c>
      <c r="D25" s="23">
        <v>46200</v>
      </c>
      <c r="E25" s="23">
        <f t="shared" si="0"/>
        <v>2725800</v>
      </c>
      <c r="G25" s="52"/>
    </row>
    <row r="26" spans="1:7" ht="17.25" customHeight="1">
      <c r="A26" s="30">
        <v>11</v>
      </c>
      <c r="B26" s="22" t="s">
        <v>32</v>
      </c>
      <c r="C26" s="33">
        <v>48</v>
      </c>
      <c r="D26" s="23">
        <v>46200</v>
      </c>
      <c r="E26" s="23">
        <f t="shared" si="0"/>
        <v>2217600</v>
      </c>
      <c r="G26" s="52"/>
    </row>
    <row r="27" spans="1:7" ht="17.25" customHeight="1">
      <c r="A27" s="30">
        <v>12</v>
      </c>
      <c r="B27" s="22" t="s">
        <v>35</v>
      </c>
      <c r="C27" s="33">
        <v>54</v>
      </c>
      <c r="D27" s="23">
        <v>11000</v>
      </c>
      <c r="E27" s="23">
        <f t="shared" si="0"/>
        <v>594000</v>
      </c>
      <c r="G27" s="52"/>
    </row>
    <row r="28" spans="1:7" ht="17.25" customHeight="1">
      <c r="A28" s="30">
        <v>13</v>
      </c>
      <c r="B28" s="22" t="s">
        <v>36</v>
      </c>
      <c r="C28" s="33">
        <v>4.5</v>
      </c>
      <c r="D28" s="23">
        <v>120000</v>
      </c>
      <c r="E28" s="23">
        <f t="shared" si="0"/>
        <v>540000</v>
      </c>
      <c r="G28" s="52"/>
    </row>
    <row r="29" spans="1:7" ht="17.25" customHeight="1">
      <c r="A29" s="30">
        <v>14</v>
      </c>
      <c r="B29" s="22" t="s">
        <v>37</v>
      </c>
      <c r="C29" s="33">
        <v>1</v>
      </c>
      <c r="D29" s="23">
        <v>120000</v>
      </c>
      <c r="E29" s="23">
        <f t="shared" si="0"/>
        <v>120000</v>
      </c>
      <c r="G29" s="52"/>
    </row>
    <row r="30" spans="1:7" ht="17.25" customHeight="1">
      <c r="A30" s="30">
        <v>15</v>
      </c>
      <c r="B30" s="22" t="s">
        <v>38</v>
      </c>
      <c r="C30" s="33">
        <v>5600</v>
      </c>
      <c r="D30" s="23">
        <v>5000</v>
      </c>
      <c r="E30" s="23">
        <f t="shared" si="0"/>
        <v>28000000</v>
      </c>
      <c r="G30" s="52"/>
    </row>
    <row r="31" spans="1:7" ht="17.25" customHeight="1">
      <c r="A31" s="30">
        <v>16</v>
      </c>
      <c r="B31" s="22" t="s">
        <v>46</v>
      </c>
      <c r="C31" s="33">
        <v>1100</v>
      </c>
      <c r="D31" s="23">
        <v>22872</v>
      </c>
      <c r="E31" s="23">
        <f t="shared" si="0"/>
        <v>25159200</v>
      </c>
      <c r="G31" s="52"/>
    </row>
    <row r="32" spans="1:7" ht="17.25" customHeight="1">
      <c r="A32" s="30">
        <v>17</v>
      </c>
      <c r="B32" s="22" t="s">
        <v>45</v>
      </c>
      <c r="C32" s="33">
        <v>462.5</v>
      </c>
      <c r="D32" s="23">
        <v>5500</v>
      </c>
      <c r="E32" s="23">
        <f t="shared" si="0"/>
        <v>2543750</v>
      </c>
      <c r="G32" s="52"/>
    </row>
    <row r="33" spans="1:7" ht="17.25" customHeight="1">
      <c r="A33" s="30">
        <v>18</v>
      </c>
      <c r="B33" s="22" t="s">
        <v>39</v>
      </c>
      <c r="C33" s="33">
        <v>5600</v>
      </c>
      <c r="D33" s="23">
        <v>8307</v>
      </c>
      <c r="E33" s="23">
        <f t="shared" si="0"/>
        <v>46519200</v>
      </c>
      <c r="G33" s="52"/>
    </row>
    <row r="34" spans="1:7" ht="17.25" customHeight="1">
      <c r="A34" s="30">
        <v>19</v>
      </c>
      <c r="B34" s="22" t="s">
        <v>44</v>
      </c>
      <c r="C34" s="33">
        <v>5600</v>
      </c>
      <c r="D34" s="23">
        <v>5000</v>
      </c>
      <c r="E34" s="23">
        <f t="shared" si="0"/>
        <v>28000000</v>
      </c>
      <c r="G34" s="52"/>
    </row>
    <row r="35" spans="1:7" ht="17.25" customHeight="1">
      <c r="A35" s="30">
        <v>20</v>
      </c>
      <c r="B35" s="22" t="s">
        <v>33</v>
      </c>
      <c r="C35" s="33"/>
      <c r="D35" s="23"/>
      <c r="E35" s="23">
        <v>11000000</v>
      </c>
    </row>
    <row r="36" spans="1:7" ht="17.25" customHeight="1">
      <c r="A36" s="30">
        <v>21</v>
      </c>
      <c r="B36" s="22" t="s">
        <v>54</v>
      </c>
      <c r="C36" s="33"/>
      <c r="D36" s="23"/>
      <c r="E36" s="23">
        <v>7000000</v>
      </c>
    </row>
    <row r="37" spans="1:7" ht="17.25" customHeight="1">
      <c r="A37" s="30">
        <v>22</v>
      </c>
      <c r="B37" s="22" t="s">
        <v>40</v>
      </c>
      <c r="C37" s="33"/>
      <c r="D37" s="23"/>
      <c r="E37" s="23">
        <v>27500000</v>
      </c>
    </row>
    <row r="38" spans="1:7" ht="17.25" customHeight="1">
      <c r="A38" s="30">
        <v>23</v>
      </c>
      <c r="B38" s="22" t="s">
        <v>55</v>
      </c>
      <c r="C38" s="49"/>
      <c r="D38" s="50"/>
      <c r="E38" s="50">
        <v>5284000</v>
      </c>
    </row>
    <row r="39" spans="1:7" ht="17.25" customHeight="1">
      <c r="A39" s="30">
        <v>24</v>
      </c>
      <c r="B39" s="25" t="s">
        <v>52</v>
      </c>
      <c r="C39" s="37">
        <f>E12-F12</f>
        <v>152</v>
      </c>
      <c r="D39" s="26">
        <v>21100</v>
      </c>
      <c r="E39" s="26">
        <f t="shared" si="0"/>
        <v>3207200</v>
      </c>
    </row>
    <row r="40" spans="1:7" s="15" customFormat="1" ht="17.25" customHeight="1">
      <c r="A40" s="17"/>
      <c r="B40" s="17" t="s">
        <v>22</v>
      </c>
      <c r="C40" s="36"/>
      <c r="D40" s="18"/>
      <c r="E40" s="18">
        <f>SUM(E16:E39)</f>
        <v>809651550</v>
      </c>
    </row>
    <row r="41" spans="1:7" ht="11.25" customHeight="1"/>
    <row r="42" spans="1:7" ht="18.75" customHeight="1">
      <c r="B42" s="14" t="s">
        <v>11</v>
      </c>
      <c r="E42" s="16">
        <f>C13</f>
        <v>985454400</v>
      </c>
      <c r="F42" s="14" t="s">
        <v>20</v>
      </c>
    </row>
    <row r="43" spans="1:7" ht="18.75" customHeight="1">
      <c r="B43" s="14" t="s">
        <v>12</v>
      </c>
      <c r="E43" s="51">
        <f>-E40</f>
        <v>-809651550</v>
      </c>
      <c r="F43" s="14" t="s">
        <v>20</v>
      </c>
    </row>
    <row r="44" spans="1:7" ht="18.75" customHeight="1">
      <c r="B44" s="14" t="s">
        <v>56</v>
      </c>
      <c r="E44" s="31">
        <v>-16513719</v>
      </c>
    </row>
    <row r="45" spans="1:7" s="15" customFormat="1" ht="18.75" customHeight="1">
      <c r="B45" s="15" t="s">
        <v>13</v>
      </c>
      <c r="C45" s="38"/>
      <c r="D45" s="32"/>
      <c r="E45" s="32">
        <f>SUM(E42:E44)</f>
        <v>159289131</v>
      </c>
      <c r="F45" s="15" t="s">
        <v>20</v>
      </c>
    </row>
    <row r="46" spans="1:7" ht="18.75" customHeight="1"/>
    <row r="47" spans="1:7" ht="18.75" customHeight="1"/>
    <row r="48" spans="1:7" ht="18.75" customHeight="1"/>
    <row r="49" spans="1:7" ht="18.75" customHeight="1"/>
    <row r="51" spans="1:7" ht="27.75" customHeight="1">
      <c r="A51" s="217" t="s">
        <v>108</v>
      </c>
      <c r="B51" s="217"/>
      <c r="C51" s="217"/>
      <c r="D51" s="217"/>
      <c r="E51" s="217"/>
      <c r="F51" s="13"/>
      <c r="G51" s="13"/>
    </row>
    <row r="52" spans="1:7" s="15" customFormat="1" ht="36.75" customHeight="1">
      <c r="A52" s="17" t="s">
        <v>14</v>
      </c>
      <c r="B52" s="44" t="s">
        <v>18</v>
      </c>
      <c r="C52" s="39" t="s">
        <v>15</v>
      </c>
      <c r="D52" s="18" t="s">
        <v>16</v>
      </c>
      <c r="E52" s="18" t="s">
        <v>17</v>
      </c>
    </row>
    <row r="53" spans="1:7" ht="17.25" customHeight="1">
      <c r="A53" s="30">
        <v>1</v>
      </c>
      <c r="B53" s="22" t="s">
        <v>57</v>
      </c>
      <c r="C53" s="33"/>
      <c r="D53" s="23"/>
      <c r="E53" s="23">
        <v>5000000</v>
      </c>
    </row>
    <row r="54" spans="1:7" ht="17.25" customHeight="1">
      <c r="A54" s="30">
        <v>2</v>
      </c>
      <c r="B54" s="22" t="s">
        <v>58</v>
      </c>
      <c r="C54" s="49"/>
      <c r="D54" s="50"/>
      <c r="E54" s="50">
        <v>5000000</v>
      </c>
    </row>
    <row r="55" spans="1:7" ht="17.25" customHeight="1">
      <c r="A55" s="30">
        <v>3</v>
      </c>
      <c r="B55" s="22" t="s">
        <v>59</v>
      </c>
      <c r="C55" s="49"/>
      <c r="D55" s="50"/>
      <c r="E55" s="50">
        <v>5940000</v>
      </c>
    </row>
    <row r="56" spans="1:7" ht="17.25" customHeight="1">
      <c r="A56" s="30">
        <v>4</v>
      </c>
      <c r="B56" s="22" t="s">
        <v>60</v>
      </c>
      <c r="C56" s="49"/>
      <c r="D56" s="50"/>
      <c r="E56" s="50">
        <v>9092000</v>
      </c>
    </row>
    <row r="57" spans="1:7" ht="17.25" customHeight="1">
      <c r="A57" s="30">
        <v>5</v>
      </c>
      <c r="B57" s="22" t="s">
        <v>61</v>
      </c>
      <c r="C57" s="49"/>
      <c r="D57" s="50"/>
      <c r="E57" s="50">
        <v>2417000</v>
      </c>
    </row>
    <row r="58" spans="1:7" ht="17.25" customHeight="1">
      <c r="A58" s="30">
        <v>6</v>
      </c>
      <c r="B58" s="22" t="s">
        <v>55</v>
      </c>
      <c r="C58" s="49"/>
      <c r="D58" s="50"/>
      <c r="E58" s="50">
        <v>5284000</v>
      </c>
    </row>
    <row r="59" spans="1:7" s="15" customFormat="1" ht="17.25" customHeight="1">
      <c r="A59" s="17"/>
      <c r="B59" s="17" t="s">
        <v>22</v>
      </c>
      <c r="C59" s="36"/>
      <c r="D59" s="18"/>
      <c r="E59" s="18">
        <f>SUM(E53:E58)</f>
        <v>32733000</v>
      </c>
    </row>
    <row r="60" spans="1:7" ht="11.25" customHeight="1"/>
    <row r="61" spans="1:7" ht="18.75" customHeight="1"/>
  </sheetData>
  <mergeCells count="3">
    <mergeCell ref="A1:E1"/>
    <mergeCell ref="C13:D13"/>
    <mergeCell ref="A51:E51"/>
  </mergeCells>
  <phoneticPr fontId="2" type="noConversion"/>
  <pageMargins left="0.51" right="0.25" top="0.19" bottom="0.25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G32"/>
  <sheetViews>
    <sheetView workbookViewId="0">
      <selection activeCell="G13" sqref="G13:G14"/>
    </sheetView>
  </sheetViews>
  <sheetFormatPr defaultRowHeight="16.5"/>
  <cols>
    <col min="1" max="1" width="5.375" style="14" customWidth="1"/>
    <col min="2" max="2" width="29.625" style="14" customWidth="1"/>
    <col min="3" max="3" width="11" style="35" customWidth="1"/>
    <col min="4" max="4" width="9.875" style="16" customWidth="1"/>
    <col min="5" max="5" width="15.625" style="16" customWidth="1"/>
    <col min="6" max="6" width="12.25" style="14" customWidth="1"/>
    <col min="7" max="7" width="15" style="14" customWidth="1"/>
    <col min="8" max="16384" width="9" style="14"/>
  </cols>
  <sheetData>
    <row r="1" spans="1:7" ht="27.75" customHeight="1">
      <c r="A1" s="219" t="s">
        <v>157</v>
      </c>
      <c r="B1" s="219"/>
      <c r="C1" s="219"/>
      <c r="D1" s="219"/>
      <c r="E1" s="219"/>
      <c r="F1" s="71"/>
      <c r="G1" s="71"/>
    </row>
    <row r="2" spans="1:7" ht="15" customHeight="1">
      <c r="A2" s="15"/>
    </row>
    <row r="3" spans="1:7" s="60" customFormat="1" ht="39.75" customHeight="1">
      <c r="A3" s="59"/>
      <c r="B3" s="41" t="s">
        <v>18</v>
      </c>
      <c r="C3" s="39" t="s">
        <v>15</v>
      </c>
      <c r="D3" s="57" t="s">
        <v>16</v>
      </c>
      <c r="E3" s="57" t="s">
        <v>71</v>
      </c>
      <c r="F3" s="41" t="s">
        <v>47</v>
      </c>
      <c r="G3" s="57" t="s">
        <v>72</v>
      </c>
    </row>
    <row r="4" spans="1:7" ht="17.25" customHeight="1">
      <c r="A4" s="42"/>
      <c r="B4" s="53" t="s">
        <v>67</v>
      </c>
      <c r="C4" s="34"/>
      <c r="D4" s="21"/>
      <c r="E4" s="45"/>
      <c r="F4" s="21"/>
      <c r="G4" s="20"/>
    </row>
    <row r="5" spans="1:7" ht="17.25" customHeight="1">
      <c r="B5" s="25" t="s">
        <v>70</v>
      </c>
      <c r="C5" s="37">
        <v>480</v>
      </c>
      <c r="D5" s="27">
        <v>9.3000000000000007</v>
      </c>
      <c r="E5" s="46">
        <f>C5*D5</f>
        <v>4464</v>
      </c>
      <c r="F5" s="24"/>
      <c r="G5" s="23"/>
    </row>
    <row r="6" spans="1:7" ht="17.25" customHeight="1">
      <c r="B6" s="25"/>
      <c r="C6" s="37"/>
      <c r="D6" s="27"/>
      <c r="E6" s="46">
        <f>C6*D6</f>
        <v>0</v>
      </c>
      <c r="F6" s="27"/>
      <c r="G6" s="26"/>
    </row>
    <row r="7" spans="1:7" s="15" customFormat="1" ht="17.25" customHeight="1">
      <c r="B7" s="17" t="s">
        <v>43</v>
      </c>
      <c r="C7" s="36">
        <f>SUM(C4:C6)</f>
        <v>480</v>
      </c>
      <c r="D7" s="36"/>
      <c r="E7" s="36">
        <f>SUM(E4:E6)</f>
        <v>4464</v>
      </c>
      <c r="F7" s="36">
        <f>SUM(F4:F6)</f>
        <v>0</v>
      </c>
      <c r="G7" s="18">
        <f>SUM(G4:G6)</f>
        <v>0</v>
      </c>
    </row>
    <row r="8" spans="1:7" s="15" customFormat="1" ht="17.25" customHeight="1">
      <c r="B8" s="53" t="s">
        <v>68</v>
      </c>
      <c r="C8" s="54"/>
      <c r="D8" s="55"/>
      <c r="E8" s="56"/>
      <c r="F8" s="56"/>
      <c r="G8" s="55"/>
    </row>
    <row r="9" spans="1:7" ht="17.25" customHeight="1">
      <c r="B9" s="22"/>
      <c r="C9" s="33"/>
      <c r="D9" s="24"/>
      <c r="E9" s="46">
        <f>D9*C9</f>
        <v>0</v>
      </c>
      <c r="F9" s="22"/>
      <c r="G9" s="58">
        <f>E9*21085</f>
        <v>0</v>
      </c>
    </row>
    <row r="10" spans="1:7" ht="17.25" customHeight="1">
      <c r="B10" s="22"/>
      <c r="C10" s="33"/>
      <c r="D10" s="24"/>
      <c r="E10" s="46"/>
      <c r="F10" s="22"/>
      <c r="G10" s="58"/>
    </row>
    <row r="11" spans="1:7" ht="17.25" customHeight="1">
      <c r="B11" s="17" t="s">
        <v>43</v>
      </c>
      <c r="C11" s="36">
        <f>SUM(C8:C10)</f>
        <v>0</v>
      </c>
      <c r="D11" s="36"/>
      <c r="E11" s="36">
        <f>SUM(E8:E10)</f>
        <v>0</v>
      </c>
      <c r="F11" s="36">
        <f>SUM(F8:F10)</f>
        <v>0</v>
      </c>
      <c r="G11" s="18">
        <f>SUM(G8:G10)</f>
        <v>0</v>
      </c>
    </row>
    <row r="12" spans="1:7" ht="17.25" customHeight="1">
      <c r="B12" s="47" t="s">
        <v>50</v>
      </c>
      <c r="C12" s="33"/>
      <c r="D12" s="24"/>
      <c r="E12" s="46"/>
      <c r="F12" s="22"/>
      <c r="G12" s="58"/>
    </row>
    <row r="13" spans="1:7" ht="17.25" customHeight="1">
      <c r="B13" s="115" t="s">
        <v>158</v>
      </c>
      <c r="C13" s="33"/>
      <c r="D13" s="24"/>
      <c r="E13" s="46"/>
      <c r="F13" s="24">
        <v>4461.8</v>
      </c>
      <c r="G13" s="58">
        <f>F13*21400</f>
        <v>95482520</v>
      </c>
    </row>
    <row r="14" spans="1:7" ht="17.25" customHeight="1">
      <c r="B14" s="115" t="s">
        <v>159</v>
      </c>
      <c r="C14" s="49"/>
      <c r="D14" s="145"/>
      <c r="E14" s="146"/>
      <c r="F14" s="24">
        <f>E7-F13</f>
        <v>2.1999999999998181</v>
      </c>
      <c r="G14" s="58">
        <f>F14*21400</f>
        <v>47079.999999996107</v>
      </c>
    </row>
    <row r="15" spans="1:7" ht="17.25" customHeight="1">
      <c r="B15" s="25"/>
      <c r="C15" s="37"/>
      <c r="D15" s="27"/>
      <c r="E15" s="48"/>
      <c r="F15" s="27"/>
      <c r="G15" s="26"/>
    </row>
    <row r="16" spans="1:7" s="15" customFormat="1" ht="17.25" customHeight="1">
      <c r="B16" s="17" t="s">
        <v>43</v>
      </c>
      <c r="C16" s="36">
        <f>SUM(C12:C15)</f>
        <v>0</v>
      </c>
      <c r="D16" s="36">
        <f>SUM(D12:D15)</f>
        <v>0</v>
      </c>
      <c r="E16" s="36">
        <f>SUM(E12:E15)</f>
        <v>0</v>
      </c>
      <c r="F16" s="36">
        <f>SUM(F12:F15)</f>
        <v>4464</v>
      </c>
      <c r="G16" s="18">
        <f>SUM(G12:G15)</f>
        <v>95529600</v>
      </c>
    </row>
    <row r="17" spans="1:7" ht="11.25" customHeight="1">
      <c r="B17" s="28"/>
      <c r="C17" s="218"/>
      <c r="D17" s="218"/>
      <c r="E17" s="40"/>
      <c r="G17" s="52"/>
    </row>
    <row r="18" spans="1:7" ht="18.75" customHeight="1">
      <c r="A18" s="70" t="s">
        <v>73</v>
      </c>
    </row>
    <row r="19" spans="1:7" s="61" customFormat="1" ht="36.75" customHeight="1">
      <c r="A19" s="41" t="s">
        <v>14</v>
      </c>
      <c r="B19" s="41" t="s">
        <v>18</v>
      </c>
      <c r="C19" s="39" t="s">
        <v>15</v>
      </c>
      <c r="D19" s="57" t="s">
        <v>16</v>
      </c>
      <c r="E19" s="57" t="s">
        <v>17</v>
      </c>
    </row>
    <row r="20" spans="1:7" ht="15.75" customHeight="1">
      <c r="A20" s="30">
        <v>29</v>
      </c>
      <c r="B20" s="22" t="s">
        <v>83</v>
      </c>
      <c r="C20" s="33"/>
      <c r="D20" s="23"/>
      <c r="E20" s="23">
        <v>950400</v>
      </c>
      <c r="G20" s="62"/>
    </row>
    <row r="21" spans="1:7" ht="15.75" customHeight="1">
      <c r="A21" s="30">
        <v>30</v>
      </c>
      <c r="B21" s="22" t="s">
        <v>62</v>
      </c>
      <c r="C21" s="33"/>
      <c r="D21" s="23"/>
      <c r="E21" s="23">
        <v>232320</v>
      </c>
      <c r="G21" s="62"/>
    </row>
    <row r="22" spans="1:7" ht="15.75" customHeight="1">
      <c r="A22" s="30">
        <v>31</v>
      </c>
      <c r="B22" s="22" t="s">
        <v>63</v>
      </c>
      <c r="C22" s="33"/>
      <c r="D22" s="23"/>
      <c r="E22" s="23">
        <v>290400</v>
      </c>
      <c r="G22" s="62"/>
    </row>
    <row r="23" spans="1:7" ht="15.75" customHeight="1">
      <c r="A23" s="30">
        <v>32</v>
      </c>
      <c r="B23" s="22" t="s">
        <v>64</v>
      </c>
      <c r="C23" s="33"/>
      <c r="D23" s="23"/>
      <c r="E23" s="23">
        <v>290400</v>
      </c>
      <c r="G23" s="62"/>
    </row>
    <row r="24" spans="1:7" ht="15.75" customHeight="1">
      <c r="A24" s="30">
        <v>33</v>
      </c>
      <c r="B24" s="22" t="s">
        <v>65</v>
      </c>
      <c r="C24" s="33"/>
      <c r="D24" s="23"/>
      <c r="E24" s="23">
        <v>2090880</v>
      </c>
      <c r="G24" s="62"/>
    </row>
    <row r="25" spans="1:7" ht="15.75" customHeight="1">
      <c r="A25" s="30">
        <v>34</v>
      </c>
      <c r="B25" s="22" t="s">
        <v>66</v>
      </c>
      <c r="C25" s="33"/>
      <c r="D25" s="23"/>
      <c r="E25" s="23">
        <v>1000000</v>
      </c>
      <c r="G25" s="62"/>
    </row>
    <row r="26" spans="1:7" ht="15.75" customHeight="1">
      <c r="A26" s="30">
        <v>35</v>
      </c>
      <c r="B26" s="22"/>
      <c r="C26" s="33"/>
      <c r="D26" s="23"/>
      <c r="E26" s="23"/>
    </row>
    <row r="27" spans="1:7" ht="15.75" customHeight="1">
      <c r="A27" s="30"/>
      <c r="B27" s="25"/>
      <c r="C27" s="37"/>
      <c r="D27" s="26"/>
      <c r="E27" s="26"/>
    </row>
    <row r="28" spans="1:7" s="15" customFormat="1" ht="15.75" customHeight="1">
      <c r="A28" s="17"/>
      <c r="B28" s="17" t="s">
        <v>22</v>
      </c>
      <c r="C28" s="36"/>
      <c r="D28" s="18"/>
      <c r="E28" s="18">
        <f>SUM(E20:E27)</f>
        <v>4854400</v>
      </c>
      <c r="G28" s="14"/>
    </row>
    <row r="29" spans="1:7" ht="8.25" customHeight="1"/>
    <row r="30" spans="1:7" ht="15.75" customHeight="1">
      <c r="B30" s="14" t="s">
        <v>11</v>
      </c>
      <c r="E30" s="16">
        <f>G11</f>
        <v>0</v>
      </c>
      <c r="F30" s="14" t="s">
        <v>20</v>
      </c>
    </row>
    <row r="31" spans="1:7" ht="15.75" customHeight="1">
      <c r="B31" s="14" t="s">
        <v>12</v>
      </c>
      <c r="E31" s="51">
        <f>-E28</f>
        <v>-4854400</v>
      </c>
      <c r="F31" s="14" t="s">
        <v>20</v>
      </c>
    </row>
    <row r="32" spans="1:7" s="15" customFormat="1" ht="15.75" customHeight="1">
      <c r="B32" s="15" t="s">
        <v>13</v>
      </c>
      <c r="C32" s="38"/>
      <c r="D32" s="32"/>
      <c r="E32" s="32">
        <f>SUM(E30:E31)</f>
        <v>-4854400</v>
      </c>
      <c r="F32" s="15" t="s">
        <v>20</v>
      </c>
    </row>
  </sheetData>
  <mergeCells count="2">
    <mergeCell ref="A1:E1"/>
    <mergeCell ref="C17:D17"/>
  </mergeCells>
  <phoneticPr fontId="2" type="noConversion"/>
  <pageMargins left="0.51" right="0.25" top="0.19" bottom="0.25" header="0" footer="0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G59"/>
  <sheetViews>
    <sheetView workbookViewId="0">
      <selection activeCell="D68" sqref="D68"/>
    </sheetView>
  </sheetViews>
  <sheetFormatPr defaultRowHeight="16.5"/>
  <cols>
    <col min="1" max="1" width="5.375" style="14" customWidth="1"/>
    <col min="2" max="2" width="29.625" style="14" customWidth="1"/>
    <col min="3" max="3" width="11" style="35" customWidth="1"/>
    <col min="4" max="4" width="9.875" style="16" customWidth="1"/>
    <col min="5" max="5" width="15.625" style="16" customWidth="1"/>
    <col min="6" max="6" width="12.25" style="14" customWidth="1"/>
    <col min="7" max="7" width="13.5" style="14" customWidth="1"/>
    <col min="8" max="16384" width="9" style="14"/>
  </cols>
  <sheetData>
    <row r="1" spans="1:7" ht="27.75" customHeight="1">
      <c r="A1" s="219" t="s">
        <v>160</v>
      </c>
      <c r="B1" s="219"/>
      <c r="C1" s="219"/>
      <c r="D1" s="219"/>
      <c r="E1" s="219"/>
      <c r="F1" s="71"/>
      <c r="G1" s="71"/>
    </row>
    <row r="2" spans="1:7" ht="15" customHeight="1">
      <c r="A2" s="15"/>
    </row>
    <row r="3" spans="1:7" s="60" customFormat="1" ht="39.75" customHeight="1">
      <c r="A3" s="59"/>
      <c r="B3" s="41" t="s">
        <v>18</v>
      </c>
      <c r="C3" s="39" t="s">
        <v>15</v>
      </c>
      <c r="D3" s="57" t="s">
        <v>16</v>
      </c>
      <c r="E3" s="57" t="s">
        <v>71</v>
      </c>
      <c r="F3" s="41" t="s">
        <v>47</v>
      </c>
      <c r="G3" s="57" t="s">
        <v>72</v>
      </c>
    </row>
    <row r="4" spans="1:7" ht="17.25" customHeight="1">
      <c r="A4" s="42"/>
      <c r="B4" s="53" t="s">
        <v>67</v>
      </c>
      <c r="C4" s="34"/>
      <c r="D4" s="21"/>
      <c r="E4" s="45"/>
      <c r="F4" s="21"/>
      <c r="G4" s="20"/>
    </row>
    <row r="5" spans="1:7" ht="17.25" customHeight="1">
      <c r="B5" s="22" t="s">
        <v>69</v>
      </c>
      <c r="C5" s="33">
        <v>2400</v>
      </c>
      <c r="D5" s="24">
        <v>4.7</v>
      </c>
      <c r="E5" s="46">
        <f>C5*D5</f>
        <v>11280</v>
      </c>
      <c r="F5" s="24"/>
      <c r="G5" s="23"/>
    </row>
    <row r="6" spans="1:7" ht="17.25" customHeight="1">
      <c r="B6" s="25"/>
      <c r="C6" s="37"/>
      <c r="D6" s="27"/>
      <c r="E6" s="46">
        <f>C6*D6</f>
        <v>0</v>
      </c>
      <c r="F6" s="27"/>
      <c r="G6" s="26"/>
    </row>
    <row r="7" spans="1:7" s="15" customFormat="1" ht="17.25" customHeight="1">
      <c r="B7" s="17" t="s">
        <v>43</v>
      </c>
      <c r="C7" s="36">
        <f>SUM(C4:C6)</f>
        <v>2400</v>
      </c>
      <c r="D7" s="36"/>
      <c r="E7" s="36">
        <f>SUM(E4:E6)</f>
        <v>11280</v>
      </c>
      <c r="F7" s="36">
        <f>SUM(F4:F6)</f>
        <v>0</v>
      </c>
      <c r="G7" s="18">
        <f>SUM(G4:G6)</f>
        <v>0</v>
      </c>
    </row>
    <row r="8" spans="1:7" s="15" customFormat="1" ht="17.25" customHeight="1">
      <c r="B8" s="53" t="s">
        <v>68</v>
      </c>
      <c r="C8" s="54"/>
      <c r="D8" s="55"/>
      <c r="E8" s="56"/>
      <c r="F8" s="56"/>
      <c r="G8" s="55"/>
    </row>
    <row r="9" spans="1:7" ht="17.25" customHeight="1">
      <c r="B9" s="22" t="s">
        <v>0</v>
      </c>
      <c r="C9" s="33">
        <v>2400</v>
      </c>
      <c r="D9" s="24">
        <v>10.199999999999999</v>
      </c>
      <c r="E9" s="46">
        <f>D9*C9</f>
        <v>24480</v>
      </c>
      <c r="F9" s="22"/>
      <c r="G9" s="58">
        <f>E9*21400</f>
        <v>523872000</v>
      </c>
    </row>
    <row r="10" spans="1:7" ht="17.25" customHeight="1">
      <c r="B10" s="22"/>
      <c r="C10" s="33"/>
      <c r="D10" s="24"/>
      <c r="E10" s="46"/>
      <c r="F10" s="22"/>
      <c r="G10" s="58"/>
    </row>
    <row r="11" spans="1:7" s="15" customFormat="1" ht="17.25" customHeight="1">
      <c r="B11" s="17" t="s">
        <v>43</v>
      </c>
      <c r="C11" s="36">
        <f>SUM(C8:C10)</f>
        <v>2400</v>
      </c>
      <c r="D11" s="36"/>
      <c r="E11" s="36">
        <f>SUM(E8:E10)</f>
        <v>24480</v>
      </c>
      <c r="F11" s="36">
        <f>SUM(F8:F10)</f>
        <v>0</v>
      </c>
      <c r="G11" s="18">
        <f>SUM(G8:G10)</f>
        <v>523872000</v>
      </c>
    </row>
    <row r="12" spans="1:7" ht="17.25" customHeight="1">
      <c r="B12" s="47" t="s">
        <v>50</v>
      </c>
      <c r="C12" s="33"/>
      <c r="D12" s="24"/>
      <c r="E12" s="46"/>
      <c r="F12" s="22"/>
      <c r="G12" s="58"/>
    </row>
    <row r="13" spans="1:7" ht="17.25" customHeight="1">
      <c r="B13" s="115" t="s">
        <v>158</v>
      </c>
      <c r="C13" s="33"/>
      <c r="D13" s="24"/>
      <c r="E13" s="46"/>
      <c r="F13" s="24">
        <v>11274.54</v>
      </c>
      <c r="G13" s="58">
        <f>F13*21400</f>
        <v>241275156.00000003</v>
      </c>
    </row>
    <row r="14" spans="1:7" ht="17.25" customHeight="1">
      <c r="A14" s="42"/>
      <c r="B14" s="115" t="s">
        <v>159</v>
      </c>
      <c r="C14" s="33"/>
      <c r="D14" s="24"/>
      <c r="E14" s="46"/>
      <c r="F14" s="24">
        <f>E7-F13</f>
        <v>5.4599999999991269</v>
      </c>
      <c r="G14" s="58">
        <f>F14*21400</f>
        <v>116843.99999998132</v>
      </c>
    </row>
    <row r="15" spans="1:7" ht="17.25" customHeight="1">
      <c r="B15" s="25"/>
      <c r="C15" s="37"/>
      <c r="D15" s="27"/>
      <c r="E15" s="48"/>
      <c r="F15" s="27"/>
      <c r="G15" s="26"/>
    </row>
    <row r="16" spans="1:7" s="15" customFormat="1" ht="17.25" customHeight="1">
      <c r="B16" s="17" t="s">
        <v>43</v>
      </c>
      <c r="C16" s="36">
        <f>SUM(C12:C15)</f>
        <v>0</v>
      </c>
      <c r="D16" s="36">
        <f>SUM(D12:D15)</f>
        <v>0</v>
      </c>
      <c r="E16" s="36">
        <f>SUM(E12:E15)</f>
        <v>0</v>
      </c>
      <c r="F16" s="36">
        <f>SUM(F12:F15)</f>
        <v>11280</v>
      </c>
      <c r="G16" s="18">
        <f>SUM(G12:G15)</f>
        <v>241392000</v>
      </c>
    </row>
    <row r="17" spans="1:7" s="15" customFormat="1" ht="17.25" customHeight="1">
      <c r="B17" s="193"/>
      <c r="C17" s="194"/>
      <c r="D17" s="194"/>
      <c r="E17" s="194"/>
      <c r="F17" s="194"/>
      <c r="G17" s="195"/>
    </row>
    <row r="18" spans="1:7" s="15" customFormat="1" ht="17.25" customHeight="1">
      <c r="B18" s="221" t="s">
        <v>165</v>
      </c>
      <c r="C18" s="221"/>
      <c r="D18" s="221"/>
      <c r="E18" s="221"/>
      <c r="F18" s="36">
        <f>E11-F16</f>
        <v>13200</v>
      </c>
      <c r="G18" s="192">
        <f>F18*21400</f>
        <v>282480000</v>
      </c>
    </row>
    <row r="19" spans="1:7" ht="11.25" customHeight="1">
      <c r="B19" s="28"/>
      <c r="C19" s="220"/>
      <c r="D19" s="220"/>
      <c r="E19" s="40"/>
      <c r="G19" s="52"/>
    </row>
    <row r="20" spans="1:7" ht="18.75" customHeight="1">
      <c r="A20" s="15" t="s">
        <v>10</v>
      </c>
    </row>
    <row r="21" spans="1:7" s="61" customFormat="1" ht="36.75" customHeight="1">
      <c r="A21" s="41" t="s">
        <v>14</v>
      </c>
      <c r="B21" s="41" t="s">
        <v>18</v>
      </c>
      <c r="C21" s="39" t="s">
        <v>15</v>
      </c>
      <c r="D21" s="57" t="s">
        <v>16</v>
      </c>
      <c r="E21" s="57" t="s">
        <v>17</v>
      </c>
    </row>
    <row r="22" spans="1:7" ht="15.75" customHeight="1">
      <c r="A22" s="29">
        <v>1</v>
      </c>
      <c r="B22" s="19" t="s">
        <v>34</v>
      </c>
      <c r="C22" s="34">
        <v>1250</v>
      </c>
      <c r="D22" s="20">
        <v>188000</v>
      </c>
      <c r="E22" s="20">
        <f t="shared" ref="E22:E39" si="0">C22*D22</f>
        <v>235000000</v>
      </c>
    </row>
    <row r="23" spans="1:7" ht="15.75" customHeight="1">
      <c r="A23" s="30">
        <v>3</v>
      </c>
      <c r="B23" s="22" t="s">
        <v>1</v>
      </c>
      <c r="C23" s="33">
        <v>408</v>
      </c>
      <c r="D23" s="23">
        <v>16400</v>
      </c>
      <c r="E23" s="23">
        <f t="shared" si="0"/>
        <v>6691200</v>
      </c>
      <c r="G23" s="62"/>
    </row>
    <row r="24" spans="1:7" ht="15.75" customHeight="1">
      <c r="A24" s="30">
        <v>4</v>
      </c>
      <c r="B24" s="22" t="s">
        <v>3</v>
      </c>
      <c r="C24" s="33">
        <v>45</v>
      </c>
      <c r="D24" s="23">
        <v>38000</v>
      </c>
      <c r="E24" s="23">
        <f t="shared" si="0"/>
        <v>1710000</v>
      </c>
      <c r="G24" s="62"/>
    </row>
    <row r="25" spans="1:7" ht="15.75" customHeight="1">
      <c r="A25" s="30">
        <v>5</v>
      </c>
      <c r="B25" s="22" t="s">
        <v>2</v>
      </c>
      <c r="C25" s="33">
        <v>740</v>
      </c>
      <c r="D25" s="23">
        <v>73000</v>
      </c>
      <c r="E25" s="23">
        <f t="shared" si="0"/>
        <v>54020000</v>
      </c>
      <c r="G25" s="62"/>
    </row>
    <row r="26" spans="1:7" ht="15.75" customHeight="1">
      <c r="A26" s="30">
        <v>6</v>
      </c>
      <c r="B26" s="22" t="s">
        <v>30</v>
      </c>
      <c r="C26" s="33">
        <v>122</v>
      </c>
      <c r="D26" s="23">
        <v>66000</v>
      </c>
      <c r="E26" s="23">
        <f t="shared" si="0"/>
        <v>8052000</v>
      </c>
      <c r="G26" s="62"/>
    </row>
    <row r="27" spans="1:7" ht="15.75" customHeight="1">
      <c r="A27" s="30">
        <v>7</v>
      </c>
      <c r="B27" s="22" t="s">
        <v>27</v>
      </c>
      <c r="C27" s="33">
        <v>26</v>
      </c>
      <c r="D27" s="23">
        <v>6600</v>
      </c>
      <c r="E27" s="23">
        <f t="shared" si="0"/>
        <v>171600</v>
      </c>
      <c r="G27" s="62"/>
    </row>
    <row r="28" spans="1:7" ht="15.75" customHeight="1">
      <c r="A28" s="30">
        <v>8</v>
      </c>
      <c r="B28" s="22" t="s">
        <v>41</v>
      </c>
      <c r="C28" s="33">
        <v>292</v>
      </c>
      <c r="D28" s="23">
        <v>15064</v>
      </c>
      <c r="E28" s="23">
        <f t="shared" si="0"/>
        <v>4398688</v>
      </c>
      <c r="G28" s="62"/>
    </row>
    <row r="29" spans="1:7" ht="15.75" customHeight="1">
      <c r="A29" s="30">
        <v>9</v>
      </c>
      <c r="B29" s="22" t="s">
        <v>42</v>
      </c>
      <c r="C29" s="33">
        <v>142</v>
      </c>
      <c r="D29" s="23">
        <v>16516</v>
      </c>
      <c r="E29" s="23">
        <f t="shared" si="0"/>
        <v>2345272</v>
      </c>
      <c r="G29" s="62"/>
    </row>
    <row r="30" spans="1:7" ht="15.75" customHeight="1">
      <c r="A30" s="30">
        <v>10</v>
      </c>
      <c r="B30" s="22" t="s">
        <v>31</v>
      </c>
      <c r="C30" s="33">
        <v>25</v>
      </c>
      <c r="D30" s="23">
        <v>46200</v>
      </c>
      <c r="E30" s="23">
        <f t="shared" si="0"/>
        <v>1155000</v>
      </c>
      <c r="G30" s="62"/>
    </row>
    <row r="31" spans="1:7" ht="15.75" customHeight="1">
      <c r="A31" s="30">
        <v>11</v>
      </c>
      <c r="B31" s="22" t="s">
        <v>32</v>
      </c>
      <c r="C31" s="33">
        <v>21</v>
      </c>
      <c r="D31" s="23">
        <v>46200</v>
      </c>
      <c r="E31" s="23">
        <f t="shared" si="0"/>
        <v>970200</v>
      </c>
      <c r="G31" s="62"/>
    </row>
    <row r="32" spans="1:7" ht="15.75" customHeight="1">
      <c r="A32" s="30">
        <v>12</v>
      </c>
      <c r="B32" s="22" t="s">
        <v>35</v>
      </c>
      <c r="C32" s="33">
        <v>23</v>
      </c>
      <c r="D32" s="23">
        <v>11000</v>
      </c>
      <c r="E32" s="23">
        <f t="shared" si="0"/>
        <v>253000</v>
      </c>
      <c r="G32" s="62"/>
    </row>
    <row r="33" spans="1:7" ht="15.75" customHeight="1">
      <c r="A33" s="30">
        <v>13</v>
      </c>
      <c r="B33" s="22" t="s">
        <v>36</v>
      </c>
      <c r="C33" s="33">
        <v>2</v>
      </c>
      <c r="D33" s="23">
        <v>120000</v>
      </c>
      <c r="E33" s="23">
        <f t="shared" si="0"/>
        <v>240000</v>
      </c>
      <c r="G33" s="62"/>
    </row>
    <row r="34" spans="1:7" ht="15.75" customHeight="1">
      <c r="A34" s="30">
        <v>14</v>
      </c>
      <c r="B34" s="22" t="s">
        <v>37</v>
      </c>
      <c r="C34" s="33">
        <v>0.5</v>
      </c>
      <c r="D34" s="23">
        <v>120000</v>
      </c>
      <c r="E34" s="23">
        <f t="shared" si="0"/>
        <v>60000</v>
      </c>
      <c r="G34" s="62"/>
    </row>
    <row r="35" spans="1:7" ht="15.75" customHeight="1">
      <c r="A35" s="30">
        <v>15</v>
      </c>
      <c r="B35" s="22" t="s">
        <v>38</v>
      </c>
      <c r="C35" s="33">
        <v>2400</v>
      </c>
      <c r="D35" s="23">
        <v>9000</v>
      </c>
      <c r="E35" s="23">
        <f t="shared" si="0"/>
        <v>21600000</v>
      </c>
      <c r="G35" s="62"/>
    </row>
    <row r="36" spans="1:7" ht="15.75" customHeight="1">
      <c r="A36" s="30">
        <v>16</v>
      </c>
      <c r="B36" s="81" t="s">
        <v>109</v>
      </c>
      <c r="C36" s="33">
        <v>472</v>
      </c>
      <c r="D36" s="23">
        <f>22872</f>
        <v>22872</v>
      </c>
      <c r="E36" s="23">
        <f t="shared" si="0"/>
        <v>10795584</v>
      </c>
      <c r="G36" s="62"/>
    </row>
    <row r="37" spans="1:7" ht="15.75" customHeight="1">
      <c r="A37" s="30">
        <v>17</v>
      </c>
      <c r="B37" s="22" t="s">
        <v>110</v>
      </c>
      <c r="C37" s="33">
        <f>C22-C36</f>
        <v>778</v>
      </c>
      <c r="D37" s="23">
        <v>3750</v>
      </c>
      <c r="E37" s="23">
        <f t="shared" si="0"/>
        <v>2917500</v>
      </c>
      <c r="G37" s="62"/>
    </row>
    <row r="38" spans="1:7" ht="15.75" customHeight="1">
      <c r="A38" s="30">
        <v>18</v>
      </c>
      <c r="B38" s="22" t="s">
        <v>111</v>
      </c>
      <c r="C38" s="33">
        <v>2400</v>
      </c>
      <c r="D38" s="23">
        <v>8307</v>
      </c>
      <c r="E38" s="23">
        <f t="shared" si="0"/>
        <v>19936800</v>
      </c>
      <c r="G38" s="62"/>
    </row>
    <row r="39" spans="1:7" ht="15.75" customHeight="1">
      <c r="A39" s="30">
        <v>19</v>
      </c>
      <c r="B39" s="22" t="s">
        <v>112</v>
      </c>
      <c r="C39" s="33">
        <v>2400</v>
      </c>
      <c r="D39" s="23">
        <v>5000</v>
      </c>
      <c r="E39" s="23">
        <f t="shared" si="0"/>
        <v>12000000</v>
      </c>
      <c r="G39" s="62"/>
    </row>
    <row r="40" spans="1:7" ht="15.75" customHeight="1">
      <c r="A40" s="30">
        <v>20</v>
      </c>
      <c r="B40" s="72" t="s">
        <v>81</v>
      </c>
      <c r="C40" s="33"/>
      <c r="D40" s="23"/>
      <c r="E40" s="23">
        <v>3172500</v>
      </c>
      <c r="G40" s="62"/>
    </row>
    <row r="41" spans="1:7" ht="15.75" customHeight="1">
      <c r="A41" s="30">
        <v>21</v>
      </c>
      <c r="B41" s="73" t="s">
        <v>74</v>
      </c>
      <c r="C41" s="33"/>
      <c r="D41" s="23"/>
      <c r="E41" s="23">
        <v>770000</v>
      </c>
      <c r="G41" s="62"/>
    </row>
    <row r="42" spans="1:7" ht="15.75" customHeight="1">
      <c r="A42" s="30">
        <v>22</v>
      </c>
      <c r="B42" s="72" t="s">
        <v>75</v>
      </c>
      <c r="C42" s="33"/>
      <c r="D42" s="23"/>
      <c r="E42" s="23">
        <v>1977525</v>
      </c>
      <c r="G42" s="62"/>
    </row>
    <row r="43" spans="1:7" ht="15.75" customHeight="1">
      <c r="A43" s="30">
        <v>23</v>
      </c>
      <c r="B43" s="73" t="s">
        <v>76</v>
      </c>
      <c r="C43" s="33"/>
      <c r="D43" s="23"/>
      <c r="E43" s="23">
        <v>186120</v>
      </c>
      <c r="G43" s="62"/>
    </row>
    <row r="44" spans="1:7" ht="15.75" customHeight="1">
      <c r="A44" s="30">
        <v>24</v>
      </c>
      <c r="B44" s="72" t="s">
        <v>77</v>
      </c>
      <c r="C44" s="33"/>
      <c r="D44" s="23"/>
      <c r="E44" s="23">
        <v>846000.1</v>
      </c>
      <c r="G44" s="62"/>
    </row>
    <row r="45" spans="1:7" ht="15.75" customHeight="1">
      <c r="A45" s="30">
        <v>25</v>
      </c>
      <c r="B45" s="73" t="s">
        <v>78</v>
      </c>
      <c r="C45" s="33"/>
      <c r="D45" s="23"/>
      <c r="E45" s="23">
        <v>4070000</v>
      </c>
      <c r="G45" s="62"/>
    </row>
    <row r="46" spans="1:7" ht="15.75" customHeight="1">
      <c r="A46" s="30">
        <v>26</v>
      </c>
      <c r="B46" s="73" t="s">
        <v>79</v>
      </c>
      <c r="C46" s="33"/>
      <c r="D46" s="23"/>
      <c r="E46" s="23">
        <v>220000</v>
      </c>
      <c r="G46" s="62"/>
    </row>
    <row r="47" spans="1:7" ht="15.75" customHeight="1">
      <c r="A47" s="30">
        <v>27</v>
      </c>
      <c r="B47" s="73" t="s">
        <v>80</v>
      </c>
      <c r="C47" s="33"/>
      <c r="D47" s="23"/>
      <c r="E47" s="23">
        <v>275000</v>
      </c>
      <c r="G47" s="62"/>
    </row>
    <row r="48" spans="1:7" ht="15.75" customHeight="1">
      <c r="A48" s="30">
        <v>28</v>
      </c>
      <c r="B48" s="22" t="s">
        <v>82</v>
      </c>
      <c r="C48" s="33"/>
      <c r="D48" s="23"/>
      <c r="E48" s="23">
        <v>350000</v>
      </c>
      <c r="G48" s="62"/>
    </row>
    <row r="49" spans="1:7" ht="15.75" customHeight="1">
      <c r="A49" s="30">
        <v>35</v>
      </c>
      <c r="B49" s="22" t="s">
        <v>52</v>
      </c>
      <c r="C49" s="33">
        <v>168</v>
      </c>
      <c r="D49" s="23">
        <v>21100</v>
      </c>
      <c r="E49" s="23">
        <f>C49*D49</f>
        <v>3544800</v>
      </c>
    </row>
    <row r="50" spans="1:7" ht="15.75" customHeight="1">
      <c r="A50" s="30"/>
      <c r="B50" s="25"/>
      <c r="C50" s="37"/>
      <c r="D50" s="26"/>
      <c r="E50" s="26"/>
    </row>
    <row r="51" spans="1:7" s="15" customFormat="1" ht="15.75" customHeight="1">
      <c r="A51" s="17"/>
      <c r="B51" s="17" t="s">
        <v>22</v>
      </c>
      <c r="C51" s="36"/>
      <c r="D51" s="18"/>
      <c r="E51" s="18">
        <f>SUM(E22:E50)</f>
        <v>397728789.10000002</v>
      </c>
      <c r="G51" s="14"/>
    </row>
    <row r="52" spans="1:7" ht="8.25" customHeight="1"/>
    <row r="53" spans="1:7" ht="15.75" customHeight="1">
      <c r="B53" s="14" t="s">
        <v>164</v>
      </c>
      <c r="E53" s="16">
        <f>G11</f>
        <v>523872000</v>
      </c>
      <c r="F53" s="14" t="s">
        <v>20</v>
      </c>
    </row>
    <row r="54" spans="1:7" ht="15.75" customHeight="1">
      <c r="B54" s="14" t="s">
        <v>12</v>
      </c>
      <c r="E54" s="51">
        <f>E51</f>
        <v>397728789.10000002</v>
      </c>
      <c r="F54" s="14" t="s">
        <v>20</v>
      </c>
    </row>
    <row r="55" spans="1:7" ht="9" customHeight="1">
      <c r="E55" s="51"/>
    </row>
    <row r="56" spans="1:7" s="15" customFormat="1" ht="15.75" customHeight="1">
      <c r="B56" s="15" t="s">
        <v>13</v>
      </c>
      <c r="C56" s="38"/>
      <c r="D56" s="32"/>
      <c r="E56" s="32">
        <f>E53-E54</f>
        <v>126143210.89999998</v>
      </c>
      <c r="F56" s="15" t="s">
        <v>20</v>
      </c>
    </row>
    <row r="57" spans="1:7">
      <c r="B57" s="15" t="s">
        <v>166</v>
      </c>
      <c r="C57" s="38"/>
      <c r="D57" s="32"/>
      <c r="E57" s="32">
        <f>G18</f>
        <v>282480000</v>
      </c>
      <c r="F57" s="15" t="s">
        <v>20</v>
      </c>
    </row>
    <row r="58" spans="1:7" ht="7.5" customHeight="1">
      <c r="B58" s="15"/>
      <c r="C58" s="38"/>
      <c r="D58" s="32"/>
      <c r="E58" s="32"/>
      <c r="F58" s="15"/>
    </row>
    <row r="59" spans="1:7" s="15" customFormat="1">
      <c r="B59" s="15" t="s">
        <v>167</v>
      </c>
      <c r="C59" s="38"/>
      <c r="D59" s="32"/>
      <c r="E59" s="32">
        <f>E57-E56</f>
        <v>156336789.10000002</v>
      </c>
      <c r="F59" s="15" t="s">
        <v>20</v>
      </c>
    </row>
  </sheetData>
  <mergeCells count="3">
    <mergeCell ref="A1:E1"/>
    <mergeCell ref="C19:D19"/>
    <mergeCell ref="B18:E18"/>
  </mergeCells>
  <phoneticPr fontId="2" type="noConversion"/>
  <pageMargins left="0.51" right="0.25" top="0.19" bottom="0.25" header="0" footer="0"/>
  <pageSetup paperSize="9" scale="8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K75"/>
  <sheetViews>
    <sheetView topLeftCell="C55" workbookViewId="0">
      <selection activeCell="C79" sqref="C79"/>
    </sheetView>
  </sheetViews>
  <sheetFormatPr defaultRowHeight="15.75"/>
  <cols>
    <col min="1" max="1" width="3.5" style="63" customWidth="1"/>
    <col min="2" max="2" width="29.625" style="63" customWidth="1"/>
    <col min="3" max="3" width="11" style="65" customWidth="1"/>
    <col min="4" max="4" width="9.875" style="66" customWidth="1"/>
    <col min="5" max="5" width="13.125" style="66" customWidth="1"/>
    <col min="6" max="6" width="13.375" style="63" customWidth="1"/>
    <col min="7" max="7" width="12.625" style="63" customWidth="1"/>
    <col min="8" max="8" width="13.5" style="63" customWidth="1"/>
    <col min="9" max="9" width="14.375" style="63" customWidth="1"/>
    <col min="10" max="10" width="14.5" style="63" customWidth="1"/>
    <col min="11" max="11" width="13.75" style="63" customWidth="1"/>
    <col min="12" max="16384" width="9" style="63"/>
  </cols>
  <sheetData>
    <row r="1" spans="1:11" ht="27.75" customHeight="1">
      <c r="A1" s="237" t="s">
        <v>84</v>
      </c>
      <c r="B1" s="237"/>
      <c r="C1" s="237"/>
      <c r="D1" s="237"/>
      <c r="E1" s="237"/>
      <c r="F1" s="64"/>
      <c r="G1" s="64"/>
      <c r="H1" s="64"/>
    </row>
    <row r="2" spans="1:11" s="156" customFormat="1" ht="39.75" customHeight="1">
      <c r="A2" s="151"/>
      <c r="B2" s="152" t="s">
        <v>18</v>
      </c>
      <c r="C2" s="153" t="s">
        <v>15</v>
      </c>
      <c r="D2" s="154" t="s">
        <v>16</v>
      </c>
      <c r="E2" s="154" t="s">
        <v>71</v>
      </c>
      <c r="F2" s="152" t="s">
        <v>47</v>
      </c>
      <c r="G2" s="154" t="s">
        <v>72</v>
      </c>
      <c r="H2" s="155"/>
    </row>
    <row r="3" spans="1:11" s="164" customFormat="1" ht="17.25" customHeight="1">
      <c r="A3" s="157"/>
      <c r="B3" s="158" t="s">
        <v>104</v>
      </c>
      <c r="C3" s="159"/>
      <c r="D3" s="160"/>
      <c r="E3" s="161"/>
      <c r="F3" s="160"/>
      <c r="G3" s="162"/>
      <c r="H3" s="163"/>
    </row>
    <row r="4" spans="1:11" s="164" customFormat="1" ht="17.25" customHeight="1">
      <c r="A4" s="157"/>
      <c r="B4" s="165" t="s">
        <v>85</v>
      </c>
      <c r="C4" s="166">
        <v>284</v>
      </c>
      <c r="D4" s="167">
        <v>12.4</v>
      </c>
      <c r="E4" s="168">
        <f>C4*D4</f>
        <v>3521.6</v>
      </c>
      <c r="F4" s="169"/>
      <c r="G4" s="170"/>
      <c r="H4" s="163"/>
    </row>
    <row r="5" spans="1:11" s="164" customFormat="1" ht="17.25" customHeight="1">
      <c r="B5" s="165" t="s">
        <v>90</v>
      </c>
      <c r="C5" s="166">
        <v>176</v>
      </c>
      <c r="D5" s="169">
        <v>10.8</v>
      </c>
      <c r="E5" s="168">
        <f>C5*D5</f>
        <v>1900.8000000000002</v>
      </c>
      <c r="F5" s="169"/>
      <c r="G5" s="170"/>
      <c r="H5" s="163"/>
    </row>
    <row r="6" spans="1:11" s="164" customFormat="1" ht="9" customHeight="1">
      <c r="B6" s="165"/>
      <c r="C6" s="166"/>
      <c r="D6" s="169"/>
      <c r="E6" s="171"/>
      <c r="F6" s="172"/>
      <c r="G6" s="173"/>
      <c r="H6" s="163"/>
    </row>
    <row r="7" spans="1:11" s="174" customFormat="1" ht="17.25" customHeight="1">
      <c r="B7" s="175" t="s">
        <v>43</v>
      </c>
      <c r="C7" s="149">
        <f>SUM(C3:C6)</f>
        <v>460</v>
      </c>
      <c r="D7" s="149"/>
      <c r="E7" s="149">
        <f>SUM(E3:E6)</f>
        <v>5422.4</v>
      </c>
      <c r="F7" s="149">
        <f>SUM(F3:F6)</f>
        <v>0</v>
      </c>
      <c r="G7" s="150">
        <f>SUM(G3:G6)</f>
        <v>0</v>
      </c>
      <c r="H7" s="176"/>
    </row>
    <row r="8" spans="1:11" s="174" customFormat="1" ht="17.25" customHeight="1">
      <c r="B8" s="158" t="s">
        <v>68</v>
      </c>
      <c r="C8" s="166"/>
      <c r="D8" s="177"/>
      <c r="E8" s="178"/>
      <c r="F8" s="178"/>
      <c r="G8" s="177"/>
      <c r="H8" s="176"/>
    </row>
    <row r="9" spans="1:11" s="164" customFormat="1" ht="17.25" customHeight="1">
      <c r="A9" s="157"/>
      <c r="B9" s="165" t="s">
        <v>85</v>
      </c>
      <c r="C9" s="166">
        <v>284</v>
      </c>
      <c r="D9" s="167"/>
      <c r="E9" s="168">
        <f>C9*D9</f>
        <v>0</v>
      </c>
      <c r="F9" s="169"/>
      <c r="G9" s="170"/>
      <c r="H9" s="163"/>
    </row>
    <row r="10" spans="1:11" s="164" customFormat="1" ht="17.25" customHeight="1">
      <c r="B10" s="165" t="s">
        <v>90</v>
      </c>
      <c r="C10" s="166">
        <v>176</v>
      </c>
      <c r="D10" s="169"/>
      <c r="E10" s="168">
        <f>C10*D10</f>
        <v>0</v>
      </c>
      <c r="F10" s="165"/>
      <c r="G10" s="148"/>
      <c r="H10" s="179"/>
    </row>
    <row r="11" spans="1:11" s="164" customFormat="1" ht="9" customHeight="1">
      <c r="B11" s="180"/>
      <c r="C11" s="181"/>
      <c r="D11" s="182"/>
      <c r="E11" s="183"/>
      <c r="F11" s="180"/>
      <c r="G11" s="184"/>
      <c r="H11" s="179"/>
    </row>
    <row r="12" spans="1:11" s="174" customFormat="1" ht="17.25" customHeight="1">
      <c r="B12" s="175" t="s">
        <v>43</v>
      </c>
      <c r="C12" s="149">
        <f>SUM(C8:C10)</f>
        <v>460</v>
      </c>
      <c r="D12" s="149"/>
      <c r="E12" s="149">
        <f>SUM(E8:E10)</f>
        <v>0</v>
      </c>
      <c r="F12" s="149">
        <f>SUM(F8:F10)</f>
        <v>0</v>
      </c>
      <c r="G12" s="150">
        <f>SUM(G8:G10)</f>
        <v>0</v>
      </c>
      <c r="H12" s="176"/>
      <c r="I12" s="174" t="s">
        <v>173</v>
      </c>
    </row>
    <row r="13" spans="1:11" s="164" customFormat="1" ht="6.75" customHeight="1">
      <c r="B13" s="165"/>
      <c r="C13" s="166"/>
      <c r="D13" s="169"/>
      <c r="E13" s="171"/>
      <c r="F13" s="165"/>
      <c r="G13" s="148"/>
      <c r="H13" s="179"/>
    </row>
    <row r="14" spans="1:11" s="164" customFormat="1" ht="17.25" customHeight="1">
      <c r="B14" s="185" t="s">
        <v>50</v>
      </c>
      <c r="C14" s="166"/>
      <c r="D14" s="169"/>
      <c r="E14" s="171"/>
      <c r="F14" s="165"/>
      <c r="G14" s="148"/>
      <c r="H14" s="179"/>
      <c r="I14" s="199"/>
      <c r="J14" s="199" t="s">
        <v>171</v>
      </c>
      <c r="K14" s="199" t="s">
        <v>172</v>
      </c>
    </row>
    <row r="15" spans="1:11" s="164" customFormat="1" ht="17.25" customHeight="1">
      <c r="B15" s="186" t="s">
        <v>161</v>
      </c>
      <c r="C15" s="187"/>
      <c r="D15" s="188"/>
      <c r="E15" s="147"/>
      <c r="F15" s="186"/>
      <c r="G15" s="148">
        <v>600000000</v>
      </c>
      <c r="H15" s="179"/>
      <c r="I15" s="162"/>
      <c r="J15" s="162"/>
      <c r="K15" s="162"/>
    </row>
    <row r="16" spans="1:11" s="164" customFormat="1" ht="17.25" customHeight="1">
      <c r="B16" s="186" t="s">
        <v>158</v>
      </c>
      <c r="C16" s="187"/>
      <c r="D16" s="188"/>
      <c r="E16" s="147"/>
      <c r="F16" s="147">
        <v>5419.77</v>
      </c>
      <c r="G16" s="148">
        <f>F16*21400</f>
        <v>115983078.00000001</v>
      </c>
      <c r="H16" s="179"/>
      <c r="I16" s="170"/>
      <c r="J16" s="171">
        <v>30000</v>
      </c>
      <c r="K16" s="170"/>
    </row>
    <row r="17" spans="1:11" s="164" customFormat="1" ht="17.25" customHeight="1">
      <c r="B17" s="186" t="s">
        <v>159</v>
      </c>
      <c r="C17" s="187"/>
      <c r="D17" s="188"/>
      <c r="E17" s="147"/>
      <c r="F17" s="147">
        <f>E7-F16</f>
        <v>2.6299999999991996</v>
      </c>
      <c r="G17" s="148">
        <f>F17*21400</f>
        <v>56281.999999982872</v>
      </c>
      <c r="H17" s="179"/>
      <c r="I17" s="170"/>
      <c r="J17" s="171"/>
      <c r="K17" s="170"/>
    </row>
    <row r="18" spans="1:11" s="164" customFormat="1" ht="8.25" customHeight="1">
      <c r="B18" s="189"/>
      <c r="C18" s="190"/>
      <c r="D18" s="172"/>
      <c r="E18" s="191"/>
      <c r="F18" s="172"/>
      <c r="G18" s="173"/>
      <c r="H18" s="163"/>
      <c r="I18" s="189"/>
      <c r="J18" s="189"/>
      <c r="K18" s="189"/>
    </row>
    <row r="19" spans="1:11" s="174" customFormat="1" ht="17.25" customHeight="1">
      <c r="B19" s="175" t="s">
        <v>43</v>
      </c>
      <c r="C19" s="149">
        <f>SUM(C14:C18)</f>
        <v>0</v>
      </c>
      <c r="D19" s="149">
        <f>SUM(D14:D18)</f>
        <v>0</v>
      </c>
      <c r="E19" s="149">
        <f>SUM(E14:E18)</f>
        <v>0</v>
      </c>
      <c r="F19" s="149">
        <f>SUM(F14:F18)</f>
        <v>5422.4</v>
      </c>
      <c r="G19" s="150">
        <f>SUM(G14:G18)</f>
        <v>716039360</v>
      </c>
      <c r="H19" s="176"/>
      <c r="I19" s="175" t="s">
        <v>175</v>
      </c>
      <c r="J19" s="201">
        <f>SUM(J15:J18)</f>
        <v>30000</v>
      </c>
      <c r="K19" s="200">
        <f>SUM(K15:K18)</f>
        <v>0</v>
      </c>
    </row>
    <row r="20" spans="1:11" ht="11.25" customHeight="1">
      <c r="B20" s="67"/>
      <c r="C20" s="238"/>
      <c r="D20" s="238"/>
      <c r="E20" s="68"/>
      <c r="H20" s="69"/>
    </row>
    <row r="21" spans="1:11" ht="18.75" customHeight="1">
      <c r="A21" s="64" t="s">
        <v>10</v>
      </c>
    </row>
    <row r="22" spans="1:11" s="64" customFormat="1" ht="18.75" customHeight="1">
      <c r="A22" s="241" t="s">
        <v>14</v>
      </c>
      <c r="B22" s="241" t="s">
        <v>18</v>
      </c>
      <c r="C22" s="242" t="s">
        <v>117</v>
      </c>
      <c r="D22" s="242"/>
      <c r="E22" s="242"/>
      <c r="F22" s="222" t="s">
        <v>102</v>
      </c>
      <c r="G22" s="222"/>
      <c r="H22" s="222"/>
      <c r="I22" s="222" t="s">
        <v>100</v>
      </c>
      <c r="J22" s="222"/>
      <c r="K22" s="222"/>
    </row>
    <row r="23" spans="1:11" s="110" customFormat="1" ht="36.75" customHeight="1">
      <c r="A23" s="241"/>
      <c r="B23" s="241"/>
      <c r="C23" s="87" t="s">
        <v>15</v>
      </c>
      <c r="D23" s="88" t="s">
        <v>16</v>
      </c>
      <c r="E23" s="88" t="s">
        <v>17</v>
      </c>
      <c r="F23" s="87" t="s">
        <v>15</v>
      </c>
      <c r="G23" s="88" t="s">
        <v>16</v>
      </c>
      <c r="H23" s="88" t="s">
        <v>17</v>
      </c>
      <c r="I23" s="87" t="s">
        <v>15</v>
      </c>
      <c r="J23" s="88" t="s">
        <v>16</v>
      </c>
      <c r="K23" s="88" t="s">
        <v>17</v>
      </c>
    </row>
    <row r="24" spans="1:11" s="138" customFormat="1" ht="15.75" customHeight="1">
      <c r="A24" s="127">
        <v>1</v>
      </c>
      <c r="B24" s="137" t="s">
        <v>34</v>
      </c>
      <c r="C24" s="92">
        <v>1521</v>
      </c>
      <c r="D24" s="95">
        <v>175000</v>
      </c>
      <c r="E24" s="95">
        <f t="shared" ref="E24:E45" si="0">C24*D24</f>
        <v>266175000</v>
      </c>
      <c r="F24" s="137"/>
      <c r="G24" s="95"/>
      <c r="H24" s="95">
        <f>F24*G24</f>
        <v>0</v>
      </c>
      <c r="I24" s="136"/>
      <c r="J24" s="136"/>
      <c r="K24" s="95">
        <f>I24*J24</f>
        <v>0</v>
      </c>
    </row>
    <row r="25" spans="1:11" s="138" customFormat="1" ht="15.75" customHeight="1">
      <c r="A25" s="127">
        <v>2</v>
      </c>
      <c r="B25" s="139" t="s">
        <v>91</v>
      </c>
      <c r="C25" s="96"/>
      <c r="D25" s="99"/>
      <c r="E25" s="99"/>
      <c r="F25" s="139"/>
      <c r="G25" s="99"/>
      <c r="H25" s="99"/>
      <c r="I25" s="96">
        <v>192</v>
      </c>
      <c r="J25" s="99">
        <v>85000</v>
      </c>
      <c r="K25" s="99">
        <f t="shared" ref="K25:K31" si="1">I25*J25</f>
        <v>16320000</v>
      </c>
    </row>
    <row r="26" spans="1:11" s="138" customFormat="1" ht="15.75" customHeight="1">
      <c r="A26" s="127">
        <v>3</v>
      </c>
      <c r="B26" s="139" t="s">
        <v>1</v>
      </c>
      <c r="C26" s="96">
        <v>455</v>
      </c>
      <c r="D26" s="99">
        <v>16400</v>
      </c>
      <c r="E26" s="99">
        <f t="shared" si="0"/>
        <v>7462000</v>
      </c>
      <c r="F26" s="96">
        <v>525</v>
      </c>
      <c r="G26" s="99">
        <v>16400</v>
      </c>
      <c r="H26" s="99">
        <f t="shared" ref="H26:H45" si="2">F26*G26</f>
        <v>8610000</v>
      </c>
      <c r="I26" s="96">
        <f>96+36</f>
        <v>132</v>
      </c>
      <c r="J26" s="99">
        <v>16400</v>
      </c>
      <c r="K26" s="99">
        <f t="shared" si="1"/>
        <v>2164800</v>
      </c>
    </row>
    <row r="27" spans="1:11" s="138" customFormat="1" ht="15.75" customHeight="1">
      <c r="A27" s="127">
        <v>4</v>
      </c>
      <c r="B27" s="139" t="s">
        <v>3</v>
      </c>
      <c r="C27" s="96">
        <v>85</v>
      </c>
      <c r="D27" s="99">
        <v>38000</v>
      </c>
      <c r="E27" s="99">
        <f t="shared" si="0"/>
        <v>3230000</v>
      </c>
      <c r="F27" s="96">
        <v>15</v>
      </c>
      <c r="G27" s="99">
        <v>38000</v>
      </c>
      <c r="H27" s="99">
        <f t="shared" si="2"/>
        <v>570000</v>
      </c>
      <c r="I27" s="96">
        <f>4.8+2.5</f>
        <v>7.3</v>
      </c>
      <c r="J27" s="99">
        <v>38000</v>
      </c>
      <c r="K27" s="99">
        <f t="shared" si="1"/>
        <v>277400</v>
      </c>
    </row>
    <row r="28" spans="1:11" s="138" customFormat="1" ht="15.75" customHeight="1">
      <c r="A28" s="127">
        <v>5</v>
      </c>
      <c r="B28" s="139" t="s">
        <v>2</v>
      </c>
      <c r="C28" s="96">
        <v>1060</v>
      </c>
      <c r="D28" s="99">
        <v>80000</v>
      </c>
      <c r="E28" s="99">
        <f t="shared" si="0"/>
        <v>84800000</v>
      </c>
      <c r="F28" s="139"/>
      <c r="G28" s="99"/>
      <c r="H28" s="99">
        <f t="shared" si="2"/>
        <v>0</v>
      </c>
      <c r="I28" s="96">
        <v>90</v>
      </c>
      <c r="J28" s="99">
        <v>80000</v>
      </c>
      <c r="K28" s="99">
        <f t="shared" si="1"/>
        <v>7200000</v>
      </c>
    </row>
    <row r="29" spans="1:11" s="138" customFormat="1" ht="15.75" customHeight="1">
      <c r="A29" s="127">
        <v>6</v>
      </c>
      <c r="B29" s="139" t="s">
        <v>30</v>
      </c>
      <c r="C29" s="96">
        <v>180</v>
      </c>
      <c r="D29" s="99">
        <v>66000</v>
      </c>
      <c r="E29" s="99">
        <f t="shared" si="0"/>
        <v>11880000</v>
      </c>
      <c r="F29" s="96">
        <v>350</v>
      </c>
      <c r="G29" s="99">
        <v>66000</v>
      </c>
      <c r="H29" s="99">
        <f t="shared" si="2"/>
        <v>23100000</v>
      </c>
      <c r="I29" s="96">
        <f>32+24</f>
        <v>56</v>
      </c>
      <c r="J29" s="99">
        <v>66000</v>
      </c>
      <c r="K29" s="99">
        <f t="shared" si="1"/>
        <v>3696000</v>
      </c>
    </row>
    <row r="30" spans="1:11" s="138" customFormat="1" ht="15.75" customHeight="1">
      <c r="A30" s="127">
        <v>7</v>
      </c>
      <c r="B30" s="139" t="s">
        <v>105</v>
      </c>
      <c r="C30" s="96"/>
      <c r="D30" s="99">
        <v>220000</v>
      </c>
      <c r="E30" s="99">
        <f t="shared" si="0"/>
        <v>0</v>
      </c>
      <c r="F30" s="96">
        <v>10.5</v>
      </c>
      <c r="G30" s="99">
        <v>220000</v>
      </c>
      <c r="H30" s="99">
        <f t="shared" si="2"/>
        <v>2310000</v>
      </c>
      <c r="I30" s="96"/>
      <c r="J30" s="99"/>
      <c r="K30" s="99">
        <f t="shared" si="1"/>
        <v>0</v>
      </c>
    </row>
    <row r="31" spans="1:11" s="138" customFormat="1" ht="15.75" customHeight="1">
      <c r="A31" s="127">
        <v>8</v>
      </c>
      <c r="B31" s="139" t="s">
        <v>106</v>
      </c>
      <c r="C31" s="96"/>
      <c r="D31" s="99">
        <v>60000</v>
      </c>
      <c r="E31" s="99">
        <f t="shared" si="0"/>
        <v>0</v>
      </c>
      <c r="F31" s="96">
        <v>21</v>
      </c>
      <c r="G31" s="99">
        <v>60000</v>
      </c>
      <c r="H31" s="99">
        <f t="shared" si="2"/>
        <v>1260000</v>
      </c>
      <c r="I31" s="96"/>
      <c r="J31" s="99"/>
      <c r="K31" s="99">
        <f t="shared" si="1"/>
        <v>0</v>
      </c>
    </row>
    <row r="32" spans="1:11" s="138" customFormat="1" ht="15.75" customHeight="1">
      <c r="A32" s="127">
        <v>9</v>
      </c>
      <c r="B32" s="139" t="s">
        <v>27</v>
      </c>
      <c r="C32" s="96">
        <v>44</v>
      </c>
      <c r="D32" s="99">
        <v>6600</v>
      </c>
      <c r="E32" s="99">
        <f t="shared" si="0"/>
        <v>290400</v>
      </c>
      <c r="F32" s="139"/>
      <c r="G32" s="99"/>
      <c r="H32" s="99">
        <f t="shared" si="2"/>
        <v>0</v>
      </c>
      <c r="I32" s="96">
        <v>10</v>
      </c>
      <c r="J32" s="99">
        <v>6600</v>
      </c>
      <c r="K32" s="99">
        <f t="shared" ref="K32:K45" si="3">I32*J32</f>
        <v>66000</v>
      </c>
    </row>
    <row r="33" spans="1:11" s="138" customFormat="1" ht="15.75" customHeight="1">
      <c r="A33" s="127">
        <v>10</v>
      </c>
      <c r="B33" s="139" t="s">
        <v>87</v>
      </c>
      <c r="C33" s="96">
        <v>5.5</v>
      </c>
      <c r="D33" s="99">
        <v>100000</v>
      </c>
      <c r="E33" s="99">
        <f t="shared" si="0"/>
        <v>550000</v>
      </c>
      <c r="F33" s="139"/>
      <c r="G33" s="99"/>
      <c r="H33" s="99">
        <f t="shared" si="2"/>
        <v>0</v>
      </c>
      <c r="I33" s="96">
        <v>5.5</v>
      </c>
      <c r="J33" s="99">
        <v>100000</v>
      </c>
      <c r="K33" s="99">
        <f t="shared" si="3"/>
        <v>550000</v>
      </c>
    </row>
    <row r="34" spans="1:11" s="138" customFormat="1" ht="15.75" customHeight="1">
      <c r="A34" s="127">
        <v>11</v>
      </c>
      <c r="B34" s="139" t="s">
        <v>88</v>
      </c>
      <c r="C34" s="96">
        <v>3.5</v>
      </c>
      <c r="D34" s="99">
        <v>220000</v>
      </c>
      <c r="E34" s="99">
        <f t="shared" si="0"/>
        <v>770000</v>
      </c>
      <c r="F34" s="139"/>
      <c r="G34" s="99"/>
      <c r="H34" s="99">
        <f t="shared" si="2"/>
        <v>0</v>
      </c>
      <c r="I34" s="96">
        <v>3.5</v>
      </c>
      <c r="J34" s="99">
        <v>220000</v>
      </c>
      <c r="K34" s="99">
        <f t="shared" si="3"/>
        <v>770000</v>
      </c>
    </row>
    <row r="35" spans="1:11" s="138" customFormat="1" ht="15.75" customHeight="1">
      <c r="A35" s="127">
        <v>12</v>
      </c>
      <c r="B35" s="139" t="s">
        <v>41</v>
      </c>
      <c r="C35" s="96">
        <v>300</v>
      </c>
      <c r="D35" s="99">
        <v>15064</v>
      </c>
      <c r="E35" s="99">
        <f t="shared" si="0"/>
        <v>4519200</v>
      </c>
      <c r="F35" s="96">
        <v>181</v>
      </c>
      <c r="G35" s="99">
        <v>40000</v>
      </c>
      <c r="H35" s="99">
        <f t="shared" si="2"/>
        <v>7240000</v>
      </c>
      <c r="I35" s="96">
        <v>460</v>
      </c>
      <c r="J35" s="99">
        <v>15000</v>
      </c>
      <c r="K35" s="99">
        <f t="shared" si="3"/>
        <v>6900000</v>
      </c>
    </row>
    <row r="36" spans="1:11" s="138" customFormat="1" ht="15.75" customHeight="1">
      <c r="A36" s="127">
        <v>13</v>
      </c>
      <c r="B36" s="139" t="s">
        <v>89</v>
      </c>
      <c r="C36" s="96">
        <v>600</v>
      </c>
      <c r="D36" s="99">
        <v>40000</v>
      </c>
      <c r="E36" s="99">
        <f t="shared" si="0"/>
        <v>24000000</v>
      </c>
      <c r="F36" s="139"/>
      <c r="G36" s="99"/>
      <c r="H36" s="99">
        <f t="shared" si="2"/>
        <v>0</v>
      </c>
      <c r="I36" s="139"/>
      <c r="J36" s="105"/>
      <c r="K36" s="99">
        <f t="shared" si="3"/>
        <v>0</v>
      </c>
    </row>
    <row r="37" spans="1:11" s="138" customFormat="1" ht="15.75" customHeight="1">
      <c r="A37" s="127">
        <v>14</v>
      </c>
      <c r="B37" s="139" t="s">
        <v>86</v>
      </c>
      <c r="C37" s="96">
        <v>36</v>
      </c>
      <c r="D37" s="99">
        <v>46200</v>
      </c>
      <c r="E37" s="99">
        <f t="shared" si="0"/>
        <v>1663200</v>
      </c>
      <c r="F37" s="139"/>
      <c r="G37" s="99"/>
      <c r="H37" s="99">
        <f t="shared" si="2"/>
        <v>0</v>
      </c>
      <c r="I37" s="96">
        <v>15</v>
      </c>
      <c r="J37" s="99">
        <v>46200</v>
      </c>
      <c r="K37" s="99">
        <f t="shared" si="3"/>
        <v>693000</v>
      </c>
    </row>
    <row r="38" spans="1:11" s="138" customFormat="1" ht="15.75" customHeight="1">
      <c r="A38" s="127">
        <v>15</v>
      </c>
      <c r="B38" s="139" t="s">
        <v>35</v>
      </c>
      <c r="C38" s="96">
        <v>24</v>
      </c>
      <c r="D38" s="99">
        <v>11000</v>
      </c>
      <c r="E38" s="99">
        <f t="shared" si="0"/>
        <v>264000</v>
      </c>
      <c r="F38" s="96">
        <v>18</v>
      </c>
      <c r="G38" s="99">
        <v>11000</v>
      </c>
      <c r="H38" s="99">
        <f t="shared" si="2"/>
        <v>198000</v>
      </c>
      <c r="I38" s="96">
        <v>10</v>
      </c>
      <c r="J38" s="99">
        <v>11000</v>
      </c>
      <c r="K38" s="99">
        <f t="shared" si="3"/>
        <v>110000</v>
      </c>
    </row>
    <row r="39" spans="1:11" s="138" customFormat="1" ht="15.75" customHeight="1">
      <c r="A39" s="127">
        <v>16</v>
      </c>
      <c r="B39" s="139" t="s">
        <v>36</v>
      </c>
      <c r="C39" s="96">
        <v>7.5</v>
      </c>
      <c r="D39" s="99">
        <v>120000</v>
      </c>
      <c r="E39" s="99">
        <f t="shared" si="0"/>
        <v>900000</v>
      </c>
      <c r="F39" s="96">
        <v>6.5</v>
      </c>
      <c r="G39" s="99">
        <v>120000</v>
      </c>
      <c r="H39" s="99">
        <f t="shared" si="2"/>
        <v>780000</v>
      </c>
      <c r="I39" s="96">
        <v>3.5</v>
      </c>
      <c r="J39" s="99">
        <v>120000</v>
      </c>
      <c r="K39" s="99">
        <f t="shared" si="3"/>
        <v>420000</v>
      </c>
    </row>
    <row r="40" spans="1:11" s="138" customFormat="1" ht="15.75" customHeight="1">
      <c r="A40" s="127">
        <v>17</v>
      </c>
      <c r="B40" s="139" t="s">
        <v>37</v>
      </c>
      <c r="C40" s="96">
        <v>0.5</v>
      </c>
      <c r="D40" s="99">
        <v>120000</v>
      </c>
      <c r="E40" s="99">
        <f t="shared" si="0"/>
        <v>60000</v>
      </c>
      <c r="F40" s="96">
        <v>0.5</v>
      </c>
      <c r="G40" s="99">
        <v>120000</v>
      </c>
      <c r="H40" s="99">
        <f t="shared" si="2"/>
        <v>60000</v>
      </c>
      <c r="I40" s="96">
        <v>2.5</v>
      </c>
      <c r="J40" s="99">
        <v>120000</v>
      </c>
      <c r="K40" s="99">
        <f t="shared" si="3"/>
        <v>300000</v>
      </c>
    </row>
    <row r="41" spans="1:11" s="138" customFormat="1" ht="15.75" customHeight="1">
      <c r="A41" s="127">
        <v>18</v>
      </c>
      <c r="B41" s="139" t="s">
        <v>38</v>
      </c>
      <c r="C41" s="96">
        <v>2960</v>
      </c>
      <c r="D41" s="99">
        <v>9000</v>
      </c>
      <c r="E41" s="99">
        <f t="shared" si="0"/>
        <v>26640000</v>
      </c>
      <c r="F41" s="96">
        <v>1816</v>
      </c>
      <c r="G41" s="99">
        <v>9000</v>
      </c>
      <c r="H41" s="99">
        <f t="shared" si="2"/>
        <v>16344000</v>
      </c>
      <c r="I41" s="96">
        <v>950</v>
      </c>
      <c r="J41" s="99">
        <v>12000</v>
      </c>
      <c r="K41" s="99">
        <f t="shared" si="3"/>
        <v>11400000</v>
      </c>
    </row>
    <row r="42" spans="1:11" s="138" customFormat="1" ht="15.75" customHeight="1">
      <c r="A42" s="127">
        <v>19</v>
      </c>
      <c r="B42" s="139" t="s">
        <v>109</v>
      </c>
      <c r="C42" s="96">
        <v>612</v>
      </c>
      <c r="D42" s="99">
        <f>22872</f>
        <v>22872</v>
      </c>
      <c r="E42" s="99">
        <f t="shared" si="0"/>
        <v>13997664</v>
      </c>
      <c r="F42" s="139"/>
      <c r="G42" s="99"/>
      <c r="H42" s="99">
        <f t="shared" si="2"/>
        <v>0</v>
      </c>
      <c r="I42" s="96">
        <v>95</v>
      </c>
      <c r="J42" s="99">
        <f>22872</f>
        <v>22872</v>
      </c>
      <c r="K42" s="99">
        <f t="shared" si="3"/>
        <v>2172840</v>
      </c>
    </row>
    <row r="43" spans="1:11" s="138" customFormat="1" ht="15.75" customHeight="1">
      <c r="A43" s="127">
        <v>20</v>
      </c>
      <c r="B43" s="139" t="s">
        <v>110</v>
      </c>
      <c r="C43" s="96">
        <f>C24-C42</f>
        <v>909</v>
      </c>
      <c r="D43" s="99">
        <v>3750</v>
      </c>
      <c r="E43" s="99">
        <f t="shared" si="0"/>
        <v>3408750</v>
      </c>
      <c r="F43" s="139"/>
      <c r="G43" s="99"/>
      <c r="H43" s="99">
        <f t="shared" si="2"/>
        <v>0</v>
      </c>
      <c r="I43" s="96">
        <f>I26-I42</f>
        <v>37</v>
      </c>
      <c r="J43" s="99">
        <v>3750</v>
      </c>
      <c r="K43" s="99">
        <f t="shared" si="3"/>
        <v>138750</v>
      </c>
    </row>
    <row r="44" spans="1:11" s="138" customFormat="1" ht="15.75" customHeight="1">
      <c r="A44" s="127">
        <v>21</v>
      </c>
      <c r="B44" s="139" t="s">
        <v>126</v>
      </c>
      <c r="C44" s="96">
        <f>C41</f>
        <v>2960</v>
      </c>
      <c r="D44" s="99">
        <v>3000</v>
      </c>
      <c r="E44" s="99">
        <f t="shared" si="0"/>
        <v>8880000</v>
      </c>
      <c r="F44" s="96">
        <v>1816</v>
      </c>
      <c r="G44" s="99">
        <v>3000</v>
      </c>
      <c r="H44" s="99">
        <f t="shared" si="2"/>
        <v>5448000</v>
      </c>
      <c r="I44" s="96">
        <v>950</v>
      </c>
      <c r="J44" s="99">
        <v>3000</v>
      </c>
      <c r="K44" s="99">
        <f t="shared" si="3"/>
        <v>2850000</v>
      </c>
    </row>
    <row r="45" spans="1:11" s="138" customFormat="1" ht="15.75" customHeight="1">
      <c r="A45" s="127">
        <v>22</v>
      </c>
      <c r="B45" s="139" t="s">
        <v>112</v>
      </c>
      <c r="C45" s="96">
        <f>C41</f>
        <v>2960</v>
      </c>
      <c r="D45" s="99">
        <v>3500</v>
      </c>
      <c r="E45" s="99">
        <f t="shared" si="0"/>
        <v>10360000</v>
      </c>
      <c r="F45" s="96">
        <v>1816</v>
      </c>
      <c r="G45" s="99">
        <v>3500</v>
      </c>
      <c r="H45" s="99">
        <f t="shared" si="2"/>
        <v>6356000</v>
      </c>
      <c r="I45" s="96">
        <v>950</v>
      </c>
      <c r="J45" s="99">
        <v>3500</v>
      </c>
      <c r="K45" s="99">
        <f t="shared" si="3"/>
        <v>3325000</v>
      </c>
    </row>
    <row r="46" spans="1:11" s="138" customFormat="1" ht="15.75" customHeight="1">
      <c r="A46" s="80">
        <v>23</v>
      </c>
      <c r="B46" s="139" t="s">
        <v>143</v>
      </c>
      <c r="C46" s="96"/>
      <c r="D46" s="99"/>
      <c r="E46" s="99"/>
      <c r="F46" s="96"/>
      <c r="G46" s="99"/>
      <c r="H46" s="99"/>
      <c r="I46" s="96"/>
      <c r="J46" s="99"/>
      <c r="K46" s="99">
        <v>15773835</v>
      </c>
    </row>
    <row r="47" spans="1:11" s="138" customFormat="1" ht="15.75" customHeight="1">
      <c r="A47" s="80">
        <v>24</v>
      </c>
      <c r="B47" s="139" t="s">
        <v>78</v>
      </c>
      <c r="C47" s="96"/>
      <c r="D47" s="99"/>
      <c r="E47" s="99"/>
      <c r="F47" s="96"/>
      <c r="G47" s="99"/>
      <c r="H47" s="99"/>
      <c r="I47" s="96"/>
      <c r="J47" s="99"/>
      <c r="K47" s="99">
        <v>5090000</v>
      </c>
    </row>
    <row r="48" spans="1:11" ht="15.75" customHeight="1">
      <c r="A48" s="80">
        <v>25</v>
      </c>
      <c r="B48" s="81" t="s">
        <v>92</v>
      </c>
      <c r="C48" s="96"/>
      <c r="D48" s="99"/>
      <c r="E48" s="99"/>
      <c r="F48" s="96"/>
      <c r="G48" s="99"/>
      <c r="H48" s="99"/>
      <c r="I48" s="96"/>
      <c r="J48" s="96"/>
      <c r="K48" s="99">
        <v>5000000</v>
      </c>
    </row>
    <row r="49" spans="1:11" ht="6" customHeight="1">
      <c r="A49" s="127"/>
      <c r="B49" s="130"/>
      <c r="C49" s="128"/>
      <c r="D49" s="129"/>
      <c r="E49" s="129"/>
      <c r="F49" s="130"/>
      <c r="G49" s="130"/>
      <c r="H49" s="130"/>
      <c r="I49" s="130"/>
      <c r="J49" s="130"/>
      <c r="K49" s="130"/>
    </row>
    <row r="50" spans="1:11" s="64" customFormat="1" ht="15.75" customHeight="1">
      <c r="A50" s="77"/>
      <c r="B50" s="77" t="s">
        <v>22</v>
      </c>
      <c r="C50" s="100"/>
      <c r="D50" s="101"/>
      <c r="E50" s="101">
        <f>SUM(E24:E49)</f>
        <v>469850214</v>
      </c>
      <c r="F50" s="101"/>
      <c r="G50" s="101"/>
      <c r="H50" s="101">
        <f>SUM(H24:H49)</f>
        <v>72276000</v>
      </c>
      <c r="I50" s="101"/>
      <c r="J50" s="101"/>
      <c r="K50" s="101">
        <f>SUM(K24:K49)</f>
        <v>85217625</v>
      </c>
    </row>
    <row r="51" spans="1:11" ht="8.25" customHeight="1"/>
    <row r="53" spans="1:11" ht="17.25" customHeight="1">
      <c r="A53" s="121"/>
      <c r="B53" s="116" t="s">
        <v>101</v>
      </c>
      <c r="C53" s="74" t="s">
        <v>95</v>
      </c>
      <c r="D53" s="74" t="s">
        <v>96</v>
      </c>
      <c r="E53" s="122"/>
      <c r="F53" s="222" t="s">
        <v>93</v>
      </c>
      <c r="G53" s="230"/>
      <c r="H53" s="230"/>
      <c r="I53" s="101" t="s">
        <v>119</v>
      </c>
      <c r="J53" s="101" t="s">
        <v>120</v>
      </c>
    </row>
    <row r="54" spans="1:11" ht="17.25" customHeight="1">
      <c r="A54" s="131"/>
      <c r="B54" s="135" t="s">
        <v>113</v>
      </c>
      <c r="C54" s="133" t="s">
        <v>114</v>
      </c>
      <c r="D54" s="134">
        <v>360</v>
      </c>
      <c r="E54" s="132"/>
      <c r="F54" s="231" t="s">
        <v>113</v>
      </c>
      <c r="G54" s="232"/>
      <c r="H54" s="233"/>
      <c r="I54" s="95"/>
      <c r="J54" s="95">
        <v>40900000</v>
      </c>
    </row>
    <row r="55" spans="1:11" ht="17.25" customHeight="1">
      <c r="A55" s="117"/>
      <c r="B55" s="99" t="s">
        <v>100</v>
      </c>
      <c r="C55" s="126" t="s">
        <v>99</v>
      </c>
      <c r="D55" s="96">
        <f>63*8</f>
        <v>504</v>
      </c>
      <c r="E55" s="122"/>
      <c r="F55" s="223" t="s">
        <v>118</v>
      </c>
      <c r="G55" s="224"/>
      <c r="H55" s="225"/>
      <c r="I55" s="99">
        <f>E50</f>
        <v>469850214</v>
      </c>
      <c r="J55" s="99"/>
    </row>
    <row r="56" spans="1:11" ht="17.25" customHeight="1">
      <c r="A56" s="117"/>
      <c r="B56" s="99" t="s">
        <v>102</v>
      </c>
      <c r="C56" s="126" t="s">
        <v>103</v>
      </c>
      <c r="D56" s="96">
        <f>208*8</f>
        <v>1664</v>
      </c>
      <c r="E56" s="132"/>
      <c r="F56" s="223" t="s">
        <v>116</v>
      </c>
      <c r="G56" s="224"/>
      <c r="H56" s="225"/>
      <c r="I56" s="99">
        <f>H50</f>
        <v>72276000</v>
      </c>
      <c r="J56" s="99">
        <v>447890976</v>
      </c>
    </row>
    <row r="57" spans="1:11" ht="17.25" customHeight="1">
      <c r="A57" s="112"/>
      <c r="B57" s="114" t="s">
        <v>94</v>
      </c>
      <c r="C57" s="126" t="s">
        <v>98</v>
      </c>
      <c r="D57" s="96">
        <f>54*8</f>
        <v>432</v>
      </c>
      <c r="E57" s="122"/>
      <c r="F57" s="226" t="s">
        <v>115</v>
      </c>
      <c r="G57" s="227"/>
      <c r="H57" s="228"/>
      <c r="I57" s="196">
        <f>K50</f>
        <v>85217625</v>
      </c>
      <c r="J57" s="196">
        <f>G16+G17</f>
        <v>116039360</v>
      </c>
    </row>
    <row r="58" spans="1:11" ht="17.25" customHeight="1">
      <c r="A58" s="113"/>
      <c r="B58" s="109"/>
      <c r="C58" s="83"/>
      <c r="D58" s="106"/>
      <c r="E58" s="122"/>
      <c r="F58" s="229"/>
      <c r="G58" s="229"/>
      <c r="H58" s="229"/>
      <c r="I58" s="197"/>
      <c r="J58" s="197"/>
    </row>
    <row r="59" spans="1:11" ht="17.25" customHeight="1">
      <c r="A59" s="239" t="s">
        <v>97</v>
      </c>
      <c r="B59" s="240"/>
      <c r="C59" s="76"/>
      <c r="D59" s="100">
        <f>SUM(D54:D58)</f>
        <v>2960</v>
      </c>
      <c r="E59" s="122"/>
      <c r="F59" s="234" t="s">
        <v>97</v>
      </c>
      <c r="G59" s="236"/>
      <c r="H59" s="235"/>
      <c r="I59" s="125">
        <f>SUM(I54:I58)</f>
        <v>627343839</v>
      </c>
      <c r="J59" s="125">
        <f>SUM(J54:J58)</f>
        <v>604830336</v>
      </c>
    </row>
    <row r="60" spans="1:11">
      <c r="E60" s="122"/>
      <c r="F60" s="140"/>
      <c r="G60" s="140"/>
      <c r="H60" s="140"/>
      <c r="I60" s="140"/>
    </row>
    <row r="61" spans="1:11" ht="18.75" customHeight="1">
      <c r="F61" s="14" t="s">
        <v>164</v>
      </c>
      <c r="G61" s="35"/>
      <c r="H61" s="16"/>
      <c r="I61" s="16">
        <f>J59</f>
        <v>604830336</v>
      </c>
      <c r="J61" s="14" t="s">
        <v>20</v>
      </c>
    </row>
    <row r="62" spans="1:11" ht="18.75" customHeight="1">
      <c r="F62" s="14" t="s">
        <v>12</v>
      </c>
      <c r="G62" s="35"/>
      <c r="H62" s="16"/>
      <c r="I62" s="51">
        <f>I59</f>
        <v>627343839</v>
      </c>
      <c r="J62" s="14" t="s">
        <v>20</v>
      </c>
    </row>
    <row r="63" spans="1:11" ht="9" customHeight="1">
      <c r="F63" s="14"/>
      <c r="G63" s="35"/>
      <c r="H63" s="16"/>
      <c r="I63" s="51"/>
      <c r="J63" s="14"/>
    </row>
    <row r="64" spans="1:11" ht="16.5">
      <c r="F64" s="15" t="s">
        <v>13</v>
      </c>
      <c r="G64" s="38"/>
      <c r="H64" s="32"/>
      <c r="I64" s="32">
        <f>I61-I62</f>
        <v>-22513503</v>
      </c>
      <c r="J64" s="15" t="s">
        <v>20</v>
      </c>
    </row>
    <row r="65" spans="4:11" ht="16.5">
      <c r="F65" s="14"/>
      <c r="G65" s="35"/>
      <c r="H65" s="16"/>
      <c r="I65" s="16"/>
      <c r="J65" s="14"/>
    </row>
    <row r="66" spans="4:11">
      <c r="D66" s="214" t="s">
        <v>191</v>
      </c>
    </row>
    <row r="67" spans="4:11" ht="31.5">
      <c r="D67" s="86" t="s">
        <v>177</v>
      </c>
      <c r="E67" s="86" t="s">
        <v>178</v>
      </c>
      <c r="F67" s="86" t="s">
        <v>179</v>
      </c>
      <c r="G67" s="86" t="s">
        <v>180</v>
      </c>
      <c r="H67" s="86" t="s">
        <v>181</v>
      </c>
      <c r="I67" s="86" t="s">
        <v>187</v>
      </c>
      <c r="J67" s="86" t="s">
        <v>183</v>
      </c>
      <c r="K67" s="86" t="s">
        <v>188</v>
      </c>
    </row>
    <row r="68" spans="4:11">
      <c r="D68" s="207">
        <v>41559</v>
      </c>
      <c r="E68" s="78" t="s">
        <v>182</v>
      </c>
      <c r="F68" s="209">
        <v>282480000</v>
      </c>
      <c r="G68" s="209">
        <v>126143210.89999998</v>
      </c>
      <c r="H68" s="209"/>
      <c r="I68" s="209"/>
      <c r="J68" s="209">
        <v>-156336789.10000002</v>
      </c>
      <c r="K68" s="209"/>
    </row>
    <row r="69" spans="4:11">
      <c r="D69" s="212">
        <v>41654</v>
      </c>
      <c r="E69" s="80" t="s">
        <v>184</v>
      </c>
      <c r="F69" s="210"/>
      <c r="G69" s="210"/>
      <c r="H69" s="210">
        <v>22513503</v>
      </c>
      <c r="I69" s="210"/>
      <c r="J69" s="210">
        <v>-178850292.10000002</v>
      </c>
      <c r="K69" s="210"/>
    </row>
    <row r="70" spans="4:11">
      <c r="D70" s="212">
        <v>41951</v>
      </c>
      <c r="E70" s="80" t="s">
        <v>185</v>
      </c>
      <c r="F70" s="210">
        <v>758914619.99999988</v>
      </c>
      <c r="G70" s="210">
        <v>316403774.89999998</v>
      </c>
      <c r="H70" s="210"/>
      <c r="I70" s="210"/>
      <c r="J70" s="210">
        <v>-621361137.19999993</v>
      </c>
      <c r="K70" s="210"/>
    </row>
    <row r="71" spans="4:11">
      <c r="D71" s="212">
        <v>41977</v>
      </c>
      <c r="E71" s="80" t="s">
        <v>186</v>
      </c>
      <c r="F71" s="210">
        <v>6493187.9999999627</v>
      </c>
      <c r="G71" s="210">
        <v>390465100</v>
      </c>
      <c r="H71" s="210"/>
      <c r="I71" s="210"/>
      <c r="J71" s="210">
        <v>-237389225.1999999</v>
      </c>
      <c r="K71" s="210"/>
    </row>
    <row r="72" spans="4:11">
      <c r="D72" s="212">
        <v>41990</v>
      </c>
      <c r="E72" s="80" t="s">
        <v>174</v>
      </c>
      <c r="F72" s="210"/>
      <c r="G72" s="210"/>
      <c r="H72" s="210"/>
      <c r="I72" s="210">
        <v>24950688</v>
      </c>
      <c r="J72" s="210">
        <v>-212438537.1999999</v>
      </c>
      <c r="K72" s="208" t="s">
        <v>190</v>
      </c>
    </row>
    <row r="73" spans="4:11">
      <c r="D73" s="80"/>
      <c r="E73" s="80" t="s">
        <v>189</v>
      </c>
      <c r="F73" s="210"/>
      <c r="G73" s="210"/>
      <c r="H73" s="210"/>
      <c r="I73" s="210">
        <v>600000000</v>
      </c>
      <c r="J73" s="210">
        <v>387561462.80000007</v>
      </c>
      <c r="K73" s="210"/>
    </row>
    <row r="74" spans="4:11">
      <c r="D74" s="80"/>
      <c r="E74" s="80"/>
      <c r="F74" s="210"/>
      <c r="G74" s="210"/>
      <c r="H74" s="210"/>
      <c r="I74" s="210"/>
      <c r="J74" s="211">
        <v>387561462.80000007</v>
      </c>
      <c r="K74" s="210"/>
    </row>
    <row r="75" spans="4:11">
      <c r="D75" s="234" t="s">
        <v>192</v>
      </c>
      <c r="E75" s="235"/>
      <c r="F75" s="213">
        <v>1047887807.9999999</v>
      </c>
      <c r="G75" s="213">
        <v>833012085.79999995</v>
      </c>
      <c r="H75" s="213">
        <v>22513503</v>
      </c>
      <c r="I75" s="213">
        <v>624950688</v>
      </c>
      <c r="J75" s="213">
        <v>387561462.80000007</v>
      </c>
      <c r="K75" s="213"/>
    </row>
  </sheetData>
  <mergeCells count="16">
    <mergeCell ref="D75:E75"/>
    <mergeCell ref="F59:H59"/>
    <mergeCell ref="A1:E1"/>
    <mergeCell ref="C20:D20"/>
    <mergeCell ref="A59:B59"/>
    <mergeCell ref="A22:A23"/>
    <mergeCell ref="B22:B23"/>
    <mergeCell ref="C22:E22"/>
    <mergeCell ref="F22:H22"/>
    <mergeCell ref="I22:K22"/>
    <mergeCell ref="F56:H56"/>
    <mergeCell ref="F57:H57"/>
    <mergeCell ref="F58:H58"/>
    <mergeCell ref="F53:H53"/>
    <mergeCell ref="F54:H54"/>
    <mergeCell ref="F55:H55"/>
  </mergeCells>
  <phoneticPr fontId="2" type="noConversion"/>
  <pageMargins left="0.51" right="0.25" top="0.19" bottom="0.25" header="0" footer="0"/>
  <pageSetup paperSize="9" scale="8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G91"/>
  <sheetViews>
    <sheetView topLeftCell="A73" workbookViewId="0">
      <selection activeCell="E105" sqref="E105"/>
    </sheetView>
  </sheetViews>
  <sheetFormatPr defaultRowHeight="15.75"/>
  <cols>
    <col min="1" max="1" width="3.5" style="63" customWidth="1"/>
    <col min="2" max="2" width="32.5" style="63" customWidth="1"/>
    <col min="3" max="3" width="11" style="65" customWidth="1"/>
    <col min="4" max="4" width="9.875" style="66" customWidth="1"/>
    <col min="5" max="5" width="15.625" style="66" customWidth="1"/>
    <col min="6" max="6" width="11" style="63" customWidth="1"/>
    <col min="7" max="7" width="13.75" style="63" customWidth="1"/>
    <col min="8" max="16384" width="9" style="63"/>
  </cols>
  <sheetData>
    <row r="1" spans="1:7" ht="27.75" customHeight="1">
      <c r="A1" s="237" t="s">
        <v>137</v>
      </c>
      <c r="B1" s="237"/>
      <c r="C1" s="237"/>
      <c r="D1" s="237"/>
      <c r="E1" s="237"/>
      <c r="F1" s="84"/>
      <c r="G1" s="84"/>
    </row>
    <row r="2" spans="1:7" ht="15" customHeight="1">
      <c r="A2" s="64"/>
    </row>
    <row r="3" spans="1:7" s="89" customFormat="1" ht="39.75" customHeight="1">
      <c r="A3" s="85"/>
      <c r="B3" s="86" t="s">
        <v>18</v>
      </c>
      <c r="C3" s="87" t="s">
        <v>15</v>
      </c>
      <c r="D3" s="88" t="s">
        <v>16</v>
      </c>
      <c r="E3" s="88" t="s">
        <v>71</v>
      </c>
      <c r="F3" s="86" t="s">
        <v>47</v>
      </c>
      <c r="G3" s="88" t="s">
        <v>72</v>
      </c>
    </row>
    <row r="4" spans="1:7" ht="17.25" customHeight="1">
      <c r="A4" s="90"/>
      <c r="B4" s="91" t="s">
        <v>67</v>
      </c>
      <c r="C4" s="92"/>
      <c r="D4" s="93"/>
      <c r="E4" s="94"/>
      <c r="F4" s="93"/>
      <c r="G4" s="95"/>
    </row>
    <row r="5" spans="1:7" ht="17.25" customHeight="1">
      <c r="A5" s="90"/>
      <c r="B5" s="119" t="s">
        <v>141</v>
      </c>
      <c r="C5" s="120">
        <v>4920</v>
      </c>
      <c r="D5" s="123">
        <v>4.7</v>
      </c>
      <c r="E5" s="124">
        <f>C5*D5</f>
        <v>23124</v>
      </c>
      <c r="F5" s="123"/>
      <c r="G5" s="118"/>
    </row>
    <row r="6" spans="1:7" ht="17.25" customHeight="1">
      <c r="A6" s="90"/>
      <c r="B6" s="119" t="s">
        <v>142</v>
      </c>
      <c r="C6" s="120">
        <v>450</v>
      </c>
      <c r="D6" s="123">
        <v>4.9000000000000004</v>
      </c>
      <c r="E6" s="124">
        <f>C6*D6</f>
        <v>2205</v>
      </c>
      <c r="F6" s="123"/>
      <c r="G6" s="118"/>
    </row>
    <row r="7" spans="1:7" ht="17.25" customHeight="1">
      <c r="B7" s="81"/>
      <c r="C7" s="96"/>
      <c r="D7" s="97"/>
      <c r="E7" s="98"/>
      <c r="F7" s="97"/>
      <c r="G7" s="99"/>
    </row>
    <row r="8" spans="1:7" s="64" customFormat="1" ht="17.25" customHeight="1">
      <c r="B8" s="77" t="s">
        <v>43</v>
      </c>
      <c r="C8" s="100">
        <f>SUM(C4:C7)</f>
        <v>5370</v>
      </c>
      <c r="D8" s="100"/>
      <c r="E8" s="100">
        <f>SUM(E4:E7)</f>
        <v>25329</v>
      </c>
      <c r="F8" s="100">
        <f>SUM(F4:F7)</f>
        <v>0</v>
      </c>
      <c r="G8" s="101">
        <f>SUM(G4:G7)</f>
        <v>0</v>
      </c>
    </row>
    <row r="9" spans="1:7" s="64" customFormat="1" ht="17.25" customHeight="1">
      <c r="B9" s="91" t="s">
        <v>68</v>
      </c>
      <c r="C9" s="102"/>
      <c r="D9" s="103"/>
      <c r="E9" s="104"/>
      <c r="F9" s="104"/>
      <c r="G9" s="103"/>
    </row>
    <row r="10" spans="1:7" ht="17.25" customHeight="1">
      <c r="B10" s="81" t="s">
        <v>85</v>
      </c>
      <c r="C10" s="96">
        <v>4926</v>
      </c>
      <c r="D10" s="97">
        <v>11.2</v>
      </c>
      <c r="E10" s="98">
        <f>C10*D10</f>
        <v>55171.199999999997</v>
      </c>
      <c r="F10" s="81"/>
      <c r="G10" s="105">
        <f>E10*21400</f>
        <v>1180663680</v>
      </c>
    </row>
    <row r="11" spans="1:7" ht="17.25" customHeight="1">
      <c r="B11" s="81" t="s">
        <v>131</v>
      </c>
      <c r="C11" s="96">
        <v>457</v>
      </c>
      <c r="D11" s="97">
        <v>12.3</v>
      </c>
      <c r="E11" s="98">
        <f>C11*D11</f>
        <v>5621.1</v>
      </c>
      <c r="F11" s="81"/>
      <c r="G11" s="105">
        <f>E11*21400</f>
        <v>120291540.00000001</v>
      </c>
    </row>
    <row r="12" spans="1:7" ht="17.25" customHeight="1">
      <c r="B12" s="81"/>
      <c r="C12" s="96"/>
      <c r="D12" s="97"/>
      <c r="E12" s="98"/>
      <c r="F12" s="97"/>
      <c r="G12" s="99"/>
    </row>
    <row r="13" spans="1:7" s="64" customFormat="1" ht="17.25" customHeight="1">
      <c r="B13" s="77" t="s">
        <v>43</v>
      </c>
      <c r="C13" s="100">
        <f>SUM(C9:C12)</f>
        <v>5383</v>
      </c>
      <c r="D13" s="100"/>
      <c r="E13" s="100">
        <f>SUM(E9:E12)</f>
        <v>60792.299999999996</v>
      </c>
      <c r="F13" s="100">
        <f>SUM(F9:F12)</f>
        <v>0</v>
      </c>
      <c r="G13" s="101">
        <f>SUM(G9:G12)</f>
        <v>1300955220</v>
      </c>
    </row>
    <row r="14" spans="1:7" ht="17.25" customHeight="1">
      <c r="B14" s="82" t="s">
        <v>50</v>
      </c>
      <c r="C14" s="96"/>
      <c r="D14" s="97"/>
      <c r="E14" s="98"/>
      <c r="F14" s="81"/>
      <c r="G14" s="105"/>
    </row>
    <row r="15" spans="1:7" ht="17.25" customHeight="1">
      <c r="B15" s="115" t="s">
        <v>158</v>
      </c>
      <c r="C15" s="141"/>
      <c r="D15" s="142"/>
      <c r="E15" s="143"/>
      <c r="F15" s="142">
        <v>25316.75</v>
      </c>
      <c r="G15" s="58">
        <f>F15*21400</f>
        <v>541778450</v>
      </c>
    </row>
    <row r="16" spans="1:7" ht="17.25" customHeight="1">
      <c r="B16" s="115" t="s">
        <v>159</v>
      </c>
      <c r="C16" s="141"/>
      <c r="D16" s="142"/>
      <c r="E16" s="143"/>
      <c r="F16" s="142">
        <f>E8-F15</f>
        <v>12.25</v>
      </c>
      <c r="G16" s="58">
        <f>F16*21400</f>
        <v>262150</v>
      </c>
    </row>
    <row r="17" spans="1:7" ht="17.25" customHeight="1">
      <c r="B17" s="83"/>
      <c r="C17" s="106"/>
      <c r="D17" s="107"/>
      <c r="E17" s="108"/>
      <c r="F17" s="107"/>
      <c r="G17" s="109"/>
    </row>
    <row r="18" spans="1:7" s="64" customFormat="1" ht="17.25" customHeight="1">
      <c r="B18" s="77" t="s">
        <v>43</v>
      </c>
      <c r="C18" s="101">
        <f>SUM(C14:C17)</f>
        <v>0</v>
      </c>
      <c r="D18" s="101">
        <f>SUM(D14:D17)</f>
        <v>0</v>
      </c>
      <c r="E18" s="101">
        <f>SUM(E14:E17)</f>
        <v>0</v>
      </c>
      <c r="F18" s="101">
        <f>SUM(F14:F17)</f>
        <v>25329</v>
      </c>
      <c r="G18" s="101">
        <f>SUM(G14:G17)</f>
        <v>542040600</v>
      </c>
    </row>
    <row r="19" spans="1:7" ht="11.25" customHeight="1">
      <c r="B19" s="67"/>
      <c r="C19" s="238"/>
      <c r="D19" s="238"/>
      <c r="E19" s="68"/>
      <c r="G19" s="69"/>
    </row>
    <row r="20" spans="1:7" s="15" customFormat="1" ht="17.25" customHeight="1">
      <c r="B20" s="221" t="s">
        <v>165</v>
      </c>
      <c r="C20" s="221"/>
      <c r="D20" s="221"/>
      <c r="E20" s="221"/>
      <c r="F20" s="36">
        <f>E13-F18</f>
        <v>35463.299999999996</v>
      </c>
      <c r="G20" s="192">
        <f>F20*21400</f>
        <v>758914619.99999988</v>
      </c>
    </row>
    <row r="21" spans="1:7" ht="11.25" customHeight="1">
      <c r="B21" s="67"/>
      <c r="C21" s="198"/>
      <c r="D21" s="198"/>
      <c r="E21" s="68"/>
      <c r="G21" s="69"/>
    </row>
    <row r="22" spans="1:7" ht="18.75" customHeight="1">
      <c r="A22" s="64" t="s">
        <v>128</v>
      </c>
    </row>
    <row r="23" spans="1:7" s="110" customFormat="1" ht="36.75" customHeight="1">
      <c r="A23" s="86" t="s">
        <v>14</v>
      </c>
      <c r="B23" s="86" t="s">
        <v>18</v>
      </c>
      <c r="C23" s="87" t="s">
        <v>15</v>
      </c>
      <c r="D23" s="88" t="s">
        <v>16</v>
      </c>
      <c r="E23" s="88" t="s">
        <v>17</v>
      </c>
    </row>
    <row r="24" spans="1:7" ht="15.75" customHeight="1">
      <c r="A24" s="78">
        <v>1</v>
      </c>
      <c r="B24" s="79" t="s">
        <v>34</v>
      </c>
      <c r="C24" s="92">
        <v>2076</v>
      </c>
      <c r="D24" s="95">
        <v>205000</v>
      </c>
      <c r="E24" s="99">
        <f t="shared" ref="E24:E43" si="0">C24*D24</f>
        <v>425580000</v>
      </c>
    </row>
    <row r="25" spans="1:7" ht="15.75" customHeight="1">
      <c r="A25" s="127">
        <v>2</v>
      </c>
      <c r="B25" s="119" t="s">
        <v>121</v>
      </c>
      <c r="C25" s="120">
        <v>376</v>
      </c>
      <c r="D25" s="118">
        <v>205000</v>
      </c>
      <c r="E25" s="99">
        <f t="shared" si="0"/>
        <v>77080000</v>
      </c>
    </row>
    <row r="26" spans="1:7" ht="15.75" customHeight="1">
      <c r="A26" s="80">
        <v>3</v>
      </c>
      <c r="B26" s="81" t="s">
        <v>1</v>
      </c>
      <c r="C26" s="96">
        <v>730</v>
      </c>
      <c r="D26" s="99">
        <v>15800</v>
      </c>
      <c r="E26" s="99">
        <f t="shared" si="0"/>
        <v>11534000</v>
      </c>
      <c r="G26" s="111"/>
    </row>
    <row r="27" spans="1:7" ht="15.75" customHeight="1">
      <c r="A27" s="127">
        <v>4</v>
      </c>
      <c r="B27" s="81" t="s">
        <v>3</v>
      </c>
      <c r="C27" s="96">
        <v>93</v>
      </c>
      <c r="D27" s="99">
        <v>41600</v>
      </c>
      <c r="E27" s="99">
        <f t="shared" si="0"/>
        <v>3868800</v>
      </c>
      <c r="G27" s="111"/>
    </row>
    <row r="28" spans="1:7" ht="15.75" customHeight="1">
      <c r="A28" s="80">
        <v>5</v>
      </c>
      <c r="B28" s="81" t="s">
        <v>2</v>
      </c>
      <c r="C28" s="96">
        <v>1660</v>
      </c>
      <c r="D28" s="99">
        <v>85000</v>
      </c>
      <c r="E28" s="99">
        <f t="shared" si="0"/>
        <v>141100000</v>
      </c>
      <c r="G28" s="111"/>
    </row>
    <row r="29" spans="1:7" ht="15.75" customHeight="1">
      <c r="A29" s="127">
        <v>6</v>
      </c>
      <c r="B29" s="81" t="s">
        <v>30</v>
      </c>
      <c r="C29" s="96">
        <v>306</v>
      </c>
      <c r="D29" s="99">
        <v>66000</v>
      </c>
      <c r="E29" s="99">
        <f t="shared" si="0"/>
        <v>20196000</v>
      </c>
      <c r="G29" s="111"/>
    </row>
    <row r="30" spans="1:7" ht="15.75" customHeight="1">
      <c r="A30" s="80">
        <v>7</v>
      </c>
      <c r="B30" s="81" t="s">
        <v>27</v>
      </c>
      <c r="C30" s="96">
        <v>58</v>
      </c>
      <c r="D30" s="99">
        <v>6600</v>
      </c>
      <c r="E30" s="99">
        <f t="shared" si="0"/>
        <v>382800</v>
      </c>
      <c r="G30" s="111"/>
    </row>
    <row r="31" spans="1:7" ht="15.75" customHeight="1">
      <c r="A31" s="127">
        <v>8</v>
      </c>
      <c r="B31" s="81" t="s">
        <v>122</v>
      </c>
      <c r="C31" s="96">
        <v>21</v>
      </c>
      <c r="D31" s="99">
        <v>100000</v>
      </c>
      <c r="E31" s="99">
        <f t="shared" si="0"/>
        <v>2100000</v>
      </c>
      <c r="G31" s="111"/>
    </row>
    <row r="32" spans="1:7" ht="15.75" customHeight="1">
      <c r="A32" s="80">
        <v>9</v>
      </c>
      <c r="B32" s="81" t="s">
        <v>88</v>
      </c>
      <c r="C32" s="96">
        <v>7</v>
      </c>
      <c r="D32" s="99">
        <v>220000</v>
      </c>
      <c r="E32" s="99">
        <f t="shared" si="0"/>
        <v>1540000</v>
      </c>
      <c r="G32" s="111"/>
    </row>
    <row r="33" spans="1:7" ht="15.75" customHeight="1">
      <c r="A33" s="127">
        <v>10</v>
      </c>
      <c r="B33" s="81" t="s">
        <v>41</v>
      </c>
      <c r="C33" s="96">
        <v>600</v>
      </c>
      <c r="D33" s="99">
        <v>15064</v>
      </c>
      <c r="E33" s="99">
        <f t="shared" si="0"/>
        <v>9038400</v>
      </c>
      <c r="G33" s="111"/>
    </row>
    <row r="34" spans="1:7" ht="15.75" customHeight="1">
      <c r="A34" s="80">
        <v>11</v>
      </c>
      <c r="B34" s="81" t="s">
        <v>89</v>
      </c>
      <c r="C34" s="96">
        <v>1200</v>
      </c>
      <c r="D34" s="99">
        <v>40000</v>
      </c>
      <c r="E34" s="99">
        <f t="shared" si="0"/>
        <v>48000000</v>
      </c>
      <c r="G34" s="111"/>
    </row>
    <row r="35" spans="1:7" ht="15.75" customHeight="1">
      <c r="A35" s="127">
        <v>12</v>
      </c>
      <c r="B35" s="81" t="s">
        <v>123</v>
      </c>
      <c r="C35" s="96">
        <v>67.5</v>
      </c>
      <c r="D35" s="99">
        <v>46200</v>
      </c>
      <c r="E35" s="99">
        <f t="shared" si="0"/>
        <v>3118500</v>
      </c>
      <c r="G35" s="111"/>
    </row>
    <row r="36" spans="1:7" ht="15.75" customHeight="1">
      <c r="A36" s="80">
        <v>13</v>
      </c>
      <c r="B36" s="81" t="s">
        <v>124</v>
      </c>
      <c r="C36" s="96">
        <v>9</v>
      </c>
      <c r="D36" s="99">
        <v>46200</v>
      </c>
      <c r="E36" s="99">
        <f>C36*D36</f>
        <v>415800</v>
      </c>
      <c r="G36" s="111"/>
    </row>
    <row r="37" spans="1:7" ht="15.75" customHeight="1">
      <c r="A37" s="127">
        <v>14</v>
      </c>
      <c r="B37" s="81" t="s">
        <v>35</v>
      </c>
      <c r="C37" s="96">
        <v>70</v>
      </c>
      <c r="D37" s="99">
        <v>11000</v>
      </c>
      <c r="E37" s="99">
        <f t="shared" si="0"/>
        <v>770000</v>
      </c>
      <c r="G37" s="111"/>
    </row>
    <row r="38" spans="1:7" ht="15.75" customHeight="1">
      <c r="A38" s="80">
        <v>15</v>
      </c>
      <c r="B38" s="81" t="s">
        <v>36</v>
      </c>
      <c r="C38" s="96">
        <v>4</v>
      </c>
      <c r="D38" s="99">
        <v>120000</v>
      </c>
      <c r="E38" s="99">
        <f t="shared" si="0"/>
        <v>480000</v>
      </c>
      <c r="G38" s="111"/>
    </row>
    <row r="39" spans="1:7" ht="15.75" customHeight="1">
      <c r="A39" s="127">
        <v>16</v>
      </c>
      <c r="B39" s="81" t="s">
        <v>37</v>
      </c>
      <c r="C39" s="96">
        <v>1</v>
      </c>
      <c r="D39" s="99">
        <v>120000</v>
      </c>
      <c r="E39" s="99">
        <f t="shared" si="0"/>
        <v>120000</v>
      </c>
      <c r="G39" s="111"/>
    </row>
    <row r="40" spans="1:7" ht="15.75" customHeight="1">
      <c r="A40" s="80">
        <v>17</v>
      </c>
      <c r="B40" s="81" t="s">
        <v>38</v>
      </c>
      <c r="C40" s="96">
        <f>C10</f>
        <v>4926</v>
      </c>
      <c r="D40" s="99">
        <v>9000</v>
      </c>
      <c r="E40" s="99">
        <f t="shared" si="0"/>
        <v>44334000</v>
      </c>
      <c r="G40" s="111"/>
    </row>
    <row r="41" spans="1:7" ht="15.75" customHeight="1">
      <c r="A41" s="127">
        <v>18</v>
      </c>
      <c r="B41" s="81" t="s">
        <v>5</v>
      </c>
      <c r="C41" s="96">
        <v>630</v>
      </c>
      <c r="D41" s="99">
        <v>31000</v>
      </c>
      <c r="E41" s="99">
        <f t="shared" si="0"/>
        <v>19530000</v>
      </c>
      <c r="G41" s="111"/>
    </row>
    <row r="42" spans="1:7" ht="15.75" customHeight="1">
      <c r="A42" s="80">
        <v>19</v>
      </c>
      <c r="B42" s="139" t="s">
        <v>125</v>
      </c>
      <c r="C42" s="96">
        <v>3300</v>
      </c>
      <c r="D42" s="99">
        <v>2600</v>
      </c>
      <c r="E42" s="99">
        <f>C42*D42</f>
        <v>8580000</v>
      </c>
      <c r="G42" s="111"/>
    </row>
    <row r="43" spans="1:7" ht="15.75" customHeight="1">
      <c r="A43" s="127">
        <v>20</v>
      </c>
      <c r="B43" s="22" t="s">
        <v>127</v>
      </c>
      <c r="C43" s="96">
        <f>C40</f>
        <v>4926</v>
      </c>
      <c r="D43" s="99">
        <v>3500</v>
      </c>
      <c r="E43" s="99">
        <f t="shared" si="0"/>
        <v>17241000</v>
      </c>
      <c r="G43" s="111"/>
    </row>
    <row r="44" spans="1:7" s="14" customFormat="1" ht="15.75" customHeight="1">
      <c r="A44" s="80">
        <v>21</v>
      </c>
      <c r="B44" s="72" t="s">
        <v>81</v>
      </c>
      <c r="C44" s="33"/>
      <c r="D44" s="23"/>
      <c r="E44" s="23">
        <f>170*21200</f>
        <v>3604000</v>
      </c>
      <c r="G44" s="62"/>
    </row>
    <row r="45" spans="1:7" s="14" customFormat="1" ht="15.75" customHeight="1">
      <c r="A45" s="127">
        <v>22</v>
      </c>
      <c r="B45" s="73" t="s">
        <v>74</v>
      </c>
      <c r="C45" s="33"/>
      <c r="D45" s="23"/>
      <c r="E45" s="23">
        <v>770000</v>
      </c>
      <c r="G45" s="62"/>
    </row>
    <row r="46" spans="1:7" s="14" customFormat="1" ht="15.75" customHeight="1">
      <c r="A46" s="80">
        <v>23</v>
      </c>
      <c r="B46" s="72" t="s">
        <v>75</v>
      </c>
      <c r="C46" s="33"/>
      <c r="D46" s="23"/>
      <c r="E46" s="23">
        <v>1977525</v>
      </c>
      <c r="G46" s="62"/>
    </row>
    <row r="47" spans="1:7" s="14" customFormat="1" ht="15.75" customHeight="1">
      <c r="A47" s="127">
        <v>24</v>
      </c>
      <c r="B47" s="73" t="s">
        <v>76</v>
      </c>
      <c r="C47" s="33"/>
      <c r="D47" s="23"/>
      <c r="E47" s="23">
        <v>186120</v>
      </c>
      <c r="G47" s="62"/>
    </row>
    <row r="48" spans="1:7" s="14" customFormat="1" ht="15.75" customHeight="1">
      <c r="A48" s="80">
        <v>25</v>
      </c>
      <c r="B48" s="72" t="s">
        <v>77</v>
      </c>
      <c r="C48" s="33"/>
      <c r="D48" s="23"/>
      <c r="E48" s="23">
        <v>846000.1</v>
      </c>
      <c r="G48" s="62"/>
    </row>
    <row r="49" spans="1:7" s="14" customFormat="1" ht="15.75" customHeight="1">
      <c r="A49" s="127">
        <v>26</v>
      </c>
      <c r="B49" s="73" t="s">
        <v>78</v>
      </c>
      <c r="C49" s="33"/>
      <c r="D49" s="23"/>
      <c r="E49" s="23">
        <v>4200000</v>
      </c>
      <c r="G49" s="62"/>
    </row>
    <row r="50" spans="1:7" s="14" customFormat="1" ht="15.75" customHeight="1">
      <c r="A50" s="80">
        <v>27</v>
      </c>
      <c r="B50" s="73" t="s">
        <v>79</v>
      </c>
      <c r="C50" s="33"/>
      <c r="D50" s="23"/>
      <c r="E50" s="23">
        <v>255000</v>
      </c>
      <c r="G50" s="62"/>
    </row>
    <row r="51" spans="1:7" s="14" customFormat="1" ht="15.75" customHeight="1">
      <c r="A51" s="127">
        <v>28</v>
      </c>
      <c r="B51" s="73" t="s">
        <v>80</v>
      </c>
      <c r="C51" s="33"/>
      <c r="D51" s="23"/>
      <c r="E51" s="23">
        <v>275000</v>
      </c>
      <c r="G51" s="62"/>
    </row>
    <row r="52" spans="1:7" s="14" customFormat="1" ht="15.75" customHeight="1">
      <c r="A52" s="80">
        <v>29</v>
      </c>
      <c r="B52" s="22" t="s">
        <v>82</v>
      </c>
      <c r="C52" s="33"/>
      <c r="D52" s="23"/>
      <c r="E52" s="23">
        <v>350000</v>
      </c>
      <c r="G52" s="62"/>
    </row>
    <row r="53" spans="1:7" s="14" customFormat="1" ht="15.75" customHeight="1">
      <c r="A53" s="127">
        <v>30</v>
      </c>
      <c r="B53" s="75" t="s">
        <v>133</v>
      </c>
      <c r="C53" s="49"/>
      <c r="D53" s="50"/>
      <c r="E53" s="50">
        <v>2000000</v>
      </c>
      <c r="G53" s="62"/>
    </row>
    <row r="54" spans="1:7" s="14" customFormat="1" ht="15.75" customHeight="1">
      <c r="A54" s="80">
        <v>31</v>
      </c>
      <c r="B54" s="75" t="s">
        <v>134</v>
      </c>
      <c r="C54" s="49"/>
      <c r="D54" s="50"/>
      <c r="E54" s="50">
        <v>600000</v>
      </c>
      <c r="G54" s="62"/>
    </row>
    <row r="55" spans="1:7" s="14" customFormat="1" ht="15.75" customHeight="1">
      <c r="A55" s="127">
        <v>32</v>
      </c>
      <c r="B55" s="75" t="s">
        <v>135</v>
      </c>
      <c r="C55" s="49">
        <v>5</v>
      </c>
      <c r="D55" s="50">
        <v>65000</v>
      </c>
      <c r="E55" s="50">
        <f>C55*D55</f>
        <v>325000</v>
      </c>
      <c r="G55" s="62"/>
    </row>
    <row r="56" spans="1:7" s="14" customFormat="1" ht="15.75" customHeight="1">
      <c r="A56" s="80">
        <v>33</v>
      </c>
      <c r="B56" s="75" t="s">
        <v>136</v>
      </c>
      <c r="C56" s="49"/>
      <c r="D56" s="50"/>
      <c r="E56" s="50">
        <v>2000000</v>
      </c>
      <c r="G56" s="62"/>
    </row>
    <row r="57" spans="1:7" s="14" customFormat="1" ht="15.75" customHeight="1">
      <c r="A57" s="30">
        <v>35</v>
      </c>
      <c r="B57" s="22" t="s">
        <v>52</v>
      </c>
      <c r="C57" s="33">
        <v>245</v>
      </c>
      <c r="D57" s="23">
        <v>21200</v>
      </c>
      <c r="E57" s="23">
        <f>C57*D57</f>
        <v>5194000</v>
      </c>
    </row>
    <row r="58" spans="1:7" ht="6" customHeight="1">
      <c r="A58" s="80"/>
      <c r="B58" s="83"/>
      <c r="C58" s="106"/>
      <c r="D58" s="109"/>
      <c r="E58" s="109"/>
    </row>
    <row r="59" spans="1:7" s="64" customFormat="1" ht="15.75" customHeight="1">
      <c r="A59" s="77"/>
      <c r="B59" s="77" t="s">
        <v>22</v>
      </c>
      <c r="C59" s="100"/>
      <c r="D59" s="101"/>
      <c r="E59" s="101">
        <f>SUM(E24:E58)</f>
        <v>857591945.10000002</v>
      </c>
      <c r="G59" s="63"/>
    </row>
    <row r="60" spans="1:7" ht="8.25" customHeight="1"/>
    <row r="61" spans="1:7" ht="8.25" customHeight="1"/>
    <row r="62" spans="1:7">
      <c r="A62" s="64" t="s">
        <v>129</v>
      </c>
    </row>
    <row r="63" spans="1:7" ht="31.5">
      <c r="A63" s="86" t="s">
        <v>14</v>
      </c>
      <c r="B63" s="86" t="s">
        <v>18</v>
      </c>
      <c r="C63" s="87" t="s">
        <v>15</v>
      </c>
      <c r="D63" s="88" t="s">
        <v>16</v>
      </c>
      <c r="E63" s="88" t="s">
        <v>17</v>
      </c>
    </row>
    <row r="64" spans="1:7">
      <c r="A64" s="78">
        <v>1</v>
      </c>
      <c r="B64" s="79" t="s">
        <v>130</v>
      </c>
      <c r="C64" s="92">
        <v>500</v>
      </c>
      <c r="D64" s="95">
        <v>170000</v>
      </c>
      <c r="E64" s="99">
        <f>C64*D64</f>
        <v>85000000</v>
      </c>
    </row>
    <row r="65" spans="1:7">
      <c r="A65" s="80">
        <v>13</v>
      </c>
      <c r="B65" s="81" t="s">
        <v>132</v>
      </c>
      <c r="C65" s="96">
        <v>7</v>
      </c>
      <c r="D65" s="99">
        <v>85000</v>
      </c>
      <c r="E65" s="99">
        <f>C65*D65</f>
        <v>595000</v>
      </c>
    </row>
    <row r="66" spans="1:7">
      <c r="A66" s="80">
        <v>18</v>
      </c>
      <c r="B66" s="81" t="s">
        <v>5</v>
      </c>
      <c r="C66" s="96">
        <v>84</v>
      </c>
      <c r="D66" s="99">
        <v>31000</v>
      </c>
      <c r="E66" s="99">
        <f>C66*D66</f>
        <v>2604000</v>
      </c>
    </row>
    <row r="67" spans="1:7" ht="15.75" customHeight="1">
      <c r="A67" s="80">
        <v>17</v>
      </c>
      <c r="B67" s="81" t="s">
        <v>38</v>
      </c>
      <c r="C67" s="96">
        <v>457</v>
      </c>
      <c r="D67" s="99">
        <v>9000</v>
      </c>
      <c r="E67" s="99">
        <f>C67*D67</f>
        <v>4113000</v>
      </c>
      <c r="G67" s="111"/>
    </row>
    <row r="68" spans="1:7" ht="16.5">
      <c r="A68" s="80">
        <v>21</v>
      </c>
      <c r="B68" s="22" t="s">
        <v>127</v>
      </c>
      <c r="C68" s="96">
        <f>C11</f>
        <v>457</v>
      </c>
      <c r="D68" s="99">
        <v>3500</v>
      </c>
      <c r="E68" s="99">
        <f>C68*D68</f>
        <v>1599500</v>
      </c>
    </row>
    <row r="69" spans="1:7" ht="7.5" customHeight="1">
      <c r="A69" s="80"/>
      <c r="B69" s="83"/>
      <c r="C69" s="106"/>
      <c r="D69" s="109"/>
      <c r="E69" s="109"/>
    </row>
    <row r="70" spans="1:7">
      <c r="A70" s="77"/>
      <c r="B70" s="77" t="s">
        <v>22</v>
      </c>
      <c r="C70" s="100"/>
      <c r="D70" s="101"/>
      <c r="E70" s="101">
        <f>SUM(E64:E69)</f>
        <v>93911500</v>
      </c>
      <c r="G70" s="66"/>
    </row>
    <row r="72" spans="1:7" ht="18.75">
      <c r="A72" s="243" t="s">
        <v>148</v>
      </c>
      <c r="B72" s="243"/>
      <c r="C72" s="243"/>
      <c r="D72" s="243"/>
      <c r="E72" s="243"/>
    </row>
    <row r="73" spans="1:7" ht="33">
      <c r="A73" s="17" t="s">
        <v>14</v>
      </c>
      <c r="B73" s="44" t="s">
        <v>18</v>
      </c>
      <c r="C73" s="39" t="s">
        <v>15</v>
      </c>
      <c r="D73" s="18" t="s">
        <v>16</v>
      </c>
      <c r="E73" s="18" t="s">
        <v>17</v>
      </c>
    </row>
    <row r="74" spans="1:7" ht="16.5">
      <c r="A74" s="30">
        <v>1</v>
      </c>
      <c r="B74" s="19" t="s">
        <v>138</v>
      </c>
      <c r="C74" s="34"/>
      <c r="D74" s="20"/>
      <c r="E74" s="20">
        <v>5000000</v>
      </c>
    </row>
    <row r="75" spans="1:7" ht="16.5">
      <c r="A75" s="30">
        <v>2</v>
      </c>
      <c r="B75" s="22" t="s">
        <v>139</v>
      </c>
      <c r="C75" s="33"/>
      <c r="D75" s="23"/>
      <c r="E75" s="23">
        <v>2460000</v>
      </c>
    </row>
    <row r="76" spans="1:7" ht="16.5">
      <c r="A76" s="30">
        <v>3</v>
      </c>
      <c r="B76" s="22" t="s">
        <v>140</v>
      </c>
      <c r="C76" s="33"/>
      <c r="D76" s="23"/>
      <c r="E76" s="23">
        <v>10000000</v>
      </c>
    </row>
    <row r="77" spans="1:7" ht="16.5">
      <c r="A77" s="30">
        <v>4</v>
      </c>
      <c r="B77" s="75" t="s">
        <v>144</v>
      </c>
      <c r="C77" s="49"/>
      <c r="D77" s="50"/>
      <c r="E77" s="50">
        <v>5360000</v>
      </c>
    </row>
    <row r="78" spans="1:7" ht="16.5">
      <c r="A78" s="30">
        <v>5</v>
      </c>
      <c r="B78" s="75" t="s">
        <v>145</v>
      </c>
      <c r="C78" s="49"/>
      <c r="D78" s="50"/>
      <c r="E78" s="50">
        <v>3105000</v>
      </c>
    </row>
    <row r="79" spans="1:7" ht="16.5">
      <c r="A79" s="30">
        <v>6</v>
      </c>
      <c r="B79" s="22" t="s">
        <v>146</v>
      </c>
      <c r="C79" s="33"/>
      <c r="D79" s="23"/>
      <c r="E79" s="23">
        <v>7123000</v>
      </c>
    </row>
    <row r="80" spans="1:7" ht="16.5">
      <c r="A80" s="144"/>
      <c r="B80" s="25"/>
      <c r="C80" s="37"/>
      <c r="D80" s="26"/>
      <c r="E80" s="26"/>
    </row>
    <row r="81" spans="1:6" ht="16.5">
      <c r="A81" s="17"/>
      <c r="B81" s="17" t="s">
        <v>22</v>
      </c>
      <c r="C81" s="36"/>
      <c r="D81" s="18"/>
      <c r="E81" s="18">
        <f>SUM(E74:E80)</f>
        <v>33048000</v>
      </c>
    </row>
    <row r="83" spans="1:6" s="14" customFormat="1" ht="15.75" customHeight="1">
      <c r="B83" s="14" t="s">
        <v>164</v>
      </c>
      <c r="C83" s="35"/>
      <c r="D83" s="16"/>
      <c r="E83" s="16">
        <f>G13</f>
        <v>1300955220</v>
      </c>
      <c r="F83" s="14" t="s">
        <v>20</v>
      </c>
    </row>
    <row r="84" spans="1:6" s="14" customFormat="1" ht="15.75" customHeight="1">
      <c r="B84" s="14" t="s">
        <v>12</v>
      </c>
      <c r="C84" s="35"/>
      <c r="D84" s="16"/>
      <c r="E84" s="51">
        <f>E59+E70</f>
        <v>951503445.10000002</v>
      </c>
      <c r="F84" s="14" t="s">
        <v>20</v>
      </c>
    </row>
    <row r="85" spans="1:6" s="14" customFormat="1" ht="15.75" customHeight="1">
      <c r="B85" s="14" t="s">
        <v>168</v>
      </c>
      <c r="C85" s="35"/>
      <c r="D85" s="16"/>
      <c r="E85" s="51">
        <f>E81</f>
        <v>33048000</v>
      </c>
      <c r="F85" s="14" t="s">
        <v>20</v>
      </c>
    </row>
    <row r="86" spans="1:6" s="14" customFormat="1" ht="9" customHeight="1">
      <c r="C86" s="35"/>
      <c r="D86" s="16"/>
      <c r="E86" s="51"/>
    </row>
    <row r="87" spans="1:6" s="15" customFormat="1" ht="15.75" customHeight="1">
      <c r="B87" s="15" t="s">
        <v>13</v>
      </c>
      <c r="C87" s="38"/>
      <c r="D87" s="32"/>
      <c r="E87" s="32">
        <f>E83-E84-E85</f>
        <v>316403774.89999998</v>
      </c>
      <c r="F87" s="15" t="s">
        <v>20</v>
      </c>
    </row>
    <row r="88" spans="1:6" s="14" customFormat="1" ht="16.5">
      <c r="B88" s="15" t="s">
        <v>166</v>
      </c>
      <c r="C88" s="38"/>
      <c r="D88" s="32"/>
      <c r="E88" s="32">
        <f>G20</f>
        <v>758914619.99999988</v>
      </c>
      <c r="F88" s="15" t="s">
        <v>20</v>
      </c>
    </row>
    <row r="89" spans="1:6" s="14" customFormat="1" ht="7.5" customHeight="1">
      <c r="B89" s="15"/>
      <c r="C89" s="38"/>
      <c r="D89" s="32"/>
      <c r="E89" s="32"/>
      <c r="F89" s="15"/>
    </row>
    <row r="90" spans="1:6" s="15" customFormat="1" ht="16.5">
      <c r="B90" s="15" t="s">
        <v>167</v>
      </c>
      <c r="C90" s="38"/>
      <c r="D90" s="32"/>
      <c r="E90" s="32">
        <f>E88-E87</f>
        <v>442510845.0999999</v>
      </c>
      <c r="F90" s="15" t="s">
        <v>20</v>
      </c>
    </row>
    <row r="91" spans="1:6" s="14" customFormat="1" ht="16.5">
      <c r="C91" s="35"/>
      <c r="D91" s="16"/>
      <c r="E91" s="16"/>
    </row>
  </sheetData>
  <mergeCells count="4">
    <mergeCell ref="A1:E1"/>
    <mergeCell ref="C19:D19"/>
    <mergeCell ref="A72:E72"/>
    <mergeCell ref="B20:E20"/>
  </mergeCells>
  <phoneticPr fontId="2" type="noConversion"/>
  <pageMargins left="0.51" right="0.25" top="0.19" bottom="0.25" header="0" footer="0"/>
  <pageSetup paperSize="9" scale="8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O60"/>
  <sheetViews>
    <sheetView topLeftCell="A46" workbookViewId="0">
      <selection activeCell="B59" sqref="B59"/>
    </sheetView>
  </sheetViews>
  <sheetFormatPr defaultRowHeight="15.75"/>
  <cols>
    <col min="1" max="1" width="3.5" style="63" customWidth="1"/>
    <col min="2" max="2" width="32.5" style="63" customWidth="1"/>
    <col min="3" max="3" width="11" style="65" customWidth="1"/>
    <col min="4" max="4" width="9.875" style="66" customWidth="1"/>
    <col min="5" max="5" width="15.625" style="66" customWidth="1"/>
    <col min="6" max="6" width="11" style="63" customWidth="1"/>
    <col min="7" max="7" width="15.375" style="63" customWidth="1"/>
    <col min="8" max="8" width="9" style="203"/>
    <col min="9" max="9" width="12" style="203" customWidth="1"/>
    <col min="10" max="10" width="13.75" style="203" customWidth="1"/>
    <col min="11" max="11" width="12.125" style="203" bestFit="1" customWidth="1"/>
    <col min="12" max="12" width="10.875" style="203" customWidth="1"/>
    <col min="13" max="13" width="13.25" style="203" customWidth="1"/>
    <col min="14" max="14" width="13.625" style="63" customWidth="1"/>
    <col min="15" max="16384" width="9" style="63"/>
  </cols>
  <sheetData>
    <row r="1" spans="1:13" ht="27.75" customHeight="1">
      <c r="A1" s="237" t="s">
        <v>155</v>
      </c>
      <c r="B1" s="237"/>
      <c r="C1" s="237"/>
      <c r="D1" s="237"/>
      <c r="E1" s="237"/>
      <c r="F1" s="84"/>
      <c r="G1" s="84"/>
    </row>
    <row r="2" spans="1:13" ht="15" customHeight="1">
      <c r="A2" s="64"/>
    </row>
    <row r="3" spans="1:13" s="89" customFormat="1" ht="39.75" customHeight="1">
      <c r="A3" s="85"/>
      <c r="B3" s="86" t="s">
        <v>18</v>
      </c>
      <c r="C3" s="87" t="s">
        <v>15</v>
      </c>
      <c r="D3" s="88" t="s">
        <v>16</v>
      </c>
      <c r="E3" s="88" t="s">
        <v>71</v>
      </c>
      <c r="F3" s="86" t="s">
        <v>47</v>
      </c>
      <c r="G3" s="88" t="s">
        <v>72</v>
      </c>
    </row>
    <row r="4" spans="1:13" s="64" customFormat="1" ht="17.25" customHeight="1">
      <c r="B4" s="91" t="s">
        <v>68</v>
      </c>
      <c r="C4" s="102"/>
      <c r="D4" s="103"/>
      <c r="E4" s="104"/>
      <c r="F4" s="104"/>
      <c r="G4" s="103"/>
      <c r="H4" s="204"/>
      <c r="I4" s="204"/>
      <c r="J4" s="204"/>
      <c r="K4" s="204"/>
      <c r="L4" s="204"/>
      <c r="M4" s="204"/>
    </row>
    <row r="5" spans="1:13" ht="17.25" customHeight="1">
      <c r="B5" s="81" t="s">
        <v>90</v>
      </c>
      <c r="C5" s="96">
        <f>185*7</f>
        <v>1295</v>
      </c>
      <c r="D5" s="97">
        <v>8.5</v>
      </c>
      <c r="E5" s="98">
        <f>C5*D5</f>
        <v>11007.5</v>
      </c>
      <c r="F5" s="81"/>
      <c r="G5" s="105">
        <f>E5*21400</f>
        <v>235560500</v>
      </c>
    </row>
    <row r="6" spans="1:13" ht="17.25" customHeight="1">
      <c r="B6" s="81" t="s">
        <v>149</v>
      </c>
      <c r="C6" s="96">
        <f>160*8</f>
        <v>1280</v>
      </c>
      <c r="D6" s="97">
        <v>11</v>
      </c>
      <c r="E6" s="98">
        <f>C6*D6</f>
        <v>14080</v>
      </c>
      <c r="F6" s="81"/>
      <c r="G6" s="105">
        <f>E6*21400</f>
        <v>301312000</v>
      </c>
    </row>
    <row r="7" spans="1:13" ht="17.25" customHeight="1">
      <c r="B7" s="81" t="s">
        <v>150</v>
      </c>
      <c r="C7" s="96">
        <f>151*8</f>
        <v>1208</v>
      </c>
      <c r="D7" s="97">
        <v>11</v>
      </c>
      <c r="E7" s="98">
        <f>C7*D7</f>
        <v>13288</v>
      </c>
      <c r="F7" s="81"/>
      <c r="G7" s="105">
        <f>E7*21400</f>
        <v>284363200</v>
      </c>
    </row>
    <row r="8" spans="1:13" ht="17.25" customHeight="1">
      <c r="B8" s="81" t="s">
        <v>151</v>
      </c>
      <c r="C8" s="96">
        <f>149*8</f>
        <v>1192</v>
      </c>
      <c r="D8" s="97">
        <v>11</v>
      </c>
      <c r="E8" s="98">
        <f>C8*D8</f>
        <v>13112</v>
      </c>
      <c r="F8" s="81"/>
      <c r="G8" s="105">
        <f>E8*21400</f>
        <v>280596800</v>
      </c>
    </row>
    <row r="9" spans="1:13" ht="17.25" customHeight="1">
      <c r="B9" s="81" t="s">
        <v>152</v>
      </c>
      <c r="C9" s="96">
        <f>20*8</f>
        <v>160</v>
      </c>
      <c r="D9" s="97">
        <v>11</v>
      </c>
      <c r="E9" s="98">
        <f>C9*D9</f>
        <v>1760</v>
      </c>
      <c r="F9" s="81"/>
      <c r="G9" s="105">
        <f>E9*21400</f>
        <v>37664000</v>
      </c>
    </row>
    <row r="10" spans="1:13" ht="7.5" customHeight="1">
      <c r="B10" s="81"/>
      <c r="C10" s="96"/>
      <c r="D10" s="97"/>
      <c r="E10" s="98"/>
      <c r="F10" s="81"/>
      <c r="G10" s="105"/>
    </row>
    <row r="11" spans="1:13" s="64" customFormat="1" ht="17.25" customHeight="1">
      <c r="B11" s="77" t="s">
        <v>43</v>
      </c>
      <c r="C11" s="100">
        <f>SUM(C4:C10)</f>
        <v>5135</v>
      </c>
      <c r="D11" s="100"/>
      <c r="E11" s="100">
        <f>SUM(E4:E10)</f>
        <v>53247.5</v>
      </c>
      <c r="F11" s="100">
        <f>SUM(F4:F10)</f>
        <v>0</v>
      </c>
      <c r="G11" s="100">
        <f>SUM(G4:G10)</f>
        <v>1139496500</v>
      </c>
      <c r="H11" s="204"/>
      <c r="I11" s="204"/>
      <c r="J11" s="204"/>
      <c r="K11" s="204"/>
      <c r="L11" s="204"/>
      <c r="M11" s="204"/>
    </row>
    <row r="12" spans="1:13" ht="17.25" customHeight="1">
      <c r="B12" s="82" t="s">
        <v>50</v>
      </c>
      <c r="C12" s="96"/>
      <c r="D12" s="97"/>
      <c r="E12" s="98"/>
      <c r="F12" s="81"/>
      <c r="G12" s="105"/>
    </row>
    <row r="13" spans="1:13" ht="17.25" customHeight="1">
      <c r="B13" s="115" t="s">
        <v>147</v>
      </c>
      <c r="C13" s="141"/>
      <c r="D13" s="142"/>
      <c r="E13" s="143"/>
      <c r="F13" s="142">
        <v>15000</v>
      </c>
      <c r="G13" s="58">
        <f>F13*21320</f>
        <v>319800000</v>
      </c>
    </row>
    <row r="14" spans="1:13" ht="17.25" customHeight="1">
      <c r="B14" s="115" t="s">
        <v>169</v>
      </c>
      <c r="C14" s="141"/>
      <c r="D14" s="142"/>
      <c r="E14" s="143"/>
      <c r="F14" s="142">
        <v>37944.080000000002</v>
      </c>
      <c r="G14" s="58">
        <f>F14*21400</f>
        <v>812003312</v>
      </c>
    </row>
    <row r="15" spans="1:13" ht="7.5" customHeight="1">
      <c r="B15" s="83"/>
      <c r="C15" s="106"/>
      <c r="D15" s="107"/>
      <c r="E15" s="108"/>
      <c r="F15" s="107"/>
      <c r="G15" s="109"/>
    </row>
    <row r="16" spans="1:13" s="64" customFormat="1" ht="17.25" customHeight="1">
      <c r="B16" s="77" t="s">
        <v>43</v>
      </c>
      <c r="C16" s="100">
        <f>SUM(C12:C15)</f>
        <v>0</v>
      </c>
      <c r="D16" s="100">
        <f>SUM(D12:D15)</f>
        <v>0</v>
      </c>
      <c r="E16" s="100">
        <f>SUM(E12:E15)</f>
        <v>0</v>
      </c>
      <c r="F16" s="100">
        <f>SUM(F12:F15)</f>
        <v>52944.08</v>
      </c>
      <c r="G16" s="100">
        <f>SUM(G12:G15)</f>
        <v>1131803312</v>
      </c>
      <c r="H16" s="204"/>
      <c r="I16" s="204"/>
      <c r="J16" s="204"/>
      <c r="K16" s="204"/>
      <c r="L16" s="204"/>
      <c r="M16" s="204"/>
    </row>
    <row r="17" spans="1:15" ht="11.25" customHeight="1">
      <c r="B17" s="67"/>
      <c r="C17" s="238"/>
      <c r="D17" s="238"/>
      <c r="E17" s="68"/>
      <c r="G17" s="69"/>
    </row>
    <row r="18" spans="1:15" s="15" customFormat="1" ht="17.25" customHeight="1">
      <c r="B18" s="221" t="s">
        <v>165</v>
      </c>
      <c r="C18" s="221"/>
      <c r="D18" s="221"/>
      <c r="E18" s="221"/>
      <c r="F18" s="36">
        <f>E11-F16</f>
        <v>303.41999999999825</v>
      </c>
      <c r="G18" s="192">
        <f>F18*21400</f>
        <v>6493187.9999999627</v>
      </c>
      <c r="H18" s="205"/>
      <c r="I18" s="205"/>
      <c r="J18" s="205"/>
      <c r="K18" s="205"/>
      <c r="L18" s="205"/>
      <c r="M18" s="205"/>
    </row>
    <row r="19" spans="1:15" ht="11.25" customHeight="1">
      <c r="B19" s="67"/>
      <c r="C19" s="198"/>
      <c r="D19" s="198"/>
      <c r="E19" s="68"/>
      <c r="G19" s="69"/>
    </row>
    <row r="20" spans="1:15" ht="18.75" customHeight="1">
      <c r="A20" s="64" t="s">
        <v>163</v>
      </c>
    </row>
    <row r="21" spans="1:15" s="110" customFormat="1" ht="33.75" customHeight="1">
      <c r="A21" s="86" t="s">
        <v>14</v>
      </c>
      <c r="B21" s="86" t="s">
        <v>18</v>
      </c>
      <c r="C21" s="87" t="s">
        <v>15</v>
      </c>
      <c r="D21" s="88" t="s">
        <v>16</v>
      </c>
      <c r="E21" s="88" t="s">
        <v>17</v>
      </c>
      <c r="H21" s="86" t="s">
        <v>177</v>
      </c>
      <c r="I21" s="86" t="s">
        <v>178</v>
      </c>
      <c r="J21" s="86" t="s">
        <v>179</v>
      </c>
      <c r="K21" s="86" t="s">
        <v>180</v>
      </c>
      <c r="L21" s="86" t="s">
        <v>181</v>
      </c>
      <c r="M21" s="86" t="s">
        <v>187</v>
      </c>
      <c r="N21" s="86" t="s">
        <v>183</v>
      </c>
      <c r="O21" s="86" t="s">
        <v>188</v>
      </c>
    </row>
    <row r="22" spans="1:15" ht="15.75" customHeight="1">
      <c r="A22" s="78">
        <v>1</v>
      </c>
      <c r="B22" s="79" t="s">
        <v>34</v>
      </c>
      <c r="C22" s="92">
        <v>1619</v>
      </c>
      <c r="D22" s="95">
        <v>215000</v>
      </c>
      <c r="E22" s="99">
        <f t="shared" ref="E22:E42" si="0">C22*D22</f>
        <v>348085000</v>
      </c>
      <c r="H22" s="207">
        <v>41559</v>
      </c>
      <c r="I22" s="78" t="s">
        <v>182</v>
      </c>
      <c r="J22" s="209">
        <f>'ĐL-2013'!G18</f>
        <v>282480000</v>
      </c>
      <c r="K22" s="209">
        <f>'ĐL-2013'!E56</f>
        <v>126143210.89999998</v>
      </c>
      <c r="L22" s="209"/>
      <c r="M22" s="209"/>
      <c r="N22" s="209">
        <f>K22+M22-L22-J22</f>
        <v>-156336789.10000002</v>
      </c>
      <c r="O22" s="209"/>
    </row>
    <row r="23" spans="1:15" ht="15.75" customHeight="1">
      <c r="A23" s="127">
        <v>2</v>
      </c>
      <c r="B23" s="119" t="s">
        <v>91</v>
      </c>
      <c r="C23" s="120">
        <v>615</v>
      </c>
      <c r="D23" s="118">
        <v>95000</v>
      </c>
      <c r="E23" s="99">
        <f t="shared" si="0"/>
        <v>58425000</v>
      </c>
      <c r="H23" s="212">
        <v>41654</v>
      </c>
      <c r="I23" s="80" t="s">
        <v>184</v>
      </c>
      <c r="J23" s="210"/>
      <c r="K23" s="210"/>
      <c r="L23" s="210">
        <f>-'MẮT KIẾNG'!I64</f>
        <v>22513503</v>
      </c>
      <c r="M23" s="210"/>
      <c r="N23" s="210">
        <f>N22+K23+M23-L23-J23</f>
        <v>-178850292.10000002</v>
      </c>
      <c r="O23" s="210"/>
    </row>
    <row r="24" spans="1:15" ht="15.75" customHeight="1">
      <c r="A24" s="127">
        <v>3</v>
      </c>
      <c r="B24" s="81" t="s">
        <v>1</v>
      </c>
      <c r="C24" s="120">
        <v>917</v>
      </c>
      <c r="D24" s="118">
        <v>15200</v>
      </c>
      <c r="E24" s="99">
        <f t="shared" si="0"/>
        <v>13938400</v>
      </c>
      <c r="H24" s="212">
        <v>41951</v>
      </c>
      <c r="I24" s="80" t="s">
        <v>185</v>
      </c>
      <c r="J24" s="210">
        <f>'MAI MÈ 10-14'!E88</f>
        <v>758914619.99999988</v>
      </c>
      <c r="K24" s="210">
        <f>'MAI MÈ 10-14'!E87</f>
        <v>316403774.89999998</v>
      </c>
      <c r="L24" s="210"/>
      <c r="M24" s="210"/>
      <c r="N24" s="210">
        <f>N23+K24+M24-L24-J24</f>
        <v>-621361137.19999993</v>
      </c>
      <c r="O24" s="210"/>
    </row>
    <row r="25" spans="1:15" ht="15.75" customHeight="1">
      <c r="A25" s="127">
        <v>4</v>
      </c>
      <c r="B25" s="81" t="s">
        <v>3</v>
      </c>
      <c r="C25" s="96">
        <v>100</v>
      </c>
      <c r="D25" s="99">
        <v>41600</v>
      </c>
      <c r="E25" s="99">
        <f t="shared" si="0"/>
        <v>4160000</v>
      </c>
      <c r="G25" s="111"/>
      <c r="H25" s="212">
        <v>41977</v>
      </c>
      <c r="I25" s="80" t="s">
        <v>186</v>
      </c>
      <c r="J25" s="210">
        <f>E58</f>
        <v>6493187.9999999627</v>
      </c>
      <c r="K25" s="210">
        <f>E57</f>
        <v>390465100</v>
      </c>
      <c r="L25" s="210"/>
      <c r="M25" s="210"/>
      <c r="N25" s="210">
        <f>N24+K25+M25-L25-J25</f>
        <v>-237389225.1999999</v>
      </c>
      <c r="O25" s="210"/>
    </row>
    <row r="26" spans="1:15" ht="15.75" customHeight="1">
      <c r="A26" s="127">
        <v>5</v>
      </c>
      <c r="B26" s="81" t="s">
        <v>2</v>
      </c>
      <c r="C26" s="96">
        <v>1315</v>
      </c>
      <c r="D26" s="99">
        <v>85000</v>
      </c>
      <c r="E26" s="99">
        <f t="shared" si="0"/>
        <v>111775000</v>
      </c>
      <c r="G26" s="111"/>
      <c r="H26" s="212">
        <v>41990</v>
      </c>
      <c r="I26" s="80" t="s">
        <v>174</v>
      </c>
      <c r="J26" s="210"/>
      <c r="K26" s="210"/>
      <c r="L26" s="210"/>
      <c r="M26" s="210">
        <f>1165.92*21400</f>
        <v>24950688</v>
      </c>
      <c r="N26" s="210">
        <f>N25+K26+M26-L26-J26</f>
        <v>-212438537.1999999</v>
      </c>
      <c r="O26" s="210"/>
    </row>
    <row r="27" spans="1:15" ht="15.75" customHeight="1">
      <c r="A27" s="127">
        <v>6</v>
      </c>
      <c r="B27" s="81" t="s">
        <v>30</v>
      </c>
      <c r="C27" s="96">
        <v>358</v>
      </c>
      <c r="D27" s="99">
        <v>66000</v>
      </c>
      <c r="E27" s="99">
        <f t="shared" si="0"/>
        <v>23628000</v>
      </c>
      <c r="G27" s="111"/>
      <c r="H27" s="80"/>
      <c r="I27" s="80" t="s">
        <v>189</v>
      </c>
      <c r="J27" s="210"/>
      <c r="K27" s="210"/>
      <c r="L27" s="210"/>
      <c r="M27" s="210">
        <v>600000000</v>
      </c>
      <c r="N27" s="210">
        <f>N26+K27+M27-L27-J27</f>
        <v>387561462.80000007</v>
      </c>
      <c r="O27" s="210"/>
    </row>
    <row r="28" spans="1:15" ht="15.75" customHeight="1">
      <c r="A28" s="127">
        <v>7</v>
      </c>
      <c r="B28" s="81" t="s">
        <v>27</v>
      </c>
      <c r="C28" s="96">
        <v>66</v>
      </c>
      <c r="D28" s="99">
        <v>6600</v>
      </c>
      <c r="E28" s="99">
        <f t="shared" si="0"/>
        <v>435600</v>
      </c>
      <c r="G28" s="111"/>
      <c r="H28" s="80"/>
      <c r="I28" s="80"/>
      <c r="J28" s="210"/>
      <c r="K28" s="210"/>
      <c r="L28" s="210"/>
      <c r="M28" s="210"/>
      <c r="N28" s="211">
        <f>N27+J28-K28+L28-M28</f>
        <v>387561462.80000007</v>
      </c>
      <c r="O28" s="210"/>
    </row>
    <row r="29" spans="1:15" ht="15.75" customHeight="1">
      <c r="A29" s="127">
        <v>8</v>
      </c>
      <c r="B29" s="81" t="s">
        <v>88</v>
      </c>
      <c r="C29" s="96">
        <v>3</v>
      </c>
      <c r="D29" s="99">
        <v>220000</v>
      </c>
      <c r="E29" s="99">
        <f t="shared" si="0"/>
        <v>660000</v>
      </c>
      <c r="G29" s="111"/>
      <c r="H29" s="202"/>
      <c r="I29" s="202"/>
      <c r="J29" s="213">
        <f>SUM(J19:J28)</f>
        <v>1047887807.9999999</v>
      </c>
      <c r="K29" s="213">
        <f>SUM(K19:K28)</f>
        <v>833012085.79999995</v>
      </c>
      <c r="L29" s="213">
        <f>SUM(L19:L28)</f>
        <v>22513503</v>
      </c>
      <c r="M29" s="213">
        <f>SUM(M19:M28)</f>
        <v>624950688</v>
      </c>
      <c r="N29" s="213">
        <f>N28</f>
        <v>387561462.80000007</v>
      </c>
      <c r="O29" s="213"/>
    </row>
    <row r="30" spans="1:15" ht="15.75" customHeight="1">
      <c r="A30" s="127">
        <v>9</v>
      </c>
      <c r="B30" s="81" t="s">
        <v>153</v>
      </c>
      <c r="C30" s="96">
        <v>9</v>
      </c>
      <c r="D30" s="99">
        <v>220000</v>
      </c>
      <c r="E30" s="99">
        <f t="shared" si="0"/>
        <v>1980000</v>
      </c>
      <c r="G30" s="111"/>
      <c r="H30" s="63"/>
      <c r="I30" s="63"/>
      <c r="J30" s="63"/>
      <c r="K30" s="63"/>
      <c r="L30" s="63"/>
      <c r="M30" s="63"/>
    </row>
    <row r="31" spans="1:15" ht="15.75" customHeight="1">
      <c r="A31" s="127">
        <v>10</v>
      </c>
      <c r="B31" s="81" t="s">
        <v>154</v>
      </c>
      <c r="C31" s="96">
        <v>675</v>
      </c>
      <c r="D31" s="99">
        <v>15064</v>
      </c>
      <c r="E31" s="99">
        <f t="shared" si="0"/>
        <v>10168200</v>
      </c>
      <c r="G31" s="111"/>
      <c r="H31" s="63"/>
      <c r="I31" s="63"/>
      <c r="J31" s="63"/>
      <c r="K31" s="63"/>
      <c r="L31" s="63"/>
      <c r="M31" s="63"/>
    </row>
    <row r="32" spans="1:15" ht="15.75" customHeight="1">
      <c r="A32" s="127">
        <v>11</v>
      </c>
      <c r="B32" s="81" t="s">
        <v>89</v>
      </c>
      <c r="C32" s="96">
        <v>1250</v>
      </c>
      <c r="D32" s="99">
        <v>40000</v>
      </c>
      <c r="E32" s="99">
        <f t="shared" si="0"/>
        <v>50000000</v>
      </c>
      <c r="G32" s="111"/>
      <c r="H32" s="63"/>
      <c r="I32" s="63"/>
      <c r="J32" s="63"/>
      <c r="K32" s="63"/>
      <c r="L32" s="63"/>
      <c r="M32" s="63"/>
    </row>
    <row r="33" spans="1:13" ht="15.75" customHeight="1">
      <c r="A33" s="127">
        <v>12</v>
      </c>
      <c r="B33" s="81" t="s">
        <v>123</v>
      </c>
      <c r="C33" s="96">
        <v>65</v>
      </c>
      <c r="D33" s="99">
        <v>46200</v>
      </c>
      <c r="E33" s="99">
        <f t="shared" si="0"/>
        <v>3003000</v>
      </c>
      <c r="G33" s="111"/>
    </row>
    <row r="34" spans="1:13" ht="15.75" customHeight="1">
      <c r="A34" s="127">
        <v>13</v>
      </c>
      <c r="B34" s="81" t="s">
        <v>124</v>
      </c>
      <c r="C34" s="96">
        <v>1</v>
      </c>
      <c r="D34" s="99">
        <v>46200</v>
      </c>
      <c r="E34" s="99">
        <f t="shared" si="0"/>
        <v>46200</v>
      </c>
      <c r="G34" s="111"/>
    </row>
    <row r="35" spans="1:13" ht="15.75" customHeight="1">
      <c r="A35" s="127">
        <v>14</v>
      </c>
      <c r="B35" s="81" t="s">
        <v>35</v>
      </c>
      <c r="C35" s="96">
        <v>76</v>
      </c>
      <c r="D35" s="99">
        <v>11000</v>
      </c>
      <c r="E35" s="99">
        <f t="shared" si="0"/>
        <v>836000</v>
      </c>
      <c r="G35" s="111"/>
    </row>
    <row r="36" spans="1:13" ht="15.75" customHeight="1">
      <c r="A36" s="127">
        <v>15</v>
      </c>
      <c r="B36" s="81" t="s">
        <v>36</v>
      </c>
      <c r="C36" s="96">
        <v>3</v>
      </c>
      <c r="D36" s="99">
        <v>120000</v>
      </c>
      <c r="E36" s="99">
        <f t="shared" si="0"/>
        <v>360000</v>
      </c>
      <c r="G36" s="111"/>
    </row>
    <row r="37" spans="1:13" ht="15.75" customHeight="1">
      <c r="A37" s="127">
        <v>16</v>
      </c>
      <c r="B37" s="81" t="s">
        <v>37</v>
      </c>
      <c r="C37" s="96">
        <v>1.5</v>
      </c>
      <c r="D37" s="99">
        <v>120000</v>
      </c>
      <c r="E37" s="99">
        <f t="shared" si="0"/>
        <v>180000</v>
      </c>
      <c r="G37" s="111"/>
    </row>
    <row r="38" spans="1:13" ht="15.75" customHeight="1">
      <c r="A38" s="127">
        <v>17</v>
      </c>
      <c r="B38" s="81" t="s">
        <v>38</v>
      </c>
      <c r="C38" s="96">
        <v>5135</v>
      </c>
      <c r="D38" s="99">
        <v>9000</v>
      </c>
      <c r="E38" s="99">
        <f t="shared" si="0"/>
        <v>46215000</v>
      </c>
      <c r="G38" s="111"/>
    </row>
    <row r="39" spans="1:13" ht="15.75" customHeight="1">
      <c r="A39" s="127">
        <v>18</v>
      </c>
      <c r="B39" s="81" t="s">
        <v>5</v>
      </c>
      <c r="C39" s="96">
        <v>541</v>
      </c>
      <c r="D39" s="99">
        <v>31000</v>
      </c>
      <c r="E39" s="99">
        <f t="shared" si="0"/>
        <v>16771000</v>
      </c>
      <c r="G39" s="111"/>
    </row>
    <row r="40" spans="1:13" ht="15.75" customHeight="1">
      <c r="A40" s="127">
        <v>19</v>
      </c>
      <c r="B40" s="139" t="s">
        <v>125</v>
      </c>
      <c r="C40" s="96">
        <v>3500</v>
      </c>
      <c r="D40" s="99">
        <v>2600</v>
      </c>
      <c r="E40" s="99">
        <f t="shared" si="0"/>
        <v>9100000</v>
      </c>
      <c r="G40" s="111"/>
    </row>
    <row r="41" spans="1:13" ht="15.75" customHeight="1">
      <c r="A41" s="127">
        <v>20</v>
      </c>
      <c r="B41" s="22" t="s">
        <v>127</v>
      </c>
      <c r="C41" s="96">
        <v>5135</v>
      </c>
      <c r="D41" s="99">
        <v>3500</v>
      </c>
      <c r="E41" s="99">
        <f t="shared" si="0"/>
        <v>17972500</v>
      </c>
      <c r="G41" s="111"/>
    </row>
    <row r="42" spans="1:13" ht="15.75" customHeight="1">
      <c r="A42" s="127">
        <v>21</v>
      </c>
      <c r="B42" s="75" t="s">
        <v>135</v>
      </c>
      <c r="C42" s="96">
        <v>6.5</v>
      </c>
      <c r="D42" s="99">
        <v>65000</v>
      </c>
      <c r="E42" s="99">
        <f t="shared" si="0"/>
        <v>422500</v>
      </c>
      <c r="G42" s="111"/>
    </row>
    <row r="43" spans="1:13" ht="6" customHeight="1">
      <c r="A43" s="80"/>
      <c r="B43" s="83"/>
      <c r="C43" s="106"/>
      <c r="D43" s="109"/>
      <c r="E43" s="109"/>
    </row>
    <row r="44" spans="1:13" s="64" customFormat="1" ht="15.75" customHeight="1">
      <c r="A44" s="77"/>
      <c r="B44" s="77" t="s">
        <v>22</v>
      </c>
      <c r="C44" s="100"/>
      <c r="D44" s="101"/>
      <c r="E44" s="101">
        <f>SUM(E22:E43)</f>
        <v>718161400</v>
      </c>
      <c r="G44" s="63"/>
      <c r="H44" s="204"/>
      <c r="I44" s="204"/>
      <c r="J44" s="204"/>
      <c r="K44" s="204"/>
      <c r="L44" s="204"/>
      <c r="M44" s="204"/>
    </row>
    <row r="45" spans="1:13" ht="17.25" customHeight="1"/>
    <row r="46" spans="1:13" ht="17.25" customHeight="1">
      <c r="A46" s="243" t="s">
        <v>156</v>
      </c>
      <c r="B46" s="243"/>
      <c r="C46" s="243"/>
      <c r="D46" s="243"/>
      <c r="E46" s="243"/>
    </row>
    <row r="47" spans="1:13" ht="33">
      <c r="A47" s="17" t="s">
        <v>14</v>
      </c>
      <c r="B47" s="44" t="s">
        <v>18</v>
      </c>
      <c r="C47" s="39" t="s">
        <v>15</v>
      </c>
      <c r="D47" s="18" t="s">
        <v>16</v>
      </c>
      <c r="E47" s="18" t="s">
        <v>17</v>
      </c>
    </row>
    <row r="48" spans="1:13" ht="16.5">
      <c r="A48" s="30">
        <v>1</v>
      </c>
      <c r="B48" s="22" t="s">
        <v>162</v>
      </c>
      <c r="C48" s="34"/>
      <c r="D48" s="20"/>
      <c r="E48" s="20">
        <v>17980000</v>
      </c>
    </row>
    <row r="49" spans="1:13" ht="16.5">
      <c r="A49" s="30">
        <v>2</v>
      </c>
      <c r="B49" s="22" t="s">
        <v>176</v>
      </c>
      <c r="C49" s="33"/>
      <c r="D49" s="23"/>
      <c r="E49" s="23">
        <v>12890000</v>
      </c>
    </row>
    <row r="50" spans="1:13" ht="9" customHeight="1">
      <c r="A50" s="144"/>
      <c r="B50" s="25"/>
      <c r="C50" s="37"/>
      <c r="D50" s="26"/>
      <c r="E50" s="26"/>
    </row>
    <row r="51" spans="1:13" ht="16.5">
      <c r="A51" s="17"/>
      <c r="B51" s="17" t="s">
        <v>22</v>
      </c>
      <c r="C51" s="36"/>
      <c r="D51" s="18"/>
      <c r="E51" s="18">
        <f>SUM(E48:E50)</f>
        <v>30870000</v>
      </c>
    </row>
    <row r="53" spans="1:13" s="14" customFormat="1" ht="15.75" customHeight="1">
      <c r="B53" s="14" t="s">
        <v>164</v>
      </c>
      <c r="C53" s="35"/>
      <c r="D53" s="16"/>
      <c r="E53" s="16">
        <f>G11</f>
        <v>1139496500</v>
      </c>
      <c r="F53" s="14" t="s">
        <v>20</v>
      </c>
      <c r="H53" s="206"/>
      <c r="I53" s="206"/>
      <c r="J53" s="206"/>
      <c r="K53" s="206"/>
      <c r="L53" s="206"/>
      <c r="M53" s="206"/>
    </row>
    <row r="54" spans="1:13" s="14" customFormat="1" ht="15.75" customHeight="1">
      <c r="B54" s="14" t="s">
        <v>12</v>
      </c>
      <c r="C54" s="35"/>
      <c r="D54" s="16"/>
      <c r="E54" s="51">
        <f>E44</f>
        <v>718161400</v>
      </c>
      <c r="F54" s="14" t="s">
        <v>20</v>
      </c>
      <c r="H54" s="206"/>
      <c r="I54" s="206"/>
      <c r="J54" s="206"/>
      <c r="K54" s="206"/>
      <c r="L54" s="206"/>
      <c r="M54" s="206"/>
    </row>
    <row r="55" spans="1:13" s="14" customFormat="1" ht="15.75" customHeight="1">
      <c r="B55" s="14" t="s">
        <v>193</v>
      </c>
      <c r="C55" s="35"/>
      <c r="D55" s="16"/>
      <c r="E55" s="51">
        <f>E51</f>
        <v>30870000</v>
      </c>
      <c r="F55" s="14" t="s">
        <v>20</v>
      </c>
      <c r="H55" s="206"/>
      <c r="I55" s="206"/>
      <c r="J55" s="206"/>
      <c r="K55" s="206"/>
      <c r="L55" s="206"/>
      <c r="M55" s="206"/>
    </row>
    <row r="56" spans="1:13" s="14" customFormat="1" ht="9" customHeight="1">
      <c r="C56" s="35"/>
      <c r="D56" s="16"/>
      <c r="E56" s="51"/>
      <c r="H56" s="206"/>
      <c r="I56" s="206"/>
      <c r="J56" s="206"/>
      <c r="K56" s="206"/>
      <c r="L56" s="206"/>
      <c r="M56" s="206"/>
    </row>
    <row r="57" spans="1:13" s="15" customFormat="1" ht="15.75" customHeight="1">
      <c r="B57" s="15" t="s">
        <v>13</v>
      </c>
      <c r="C57" s="38"/>
      <c r="D57" s="32"/>
      <c r="E57" s="32">
        <f>E53-E54-E55</f>
        <v>390465100</v>
      </c>
      <c r="F57" s="15" t="s">
        <v>20</v>
      </c>
      <c r="H57" s="205"/>
      <c r="I57" s="205"/>
      <c r="J57" s="205"/>
      <c r="K57" s="205"/>
      <c r="L57" s="205"/>
      <c r="M57" s="205"/>
    </row>
    <row r="58" spans="1:13" s="14" customFormat="1" ht="16.5">
      <c r="B58" s="15" t="s">
        <v>166</v>
      </c>
      <c r="C58" s="38"/>
      <c r="D58" s="32"/>
      <c r="E58" s="32">
        <f>G18</f>
        <v>6493187.9999999627</v>
      </c>
      <c r="F58" s="15" t="s">
        <v>20</v>
      </c>
      <c r="H58" s="206"/>
      <c r="I58" s="206"/>
      <c r="J58" s="206"/>
      <c r="K58" s="206"/>
      <c r="L58" s="206"/>
      <c r="M58" s="206"/>
    </row>
    <row r="59" spans="1:13" s="14" customFormat="1" ht="7.5" customHeight="1">
      <c r="B59" s="15"/>
      <c r="C59" s="38"/>
      <c r="D59" s="32"/>
      <c r="E59" s="32"/>
      <c r="F59" s="15"/>
      <c r="H59" s="206"/>
      <c r="I59" s="206"/>
      <c r="J59" s="206"/>
      <c r="K59" s="206"/>
      <c r="L59" s="206"/>
      <c r="M59" s="206"/>
    </row>
    <row r="60" spans="1:13" s="15" customFormat="1" ht="16.5">
      <c r="B60" s="15" t="s">
        <v>170</v>
      </c>
      <c r="C60" s="38"/>
      <c r="D60" s="32"/>
      <c r="E60" s="32">
        <f>E58-E57</f>
        <v>-383971912.00000006</v>
      </c>
      <c r="F60" s="15" t="s">
        <v>20</v>
      </c>
      <c r="H60" s="205"/>
      <c r="I60" s="205"/>
      <c r="J60" s="205"/>
      <c r="K60" s="205"/>
      <c r="L60" s="205"/>
      <c r="M60" s="205"/>
    </row>
  </sheetData>
  <mergeCells count="4">
    <mergeCell ref="A1:E1"/>
    <mergeCell ref="C17:D17"/>
    <mergeCell ref="A46:E46"/>
    <mergeCell ref="B18:E18"/>
  </mergeCells>
  <phoneticPr fontId="2" type="noConversion"/>
  <pageMargins left="0.51" right="0.25" top="0.19" bottom="0.25" header="0" footer="0"/>
  <pageSetup paperSize="9" scale="8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31"/>
  </sheetPr>
  <dimension ref="A1:G18"/>
  <sheetViews>
    <sheetView tabSelected="1" workbookViewId="0">
      <selection activeCell="B5" sqref="B5"/>
    </sheetView>
  </sheetViews>
  <sheetFormatPr defaultRowHeight="16.5"/>
  <cols>
    <col min="1" max="1" width="4.25" style="14" customWidth="1"/>
    <col min="2" max="2" width="29.5" style="14" customWidth="1"/>
    <col min="3" max="3" width="11" style="35" customWidth="1"/>
    <col min="4" max="4" width="11.625" style="16" bestFit="1" customWidth="1"/>
    <col min="5" max="5" width="15.25" style="16" customWidth="1"/>
    <col min="6" max="6" width="11.5" style="14" customWidth="1"/>
    <col min="7" max="7" width="9.875" style="14" bestFit="1" customWidth="1"/>
    <col min="8" max="16384" width="9" style="14"/>
  </cols>
  <sheetData>
    <row r="1" spans="1:7" ht="27.75" customHeight="1">
      <c r="A1" s="217" t="s">
        <v>199</v>
      </c>
      <c r="B1" s="217"/>
      <c r="C1" s="217"/>
      <c r="D1" s="217"/>
      <c r="E1" s="217"/>
      <c r="F1" s="13"/>
      <c r="G1" s="13"/>
    </row>
    <row r="2" spans="1:7" ht="18.75" customHeight="1">
      <c r="A2" s="15" t="s">
        <v>200</v>
      </c>
    </row>
    <row r="3" spans="1:7" s="15" customFormat="1" ht="36.75" customHeight="1">
      <c r="A3" s="17" t="s">
        <v>14</v>
      </c>
      <c r="B3" s="17" t="s">
        <v>18</v>
      </c>
      <c r="C3" s="39" t="s">
        <v>15</v>
      </c>
      <c r="D3" s="18" t="s">
        <v>16</v>
      </c>
      <c r="E3" s="18" t="s">
        <v>17</v>
      </c>
    </row>
    <row r="4" spans="1:7" ht="17.25" customHeight="1">
      <c r="A4" s="78">
        <f>ROW()-3</f>
        <v>1</v>
      </c>
      <c r="B4" s="79" t="s">
        <v>201</v>
      </c>
      <c r="C4" s="92">
        <v>7168</v>
      </c>
      <c r="D4" s="95">
        <v>7000</v>
      </c>
      <c r="E4" s="95">
        <f t="shared" ref="E4:E14" si="0">C4*D4</f>
        <v>50176000</v>
      </c>
    </row>
    <row r="5" spans="1:7" ht="17.25" customHeight="1">
      <c r="A5" s="80">
        <f t="shared" ref="A5:A10" si="1">ROW()-3</f>
        <v>2</v>
      </c>
      <c r="B5" s="81" t="s">
        <v>196</v>
      </c>
      <c r="C5" s="96">
        <v>896</v>
      </c>
      <c r="D5" s="99">
        <v>17000</v>
      </c>
      <c r="E5" s="99">
        <f t="shared" si="0"/>
        <v>15232000</v>
      </c>
      <c r="G5" s="52"/>
    </row>
    <row r="6" spans="1:7" ht="17.25" customHeight="1">
      <c r="A6" s="80">
        <f t="shared" si="1"/>
        <v>3</v>
      </c>
      <c r="B6" s="81" t="s">
        <v>197</v>
      </c>
      <c r="C6" s="96">
        <v>896</v>
      </c>
      <c r="D6" s="99">
        <v>2500</v>
      </c>
      <c r="E6" s="99">
        <f t="shared" si="0"/>
        <v>2240000</v>
      </c>
      <c r="G6" s="52"/>
    </row>
    <row r="7" spans="1:7" ht="17.25" customHeight="1">
      <c r="A7" s="80">
        <f t="shared" si="1"/>
        <v>4</v>
      </c>
      <c r="B7" s="81" t="s">
        <v>31</v>
      </c>
      <c r="C7" s="96">
        <v>85</v>
      </c>
      <c r="D7" s="99">
        <v>43000</v>
      </c>
      <c r="E7" s="99">
        <f t="shared" si="0"/>
        <v>3655000</v>
      </c>
      <c r="G7" s="52"/>
    </row>
    <row r="8" spans="1:7" ht="17.25" customHeight="1">
      <c r="A8" s="80">
        <f t="shared" si="1"/>
        <v>5</v>
      </c>
      <c r="B8" s="81" t="s">
        <v>194</v>
      </c>
      <c r="C8" s="96">
        <v>1</v>
      </c>
      <c r="D8" s="99">
        <v>19184000</v>
      </c>
      <c r="E8" s="99">
        <f>C8*D8</f>
        <v>19184000</v>
      </c>
      <c r="G8" s="52"/>
    </row>
    <row r="9" spans="1:7" ht="17.25" customHeight="1">
      <c r="A9" s="80">
        <f t="shared" si="1"/>
        <v>6</v>
      </c>
      <c r="B9" s="81" t="s">
        <v>195</v>
      </c>
      <c r="C9" s="96">
        <v>1</v>
      </c>
      <c r="D9" s="99">
        <v>5940860</v>
      </c>
      <c r="E9" s="99">
        <f t="shared" si="0"/>
        <v>5940860</v>
      </c>
      <c r="G9" s="52"/>
    </row>
    <row r="10" spans="1:7" ht="17.25" customHeight="1">
      <c r="A10" s="80">
        <f t="shared" si="1"/>
        <v>7</v>
      </c>
      <c r="B10" s="81" t="s">
        <v>198</v>
      </c>
      <c r="C10" s="96">
        <v>1</v>
      </c>
      <c r="D10" s="99">
        <f>4785000+400000</f>
        <v>5185000</v>
      </c>
      <c r="E10" s="99">
        <f t="shared" si="0"/>
        <v>5185000</v>
      </c>
      <c r="G10" s="52"/>
    </row>
    <row r="11" spans="1:7" ht="16.5" customHeight="1">
      <c r="A11" s="80"/>
      <c r="B11" s="81"/>
      <c r="C11" s="96"/>
      <c r="D11" s="99"/>
      <c r="E11" s="99">
        <f t="shared" si="0"/>
        <v>0</v>
      </c>
      <c r="G11" s="52"/>
    </row>
    <row r="12" spans="1:7" ht="16.5" customHeight="1">
      <c r="A12" s="80"/>
      <c r="B12" s="81"/>
      <c r="C12" s="96"/>
      <c r="D12" s="99"/>
      <c r="E12" s="99">
        <f t="shared" si="0"/>
        <v>0</v>
      </c>
      <c r="G12" s="52"/>
    </row>
    <row r="13" spans="1:7" ht="17.25" customHeight="1">
      <c r="A13" s="80"/>
      <c r="B13" s="81"/>
      <c r="C13" s="96"/>
      <c r="D13" s="99"/>
      <c r="E13" s="99">
        <f t="shared" si="0"/>
        <v>0</v>
      </c>
      <c r="G13" s="52"/>
    </row>
    <row r="14" spans="1:7" ht="17.25" customHeight="1">
      <c r="A14" s="244"/>
      <c r="B14" s="83"/>
      <c r="C14" s="106"/>
      <c r="D14" s="109"/>
      <c r="E14" s="109">
        <f t="shared" si="0"/>
        <v>0</v>
      </c>
    </row>
    <row r="15" spans="1:7" s="15" customFormat="1" ht="17.25" customHeight="1">
      <c r="A15" s="77"/>
      <c r="B15" s="77" t="s">
        <v>22</v>
      </c>
      <c r="C15" s="100"/>
      <c r="D15" s="101"/>
      <c r="E15" s="101">
        <f>SUM(E4:E14)</f>
        <v>101612860</v>
      </c>
    </row>
    <row r="16" spans="1:7" ht="11.25" customHeight="1"/>
    <row r="17" ht="18.75" customHeight="1"/>
    <row r="18" ht="18.75" customHeight="1"/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GHẸ NƯỚNG</vt:lpstr>
      <vt:lpstr>SASH-2013 </vt:lpstr>
      <vt:lpstr>SASH 10-13</vt:lpstr>
      <vt:lpstr>ĐL-2013</vt:lpstr>
      <vt:lpstr>MẮT KIẾNG</vt:lpstr>
      <vt:lpstr>MAI MÈ 10-14</vt:lpstr>
      <vt:lpstr>MAI MÈ 412</vt:lpstr>
      <vt:lpstr>CP - Ghe Jintatsu</vt:lpstr>
      <vt:lpstr>'MAI MÈ 412'!Print_Area</vt:lpstr>
      <vt:lpstr>'MẮT KIẾNG'!Print_Titles</vt:lpstr>
    </vt:vector>
  </TitlesOfParts>
  <Company>anlac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Mr_Thang</dc:creator>
  <cp:lastModifiedBy>User 1</cp:lastModifiedBy>
  <cp:lastPrinted>2015-05-29T07:24:11Z</cp:lastPrinted>
  <dcterms:created xsi:type="dcterms:W3CDTF">2012-12-29T04:13:22Z</dcterms:created>
  <dcterms:modified xsi:type="dcterms:W3CDTF">2015-05-29T09:01:02Z</dcterms:modified>
</cp:coreProperties>
</file>